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omments5.xml" ContentType="application/vnd.openxmlformats-officedocument.spreadsheetml.comment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saveExternalLinkValues="0" codeName="ThisWorkbook"/>
  <mc:AlternateContent xmlns:mc="http://schemas.openxmlformats.org/markup-compatibility/2006">
    <mc:Choice Requires="x15">
      <x15ac:absPath xmlns:x15ac="http://schemas.microsoft.com/office/spreadsheetml/2010/11/ac" url="C:\Robbie\dom\ODA\"/>
    </mc:Choice>
  </mc:AlternateContent>
  <xr:revisionPtr revIDLastSave="0" documentId="13_ncr:1_{1877E771-6A06-46A3-A05C-3191A36E387B}" xr6:coauthVersionLast="41" xr6:coauthVersionMax="41" xr10:uidLastSave="{00000000-0000-0000-0000-000000000000}"/>
  <bookViews>
    <workbookView xWindow="-120" yWindow="-120" windowWidth="29040" windowHeight="17640" tabRatio="829" xr2:uid="{00000000-000D-0000-FFFF-FFFF00000000}"/>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_xlnm._FilterDatabase" localSheetId="9" hidden="1">Imps!$H$2:$W$135</definedName>
    <definedName name="adept_dp_bonus">Constants!$C$137</definedName>
    <definedName name="adept_dp_cap">Constants!$F$137</definedName>
    <definedName name="adept_op_bonus">Constants!$C$136</definedName>
    <definedName name="adept_op_cap">Constants!$F$136</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Armory">Imps!$CR$40</definedName>
    <definedName name="armory_cap">Constants!$D$120</definedName>
    <definedName name="armory_param">Constants!$D$127</definedName>
    <definedName name="banshee_bonus">Constants!$C$148</definedName>
    <definedName name="banshee_cap">Constants!$F$148</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Constants!$B$106</definedName>
    <definedName name="building_employment">Constants!$B$160</definedName>
    <definedName name="cant_build">Races!$F$177:$F$178</definedName>
    <definedName name="cant_invest">Races!$G$177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Races!$E$177:$E$181</definedName>
    <definedName name="druid_dp_bonus">Constants!$C$133</definedName>
    <definedName name="druid_dp_cap">Constants!$F$133</definedName>
    <definedName name="druid_op_bonus">Constants!$C$132</definedName>
    <definedName name="druid_op_cap">Constants!$F$132</definedName>
    <definedName name="dryad_bonus">Constants!$C$134</definedName>
    <definedName name="dryad_cap">Constants!$F$134</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Races!$A$177:$A$178</definedName>
    <definedName name="facs_constr_factor">Constants!$B$19</definedName>
    <definedName name="facs_constr_max">Constants!$D$19</definedName>
    <definedName name="facs_rezone_factor">Constants!$B$20</definedName>
    <definedName name="facs_rezone_max">Constants!$D$20</definedName>
    <definedName name="fanatic_bonus">Constants!$C$145</definedName>
    <definedName name="fanatic_cap">Constants!$F$145</definedName>
    <definedName name="farm_food">Constants!$B$5</definedName>
    <definedName name="fh_peas_dp">Constants!$B$13</definedName>
    <definedName name="firewalker_spell_cost">Constants!$B$84</definedName>
    <definedName name="firewalker_spell_time">Constants!$D$84</definedName>
    <definedName name="flying_ant_bonus">Constants!$C$142</definedName>
    <definedName name="flying_ant_cap">Constants!$F$142</definedName>
    <definedName name="food_db">Constants!$N$108</definedName>
    <definedName name="food_decay">Constants!$B$52</definedName>
    <definedName name="food_per_person">Constants!$B$57</definedName>
    <definedName name="frenzy_bonus">Constants!$F$79</definedName>
    <definedName name="frost_mage_bonus">Constants!$C$138</definedName>
    <definedName name="frost_mage_cap">Constants!$F$138</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Constants!$C$143</definedName>
    <definedName name="goat_witch_cap">Constants!$F$143</definedName>
    <definedName name="goblin_spell_cost">Constants!$B$87</definedName>
    <definedName name="goblin_spell_time">Constants!$D$87</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Constants!$D$119</definedName>
    <definedName name="harbor_towers_param">Constants!$D$126</definedName>
    <definedName name="harmony_bonus">Constants!$F$75</definedName>
    <definedName name="holy_warrior_bonus">Constants!$C$147</definedName>
    <definedName name="holy_warrior_cap">Constants!$F$147</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Constants!$C$139</definedName>
    <definedName name="ice_elem_cap">Constants!$F$139</definedName>
    <definedName name="icekin">Military!$DV$9</definedName>
    <definedName name="icekin_spell_cost">Constants!$B$83</definedName>
    <definedName name="icekin_spell_time">Constants!$D$83</definedName>
    <definedName name="impgnome_spell_cost">Constants!$B$103</definedName>
    <definedName name="impgnome_spell_time">Constants!$D$103</definedName>
    <definedName name="Imps">Imps!$CR$34:$CR$41</definedName>
    <definedName name="Infirmary">Imps!$CR$41</definedName>
    <definedName name="infirmary_cap">Constants!$D$121</definedName>
    <definedName name="infirmary_param">Constants!$D$128</definedName>
    <definedName name="keep_cap">Constants!$D$116</definedName>
    <definedName name="keep_param">Constants!$D$123</definedName>
    <definedName name="killingrage_bonus">Constants!$F$87</definedName>
    <definedName name="kobold">Military!$DV$8</definedName>
    <definedName name="kobold_spell_cost">Constants!$B$82</definedName>
    <definedName name="kobold_spell_time">Constants!$D$82</definedName>
    <definedName name="lizardman_bonus">Constants!$C$156</definedName>
    <definedName name="lizardman_cap">Constants!$F$156</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b">Constants!$O$108</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Constants!$C$144</definedName>
    <definedName name="minotaur_cap">Constants!$F$144</definedName>
    <definedName name="mystic_bonus">Constants!$C$131</definedName>
    <definedName name="mystic_cap">Constants!$F$131</definedName>
    <definedName name="nightfall_bonus">Constants!$F$85</definedName>
    <definedName name="nightshade_bonus">Constants!$C$141</definedName>
    <definedName name="no_boats">Races!$D$177:$D$184</definedName>
    <definedName name="no_food">Races!$C$177:$C$178</definedName>
    <definedName name="no_ore">Races!$B$177:$B$187</definedName>
    <definedName name="norse">Military!$DV$18</definedName>
    <definedName name="nox">Military!$DV$11</definedName>
    <definedName name="nox_nightshade_cap">Constants!$F$141</definedName>
    <definedName name="nox_nightshade_swamp_bonus">Constants!$C$141</definedName>
    <definedName name="nox_spell_cost">Constants!$B$85</definedName>
    <definedName name="nox_spell_time">Constants!$D$85</definedName>
    <definedName name="om_ore">Constants!$B$7</definedName>
    <definedName name="orc">Military!$DV$10</definedName>
    <definedName name="orc_spell_cost">Constants!$B$88</definedName>
    <definedName name="orc_spell_time">Constants!$D$88</definedName>
    <definedName name="ore_db">Constants!$M$108:$M$109</definedName>
    <definedName name="phantom_bonus">Constants!$C$150</definedName>
    <definedName name="phantom_cap">Constants!$F$150</definedName>
    <definedName name="plat_db">Constants!$L$108:$L$137</definedName>
    <definedName name="pop_in_building">Constants!$B$65</definedName>
    <definedName name="pop_in_home">Constants!$B$62</definedName>
    <definedName name="pop_on_barren">Constants!$B$66</definedName>
    <definedName name="prestige_food_bonus">Constants!$B$110</definedName>
    <definedName name="prestige_multiplier">Constants!$B$111</definedName>
    <definedName name="prestige_offense_bonus">Constants!$B$112</definedName>
    <definedName name="prestige_pop_multiplier">Constants!$B$111</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Races!$A$142:$A$175</definedName>
    <definedName name="raw_drafting">Constants!$B$51</definedName>
    <definedName name="raw_pop_growth">Constants!$B$50</definedName>
    <definedName name="resources">Imps!$CR$29:$CR$32</definedName>
    <definedName name="rocka_bonus">Constants!$C$135</definedName>
    <definedName name="rocka_cap">Constants!$F$135</definedName>
    <definedName name="sacred">Military!$DV$14</definedName>
    <definedName name="science_cap">Constants!$D$117</definedName>
    <definedName name="science_param">Constants!$D$124</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Constants!$C$153</definedName>
    <definedName name="staff_cap">Constants!$F$153</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Constants!$B$109</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ower_mana">Constants!$B$9</definedName>
    <definedName name="undead">Military!$DV$16</definedName>
    <definedName name="useless_spell_races">Constants!$P$89:$P$101</definedName>
    <definedName name="valkyrja_bonus">Constants!$C$154</definedName>
    <definedName name="valkyrja_cap">Constants!$F$154</definedName>
    <definedName name="voodoo_magi_bonus">Constants!$C$140</definedName>
    <definedName name="voodoo_magi_cap">Constants!$F$140</definedName>
    <definedName name="walls_forges_cap">Constants!$D$118</definedName>
    <definedName name="walls_forges_param">Constants!$D$125</definedName>
    <definedName name="warlock_bonus">Constants!$C$155</definedName>
    <definedName name="warlock_cap">Constants!$F$155</definedName>
    <definedName name="warsong_bonus">Constants!$F$80</definedName>
    <definedName name="waves">Races!$D$143:$D$148</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raith_bonus">Constants!$C$152</definedName>
    <definedName name="wraith_cap">Constants!$F$152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C135" i="11" l="1"/>
  <c r="CB135" i="11"/>
  <c r="CA135" i="11"/>
  <c r="BZ135" i="11"/>
  <c r="CC134" i="11"/>
  <c r="CB134" i="11"/>
  <c r="CA134" i="11"/>
  <c r="BZ134" i="11"/>
  <c r="CC133" i="11"/>
  <c r="CB133" i="11"/>
  <c r="CA133" i="11"/>
  <c r="BZ133" i="11"/>
  <c r="CC132" i="11"/>
  <c r="CB132" i="11"/>
  <c r="CA132" i="11"/>
  <c r="BZ132" i="11"/>
  <c r="CC131" i="11"/>
  <c r="CB131" i="11"/>
  <c r="CA131" i="11"/>
  <c r="BZ131" i="11"/>
  <c r="CC130" i="11"/>
  <c r="CB130" i="11"/>
  <c r="CA130" i="11"/>
  <c r="BZ130" i="11"/>
  <c r="CC129" i="11"/>
  <c r="CB129" i="11"/>
  <c r="CA129" i="11"/>
  <c r="BZ129" i="11"/>
  <c r="CC128" i="11"/>
  <c r="CB128" i="11"/>
  <c r="CA128" i="11"/>
  <c r="BZ128" i="11"/>
  <c r="CC127" i="11"/>
  <c r="CB127" i="11"/>
  <c r="CA127" i="11"/>
  <c r="BZ127" i="11"/>
  <c r="CC126" i="11"/>
  <c r="CB126" i="11"/>
  <c r="CA126" i="11"/>
  <c r="BZ126" i="11"/>
  <c r="CC125" i="11"/>
  <c r="CB125" i="11"/>
  <c r="CA125" i="11"/>
  <c r="BZ125" i="11"/>
  <c r="CC124" i="11"/>
  <c r="CB124" i="11"/>
  <c r="CA124" i="11"/>
  <c r="BZ124" i="11"/>
  <c r="CC123" i="11"/>
  <c r="CB123" i="11"/>
  <c r="CA123" i="11"/>
  <c r="BZ123" i="11"/>
  <c r="CC122" i="11"/>
  <c r="CB122" i="11"/>
  <c r="CA122" i="11"/>
  <c r="BZ122" i="11"/>
  <c r="CC121" i="11"/>
  <c r="CB121" i="11"/>
  <c r="CA121" i="11"/>
  <c r="BZ121" i="11"/>
  <c r="CC120" i="11"/>
  <c r="CB120" i="11"/>
  <c r="CA120" i="11"/>
  <c r="BZ120" i="11"/>
  <c r="CC119" i="11"/>
  <c r="CB119" i="11"/>
  <c r="CA119" i="11"/>
  <c r="BZ119" i="11"/>
  <c r="CC118" i="11"/>
  <c r="CB118" i="11"/>
  <c r="CA118" i="11"/>
  <c r="BZ118" i="11"/>
  <c r="CC117" i="11"/>
  <c r="CB117" i="11"/>
  <c r="CA117" i="11"/>
  <c r="BZ117" i="11"/>
  <c r="CC116" i="11"/>
  <c r="CB116" i="11"/>
  <c r="CA116" i="11"/>
  <c r="BZ116" i="11"/>
  <c r="CC115" i="11"/>
  <c r="CB115" i="11"/>
  <c r="CA115" i="11"/>
  <c r="BZ115" i="11"/>
  <c r="CC114" i="11"/>
  <c r="CB114" i="11"/>
  <c r="CA114" i="11"/>
  <c r="BZ114" i="11"/>
  <c r="CC113" i="11"/>
  <c r="CB113" i="11"/>
  <c r="CA113" i="11"/>
  <c r="BZ113" i="11"/>
  <c r="CC112" i="11"/>
  <c r="CB112" i="11"/>
  <c r="CA112" i="11"/>
  <c r="BZ112" i="11"/>
  <c r="CC111" i="11"/>
  <c r="CB111" i="11"/>
  <c r="CA111" i="11"/>
  <c r="BZ111" i="11"/>
  <c r="CC110" i="11"/>
  <c r="CB110" i="11"/>
  <c r="CA110" i="11"/>
  <c r="BZ110" i="11"/>
  <c r="CC109" i="11"/>
  <c r="CB109" i="11"/>
  <c r="CA109" i="11"/>
  <c r="BZ109" i="11"/>
  <c r="CC108" i="11"/>
  <c r="CB108" i="11"/>
  <c r="CA108" i="11"/>
  <c r="BZ108" i="11"/>
  <c r="CC107" i="11"/>
  <c r="CB107" i="11"/>
  <c r="CA107" i="11"/>
  <c r="BZ107" i="11"/>
  <c r="CC106" i="11"/>
  <c r="CB106" i="11"/>
  <c r="CA106" i="11"/>
  <c r="BZ106" i="11"/>
  <c r="CC105" i="11"/>
  <c r="CB105" i="11"/>
  <c r="CA105" i="11"/>
  <c r="BZ105" i="11"/>
  <c r="CC104" i="11"/>
  <c r="CB104" i="11"/>
  <c r="CA104" i="11"/>
  <c r="BZ104" i="11"/>
  <c r="CC103" i="11"/>
  <c r="CB103" i="11"/>
  <c r="CA103" i="11"/>
  <c r="BZ103" i="11"/>
  <c r="CC102" i="11"/>
  <c r="CB102" i="11"/>
  <c r="CA102" i="11"/>
  <c r="BZ102" i="11"/>
  <c r="CC101" i="11"/>
  <c r="CB101" i="11"/>
  <c r="CA101" i="11"/>
  <c r="BZ101" i="11"/>
  <c r="CC100" i="11"/>
  <c r="CB100" i="11"/>
  <c r="CA100" i="11"/>
  <c r="BZ100" i="11"/>
  <c r="CC99" i="11"/>
  <c r="CB99" i="11"/>
  <c r="CA99" i="11"/>
  <c r="BZ99" i="11"/>
  <c r="CC98" i="11"/>
  <c r="CB98" i="11"/>
  <c r="CA98" i="11"/>
  <c r="BZ98" i="11"/>
  <c r="CC97" i="11"/>
  <c r="CB97" i="11"/>
  <c r="CA97" i="11"/>
  <c r="BZ97" i="11"/>
  <c r="CC96" i="11"/>
  <c r="CB96" i="11"/>
  <c r="CA96" i="11"/>
  <c r="BZ96" i="11"/>
  <c r="CC95" i="11"/>
  <c r="CB95" i="11"/>
  <c r="CA95" i="11"/>
  <c r="BZ95" i="11"/>
  <c r="CC94" i="11"/>
  <c r="CB94" i="11"/>
  <c r="CA94" i="11"/>
  <c r="BZ94" i="11"/>
  <c r="CC93" i="11"/>
  <c r="CB93" i="11"/>
  <c r="CA93" i="11"/>
  <c r="BZ93" i="11"/>
  <c r="CC92" i="11"/>
  <c r="CB92" i="11"/>
  <c r="CA92" i="11"/>
  <c r="BZ92" i="11"/>
  <c r="CC91" i="11"/>
  <c r="CB91" i="11"/>
  <c r="CA91" i="11"/>
  <c r="BZ91" i="11"/>
  <c r="CC90" i="11"/>
  <c r="CB90" i="11"/>
  <c r="CA90" i="11"/>
  <c r="BZ90" i="11"/>
  <c r="CC89" i="11"/>
  <c r="CB89" i="11"/>
  <c r="CA89" i="11"/>
  <c r="BZ89" i="11"/>
  <c r="CC88" i="11"/>
  <c r="CB88" i="11"/>
  <c r="CA88" i="11"/>
  <c r="BZ88" i="11"/>
  <c r="CC87" i="11"/>
  <c r="CB87" i="11"/>
  <c r="CA87" i="11"/>
  <c r="BZ87" i="11"/>
  <c r="CC86" i="11"/>
  <c r="CB86" i="11"/>
  <c r="CA86" i="11"/>
  <c r="BZ86" i="11"/>
  <c r="CC85" i="11"/>
  <c r="CB85" i="11"/>
  <c r="CA85" i="11"/>
  <c r="BZ85" i="11"/>
  <c r="CC84" i="11"/>
  <c r="CB84" i="11"/>
  <c r="CA84" i="11"/>
  <c r="BZ84" i="11"/>
  <c r="CC83" i="11"/>
  <c r="CB83" i="11"/>
  <c r="CA83" i="11"/>
  <c r="BZ83" i="11"/>
  <c r="CC82" i="11"/>
  <c r="CB82" i="11"/>
  <c r="CA82" i="11"/>
  <c r="BZ82" i="11"/>
  <c r="CC81" i="11"/>
  <c r="CB81" i="11"/>
  <c r="CA81" i="11"/>
  <c r="BZ81" i="11"/>
  <c r="CC80" i="11"/>
  <c r="CB80" i="11"/>
  <c r="CA80" i="11"/>
  <c r="BZ80" i="11"/>
  <c r="CC79" i="11"/>
  <c r="CB79" i="11"/>
  <c r="CA79" i="11"/>
  <c r="BZ79" i="11"/>
  <c r="CC78" i="11"/>
  <c r="CB78" i="11"/>
  <c r="CA78" i="11"/>
  <c r="BZ78" i="11"/>
  <c r="CC77" i="11"/>
  <c r="CB77" i="11"/>
  <c r="CA77" i="11"/>
  <c r="BZ77" i="11"/>
  <c r="CC76" i="11"/>
  <c r="CB76" i="11"/>
  <c r="CA76" i="11"/>
  <c r="BZ76" i="11"/>
  <c r="CC75" i="11"/>
  <c r="CB75" i="11"/>
  <c r="CA75" i="11"/>
  <c r="BZ75" i="11"/>
  <c r="CC74" i="11"/>
  <c r="CB74" i="11"/>
  <c r="CA74" i="11"/>
  <c r="BZ74" i="11"/>
  <c r="CC73" i="11"/>
  <c r="CB73" i="11"/>
  <c r="CA73" i="11"/>
  <c r="BZ73" i="11"/>
  <c r="CC72" i="11"/>
  <c r="CB72" i="11"/>
  <c r="CA72" i="11"/>
  <c r="BZ72" i="11"/>
  <c r="CC71" i="11"/>
  <c r="CB71" i="11"/>
  <c r="CA71" i="11"/>
  <c r="BZ71" i="11"/>
  <c r="CC70" i="11"/>
  <c r="CB70" i="11"/>
  <c r="CA70" i="11"/>
  <c r="BZ70" i="11"/>
  <c r="CC69" i="11"/>
  <c r="CB69" i="11"/>
  <c r="CA69" i="11"/>
  <c r="BZ69" i="11"/>
  <c r="CC68" i="11"/>
  <c r="CB68" i="11"/>
  <c r="CA68" i="11"/>
  <c r="BZ68" i="11"/>
  <c r="CC67" i="11"/>
  <c r="CB67" i="11"/>
  <c r="CA67" i="11"/>
  <c r="BZ67" i="11"/>
  <c r="CC66" i="11"/>
  <c r="CB66" i="11"/>
  <c r="CA66" i="11"/>
  <c r="BZ66" i="11"/>
  <c r="CC65" i="11"/>
  <c r="CB65" i="11"/>
  <c r="CA65" i="11"/>
  <c r="BZ65" i="11"/>
  <c r="CC64" i="11"/>
  <c r="CB64" i="11"/>
  <c r="CA64" i="11"/>
  <c r="BZ64" i="11"/>
  <c r="CC63" i="11"/>
  <c r="CB63" i="11"/>
  <c r="CA63" i="11"/>
  <c r="BZ63" i="11"/>
  <c r="CC62" i="11"/>
  <c r="CB62" i="11"/>
  <c r="CA62" i="11"/>
  <c r="BZ62" i="11"/>
  <c r="CC61" i="11"/>
  <c r="CB61" i="11"/>
  <c r="CA61" i="11"/>
  <c r="BZ61" i="11"/>
  <c r="CC60" i="11"/>
  <c r="CB60" i="11"/>
  <c r="CA60" i="11"/>
  <c r="BZ60" i="11"/>
  <c r="CC59" i="11"/>
  <c r="CB59" i="11"/>
  <c r="CA59" i="11"/>
  <c r="BZ59" i="11"/>
  <c r="CC58" i="11"/>
  <c r="CB58" i="11"/>
  <c r="CA58" i="11"/>
  <c r="BZ58" i="11"/>
  <c r="CC57" i="11"/>
  <c r="CB57" i="11"/>
  <c r="CA57" i="11"/>
  <c r="BZ57" i="11"/>
  <c r="CC56" i="11"/>
  <c r="CB56" i="11"/>
  <c r="CA56" i="11"/>
  <c r="BZ56" i="11"/>
  <c r="CC55" i="11"/>
  <c r="CB55" i="11"/>
  <c r="CA55" i="11"/>
  <c r="BZ55" i="11"/>
  <c r="CC54" i="11"/>
  <c r="CB54" i="11"/>
  <c r="CA54" i="11"/>
  <c r="BZ54" i="11"/>
  <c r="CC53" i="11"/>
  <c r="CB53" i="11"/>
  <c r="CA53" i="11"/>
  <c r="BZ53" i="11"/>
  <c r="CC52" i="11"/>
  <c r="CB52" i="11"/>
  <c r="CA52" i="11"/>
  <c r="BZ52" i="11"/>
  <c r="CC51" i="11"/>
  <c r="CB51" i="11"/>
  <c r="CA51" i="11"/>
  <c r="BZ51" i="11"/>
  <c r="CC50" i="11"/>
  <c r="CB50" i="11"/>
  <c r="CA50" i="11"/>
  <c r="BZ50" i="11"/>
  <c r="CC49" i="11"/>
  <c r="CB49" i="11"/>
  <c r="CA49" i="11"/>
  <c r="BZ49" i="11"/>
  <c r="CC48" i="11"/>
  <c r="CB48" i="11"/>
  <c r="CA48" i="11"/>
  <c r="BZ48" i="11"/>
  <c r="CC47" i="11"/>
  <c r="CB47" i="11"/>
  <c r="CA47" i="11"/>
  <c r="BZ47" i="11"/>
  <c r="CC46" i="11"/>
  <c r="CB46" i="11"/>
  <c r="CA46" i="11"/>
  <c r="BZ46" i="11"/>
  <c r="CC45" i="11"/>
  <c r="CB45" i="11"/>
  <c r="CA45" i="11"/>
  <c r="BZ45" i="11"/>
  <c r="CC44" i="11"/>
  <c r="CB44" i="11"/>
  <c r="CA44" i="11"/>
  <c r="BZ44" i="11"/>
  <c r="CC43" i="11"/>
  <c r="CB43" i="11"/>
  <c r="CA43" i="11"/>
  <c r="BZ43" i="11"/>
  <c r="CC42" i="11"/>
  <c r="CB42" i="11"/>
  <c r="CA42" i="11"/>
  <c r="BZ42" i="11"/>
  <c r="CC41" i="11"/>
  <c r="CB41" i="11"/>
  <c r="CA41" i="11"/>
  <c r="BZ41" i="11"/>
  <c r="CC40" i="11"/>
  <c r="CB40" i="11"/>
  <c r="CA40" i="11"/>
  <c r="BZ40" i="11"/>
  <c r="CC39" i="11"/>
  <c r="CB39" i="11"/>
  <c r="CA39" i="11"/>
  <c r="BZ39" i="11"/>
  <c r="CC38" i="11"/>
  <c r="CB38" i="11"/>
  <c r="CA38" i="11"/>
  <c r="BZ38" i="11"/>
  <c r="CC37" i="11"/>
  <c r="CB37" i="11"/>
  <c r="CA37" i="11"/>
  <c r="BZ37" i="11"/>
  <c r="CC36" i="11"/>
  <c r="CB36" i="11"/>
  <c r="CA36" i="11"/>
  <c r="BZ36" i="11"/>
  <c r="CC35" i="11"/>
  <c r="CB35" i="11"/>
  <c r="CA35" i="11"/>
  <c r="BZ35" i="11"/>
  <c r="CC34" i="11"/>
  <c r="CB34" i="11"/>
  <c r="CA34" i="11"/>
  <c r="BZ34" i="11"/>
  <c r="CC33" i="11"/>
  <c r="CB33" i="11"/>
  <c r="CA33" i="11"/>
  <c r="BZ33" i="11"/>
  <c r="CC32" i="11"/>
  <c r="CB32" i="11"/>
  <c r="CA32" i="11"/>
  <c r="BZ32" i="11"/>
  <c r="CC31" i="11"/>
  <c r="CB31" i="11"/>
  <c r="CA31" i="11"/>
  <c r="BZ31" i="11"/>
  <c r="CC30" i="11"/>
  <c r="CB30" i="11"/>
  <c r="CA30" i="11"/>
  <c r="BZ30" i="11"/>
  <c r="CC29" i="11"/>
  <c r="CB29" i="11"/>
  <c r="CA29" i="11"/>
  <c r="BZ29" i="11"/>
  <c r="CC28" i="11"/>
  <c r="CB28" i="11"/>
  <c r="CA28" i="11"/>
  <c r="BZ28" i="11"/>
  <c r="CC27" i="11"/>
  <c r="CB27" i="11"/>
  <c r="CA27" i="11"/>
  <c r="BZ27" i="11"/>
  <c r="CC26" i="11"/>
  <c r="CB26" i="11"/>
  <c r="CA26" i="11"/>
  <c r="BZ26" i="11"/>
  <c r="CC25" i="11"/>
  <c r="CB25" i="11"/>
  <c r="CA25" i="11"/>
  <c r="BZ25" i="11"/>
  <c r="CC24" i="11"/>
  <c r="CB24" i="11"/>
  <c r="CA24" i="11"/>
  <c r="BZ24" i="11"/>
  <c r="CC23" i="11"/>
  <c r="CB23" i="11"/>
  <c r="CA23" i="11"/>
  <c r="BZ23" i="11"/>
  <c r="CC22" i="11"/>
  <c r="CB22" i="11"/>
  <c r="CA22" i="11"/>
  <c r="BZ22" i="11"/>
  <c r="CC21" i="11"/>
  <c r="CB21" i="11"/>
  <c r="CA21" i="11"/>
  <c r="BZ21" i="11"/>
  <c r="CC20" i="11"/>
  <c r="CB20" i="11"/>
  <c r="CA20" i="11"/>
  <c r="BZ20" i="11"/>
  <c r="CC19" i="11"/>
  <c r="CB19" i="11"/>
  <c r="CA19" i="11"/>
  <c r="BZ19" i="11"/>
  <c r="CC18" i="11"/>
  <c r="CB18" i="11"/>
  <c r="CA18" i="11"/>
  <c r="BZ18" i="11"/>
  <c r="CC17" i="11"/>
  <c r="CB17" i="11"/>
  <c r="CA17" i="11"/>
  <c r="BZ17" i="11"/>
  <c r="CC16" i="11"/>
  <c r="CB16" i="11"/>
  <c r="CA16" i="11"/>
  <c r="BZ16" i="11"/>
  <c r="CC15" i="11"/>
  <c r="CB15" i="11"/>
  <c r="CA15" i="11"/>
  <c r="BZ15" i="11"/>
  <c r="CC14" i="11"/>
  <c r="CB14" i="11"/>
  <c r="CA14" i="11"/>
  <c r="BZ14" i="11"/>
  <c r="CC13" i="11"/>
  <c r="CB13" i="11"/>
  <c r="CA13" i="11"/>
  <c r="BZ13" i="11"/>
  <c r="CC12" i="11"/>
  <c r="CB12" i="11"/>
  <c r="CA12" i="11"/>
  <c r="BZ12" i="11"/>
  <c r="CC11" i="11"/>
  <c r="CB11" i="11"/>
  <c r="CA11" i="11"/>
  <c r="BZ11" i="11"/>
  <c r="CC10" i="11"/>
  <c r="CB10" i="11"/>
  <c r="CA10" i="11"/>
  <c r="BZ10" i="11"/>
  <c r="CC9" i="11"/>
  <c r="CB9" i="11"/>
  <c r="CA9" i="11"/>
  <c r="BZ9" i="11"/>
  <c r="CC8" i="11"/>
  <c r="CB8" i="11"/>
  <c r="CA8" i="11"/>
  <c r="BZ8" i="11"/>
  <c r="CC7" i="11"/>
  <c r="CB7" i="11"/>
  <c r="CA7" i="11"/>
  <c r="BZ7" i="11"/>
  <c r="CC6" i="11"/>
  <c r="CB6" i="11"/>
  <c r="CA6" i="11"/>
  <c r="BZ6" i="11"/>
  <c r="CC5" i="11"/>
  <c r="CB5" i="11"/>
  <c r="CA5" i="11"/>
  <c r="BZ5" i="11"/>
  <c r="CC4" i="11"/>
  <c r="CB4" i="11"/>
  <c r="CA4" i="11"/>
  <c r="BZ4" i="11"/>
  <c r="CC3" i="11"/>
  <c r="CB3" i="11"/>
  <c r="CA3" i="11"/>
  <c r="BZ3" i="11"/>
  <c r="CH135" i="11"/>
  <c r="CG135" i="11"/>
  <c r="CF135" i="11"/>
  <c r="CE135" i="11"/>
  <c r="CH134" i="11"/>
  <c r="CG134" i="11"/>
  <c r="CF134" i="11"/>
  <c r="CE134" i="11"/>
  <c r="CH133" i="11"/>
  <c r="CG133" i="11"/>
  <c r="CF133" i="11"/>
  <c r="CE133" i="11"/>
  <c r="CH132" i="11"/>
  <c r="CG132" i="11"/>
  <c r="CF132" i="11"/>
  <c r="CE132" i="11"/>
  <c r="CH131" i="11"/>
  <c r="CG131" i="11"/>
  <c r="CF131" i="11"/>
  <c r="CE131" i="11"/>
  <c r="CH130" i="11"/>
  <c r="CG130" i="11"/>
  <c r="CF130" i="11"/>
  <c r="CE130" i="11"/>
  <c r="CH129" i="11"/>
  <c r="CG129" i="11"/>
  <c r="CF129" i="11"/>
  <c r="CE129" i="11"/>
  <c r="CH128" i="11"/>
  <c r="CG128" i="11"/>
  <c r="CF128" i="11"/>
  <c r="CE128" i="11"/>
  <c r="CH127" i="11"/>
  <c r="CG127" i="11"/>
  <c r="CF127" i="11"/>
  <c r="CE127" i="11"/>
  <c r="CH126" i="11"/>
  <c r="CG126" i="11"/>
  <c r="CF126" i="11"/>
  <c r="CE126" i="11"/>
  <c r="CH125" i="11"/>
  <c r="CG125" i="11"/>
  <c r="CF125" i="11"/>
  <c r="CE125" i="11"/>
  <c r="CH124" i="11"/>
  <c r="CG124" i="11"/>
  <c r="CF124" i="11"/>
  <c r="CE124" i="11"/>
  <c r="CH123" i="11"/>
  <c r="CG123" i="11"/>
  <c r="CF123" i="11"/>
  <c r="CE123" i="11"/>
  <c r="CH122" i="11"/>
  <c r="CG122" i="11"/>
  <c r="CF122" i="11"/>
  <c r="CE122" i="11"/>
  <c r="CH121" i="11"/>
  <c r="CG121" i="11"/>
  <c r="CF121" i="11"/>
  <c r="CE121" i="11"/>
  <c r="CH120" i="11"/>
  <c r="CG120" i="11"/>
  <c r="CF120" i="11"/>
  <c r="CE120" i="11"/>
  <c r="CH119" i="11"/>
  <c r="CG119" i="11"/>
  <c r="CF119" i="11"/>
  <c r="CE119" i="11"/>
  <c r="CH118" i="11"/>
  <c r="CG118" i="11"/>
  <c r="CF118" i="11"/>
  <c r="CE118" i="11"/>
  <c r="CH117" i="11"/>
  <c r="CG117" i="11"/>
  <c r="CF117" i="11"/>
  <c r="CE117" i="11"/>
  <c r="CH116" i="11"/>
  <c r="CG116" i="11"/>
  <c r="CF116" i="11"/>
  <c r="CE116" i="11"/>
  <c r="CH115" i="11"/>
  <c r="CG115" i="11"/>
  <c r="CF115" i="11"/>
  <c r="CE115" i="11"/>
  <c r="CH114" i="11"/>
  <c r="CG114" i="11"/>
  <c r="CF114" i="11"/>
  <c r="CE114" i="11"/>
  <c r="CH113" i="11"/>
  <c r="CG113" i="11"/>
  <c r="CF113" i="11"/>
  <c r="CE113" i="11"/>
  <c r="CH112" i="11"/>
  <c r="CG112" i="11"/>
  <c r="CF112" i="11"/>
  <c r="CE112" i="11"/>
  <c r="CH111" i="11"/>
  <c r="CG111" i="11"/>
  <c r="CF111" i="11"/>
  <c r="CE111" i="11"/>
  <c r="CH110" i="11"/>
  <c r="CG110" i="11"/>
  <c r="CF110" i="11"/>
  <c r="CE110" i="11"/>
  <c r="CH109" i="11"/>
  <c r="CG109" i="11"/>
  <c r="CF109" i="11"/>
  <c r="CE109" i="11"/>
  <c r="CH108" i="11"/>
  <c r="CG108" i="11"/>
  <c r="CF108" i="11"/>
  <c r="CE108" i="11"/>
  <c r="CH107" i="11"/>
  <c r="CG107" i="11"/>
  <c r="CF107" i="11"/>
  <c r="CE107" i="11"/>
  <c r="CH106" i="11"/>
  <c r="CG106" i="11"/>
  <c r="CF106" i="11"/>
  <c r="CE106" i="11"/>
  <c r="CH105" i="11"/>
  <c r="CG105" i="11"/>
  <c r="CF105" i="11"/>
  <c r="CE105" i="11"/>
  <c r="CH104" i="11"/>
  <c r="CG104" i="11"/>
  <c r="CF104" i="11"/>
  <c r="CE104" i="11"/>
  <c r="CH103" i="11"/>
  <c r="CG103" i="11"/>
  <c r="CF103" i="11"/>
  <c r="CE103" i="11"/>
  <c r="CH102" i="11"/>
  <c r="CG102" i="11"/>
  <c r="CF102" i="11"/>
  <c r="CE102" i="11"/>
  <c r="CH101" i="11"/>
  <c r="CG101" i="11"/>
  <c r="CF101" i="11"/>
  <c r="CE101" i="11"/>
  <c r="CH100" i="11"/>
  <c r="CG100" i="11"/>
  <c r="CF100" i="11"/>
  <c r="CE100" i="11"/>
  <c r="CH99" i="11"/>
  <c r="CG99" i="11"/>
  <c r="CF99" i="11"/>
  <c r="CE99" i="11"/>
  <c r="CH98" i="11"/>
  <c r="CG98" i="11"/>
  <c r="CF98" i="11"/>
  <c r="CE98" i="11"/>
  <c r="CH97" i="11"/>
  <c r="CG97" i="11"/>
  <c r="CF97" i="11"/>
  <c r="CE97" i="11"/>
  <c r="CH96" i="11"/>
  <c r="CG96" i="11"/>
  <c r="CF96" i="11"/>
  <c r="CE96" i="11"/>
  <c r="CH95" i="11"/>
  <c r="CG95" i="11"/>
  <c r="CF95" i="11"/>
  <c r="CE95" i="11"/>
  <c r="CH94" i="11"/>
  <c r="CG94" i="11"/>
  <c r="CF94" i="11"/>
  <c r="CE94" i="11"/>
  <c r="CH93" i="11"/>
  <c r="CG93" i="11"/>
  <c r="CF93" i="11"/>
  <c r="CE93" i="11"/>
  <c r="CH92" i="11"/>
  <c r="CG92" i="11"/>
  <c r="CF92" i="11"/>
  <c r="CE92" i="11"/>
  <c r="CH91" i="11"/>
  <c r="CG91" i="11"/>
  <c r="CF91" i="11"/>
  <c r="CE91" i="11"/>
  <c r="CH90" i="11"/>
  <c r="CG90" i="11"/>
  <c r="CF90" i="11"/>
  <c r="CE90" i="11"/>
  <c r="CH89" i="11"/>
  <c r="CG89" i="11"/>
  <c r="CF89" i="11"/>
  <c r="CE89" i="11"/>
  <c r="CH88" i="11"/>
  <c r="CG88" i="11"/>
  <c r="CF88" i="11"/>
  <c r="CE88" i="11"/>
  <c r="CH87" i="11"/>
  <c r="CG87" i="11"/>
  <c r="CF87" i="11"/>
  <c r="CE87" i="11"/>
  <c r="CH86" i="11"/>
  <c r="CG86" i="11"/>
  <c r="CF86" i="11"/>
  <c r="CE86" i="11"/>
  <c r="CH85" i="11"/>
  <c r="CG85" i="11"/>
  <c r="CF85" i="11"/>
  <c r="CE85" i="11"/>
  <c r="CH84" i="11"/>
  <c r="CG84" i="11"/>
  <c r="CF84" i="11"/>
  <c r="CE84" i="11"/>
  <c r="CH83" i="11"/>
  <c r="CG83" i="11"/>
  <c r="CF83" i="11"/>
  <c r="CE83" i="11"/>
  <c r="CH82" i="11"/>
  <c r="CG82" i="11"/>
  <c r="CF82" i="11"/>
  <c r="CE82" i="11"/>
  <c r="CH81" i="11"/>
  <c r="CG81" i="11"/>
  <c r="CF81" i="11"/>
  <c r="CE81" i="11"/>
  <c r="CH80" i="11"/>
  <c r="CG80" i="11"/>
  <c r="CF80" i="11"/>
  <c r="CE80" i="11"/>
  <c r="CH79" i="11"/>
  <c r="CG79" i="11"/>
  <c r="CF79" i="11"/>
  <c r="CE79" i="11"/>
  <c r="CH78" i="11"/>
  <c r="CG78" i="11"/>
  <c r="CF78" i="11"/>
  <c r="CE78" i="11"/>
  <c r="CH77" i="11"/>
  <c r="CG77" i="11"/>
  <c r="CF77" i="11"/>
  <c r="CE77" i="11"/>
  <c r="CH76" i="11"/>
  <c r="CG76" i="11"/>
  <c r="CF76" i="11"/>
  <c r="CE76" i="11"/>
  <c r="CH75" i="11"/>
  <c r="CG75" i="11"/>
  <c r="CF75" i="11"/>
  <c r="CE75" i="11"/>
  <c r="CH74" i="11"/>
  <c r="CG74" i="11"/>
  <c r="CF74" i="11"/>
  <c r="CE74" i="11"/>
  <c r="CH73" i="11"/>
  <c r="CG73" i="11"/>
  <c r="CF73" i="11"/>
  <c r="CE73" i="11"/>
  <c r="CH72" i="11"/>
  <c r="CG72" i="11"/>
  <c r="CF72" i="11"/>
  <c r="CE72" i="11"/>
  <c r="CH71" i="11"/>
  <c r="CG71" i="11"/>
  <c r="CF71" i="11"/>
  <c r="CE71" i="11"/>
  <c r="CH70" i="11"/>
  <c r="CG70" i="11"/>
  <c r="CF70" i="11"/>
  <c r="CE70" i="11"/>
  <c r="CH69" i="11"/>
  <c r="CG69" i="11"/>
  <c r="CF69" i="11"/>
  <c r="CE69" i="11"/>
  <c r="CH68" i="11"/>
  <c r="CG68" i="11"/>
  <c r="CF68" i="11"/>
  <c r="CE68" i="11"/>
  <c r="CH67" i="11"/>
  <c r="CG67" i="11"/>
  <c r="CF67" i="11"/>
  <c r="CE67" i="11"/>
  <c r="CH66" i="11"/>
  <c r="CG66" i="11"/>
  <c r="CF66" i="11"/>
  <c r="CE66" i="11"/>
  <c r="CH65" i="11"/>
  <c r="CG65" i="11"/>
  <c r="CF65" i="11"/>
  <c r="CE65" i="11"/>
  <c r="CH64" i="11"/>
  <c r="CG64" i="11"/>
  <c r="CF64" i="11"/>
  <c r="CE64" i="11"/>
  <c r="CH63" i="11"/>
  <c r="CG63" i="11"/>
  <c r="CF63" i="11"/>
  <c r="CE63" i="11"/>
  <c r="CH62" i="11"/>
  <c r="CG62" i="11"/>
  <c r="CF62" i="11"/>
  <c r="CE62" i="11"/>
  <c r="CH61" i="11"/>
  <c r="CG61" i="11"/>
  <c r="CF61" i="11"/>
  <c r="CE61" i="11"/>
  <c r="CH60" i="11"/>
  <c r="CG60" i="11"/>
  <c r="CF60" i="11"/>
  <c r="CE60" i="11"/>
  <c r="CH59" i="11"/>
  <c r="CG59" i="11"/>
  <c r="CF59" i="11"/>
  <c r="CE59" i="11"/>
  <c r="CH58" i="11"/>
  <c r="CG58" i="11"/>
  <c r="CF58" i="11"/>
  <c r="CE58" i="11"/>
  <c r="CH57" i="11"/>
  <c r="CG57" i="11"/>
  <c r="CF57" i="11"/>
  <c r="CE57" i="11"/>
  <c r="CH56" i="11"/>
  <c r="CG56" i="11"/>
  <c r="CF56" i="11"/>
  <c r="CE56" i="11"/>
  <c r="CH55" i="11"/>
  <c r="CG55" i="11"/>
  <c r="CF55" i="11"/>
  <c r="CE55" i="11"/>
  <c r="CH54" i="11"/>
  <c r="CG54" i="11"/>
  <c r="CF54" i="11"/>
  <c r="CE54" i="11"/>
  <c r="CH53" i="11"/>
  <c r="CG53" i="11"/>
  <c r="CF53" i="11"/>
  <c r="CE53" i="11"/>
  <c r="CH52" i="11"/>
  <c r="CG52" i="11"/>
  <c r="CF52" i="11"/>
  <c r="CE52" i="11"/>
  <c r="CH51" i="11"/>
  <c r="CG51" i="11"/>
  <c r="CF51" i="11"/>
  <c r="CE51" i="11"/>
  <c r="CH50" i="11"/>
  <c r="CG50" i="11"/>
  <c r="CF50" i="11"/>
  <c r="CE50" i="11"/>
  <c r="CH49" i="11"/>
  <c r="CG49" i="11"/>
  <c r="CF49" i="11"/>
  <c r="CE49" i="11"/>
  <c r="CH48" i="11"/>
  <c r="CG48" i="11"/>
  <c r="CF48" i="11"/>
  <c r="CE48" i="11"/>
  <c r="CH47" i="11"/>
  <c r="CG47" i="11"/>
  <c r="CF47" i="11"/>
  <c r="CE47" i="11"/>
  <c r="CH46" i="11"/>
  <c r="CG46" i="11"/>
  <c r="CF46" i="11"/>
  <c r="CE46" i="11"/>
  <c r="CH45" i="11"/>
  <c r="CG45" i="11"/>
  <c r="CF45" i="11"/>
  <c r="CE45" i="11"/>
  <c r="CH44" i="11"/>
  <c r="CG44" i="11"/>
  <c r="CF44" i="11"/>
  <c r="CE44" i="11"/>
  <c r="CH43" i="11"/>
  <c r="CG43" i="11"/>
  <c r="CF43" i="11"/>
  <c r="CE43" i="11"/>
  <c r="CH42" i="11"/>
  <c r="CG42" i="11"/>
  <c r="CF42" i="11"/>
  <c r="CE42" i="11"/>
  <c r="CH41" i="11"/>
  <c r="CG41" i="11"/>
  <c r="CF41" i="11"/>
  <c r="CE41" i="11"/>
  <c r="CH40" i="11"/>
  <c r="CG40" i="11"/>
  <c r="CF40" i="11"/>
  <c r="CE40" i="11"/>
  <c r="CH39" i="11"/>
  <c r="CG39" i="11"/>
  <c r="CF39" i="11"/>
  <c r="CE39" i="11"/>
  <c r="CH38" i="11"/>
  <c r="CG38" i="11"/>
  <c r="CF38" i="11"/>
  <c r="CE38" i="11"/>
  <c r="CH37" i="11"/>
  <c r="CG37" i="11"/>
  <c r="CF37" i="11"/>
  <c r="CE37" i="11"/>
  <c r="CH36" i="11"/>
  <c r="CG36" i="11"/>
  <c r="CF36" i="11"/>
  <c r="CE36" i="11"/>
  <c r="CH35" i="11"/>
  <c r="CG35" i="11"/>
  <c r="CF35" i="11"/>
  <c r="CE35" i="11"/>
  <c r="CH34" i="11"/>
  <c r="CG34" i="11"/>
  <c r="CF34" i="11"/>
  <c r="CE34" i="11"/>
  <c r="CH33" i="11"/>
  <c r="CG33" i="11"/>
  <c r="CF33" i="11"/>
  <c r="CE33" i="11"/>
  <c r="CH32" i="11"/>
  <c r="CG32" i="11"/>
  <c r="CF32" i="11"/>
  <c r="CE32" i="11"/>
  <c r="CH31" i="11"/>
  <c r="CG31" i="11"/>
  <c r="CF31" i="11"/>
  <c r="CE31" i="11"/>
  <c r="CH30" i="11"/>
  <c r="CG30" i="11"/>
  <c r="CF30" i="11"/>
  <c r="CE30" i="11"/>
  <c r="CH29" i="11"/>
  <c r="CG29" i="11"/>
  <c r="CF29" i="11"/>
  <c r="CE29" i="11"/>
  <c r="CH28" i="11"/>
  <c r="CG28" i="11"/>
  <c r="CF28" i="11"/>
  <c r="CE28" i="11"/>
  <c r="CH27" i="11"/>
  <c r="CG27" i="11"/>
  <c r="CF27" i="11"/>
  <c r="CE27" i="11"/>
  <c r="CH26" i="11"/>
  <c r="CG26" i="11"/>
  <c r="CF26" i="11"/>
  <c r="CE26" i="11"/>
  <c r="CH25" i="11"/>
  <c r="CG25" i="11"/>
  <c r="CF25" i="11"/>
  <c r="CE25" i="11"/>
  <c r="CH24" i="11"/>
  <c r="CG24" i="11"/>
  <c r="CF24" i="11"/>
  <c r="CE24" i="11"/>
  <c r="CH23" i="11"/>
  <c r="CG23" i="11"/>
  <c r="CF23" i="11"/>
  <c r="CE23" i="11"/>
  <c r="CH22" i="11"/>
  <c r="CG22" i="11"/>
  <c r="CF22" i="11"/>
  <c r="CE22" i="11"/>
  <c r="CH21" i="11"/>
  <c r="CG21" i="11"/>
  <c r="CF21" i="11"/>
  <c r="CE21" i="11"/>
  <c r="CH20" i="11"/>
  <c r="CG20" i="11"/>
  <c r="CF20" i="11"/>
  <c r="CE20" i="11"/>
  <c r="CH19" i="11"/>
  <c r="CG19" i="11"/>
  <c r="CF19" i="11"/>
  <c r="CE19" i="11"/>
  <c r="CH18" i="11"/>
  <c r="CG18" i="11"/>
  <c r="CF18" i="11"/>
  <c r="CE18" i="11"/>
  <c r="CH17" i="11"/>
  <c r="CG17" i="11"/>
  <c r="CF17" i="11"/>
  <c r="CE17" i="11"/>
  <c r="CH16" i="11"/>
  <c r="CG16" i="11"/>
  <c r="CF16" i="11"/>
  <c r="CE16" i="11"/>
  <c r="CH15" i="11"/>
  <c r="CG15" i="11"/>
  <c r="CF15" i="11"/>
  <c r="CE15" i="11"/>
  <c r="CH14" i="11"/>
  <c r="CG14" i="11"/>
  <c r="CF14" i="11"/>
  <c r="CE14" i="11"/>
  <c r="CH13" i="11"/>
  <c r="CG13" i="11"/>
  <c r="CF13" i="11"/>
  <c r="CE13" i="11"/>
  <c r="CH12" i="11"/>
  <c r="CG12" i="11"/>
  <c r="CF12" i="11"/>
  <c r="CE12" i="11"/>
  <c r="CH11" i="11"/>
  <c r="CG11" i="11"/>
  <c r="CF11" i="11"/>
  <c r="CE11" i="11"/>
  <c r="CH10" i="11"/>
  <c r="CG10" i="11"/>
  <c r="CF10" i="11"/>
  <c r="CE10" i="11"/>
  <c r="CH9" i="11"/>
  <c r="CG9" i="11"/>
  <c r="CF9" i="11"/>
  <c r="CE9" i="11"/>
  <c r="CH8" i="11"/>
  <c r="CG8" i="11"/>
  <c r="CF8" i="11"/>
  <c r="CE8" i="11"/>
  <c r="CH7" i="11"/>
  <c r="CG7" i="11"/>
  <c r="CF7" i="11"/>
  <c r="CE7" i="11"/>
  <c r="CH6" i="11"/>
  <c r="CG6" i="11"/>
  <c r="CF6" i="11"/>
  <c r="CE6" i="11"/>
  <c r="CH5" i="11"/>
  <c r="CG5" i="11"/>
  <c r="CF5" i="11"/>
  <c r="CE5" i="11"/>
  <c r="CH4" i="11"/>
  <c r="CG4" i="11"/>
  <c r="CF4" i="11"/>
  <c r="CE4" i="11"/>
  <c r="CH3" i="11"/>
  <c r="CG3" i="11"/>
  <c r="CF3" i="11"/>
  <c r="CE3" i="11"/>
  <c r="A19" i="2"/>
  <c r="B66" i="6" l="1"/>
  <c r="D119" i="6"/>
  <c r="D118" i="6"/>
  <c r="D117" i="6"/>
  <c r="D116" i="6"/>
  <c r="D17" i="6"/>
  <c r="B17" i="6"/>
  <c r="E3" i="8"/>
  <c r="E89" i="4"/>
  <c r="E90" i="4"/>
  <c r="E91" i="4"/>
  <c r="E92" i="4"/>
  <c r="E93" i="4"/>
  <c r="E94" i="4"/>
  <c r="E83" i="4"/>
  <c r="E84" i="4"/>
  <c r="E85" i="4"/>
  <c r="E86" i="4"/>
  <c r="E87" i="4"/>
  <c r="E88" i="4"/>
  <c r="A22" i="4"/>
  <c r="AF135" i="1"/>
  <c r="AE135" i="1"/>
  <c r="DV20" i="8"/>
  <c r="DV19" i="8"/>
  <c r="DV18" i="8"/>
  <c r="DV17" i="8"/>
  <c r="CW135" i="5"/>
  <c r="CW134" i="5"/>
  <c r="CW133" i="5"/>
  <c r="CW132" i="5"/>
  <c r="CW131" i="5"/>
  <c r="CW130" i="5"/>
  <c r="CW129" i="5"/>
  <c r="CW128" i="5"/>
  <c r="CW127" i="5"/>
  <c r="CW126" i="5"/>
  <c r="CW125" i="5"/>
  <c r="CW124" i="5"/>
  <c r="CW123" i="5"/>
  <c r="CW122" i="5"/>
  <c r="CW121" i="5"/>
  <c r="CW120" i="5"/>
  <c r="CW119" i="5"/>
  <c r="CW118" i="5"/>
  <c r="CW117" i="5"/>
  <c r="CW116" i="5"/>
  <c r="CW115" i="5"/>
  <c r="CW114" i="5"/>
  <c r="CW113" i="5"/>
  <c r="CW112" i="5"/>
  <c r="CW111" i="5"/>
  <c r="CW110" i="5"/>
  <c r="CW109" i="5"/>
  <c r="CW108" i="5"/>
  <c r="CW107" i="5"/>
  <c r="CW106" i="5"/>
  <c r="CW105" i="5"/>
  <c r="CW104" i="5"/>
  <c r="CW103" i="5"/>
  <c r="CW102" i="5"/>
  <c r="CW101" i="5"/>
  <c r="CW100" i="5"/>
  <c r="CW99" i="5"/>
  <c r="CW98" i="5"/>
  <c r="CW97" i="5"/>
  <c r="CW96" i="5"/>
  <c r="CW95" i="5"/>
  <c r="CW94" i="5"/>
  <c r="CW93" i="5"/>
  <c r="CW92" i="5"/>
  <c r="CW91" i="5"/>
  <c r="CW90" i="5"/>
  <c r="CW89" i="5"/>
  <c r="CW88" i="5"/>
  <c r="CW87" i="5"/>
  <c r="CW86" i="5"/>
  <c r="CW85" i="5"/>
  <c r="CW84" i="5"/>
  <c r="CW83" i="5"/>
  <c r="CW82" i="5"/>
  <c r="CW81" i="5"/>
  <c r="CW80" i="5"/>
  <c r="CW79" i="5"/>
  <c r="CW78" i="5"/>
  <c r="CW77" i="5"/>
  <c r="CW76" i="5"/>
  <c r="CW75" i="5"/>
  <c r="CW74" i="5"/>
  <c r="CW73" i="5"/>
  <c r="CW72" i="5"/>
  <c r="CW71" i="5"/>
  <c r="CW70" i="5"/>
  <c r="CW69" i="5"/>
  <c r="CW68" i="5"/>
  <c r="CW67" i="5"/>
  <c r="CW66" i="5"/>
  <c r="CW65" i="5"/>
  <c r="CW64" i="5"/>
  <c r="CW63" i="5"/>
  <c r="CW62" i="5"/>
  <c r="CW61" i="5"/>
  <c r="CW60" i="5"/>
  <c r="CW59" i="5"/>
  <c r="CW58" i="5"/>
  <c r="CW57" i="5"/>
  <c r="CW56" i="5"/>
  <c r="CW55" i="5"/>
  <c r="CW54" i="5"/>
  <c r="CW53" i="5"/>
  <c r="CW52" i="5"/>
  <c r="CW51" i="5"/>
  <c r="CW50" i="5"/>
  <c r="CW49" i="5"/>
  <c r="CW48" i="5"/>
  <c r="CW47" i="5"/>
  <c r="CW46"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6" i="5"/>
  <c r="CW15" i="5"/>
  <c r="CW14" i="5"/>
  <c r="CW13" i="5"/>
  <c r="CW12" i="5"/>
  <c r="CW11" i="5"/>
  <c r="CW10" i="5"/>
  <c r="CW9" i="5"/>
  <c r="CW8" i="5"/>
  <c r="CW7" i="5"/>
  <c r="CW6" i="5"/>
  <c r="CW5" i="5"/>
  <c r="CW4" i="5"/>
  <c r="CW3" i="5"/>
  <c r="AV3" i="11"/>
  <c r="BB3" i="9"/>
  <c r="BB4" i="9" s="1"/>
  <c r="BB5" i="9" s="1"/>
  <c r="BB6" i="9" s="1"/>
  <c r="BB7" i="9" s="1"/>
  <c r="BB8" i="9" s="1"/>
  <c r="BB9" i="9" s="1"/>
  <c r="BB10" i="9" s="1"/>
  <c r="BB11" i="9" s="1"/>
  <c r="BB12" i="9" s="1"/>
  <c r="BB13" i="9" s="1"/>
  <c r="BB14" i="9" s="1"/>
  <c r="BB15" i="9" s="1"/>
  <c r="BB16" i="9" s="1"/>
  <c r="BB17" i="9" s="1"/>
  <c r="BB18" i="9" s="1"/>
  <c r="BB19" i="9" s="1"/>
  <c r="BB20" i="9" s="1"/>
  <c r="BB21" i="9" s="1"/>
  <c r="BB22" i="9" s="1"/>
  <c r="BB23" i="9" s="1"/>
  <c r="BB24" i="9" s="1"/>
  <c r="BB25" i="9" s="1"/>
  <c r="BB26" i="9" s="1"/>
  <c r="BB27" i="9" s="1"/>
  <c r="BB28" i="9" s="1"/>
  <c r="BB29" i="9" s="1"/>
  <c r="BB30" i="9" s="1"/>
  <c r="BB31" i="9" s="1"/>
  <c r="BB32" i="9" s="1"/>
  <c r="BB33" i="9" s="1"/>
  <c r="BB34" i="9" s="1"/>
  <c r="BB35" i="9" s="1"/>
  <c r="BB36" i="9" s="1"/>
  <c r="BB37" i="9" s="1"/>
  <c r="BB38" i="9" s="1"/>
  <c r="BB39" i="9" s="1"/>
  <c r="BB40" i="9" s="1"/>
  <c r="BB41" i="9" s="1"/>
  <c r="BB42" i="9" s="1"/>
  <c r="BB43" i="9" s="1"/>
  <c r="BB44" i="9" s="1"/>
  <c r="BB45" i="9" s="1"/>
  <c r="BB46" i="9" s="1"/>
  <c r="BB47" i="9" s="1"/>
  <c r="BB48" i="9" s="1"/>
  <c r="BB49" i="9" s="1"/>
  <c r="BB50" i="9" s="1"/>
  <c r="BB51" i="9" s="1"/>
  <c r="BB52" i="9" s="1"/>
  <c r="BB53" i="9" s="1"/>
  <c r="BB54" i="9" s="1"/>
  <c r="BB55" i="9" s="1"/>
  <c r="BB56" i="9" s="1"/>
  <c r="BB57" i="9" s="1"/>
  <c r="BB58" i="9" s="1"/>
  <c r="BB59" i="9" s="1"/>
  <c r="BB60" i="9" s="1"/>
  <c r="BB61" i="9" s="1"/>
  <c r="BB62" i="9" s="1"/>
  <c r="BB63" i="9" s="1"/>
  <c r="BB64" i="9" s="1"/>
  <c r="BB65" i="9" s="1"/>
  <c r="BB66" i="9" s="1"/>
  <c r="BB67" i="9" s="1"/>
  <c r="BB68" i="9" s="1"/>
  <c r="BB69" i="9" s="1"/>
  <c r="BB70" i="9" s="1"/>
  <c r="BB71" i="9" s="1"/>
  <c r="BB72" i="9" s="1"/>
  <c r="BB73" i="9" s="1"/>
  <c r="BB74" i="9" s="1"/>
  <c r="BB75" i="9" s="1"/>
  <c r="BB76" i="9" s="1"/>
  <c r="BB77" i="9" s="1"/>
  <c r="BB78" i="9" s="1"/>
  <c r="BB79" i="9" s="1"/>
  <c r="BB80" i="9" s="1"/>
  <c r="BB81" i="9" s="1"/>
  <c r="BB82" i="9" s="1"/>
  <c r="BB83" i="9" s="1"/>
  <c r="BB84" i="9" s="1"/>
  <c r="BB85" i="9" s="1"/>
  <c r="BB86" i="9" s="1"/>
  <c r="BB87" i="9" s="1"/>
  <c r="BB88" i="9" s="1"/>
  <c r="BB89" i="9" s="1"/>
  <c r="BB90" i="9" s="1"/>
  <c r="BB91" i="9" s="1"/>
  <c r="BB92" i="9" s="1"/>
  <c r="BB93" i="9" s="1"/>
  <c r="BB94" i="9" s="1"/>
  <c r="BB95" i="9" s="1"/>
  <c r="BB96" i="9" s="1"/>
  <c r="BB97" i="9" s="1"/>
  <c r="BB98" i="9" s="1"/>
  <c r="BB99" i="9" s="1"/>
  <c r="BB100" i="9" s="1"/>
  <c r="BB101" i="9" s="1"/>
  <c r="BB102" i="9" s="1"/>
  <c r="BB103" i="9" s="1"/>
  <c r="BB104" i="9" s="1"/>
  <c r="BB105" i="9" s="1"/>
  <c r="BB106" i="9" s="1"/>
  <c r="BB107" i="9" s="1"/>
  <c r="BB108" i="9" s="1"/>
  <c r="BB109" i="9" s="1"/>
  <c r="BB110" i="9" s="1"/>
  <c r="BB111" i="9" s="1"/>
  <c r="BB112" i="9" s="1"/>
  <c r="BB113" i="9" s="1"/>
  <c r="BB114" i="9" s="1"/>
  <c r="BB115" i="9" s="1"/>
  <c r="BB116" i="9" s="1"/>
  <c r="BB117" i="9" s="1"/>
  <c r="BB118" i="9" s="1"/>
  <c r="BB119" i="9" s="1"/>
  <c r="BB120" i="9" s="1"/>
  <c r="BB121" i="9" s="1"/>
  <c r="BB122" i="9" s="1"/>
  <c r="BB123" i="9" s="1"/>
  <c r="BB124" i="9" s="1"/>
  <c r="BB125" i="9" s="1"/>
  <c r="BB126" i="9" s="1"/>
  <c r="BB127" i="9" s="1"/>
  <c r="BB128" i="9" s="1"/>
  <c r="BB129" i="9" s="1"/>
  <c r="BB130" i="9" s="1"/>
  <c r="BB131" i="9" s="1"/>
  <c r="BB132" i="9" s="1"/>
  <c r="BB133" i="9" s="1"/>
  <c r="BB134" i="9" s="1"/>
  <c r="BB135" i="9" s="1"/>
  <c r="BA3" i="9"/>
  <c r="BA4" i="9" s="1"/>
  <c r="BA5" i="9" s="1"/>
  <c r="BA6" i="9" s="1"/>
  <c r="BA7" i="9" s="1"/>
  <c r="BA8" i="9" s="1"/>
  <c r="BA9" i="9" s="1"/>
  <c r="BA10" i="9" s="1"/>
  <c r="BA11" i="9" s="1"/>
  <c r="BA12" i="9" s="1"/>
  <c r="BA13" i="9" s="1"/>
  <c r="BA14" i="9" s="1"/>
  <c r="BA15" i="9" s="1"/>
  <c r="BA16" i="9" s="1"/>
  <c r="BA17" i="9" s="1"/>
  <c r="BA18" i="9" s="1"/>
  <c r="BA19" i="9" s="1"/>
  <c r="BA20" i="9" s="1"/>
  <c r="BA21" i="9" s="1"/>
  <c r="BA22" i="9" s="1"/>
  <c r="BA23" i="9" s="1"/>
  <c r="BA24" i="9" s="1"/>
  <c r="BA25" i="9" s="1"/>
  <c r="BA26" i="9" s="1"/>
  <c r="BA27" i="9" s="1"/>
  <c r="BA28" i="9" s="1"/>
  <c r="BA29" i="9" s="1"/>
  <c r="BA30" i="9" s="1"/>
  <c r="BA31" i="9" s="1"/>
  <c r="BA32" i="9" s="1"/>
  <c r="BA33" i="9" s="1"/>
  <c r="BA34" i="9" s="1"/>
  <c r="BA35" i="9" s="1"/>
  <c r="BA36" i="9" s="1"/>
  <c r="BA37" i="9" s="1"/>
  <c r="BA38" i="9" s="1"/>
  <c r="BA39" i="9" s="1"/>
  <c r="BA40" i="9" s="1"/>
  <c r="BA41" i="9" s="1"/>
  <c r="BA42" i="9" s="1"/>
  <c r="BA43" i="9" s="1"/>
  <c r="BA44" i="9" s="1"/>
  <c r="BA45" i="9" s="1"/>
  <c r="BA46" i="9" s="1"/>
  <c r="BA47" i="9" s="1"/>
  <c r="BA48" i="9" s="1"/>
  <c r="BA49" i="9" s="1"/>
  <c r="BA50" i="9" s="1"/>
  <c r="BA51" i="9" s="1"/>
  <c r="BA52" i="9" s="1"/>
  <c r="BA53" i="9" s="1"/>
  <c r="BA54" i="9" s="1"/>
  <c r="BA55" i="9" s="1"/>
  <c r="BA56" i="9" s="1"/>
  <c r="BA57" i="9" s="1"/>
  <c r="BA58" i="9" s="1"/>
  <c r="BA59" i="9" s="1"/>
  <c r="BA60" i="9" s="1"/>
  <c r="BA61" i="9" s="1"/>
  <c r="BA62" i="9" s="1"/>
  <c r="BA63" i="9" s="1"/>
  <c r="BA64" i="9" s="1"/>
  <c r="BA65" i="9" s="1"/>
  <c r="BA66" i="9" s="1"/>
  <c r="BA67" i="9" s="1"/>
  <c r="BA68" i="9" s="1"/>
  <c r="BA69" i="9" s="1"/>
  <c r="BA70" i="9" s="1"/>
  <c r="BA71" i="9" s="1"/>
  <c r="BA72" i="9" s="1"/>
  <c r="BA73" i="9" s="1"/>
  <c r="BA74" i="9" s="1"/>
  <c r="BA75" i="9" s="1"/>
  <c r="BA76" i="9" s="1"/>
  <c r="BA77" i="9" s="1"/>
  <c r="BA78" i="9" s="1"/>
  <c r="BA79" i="9" s="1"/>
  <c r="BA80" i="9" s="1"/>
  <c r="BA81" i="9" s="1"/>
  <c r="BA82" i="9" s="1"/>
  <c r="BA83" i="9" s="1"/>
  <c r="BA84" i="9" s="1"/>
  <c r="BA85" i="9" s="1"/>
  <c r="BA86" i="9" s="1"/>
  <c r="BA87" i="9" s="1"/>
  <c r="BA88" i="9" s="1"/>
  <c r="BA89" i="9" s="1"/>
  <c r="BA90" i="9" s="1"/>
  <c r="BA91" i="9" s="1"/>
  <c r="BA92" i="9" s="1"/>
  <c r="BA93" i="9" s="1"/>
  <c r="BA94" i="9" s="1"/>
  <c r="BA95" i="9" s="1"/>
  <c r="BA96" i="9" s="1"/>
  <c r="BA97" i="9" s="1"/>
  <c r="BA98" i="9" s="1"/>
  <c r="BA99" i="9" s="1"/>
  <c r="BA100" i="9" s="1"/>
  <c r="BA101" i="9" s="1"/>
  <c r="BA102" i="9" s="1"/>
  <c r="BA103" i="9" s="1"/>
  <c r="BA104" i="9" s="1"/>
  <c r="BA105" i="9" s="1"/>
  <c r="BA106" i="9" s="1"/>
  <c r="BA107" i="9" s="1"/>
  <c r="BA108" i="9" s="1"/>
  <c r="BA109" i="9" s="1"/>
  <c r="BA110" i="9" s="1"/>
  <c r="BA111" i="9" s="1"/>
  <c r="BA112" i="9" s="1"/>
  <c r="BA113" i="9" s="1"/>
  <c r="BA114" i="9" s="1"/>
  <c r="BA115" i="9" s="1"/>
  <c r="BA116" i="9" s="1"/>
  <c r="BA117" i="9" s="1"/>
  <c r="BA118" i="9" s="1"/>
  <c r="BA119" i="9" s="1"/>
  <c r="BA120" i="9" s="1"/>
  <c r="BA121" i="9" s="1"/>
  <c r="BA122" i="9" s="1"/>
  <c r="BA123" i="9" s="1"/>
  <c r="BA124" i="9" s="1"/>
  <c r="BA125" i="9" s="1"/>
  <c r="BA126" i="9" s="1"/>
  <c r="BA127" i="9" s="1"/>
  <c r="BA128" i="9" s="1"/>
  <c r="BA129" i="9" s="1"/>
  <c r="BA130" i="9" s="1"/>
  <c r="BA131" i="9" s="1"/>
  <c r="BA132" i="9" s="1"/>
  <c r="BA133" i="9" s="1"/>
  <c r="BA134" i="9" s="1"/>
  <c r="BA135" i="9" s="1"/>
  <c r="AZ3" i="9"/>
  <c r="AZ4" i="9" s="1"/>
  <c r="AZ5" i="9" s="1"/>
  <c r="AZ6" i="9" s="1"/>
  <c r="AZ7" i="9" s="1"/>
  <c r="AZ8" i="9" s="1"/>
  <c r="AZ9" i="9" s="1"/>
  <c r="AZ10" i="9" s="1"/>
  <c r="AZ11" i="9" s="1"/>
  <c r="AZ12" i="9" s="1"/>
  <c r="AZ13" i="9" s="1"/>
  <c r="AZ14" i="9" s="1"/>
  <c r="AZ15" i="9" s="1"/>
  <c r="AZ16" i="9" s="1"/>
  <c r="AZ17" i="9" s="1"/>
  <c r="AZ18" i="9" s="1"/>
  <c r="AZ19" i="9" s="1"/>
  <c r="AZ20" i="9" s="1"/>
  <c r="AZ21" i="9" s="1"/>
  <c r="AZ22" i="9" s="1"/>
  <c r="AZ23" i="9" s="1"/>
  <c r="AZ24" i="9" s="1"/>
  <c r="AZ25" i="9" s="1"/>
  <c r="AZ26" i="9" s="1"/>
  <c r="AZ27" i="9" s="1"/>
  <c r="AZ28" i="9" s="1"/>
  <c r="AZ29" i="9" s="1"/>
  <c r="AZ30" i="9" s="1"/>
  <c r="AZ31" i="9" s="1"/>
  <c r="AZ32" i="9" s="1"/>
  <c r="AZ33" i="9" s="1"/>
  <c r="AZ34" i="9" s="1"/>
  <c r="AZ35" i="9" s="1"/>
  <c r="AZ36" i="9" s="1"/>
  <c r="AZ37" i="9" s="1"/>
  <c r="AZ38" i="9" s="1"/>
  <c r="AZ39" i="9" s="1"/>
  <c r="AZ40" i="9" s="1"/>
  <c r="AZ41" i="9" s="1"/>
  <c r="AZ42" i="9" s="1"/>
  <c r="AZ43" i="9" s="1"/>
  <c r="AZ44" i="9" s="1"/>
  <c r="AZ45" i="9" s="1"/>
  <c r="AZ46" i="9" s="1"/>
  <c r="AZ47" i="9" s="1"/>
  <c r="AZ48" i="9" s="1"/>
  <c r="AZ49" i="9" s="1"/>
  <c r="AZ50" i="9" s="1"/>
  <c r="AZ51" i="9" s="1"/>
  <c r="AZ52" i="9" s="1"/>
  <c r="AZ53" i="9" s="1"/>
  <c r="AZ54" i="9" s="1"/>
  <c r="AZ55" i="9" s="1"/>
  <c r="AZ56" i="9" s="1"/>
  <c r="AZ57" i="9" s="1"/>
  <c r="AZ58" i="9" s="1"/>
  <c r="AZ59" i="9" s="1"/>
  <c r="AZ60" i="9" s="1"/>
  <c r="AZ61" i="9" s="1"/>
  <c r="AZ62" i="9" s="1"/>
  <c r="AZ63" i="9" s="1"/>
  <c r="AZ64" i="9" s="1"/>
  <c r="AZ65" i="9" s="1"/>
  <c r="AZ66" i="9" s="1"/>
  <c r="AZ67" i="9" s="1"/>
  <c r="AZ68" i="9" s="1"/>
  <c r="AZ69" i="9" s="1"/>
  <c r="AZ70" i="9" s="1"/>
  <c r="AZ71" i="9" s="1"/>
  <c r="AZ72" i="9" s="1"/>
  <c r="AZ73" i="9" s="1"/>
  <c r="AZ74" i="9" s="1"/>
  <c r="AZ75" i="9" s="1"/>
  <c r="AZ76" i="9" s="1"/>
  <c r="AZ77" i="9" s="1"/>
  <c r="AZ78" i="9" s="1"/>
  <c r="AZ79" i="9" s="1"/>
  <c r="AZ80" i="9" s="1"/>
  <c r="AZ81" i="9" s="1"/>
  <c r="AZ82" i="9" s="1"/>
  <c r="AZ83" i="9" s="1"/>
  <c r="AZ84" i="9" s="1"/>
  <c r="AZ85" i="9" s="1"/>
  <c r="AZ86" i="9" s="1"/>
  <c r="AZ87" i="9" s="1"/>
  <c r="AZ88" i="9" s="1"/>
  <c r="AZ89" i="9" s="1"/>
  <c r="AZ90" i="9" s="1"/>
  <c r="AZ91" i="9" s="1"/>
  <c r="AZ92" i="9" s="1"/>
  <c r="AZ93" i="9" s="1"/>
  <c r="AZ94" i="9" s="1"/>
  <c r="AZ95" i="9" s="1"/>
  <c r="AZ96" i="9" s="1"/>
  <c r="AZ97" i="9" s="1"/>
  <c r="AZ98" i="9" s="1"/>
  <c r="AZ99" i="9" s="1"/>
  <c r="AZ100" i="9" s="1"/>
  <c r="AZ101" i="9" s="1"/>
  <c r="AZ102" i="9" s="1"/>
  <c r="AZ103" i="9" s="1"/>
  <c r="AZ104" i="9" s="1"/>
  <c r="AZ105" i="9" s="1"/>
  <c r="AZ106" i="9" s="1"/>
  <c r="AZ107" i="9" s="1"/>
  <c r="AZ108" i="9" s="1"/>
  <c r="AZ109" i="9" s="1"/>
  <c r="AZ110" i="9" s="1"/>
  <c r="AZ111" i="9" s="1"/>
  <c r="AZ112" i="9" s="1"/>
  <c r="AZ113" i="9" s="1"/>
  <c r="AZ114" i="9" s="1"/>
  <c r="AZ115" i="9" s="1"/>
  <c r="AZ116" i="9" s="1"/>
  <c r="AZ117" i="9" s="1"/>
  <c r="AZ118" i="9" s="1"/>
  <c r="AZ119" i="9" s="1"/>
  <c r="AZ120" i="9" s="1"/>
  <c r="AZ121" i="9" s="1"/>
  <c r="AZ122" i="9" s="1"/>
  <c r="AZ123" i="9" s="1"/>
  <c r="AZ124" i="9" s="1"/>
  <c r="AZ125" i="9" s="1"/>
  <c r="AZ126" i="9" s="1"/>
  <c r="AZ127" i="9" s="1"/>
  <c r="AZ128" i="9" s="1"/>
  <c r="AZ129" i="9" s="1"/>
  <c r="AZ130" i="9" s="1"/>
  <c r="AZ131" i="9" s="1"/>
  <c r="AZ132" i="9" s="1"/>
  <c r="AZ133" i="9" s="1"/>
  <c r="AZ134" i="9" s="1"/>
  <c r="AZ135" i="9" s="1"/>
  <c r="AY3" i="9"/>
  <c r="AY4" i="9" s="1"/>
  <c r="AY5" i="9" s="1"/>
  <c r="AY6" i="9" s="1"/>
  <c r="AY7" i="9" s="1"/>
  <c r="AY8" i="9" s="1"/>
  <c r="AY9" i="9" s="1"/>
  <c r="AY10" i="9" s="1"/>
  <c r="AY11" i="9" s="1"/>
  <c r="AY12" i="9" s="1"/>
  <c r="AY13" i="9" s="1"/>
  <c r="AY14" i="9" s="1"/>
  <c r="AY15" i="9" s="1"/>
  <c r="AY16" i="9" s="1"/>
  <c r="AY17" i="9" s="1"/>
  <c r="AY18" i="9" s="1"/>
  <c r="AY19" i="9" s="1"/>
  <c r="AY20" i="9" s="1"/>
  <c r="AY21" i="9" s="1"/>
  <c r="AY22" i="9" s="1"/>
  <c r="AY23" i="9" s="1"/>
  <c r="AY24" i="9" s="1"/>
  <c r="AY25" i="9" s="1"/>
  <c r="AY26" i="9" s="1"/>
  <c r="AY27" i="9" s="1"/>
  <c r="AY28" i="9" s="1"/>
  <c r="AY29" i="9" s="1"/>
  <c r="AY30" i="9" s="1"/>
  <c r="AY31" i="9" s="1"/>
  <c r="AY32" i="9" s="1"/>
  <c r="AY33" i="9" s="1"/>
  <c r="AY34" i="9" s="1"/>
  <c r="AY35" i="9" s="1"/>
  <c r="AY36" i="9" s="1"/>
  <c r="AY37" i="9" s="1"/>
  <c r="AY38" i="9" s="1"/>
  <c r="AY39" i="9" s="1"/>
  <c r="AY40" i="9" s="1"/>
  <c r="AY41" i="9" s="1"/>
  <c r="AY42" i="9" s="1"/>
  <c r="AY43" i="9" s="1"/>
  <c r="AY44" i="9" s="1"/>
  <c r="AY45" i="9" s="1"/>
  <c r="AY46" i="9" s="1"/>
  <c r="AY47" i="9" s="1"/>
  <c r="AY48" i="9" s="1"/>
  <c r="AY49" i="9" s="1"/>
  <c r="AY50" i="9" s="1"/>
  <c r="AY51" i="9" s="1"/>
  <c r="AY52" i="9" s="1"/>
  <c r="AY53" i="9" s="1"/>
  <c r="AY54" i="9" s="1"/>
  <c r="AY55" i="9" s="1"/>
  <c r="AY56" i="9" s="1"/>
  <c r="AY57" i="9" s="1"/>
  <c r="AY58" i="9" s="1"/>
  <c r="AY59" i="9" s="1"/>
  <c r="AY60" i="9" s="1"/>
  <c r="AY61" i="9" s="1"/>
  <c r="AY62" i="9" s="1"/>
  <c r="AY63" i="9" s="1"/>
  <c r="AY64" i="9" s="1"/>
  <c r="AY65" i="9" s="1"/>
  <c r="AY66" i="9" s="1"/>
  <c r="AY67" i="9" s="1"/>
  <c r="AY68" i="9" s="1"/>
  <c r="AY69" i="9" s="1"/>
  <c r="AY70" i="9" s="1"/>
  <c r="AY71" i="9" s="1"/>
  <c r="AY72" i="9" s="1"/>
  <c r="AY73" i="9" s="1"/>
  <c r="AY74" i="9" s="1"/>
  <c r="AY75" i="9" s="1"/>
  <c r="AY76" i="9" s="1"/>
  <c r="AY77" i="9" s="1"/>
  <c r="AY78" i="9" s="1"/>
  <c r="AY79" i="9" s="1"/>
  <c r="AY80" i="9" s="1"/>
  <c r="AY81" i="9" s="1"/>
  <c r="AY82" i="9" s="1"/>
  <c r="AY83" i="9" s="1"/>
  <c r="AY84" i="9" s="1"/>
  <c r="AY85" i="9" s="1"/>
  <c r="AY86" i="9" s="1"/>
  <c r="AY87" i="9" s="1"/>
  <c r="AY88" i="9" s="1"/>
  <c r="AY89" i="9" s="1"/>
  <c r="AY90" i="9" s="1"/>
  <c r="AY91" i="9" s="1"/>
  <c r="AY92" i="9" s="1"/>
  <c r="AY93" i="9" s="1"/>
  <c r="AY94" i="9" s="1"/>
  <c r="AY95" i="9" s="1"/>
  <c r="AY96" i="9" s="1"/>
  <c r="AY97" i="9" s="1"/>
  <c r="AY98" i="9" s="1"/>
  <c r="AY99" i="9" s="1"/>
  <c r="AY100" i="9" s="1"/>
  <c r="AY101" i="9" s="1"/>
  <c r="AY102" i="9" s="1"/>
  <c r="AY103" i="9" s="1"/>
  <c r="AY104" i="9" s="1"/>
  <c r="AY105" i="9" s="1"/>
  <c r="AY106" i="9" s="1"/>
  <c r="AY107" i="9" s="1"/>
  <c r="AY108" i="9" s="1"/>
  <c r="AY109" i="9" s="1"/>
  <c r="AY110" i="9" s="1"/>
  <c r="AY111" i="9" s="1"/>
  <c r="AY112" i="9" s="1"/>
  <c r="AY113" i="9" s="1"/>
  <c r="AY114" i="9" s="1"/>
  <c r="AY115" i="9" s="1"/>
  <c r="AY116" i="9" s="1"/>
  <c r="AY117" i="9" s="1"/>
  <c r="AY118" i="9" s="1"/>
  <c r="AY119" i="9" s="1"/>
  <c r="AY120" i="9" s="1"/>
  <c r="AY121" i="9" s="1"/>
  <c r="AY122" i="9" s="1"/>
  <c r="AY123" i="9" s="1"/>
  <c r="AY124" i="9" s="1"/>
  <c r="AY125" i="9" s="1"/>
  <c r="AY126" i="9" s="1"/>
  <c r="AY127" i="9" s="1"/>
  <c r="AY128" i="9" s="1"/>
  <c r="AY129" i="9" s="1"/>
  <c r="AY130" i="9" s="1"/>
  <c r="AY131" i="9" s="1"/>
  <c r="AY132" i="9" s="1"/>
  <c r="AY133" i="9" s="1"/>
  <c r="AY134" i="9" s="1"/>
  <c r="AY135" i="9" s="1"/>
  <c r="AX3" i="9"/>
  <c r="AX4" i="9" s="1"/>
  <c r="AX5" i="9" s="1"/>
  <c r="AX6" i="9" s="1"/>
  <c r="AX7" i="9" s="1"/>
  <c r="AX8" i="9" s="1"/>
  <c r="AX9" i="9" s="1"/>
  <c r="AX10" i="9" s="1"/>
  <c r="AX11" i="9" s="1"/>
  <c r="AX12" i="9" s="1"/>
  <c r="AX13" i="9" s="1"/>
  <c r="AX14" i="9" s="1"/>
  <c r="AX15" i="9" s="1"/>
  <c r="AX16" i="9" s="1"/>
  <c r="AX17" i="9" s="1"/>
  <c r="AX18" i="9" s="1"/>
  <c r="AX19" i="9" s="1"/>
  <c r="AX20" i="9" s="1"/>
  <c r="AX21" i="9" s="1"/>
  <c r="AX22" i="9" s="1"/>
  <c r="AX23" i="9" s="1"/>
  <c r="AX24" i="9" s="1"/>
  <c r="AX25" i="9" s="1"/>
  <c r="AX26" i="9" s="1"/>
  <c r="AX27" i="9" s="1"/>
  <c r="AX28" i="9" s="1"/>
  <c r="AX29" i="9" s="1"/>
  <c r="AX30" i="9" s="1"/>
  <c r="AX31" i="9" s="1"/>
  <c r="AX32" i="9" s="1"/>
  <c r="AX33" i="9" s="1"/>
  <c r="AX34" i="9" s="1"/>
  <c r="AX35" i="9" s="1"/>
  <c r="AX36" i="9" s="1"/>
  <c r="AX37" i="9" s="1"/>
  <c r="AX38" i="9" s="1"/>
  <c r="AX39" i="9" s="1"/>
  <c r="AX40" i="9" s="1"/>
  <c r="AX41" i="9" s="1"/>
  <c r="AX42" i="9" s="1"/>
  <c r="AX43" i="9" s="1"/>
  <c r="AX44" i="9" s="1"/>
  <c r="AX45" i="9" s="1"/>
  <c r="AX46" i="9" s="1"/>
  <c r="AX47" i="9" s="1"/>
  <c r="AX48" i="9" s="1"/>
  <c r="AX49" i="9" s="1"/>
  <c r="AX50" i="9" s="1"/>
  <c r="AX51" i="9" s="1"/>
  <c r="AX52" i="9" s="1"/>
  <c r="AX53" i="9" s="1"/>
  <c r="AX54" i="9" s="1"/>
  <c r="AX55" i="9" s="1"/>
  <c r="AX56" i="9" s="1"/>
  <c r="AX57" i="9" s="1"/>
  <c r="AX58" i="9" s="1"/>
  <c r="AX59" i="9" s="1"/>
  <c r="AX60" i="9" s="1"/>
  <c r="AX61" i="9" s="1"/>
  <c r="AX62" i="9" s="1"/>
  <c r="AX63" i="9" s="1"/>
  <c r="AX64" i="9" s="1"/>
  <c r="AX65" i="9" s="1"/>
  <c r="AX66" i="9" s="1"/>
  <c r="AX67" i="9" s="1"/>
  <c r="AX68" i="9" s="1"/>
  <c r="AX69" i="9" s="1"/>
  <c r="AX70" i="9" s="1"/>
  <c r="AX71" i="9" s="1"/>
  <c r="AX72" i="9" s="1"/>
  <c r="AX73" i="9" s="1"/>
  <c r="AX74" i="9" s="1"/>
  <c r="AX75" i="9" s="1"/>
  <c r="AX76" i="9" s="1"/>
  <c r="AX77" i="9" s="1"/>
  <c r="AX78" i="9" s="1"/>
  <c r="AX79" i="9" s="1"/>
  <c r="AX80" i="9" s="1"/>
  <c r="AX81" i="9" s="1"/>
  <c r="AX82" i="9" s="1"/>
  <c r="AX83" i="9" s="1"/>
  <c r="AX84" i="9" s="1"/>
  <c r="AX85" i="9" s="1"/>
  <c r="AX86" i="9" s="1"/>
  <c r="AX87" i="9" s="1"/>
  <c r="AX88" i="9" s="1"/>
  <c r="AX89" i="9" s="1"/>
  <c r="AX90" i="9" s="1"/>
  <c r="AX91" i="9" s="1"/>
  <c r="AX92" i="9" s="1"/>
  <c r="AX93" i="9" s="1"/>
  <c r="AX94" i="9" s="1"/>
  <c r="AX95" i="9" s="1"/>
  <c r="AX96" i="9" s="1"/>
  <c r="AX97" i="9" s="1"/>
  <c r="AX98" i="9" s="1"/>
  <c r="AX99" i="9" s="1"/>
  <c r="AX100" i="9" s="1"/>
  <c r="AX101" i="9" s="1"/>
  <c r="AX102" i="9" s="1"/>
  <c r="AX103" i="9" s="1"/>
  <c r="AX104" i="9" s="1"/>
  <c r="AX105" i="9" s="1"/>
  <c r="AX106" i="9" s="1"/>
  <c r="AX107" i="9" s="1"/>
  <c r="AX108" i="9" s="1"/>
  <c r="AX109" i="9" s="1"/>
  <c r="AX110" i="9" s="1"/>
  <c r="AX111" i="9" s="1"/>
  <c r="AX112" i="9" s="1"/>
  <c r="AX113" i="9" s="1"/>
  <c r="AX114" i="9" s="1"/>
  <c r="AX115" i="9" s="1"/>
  <c r="AX116" i="9" s="1"/>
  <c r="AX117" i="9" s="1"/>
  <c r="AX118" i="9" s="1"/>
  <c r="AX119" i="9" s="1"/>
  <c r="AX120" i="9" s="1"/>
  <c r="AX121" i="9" s="1"/>
  <c r="AX122" i="9" s="1"/>
  <c r="AX123" i="9" s="1"/>
  <c r="AX124" i="9" s="1"/>
  <c r="AX125" i="9" s="1"/>
  <c r="AX126" i="9" s="1"/>
  <c r="AX127" i="9" s="1"/>
  <c r="AX128" i="9" s="1"/>
  <c r="AX129" i="9" s="1"/>
  <c r="AX130" i="9" s="1"/>
  <c r="AX131" i="9" s="1"/>
  <c r="AX132" i="9" s="1"/>
  <c r="AX133" i="9" s="1"/>
  <c r="AX134" i="9" s="1"/>
  <c r="AX135" i="9" s="1"/>
  <c r="AW3" i="9"/>
  <c r="AW4" i="9" s="1"/>
  <c r="AW5" i="9" s="1"/>
  <c r="AW6" i="9" s="1"/>
  <c r="AW7" i="9" s="1"/>
  <c r="AW8" i="9" s="1"/>
  <c r="AW9" i="9" s="1"/>
  <c r="AW10" i="9" s="1"/>
  <c r="AW11" i="9" s="1"/>
  <c r="AW12" i="9" s="1"/>
  <c r="AW13" i="9" s="1"/>
  <c r="AW14" i="9" s="1"/>
  <c r="AW15" i="9" s="1"/>
  <c r="AW16" i="9" s="1"/>
  <c r="AW17" i="9" s="1"/>
  <c r="AW18" i="9" s="1"/>
  <c r="AW19" i="9" s="1"/>
  <c r="AW20" i="9" s="1"/>
  <c r="AW21" i="9" s="1"/>
  <c r="AW22" i="9" s="1"/>
  <c r="AW23" i="9" s="1"/>
  <c r="AW24" i="9" s="1"/>
  <c r="AW25" i="9" s="1"/>
  <c r="AW26" i="9" s="1"/>
  <c r="AW27" i="9" s="1"/>
  <c r="AW28" i="9" s="1"/>
  <c r="AW29" i="9" s="1"/>
  <c r="AW30" i="9" s="1"/>
  <c r="AW31" i="9" s="1"/>
  <c r="AW32" i="9" s="1"/>
  <c r="AW33" i="9" s="1"/>
  <c r="AW34" i="9" s="1"/>
  <c r="AW35" i="9" s="1"/>
  <c r="AW36" i="9" s="1"/>
  <c r="AW37" i="9" s="1"/>
  <c r="AW38" i="9" s="1"/>
  <c r="AW39" i="9" s="1"/>
  <c r="AW40" i="9" s="1"/>
  <c r="AW41" i="9" s="1"/>
  <c r="AW42" i="9" s="1"/>
  <c r="AW43" i="9" s="1"/>
  <c r="AW44" i="9" s="1"/>
  <c r="AW45" i="9" s="1"/>
  <c r="AW46" i="9" s="1"/>
  <c r="AW47" i="9" s="1"/>
  <c r="AW48" i="9" s="1"/>
  <c r="AW49" i="9" s="1"/>
  <c r="AW50" i="9" s="1"/>
  <c r="AW51" i="9" s="1"/>
  <c r="AW52" i="9" s="1"/>
  <c r="AW53" i="9" s="1"/>
  <c r="AW54" i="9" s="1"/>
  <c r="AW55" i="9" s="1"/>
  <c r="AW56" i="9" s="1"/>
  <c r="AW57" i="9" s="1"/>
  <c r="AW58" i="9" s="1"/>
  <c r="AW59" i="9" s="1"/>
  <c r="AW60" i="9" s="1"/>
  <c r="AW61" i="9" s="1"/>
  <c r="AW62" i="9" s="1"/>
  <c r="AW63" i="9" s="1"/>
  <c r="AW64" i="9" s="1"/>
  <c r="AW65" i="9" s="1"/>
  <c r="AW66" i="9" s="1"/>
  <c r="AW67" i="9" s="1"/>
  <c r="AW68" i="9" s="1"/>
  <c r="AW69" i="9" s="1"/>
  <c r="AW70" i="9" s="1"/>
  <c r="AW71" i="9" s="1"/>
  <c r="AW72" i="9" s="1"/>
  <c r="AW73" i="9" s="1"/>
  <c r="AW74" i="9" s="1"/>
  <c r="AW75" i="9" s="1"/>
  <c r="AW76" i="9" s="1"/>
  <c r="AW77" i="9" s="1"/>
  <c r="AW78" i="9" s="1"/>
  <c r="AW79" i="9" s="1"/>
  <c r="AW80" i="9" s="1"/>
  <c r="AW81" i="9" s="1"/>
  <c r="AW82" i="9" s="1"/>
  <c r="AW83" i="9" s="1"/>
  <c r="AW84" i="9" s="1"/>
  <c r="AW85" i="9" s="1"/>
  <c r="AW86" i="9" s="1"/>
  <c r="AW87" i="9" s="1"/>
  <c r="AW88" i="9" s="1"/>
  <c r="AW89" i="9" s="1"/>
  <c r="AW90" i="9" s="1"/>
  <c r="AW91" i="9" s="1"/>
  <c r="AW92" i="9" s="1"/>
  <c r="AW93" i="9" s="1"/>
  <c r="AW94" i="9" s="1"/>
  <c r="AW95" i="9" s="1"/>
  <c r="AW96" i="9" s="1"/>
  <c r="AW97" i="9" s="1"/>
  <c r="AW98" i="9" s="1"/>
  <c r="AW99" i="9" s="1"/>
  <c r="AW100" i="9" s="1"/>
  <c r="AW101" i="9" s="1"/>
  <c r="AW102" i="9" s="1"/>
  <c r="AW103" i="9" s="1"/>
  <c r="AW104" i="9" s="1"/>
  <c r="AW105" i="9" s="1"/>
  <c r="AW106" i="9" s="1"/>
  <c r="AW107" i="9" s="1"/>
  <c r="AW108" i="9" s="1"/>
  <c r="AW109" i="9" s="1"/>
  <c r="AW110" i="9" s="1"/>
  <c r="AW111" i="9" s="1"/>
  <c r="AW112" i="9" s="1"/>
  <c r="AW113" i="9" s="1"/>
  <c r="AW114" i="9" s="1"/>
  <c r="AW115" i="9" s="1"/>
  <c r="AW116" i="9" s="1"/>
  <c r="AW117" i="9" s="1"/>
  <c r="AW118" i="9" s="1"/>
  <c r="AW119" i="9" s="1"/>
  <c r="AW120" i="9" s="1"/>
  <c r="AW121" i="9" s="1"/>
  <c r="AW122" i="9" s="1"/>
  <c r="AW123" i="9" s="1"/>
  <c r="AW124" i="9" s="1"/>
  <c r="AW125" i="9" s="1"/>
  <c r="AW126" i="9" s="1"/>
  <c r="AW127" i="9" s="1"/>
  <c r="AW128" i="9" s="1"/>
  <c r="AW129" i="9" s="1"/>
  <c r="AW130" i="9" s="1"/>
  <c r="AW131" i="9" s="1"/>
  <c r="AW132" i="9" s="1"/>
  <c r="AW133" i="9" s="1"/>
  <c r="AW134" i="9" s="1"/>
  <c r="AW135" i="9" s="1"/>
  <c r="AV3" i="9"/>
  <c r="AV4" i="9" s="1"/>
  <c r="AV5" i="9" s="1"/>
  <c r="AV6" i="9" s="1"/>
  <c r="AV7" i="9" s="1"/>
  <c r="AV8" i="9" s="1"/>
  <c r="AV9" i="9" s="1"/>
  <c r="AV10" i="9" s="1"/>
  <c r="AV11" i="9" s="1"/>
  <c r="AV12" i="9" s="1"/>
  <c r="AV13" i="9" s="1"/>
  <c r="AV14" i="9" s="1"/>
  <c r="AV15" i="9" s="1"/>
  <c r="AV16" i="9" s="1"/>
  <c r="AV17" i="9" s="1"/>
  <c r="AV18" i="9" s="1"/>
  <c r="AV19" i="9" s="1"/>
  <c r="AV20" i="9" s="1"/>
  <c r="AV21" i="9" s="1"/>
  <c r="AV22" i="9" s="1"/>
  <c r="AV23" i="9" s="1"/>
  <c r="AV24" i="9" s="1"/>
  <c r="AV25" i="9" s="1"/>
  <c r="AV26" i="9" s="1"/>
  <c r="AV27" i="9" s="1"/>
  <c r="AV28" i="9" s="1"/>
  <c r="AV29" i="9" s="1"/>
  <c r="AV30" i="9" s="1"/>
  <c r="AV31" i="9" s="1"/>
  <c r="AV32" i="9" s="1"/>
  <c r="AV33" i="9" s="1"/>
  <c r="AV34" i="9" s="1"/>
  <c r="AV35" i="9" s="1"/>
  <c r="AV36" i="9" s="1"/>
  <c r="AV37" i="9" s="1"/>
  <c r="AV38" i="9" s="1"/>
  <c r="AV39" i="9" s="1"/>
  <c r="AV40" i="9" s="1"/>
  <c r="AV41" i="9" s="1"/>
  <c r="AV42" i="9" s="1"/>
  <c r="AV43" i="9" s="1"/>
  <c r="AV44" i="9" s="1"/>
  <c r="AV45" i="9" s="1"/>
  <c r="AV46" i="9" s="1"/>
  <c r="AV47" i="9" s="1"/>
  <c r="AV48" i="9" s="1"/>
  <c r="AV49" i="9" s="1"/>
  <c r="AV50" i="9" s="1"/>
  <c r="AV51" i="9" s="1"/>
  <c r="AV52" i="9" s="1"/>
  <c r="AV53" i="9" s="1"/>
  <c r="AV54" i="9" s="1"/>
  <c r="AV55" i="9" s="1"/>
  <c r="AV56" i="9" s="1"/>
  <c r="AV57" i="9" s="1"/>
  <c r="AV58" i="9" s="1"/>
  <c r="AV59" i="9" s="1"/>
  <c r="AV60" i="9" s="1"/>
  <c r="AV61" i="9" s="1"/>
  <c r="AV62" i="9" s="1"/>
  <c r="AV63" i="9" s="1"/>
  <c r="AV64" i="9" s="1"/>
  <c r="AV65" i="9" s="1"/>
  <c r="AV66" i="9" s="1"/>
  <c r="AV67" i="9" s="1"/>
  <c r="AV68" i="9" s="1"/>
  <c r="AV69" i="9" s="1"/>
  <c r="AV70" i="9" s="1"/>
  <c r="AV71" i="9" s="1"/>
  <c r="AV72" i="9" s="1"/>
  <c r="AV73" i="9" s="1"/>
  <c r="AV74" i="9" s="1"/>
  <c r="AV75" i="9" s="1"/>
  <c r="AV76" i="9" s="1"/>
  <c r="AV77" i="9" s="1"/>
  <c r="AV78" i="9" s="1"/>
  <c r="AV79" i="9" s="1"/>
  <c r="AV80" i="9" s="1"/>
  <c r="AV81" i="9" s="1"/>
  <c r="AV82" i="9" s="1"/>
  <c r="AV83" i="9" s="1"/>
  <c r="AV84" i="9" s="1"/>
  <c r="AV85" i="9" s="1"/>
  <c r="AV86" i="9" s="1"/>
  <c r="AV87" i="9" s="1"/>
  <c r="AV88" i="9" s="1"/>
  <c r="AV89" i="9" s="1"/>
  <c r="AV90" i="9" s="1"/>
  <c r="AV91" i="9" s="1"/>
  <c r="AV92" i="9" s="1"/>
  <c r="AV93" i="9" s="1"/>
  <c r="AV94" i="9" s="1"/>
  <c r="AV95" i="9" s="1"/>
  <c r="AV96" i="9" s="1"/>
  <c r="AV97" i="9" s="1"/>
  <c r="AV98" i="9" s="1"/>
  <c r="AV99" i="9" s="1"/>
  <c r="AV100" i="9" s="1"/>
  <c r="AV101" i="9" s="1"/>
  <c r="AV102" i="9" s="1"/>
  <c r="AV103" i="9" s="1"/>
  <c r="AV104" i="9" s="1"/>
  <c r="AV105" i="9" s="1"/>
  <c r="AV106" i="9" s="1"/>
  <c r="AV107" i="9" s="1"/>
  <c r="AV108" i="9" s="1"/>
  <c r="AV109" i="9" s="1"/>
  <c r="AV110" i="9" s="1"/>
  <c r="AV111" i="9" s="1"/>
  <c r="AV112" i="9" s="1"/>
  <c r="AV113" i="9" s="1"/>
  <c r="AV114" i="9" s="1"/>
  <c r="AV115" i="9" s="1"/>
  <c r="AV116" i="9" s="1"/>
  <c r="AV117" i="9" s="1"/>
  <c r="AV118" i="9" s="1"/>
  <c r="AV119" i="9" s="1"/>
  <c r="AV120" i="9" s="1"/>
  <c r="AV121" i="9" s="1"/>
  <c r="AV122" i="9" s="1"/>
  <c r="AV123" i="9" s="1"/>
  <c r="AV124" i="9" s="1"/>
  <c r="AV125" i="9" s="1"/>
  <c r="AV126" i="9" s="1"/>
  <c r="AV127" i="9" s="1"/>
  <c r="AV128" i="9" s="1"/>
  <c r="AV129" i="9" s="1"/>
  <c r="AV130" i="9" s="1"/>
  <c r="AV131" i="9" s="1"/>
  <c r="AV132" i="9" s="1"/>
  <c r="AV133" i="9" s="1"/>
  <c r="AV134" i="9" s="1"/>
  <c r="AV135" i="9" s="1"/>
  <c r="AU3" i="9"/>
  <c r="AU4" i="9" s="1"/>
  <c r="AU5" i="9" s="1"/>
  <c r="AU6" i="9" s="1"/>
  <c r="AU7" i="9" s="1"/>
  <c r="AU8" i="9" s="1"/>
  <c r="AU9" i="9" s="1"/>
  <c r="AU10" i="9" s="1"/>
  <c r="AU11" i="9" s="1"/>
  <c r="AU12" i="9" s="1"/>
  <c r="AU13" i="9" s="1"/>
  <c r="AU14" i="9" s="1"/>
  <c r="AU15" i="9" s="1"/>
  <c r="AU16" i="9" s="1"/>
  <c r="AU17" i="9" s="1"/>
  <c r="AU18" i="9" s="1"/>
  <c r="AU19" i="9" s="1"/>
  <c r="AU20" i="9" s="1"/>
  <c r="AU21" i="9" s="1"/>
  <c r="AU22" i="9" s="1"/>
  <c r="AU23" i="9" s="1"/>
  <c r="AU24" i="9" s="1"/>
  <c r="AU25" i="9" s="1"/>
  <c r="AU26" i="9" s="1"/>
  <c r="AU27" i="9" s="1"/>
  <c r="AU28" i="9" s="1"/>
  <c r="AU29" i="9" s="1"/>
  <c r="AU30" i="9" s="1"/>
  <c r="AU31" i="9" s="1"/>
  <c r="AU32" i="9" s="1"/>
  <c r="AU33" i="9" s="1"/>
  <c r="AU34" i="9" s="1"/>
  <c r="AU35" i="9" s="1"/>
  <c r="AU36" i="9" s="1"/>
  <c r="AU37" i="9" s="1"/>
  <c r="AU38" i="9" s="1"/>
  <c r="AU39" i="9" s="1"/>
  <c r="AU40" i="9" s="1"/>
  <c r="AU41" i="9" s="1"/>
  <c r="AU42" i="9" s="1"/>
  <c r="AU43" i="9" s="1"/>
  <c r="AU44" i="9" s="1"/>
  <c r="AU45" i="9" s="1"/>
  <c r="AU46" i="9" s="1"/>
  <c r="AU47" i="9" s="1"/>
  <c r="AU48" i="9" s="1"/>
  <c r="AU49" i="9" s="1"/>
  <c r="AU50" i="9" s="1"/>
  <c r="AU51" i="9" s="1"/>
  <c r="AU52" i="9" s="1"/>
  <c r="AU53" i="9" s="1"/>
  <c r="AU54" i="9" s="1"/>
  <c r="AU55" i="9" s="1"/>
  <c r="AU56" i="9" s="1"/>
  <c r="AU57" i="9" s="1"/>
  <c r="AU58" i="9" s="1"/>
  <c r="AU59" i="9" s="1"/>
  <c r="AU60" i="9" s="1"/>
  <c r="AU61" i="9" s="1"/>
  <c r="AU62" i="9" s="1"/>
  <c r="AU63" i="9" s="1"/>
  <c r="AU64" i="9" s="1"/>
  <c r="AU65" i="9" s="1"/>
  <c r="AU66" i="9" s="1"/>
  <c r="AU67" i="9" s="1"/>
  <c r="AU68" i="9" s="1"/>
  <c r="AU69" i="9" s="1"/>
  <c r="AU70" i="9" s="1"/>
  <c r="AU71" i="9" s="1"/>
  <c r="AU72" i="9" s="1"/>
  <c r="AU73" i="9" s="1"/>
  <c r="AU74" i="9" s="1"/>
  <c r="AU75" i="9" s="1"/>
  <c r="AU76" i="9" s="1"/>
  <c r="AU77" i="9" s="1"/>
  <c r="AU78" i="9" s="1"/>
  <c r="AU79" i="9" s="1"/>
  <c r="AU80" i="9" s="1"/>
  <c r="AU81" i="9" s="1"/>
  <c r="AU82" i="9" s="1"/>
  <c r="AU83" i="9" s="1"/>
  <c r="AU84" i="9" s="1"/>
  <c r="AU85" i="9" s="1"/>
  <c r="AU86" i="9" s="1"/>
  <c r="AU87" i="9" s="1"/>
  <c r="AU88" i="9" s="1"/>
  <c r="AU89" i="9" s="1"/>
  <c r="AU90" i="9" s="1"/>
  <c r="AU91" i="9" s="1"/>
  <c r="AU92" i="9" s="1"/>
  <c r="AU93" i="9" s="1"/>
  <c r="AU94" i="9" s="1"/>
  <c r="AU95" i="9" s="1"/>
  <c r="AU96" i="9" s="1"/>
  <c r="AU97" i="9" s="1"/>
  <c r="AU98" i="9" s="1"/>
  <c r="AU99" i="9" s="1"/>
  <c r="AU100" i="9" s="1"/>
  <c r="AU101" i="9" s="1"/>
  <c r="AU102" i="9" s="1"/>
  <c r="AU103" i="9" s="1"/>
  <c r="AU104" i="9" s="1"/>
  <c r="AU105" i="9" s="1"/>
  <c r="AU106" i="9" s="1"/>
  <c r="AU107" i="9" s="1"/>
  <c r="AU108" i="9" s="1"/>
  <c r="AU109" i="9" s="1"/>
  <c r="AU110" i="9" s="1"/>
  <c r="AU111" i="9" s="1"/>
  <c r="AU112" i="9" s="1"/>
  <c r="AU113" i="9" s="1"/>
  <c r="AU114" i="9" s="1"/>
  <c r="AU115" i="9" s="1"/>
  <c r="AU116" i="9" s="1"/>
  <c r="AU117" i="9" s="1"/>
  <c r="AU118" i="9" s="1"/>
  <c r="AU119" i="9" s="1"/>
  <c r="AU120" i="9" s="1"/>
  <c r="AU121" i="9" s="1"/>
  <c r="AU122" i="9" s="1"/>
  <c r="AU123" i="9" s="1"/>
  <c r="AU124" i="9" s="1"/>
  <c r="AU125" i="9" s="1"/>
  <c r="AU126" i="9" s="1"/>
  <c r="AU127" i="9" s="1"/>
  <c r="AU128" i="9" s="1"/>
  <c r="AU129" i="9" s="1"/>
  <c r="AU130" i="9" s="1"/>
  <c r="AU131" i="9" s="1"/>
  <c r="AU132" i="9" s="1"/>
  <c r="AU133" i="9" s="1"/>
  <c r="AU134" i="9" s="1"/>
  <c r="AU135" i="9" s="1"/>
  <c r="AT3" i="9"/>
  <c r="AT4" i="9" s="1"/>
  <c r="AT5" i="9" s="1"/>
  <c r="AT6" i="9" s="1"/>
  <c r="AT7" i="9" s="1"/>
  <c r="AT8" i="9" s="1"/>
  <c r="AT9" i="9" s="1"/>
  <c r="AT10" i="9" s="1"/>
  <c r="AT11" i="9" s="1"/>
  <c r="AT12" i="9" s="1"/>
  <c r="AT13" i="9" s="1"/>
  <c r="AT14" i="9" s="1"/>
  <c r="AT15" i="9" s="1"/>
  <c r="AT16" i="9" s="1"/>
  <c r="AT17" i="9" s="1"/>
  <c r="AT18" i="9" s="1"/>
  <c r="AT19" i="9" s="1"/>
  <c r="AT20" i="9" s="1"/>
  <c r="AT21" i="9" s="1"/>
  <c r="AT22" i="9" s="1"/>
  <c r="AT23" i="9" s="1"/>
  <c r="AT24" i="9" s="1"/>
  <c r="AT25" i="9" s="1"/>
  <c r="AT26" i="9" s="1"/>
  <c r="AT27" i="9" s="1"/>
  <c r="AT28" i="9" s="1"/>
  <c r="AT29" i="9" s="1"/>
  <c r="AT30" i="9" s="1"/>
  <c r="AT31" i="9" s="1"/>
  <c r="AT32" i="9" s="1"/>
  <c r="AT33" i="9" s="1"/>
  <c r="AT34" i="9" s="1"/>
  <c r="AT35" i="9" s="1"/>
  <c r="AT36" i="9" s="1"/>
  <c r="AT37" i="9" s="1"/>
  <c r="AT38" i="9" s="1"/>
  <c r="AT39" i="9" s="1"/>
  <c r="AT40" i="9" s="1"/>
  <c r="AT41" i="9" s="1"/>
  <c r="AT42" i="9" s="1"/>
  <c r="AT43" i="9" s="1"/>
  <c r="AT44" i="9" s="1"/>
  <c r="AT45" i="9" s="1"/>
  <c r="AT46" i="9" s="1"/>
  <c r="AT47" i="9" s="1"/>
  <c r="AT48" i="9" s="1"/>
  <c r="AT49" i="9" s="1"/>
  <c r="AT50" i="9" s="1"/>
  <c r="AT51" i="9" s="1"/>
  <c r="AT52" i="9" s="1"/>
  <c r="AT53" i="9" s="1"/>
  <c r="AT54" i="9" s="1"/>
  <c r="AT55" i="9" s="1"/>
  <c r="AT56" i="9" s="1"/>
  <c r="AT57" i="9" s="1"/>
  <c r="AT58" i="9" s="1"/>
  <c r="AT59" i="9" s="1"/>
  <c r="AT60" i="9" s="1"/>
  <c r="AT61" i="9" s="1"/>
  <c r="AT62" i="9" s="1"/>
  <c r="AT63" i="9" s="1"/>
  <c r="AT64" i="9" s="1"/>
  <c r="AT65" i="9" s="1"/>
  <c r="AT66" i="9" s="1"/>
  <c r="AT67" i="9" s="1"/>
  <c r="AT68" i="9" s="1"/>
  <c r="AT69" i="9" s="1"/>
  <c r="AT70" i="9" s="1"/>
  <c r="AT71" i="9" s="1"/>
  <c r="AT72" i="9" s="1"/>
  <c r="AT73" i="9" s="1"/>
  <c r="AT74" i="9" s="1"/>
  <c r="AT75" i="9" s="1"/>
  <c r="AT76" i="9" s="1"/>
  <c r="AT77" i="9" s="1"/>
  <c r="AT78" i="9" s="1"/>
  <c r="AT79" i="9" s="1"/>
  <c r="AT80" i="9" s="1"/>
  <c r="AT81" i="9" s="1"/>
  <c r="AT82" i="9" s="1"/>
  <c r="AT83" i="9" s="1"/>
  <c r="AT84" i="9" s="1"/>
  <c r="AT85" i="9" s="1"/>
  <c r="AT86" i="9" s="1"/>
  <c r="AT87" i="9" s="1"/>
  <c r="AT88" i="9" s="1"/>
  <c r="AT89" i="9" s="1"/>
  <c r="AT90" i="9" s="1"/>
  <c r="AT91" i="9" s="1"/>
  <c r="AT92" i="9" s="1"/>
  <c r="AT93" i="9" s="1"/>
  <c r="AT94" i="9" s="1"/>
  <c r="AT95" i="9" s="1"/>
  <c r="AT96" i="9" s="1"/>
  <c r="AT97" i="9" s="1"/>
  <c r="AT98" i="9" s="1"/>
  <c r="AT99" i="9" s="1"/>
  <c r="AT100" i="9" s="1"/>
  <c r="AT101" i="9" s="1"/>
  <c r="AT102" i="9" s="1"/>
  <c r="AT103" i="9" s="1"/>
  <c r="AT104" i="9" s="1"/>
  <c r="AT105" i="9" s="1"/>
  <c r="AT106" i="9" s="1"/>
  <c r="AT107" i="9" s="1"/>
  <c r="AT108" i="9" s="1"/>
  <c r="AT109" i="9" s="1"/>
  <c r="AT110" i="9" s="1"/>
  <c r="AT111" i="9" s="1"/>
  <c r="AT112" i="9" s="1"/>
  <c r="AT113" i="9" s="1"/>
  <c r="AT114" i="9" s="1"/>
  <c r="AT115" i="9" s="1"/>
  <c r="AT116" i="9" s="1"/>
  <c r="AT117" i="9" s="1"/>
  <c r="AT118" i="9" s="1"/>
  <c r="AT119" i="9" s="1"/>
  <c r="AT120" i="9" s="1"/>
  <c r="AT121" i="9" s="1"/>
  <c r="AT122" i="9" s="1"/>
  <c r="AT123" i="9" s="1"/>
  <c r="AT124" i="9" s="1"/>
  <c r="AT125" i="9" s="1"/>
  <c r="AT126" i="9" s="1"/>
  <c r="AT127" i="9" s="1"/>
  <c r="AT128" i="9" s="1"/>
  <c r="AT129" i="9" s="1"/>
  <c r="AT130" i="9" s="1"/>
  <c r="AT131" i="9" s="1"/>
  <c r="AT132" i="9" s="1"/>
  <c r="AT133" i="9" s="1"/>
  <c r="AT134" i="9" s="1"/>
  <c r="AT135" i="9" s="1"/>
  <c r="AS3" i="9"/>
  <c r="AS4" i="9" s="1"/>
  <c r="AS5" i="9" s="1"/>
  <c r="AS6" i="9" s="1"/>
  <c r="AS7" i="9" s="1"/>
  <c r="AS8" i="9" s="1"/>
  <c r="AS9" i="9" s="1"/>
  <c r="AS10" i="9" s="1"/>
  <c r="AS11" i="9" s="1"/>
  <c r="AS12" i="9" s="1"/>
  <c r="AS13" i="9" s="1"/>
  <c r="AS14" i="9" s="1"/>
  <c r="AS15" i="9" s="1"/>
  <c r="AS16" i="9" s="1"/>
  <c r="AS17" i="9" s="1"/>
  <c r="AS18" i="9" s="1"/>
  <c r="AS19" i="9" s="1"/>
  <c r="AS20" i="9" s="1"/>
  <c r="AS21" i="9" s="1"/>
  <c r="AS22" i="9" s="1"/>
  <c r="AS23" i="9" s="1"/>
  <c r="AS24" i="9" s="1"/>
  <c r="AS25" i="9" s="1"/>
  <c r="AS26" i="9" s="1"/>
  <c r="AS27" i="9" s="1"/>
  <c r="AS28" i="9" s="1"/>
  <c r="AS29" i="9" s="1"/>
  <c r="AS30" i="9" s="1"/>
  <c r="AS31" i="9" s="1"/>
  <c r="AS32" i="9" s="1"/>
  <c r="AS33" i="9" s="1"/>
  <c r="AS34" i="9" s="1"/>
  <c r="AS35" i="9" s="1"/>
  <c r="AS36" i="9" s="1"/>
  <c r="AS37" i="9" s="1"/>
  <c r="AS38" i="9" s="1"/>
  <c r="AS39" i="9" s="1"/>
  <c r="AS40" i="9" s="1"/>
  <c r="AS41" i="9" s="1"/>
  <c r="AS42" i="9" s="1"/>
  <c r="AS43" i="9" s="1"/>
  <c r="AS44" i="9" s="1"/>
  <c r="AS45" i="9" s="1"/>
  <c r="AS46" i="9" s="1"/>
  <c r="AS47" i="9" s="1"/>
  <c r="AS48" i="9" s="1"/>
  <c r="AS49" i="9" s="1"/>
  <c r="AS50" i="9" s="1"/>
  <c r="AS51" i="9" s="1"/>
  <c r="AS52" i="9" s="1"/>
  <c r="AS53" i="9" s="1"/>
  <c r="AS54" i="9" s="1"/>
  <c r="AS55" i="9" s="1"/>
  <c r="AS56" i="9" s="1"/>
  <c r="AS57" i="9" s="1"/>
  <c r="AS58" i="9" s="1"/>
  <c r="AS59" i="9" s="1"/>
  <c r="AS60" i="9" s="1"/>
  <c r="AS61" i="9" s="1"/>
  <c r="AS62" i="9" s="1"/>
  <c r="AS63" i="9" s="1"/>
  <c r="AS64" i="9" s="1"/>
  <c r="AS65" i="9" s="1"/>
  <c r="AS66" i="9" s="1"/>
  <c r="AS67" i="9" s="1"/>
  <c r="AS68" i="9" s="1"/>
  <c r="AS69" i="9" s="1"/>
  <c r="AS70" i="9" s="1"/>
  <c r="AS71" i="9" s="1"/>
  <c r="AS72" i="9" s="1"/>
  <c r="AS73" i="9" s="1"/>
  <c r="AS74" i="9" s="1"/>
  <c r="AS75" i="9" s="1"/>
  <c r="AS76" i="9" s="1"/>
  <c r="AS77" i="9" s="1"/>
  <c r="AS78" i="9" s="1"/>
  <c r="AS79" i="9" s="1"/>
  <c r="AS80" i="9" s="1"/>
  <c r="AS81" i="9" s="1"/>
  <c r="AS82" i="9" s="1"/>
  <c r="AS83" i="9" s="1"/>
  <c r="AS84" i="9" s="1"/>
  <c r="AS85" i="9" s="1"/>
  <c r="AS86" i="9" s="1"/>
  <c r="AS87" i="9" s="1"/>
  <c r="AS88" i="9" s="1"/>
  <c r="AS89" i="9" s="1"/>
  <c r="AS90" i="9" s="1"/>
  <c r="AS91" i="9" s="1"/>
  <c r="AS92" i="9" s="1"/>
  <c r="AS93" i="9" s="1"/>
  <c r="AS94" i="9" s="1"/>
  <c r="AS95" i="9" s="1"/>
  <c r="AS96" i="9" s="1"/>
  <c r="AS97" i="9" s="1"/>
  <c r="AS98" i="9" s="1"/>
  <c r="AS99" i="9" s="1"/>
  <c r="AS100" i="9" s="1"/>
  <c r="AS101" i="9" s="1"/>
  <c r="AS102" i="9" s="1"/>
  <c r="AS103" i="9" s="1"/>
  <c r="AS104" i="9" s="1"/>
  <c r="AS105" i="9" s="1"/>
  <c r="AS106" i="9" s="1"/>
  <c r="AS107" i="9" s="1"/>
  <c r="AS108" i="9" s="1"/>
  <c r="AS109" i="9" s="1"/>
  <c r="AS110" i="9" s="1"/>
  <c r="AS111" i="9" s="1"/>
  <c r="AS112" i="9" s="1"/>
  <c r="AS113" i="9" s="1"/>
  <c r="AS114" i="9" s="1"/>
  <c r="AS115" i="9" s="1"/>
  <c r="AS116" i="9" s="1"/>
  <c r="AS117" i="9" s="1"/>
  <c r="AS118" i="9" s="1"/>
  <c r="AS119" i="9" s="1"/>
  <c r="AS120" i="9" s="1"/>
  <c r="AS121" i="9" s="1"/>
  <c r="AS122" i="9" s="1"/>
  <c r="AS123" i="9" s="1"/>
  <c r="AS124" i="9" s="1"/>
  <c r="AS125" i="9" s="1"/>
  <c r="AS126" i="9" s="1"/>
  <c r="AS127" i="9" s="1"/>
  <c r="AS128" i="9" s="1"/>
  <c r="AS129" i="9" s="1"/>
  <c r="AS130" i="9" s="1"/>
  <c r="AS131" i="9" s="1"/>
  <c r="AS132" i="9" s="1"/>
  <c r="AS133" i="9" s="1"/>
  <c r="AS134" i="9" s="1"/>
  <c r="AS135" i="9" s="1"/>
  <c r="AR3" i="9"/>
  <c r="AR4" i="9" s="1"/>
  <c r="AR5" i="9" s="1"/>
  <c r="AR6" i="9" s="1"/>
  <c r="AR7" i="9" s="1"/>
  <c r="AR8" i="9" s="1"/>
  <c r="AR9" i="9" s="1"/>
  <c r="AR10" i="9" s="1"/>
  <c r="AR11" i="9" s="1"/>
  <c r="AR12" i="9" s="1"/>
  <c r="AR13" i="9" s="1"/>
  <c r="AR14" i="9" s="1"/>
  <c r="AR15" i="9" s="1"/>
  <c r="AR16" i="9" s="1"/>
  <c r="AR17" i="9" s="1"/>
  <c r="AR18" i="9" s="1"/>
  <c r="AR19" i="9" s="1"/>
  <c r="AR20" i="9" s="1"/>
  <c r="AR21" i="9" s="1"/>
  <c r="AR22" i="9" s="1"/>
  <c r="AR23" i="9" s="1"/>
  <c r="AR24" i="9" s="1"/>
  <c r="AR25" i="9" s="1"/>
  <c r="AR26" i="9" s="1"/>
  <c r="AR27" i="9" s="1"/>
  <c r="AR28" i="9" s="1"/>
  <c r="AR29" i="9" s="1"/>
  <c r="AR30" i="9" s="1"/>
  <c r="AR31" i="9" s="1"/>
  <c r="AR32" i="9" s="1"/>
  <c r="AR33" i="9" s="1"/>
  <c r="AR34" i="9" s="1"/>
  <c r="AR35" i="9" s="1"/>
  <c r="AR36" i="9" s="1"/>
  <c r="AR37" i="9" s="1"/>
  <c r="AR38" i="9" s="1"/>
  <c r="AR39" i="9" s="1"/>
  <c r="AR40" i="9" s="1"/>
  <c r="AR41" i="9" s="1"/>
  <c r="AR42" i="9" s="1"/>
  <c r="AR43" i="9" s="1"/>
  <c r="AR44" i="9" s="1"/>
  <c r="AR45" i="9" s="1"/>
  <c r="AR46" i="9" s="1"/>
  <c r="AR47" i="9" s="1"/>
  <c r="AR48" i="9" s="1"/>
  <c r="AR49" i="9" s="1"/>
  <c r="AR50" i="9" s="1"/>
  <c r="AR51" i="9" s="1"/>
  <c r="AR52" i="9" s="1"/>
  <c r="AR53" i="9" s="1"/>
  <c r="AR54" i="9" s="1"/>
  <c r="AR55" i="9" s="1"/>
  <c r="AR56" i="9" s="1"/>
  <c r="AR57" i="9" s="1"/>
  <c r="AR58" i="9" s="1"/>
  <c r="AR59" i="9" s="1"/>
  <c r="AR60" i="9" s="1"/>
  <c r="AR61" i="9" s="1"/>
  <c r="AR62" i="9" s="1"/>
  <c r="AR63" i="9" s="1"/>
  <c r="AR64" i="9" s="1"/>
  <c r="AR65" i="9" s="1"/>
  <c r="AR66" i="9" s="1"/>
  <c r="AR67" i="9" s="1"/>
  <c r="AR68" i="9" s="1"/>
  <c r="AR69" i="9" s="1"/>
  <c r="AR70" i="9" s="1"/>
  <c r="AR71" i="9" s="1"/>
  <c r="AR72" i="9" s="1"/>
  <c r="AR73" i="9" s="1"/>
  <c r="AR74" i="9" s="1"/>
  <c r="AR75" i="9" s="1"/>
  <c r="AR76" i="9" s="1"/>
  <c r="AR77" i="9" s="1"/>
  <c r="AR78" i="9" s="1"/>
  <c r="AR79" i="9" s="1"/>
  <c r="AR80" i="9" s="1"/>
  <c r="AR81" i="9" s="1"/>
  <c r="AR82" i="9" s="1"/>
  <c r="AR83" i="9" s="1"/>
  <c r="AR84" i="9" s="1"/>
  <c r="AR85" i="9" s="1"/>
  <c r="AR86" i="9" s="1"/>
  <c r="AR87" i="9" s="1"/>
  <c r="AR88" i="9" s="1"/>
  <c r="AR89" i="9" s="1"/>
  <c r="AR90" i="9" s="1"/>
  <c r="AR91" i="9" s="1"/>
  <c r="AR92" i="9" s="1"/>
  <c r="AR93" i="9" s="1"/>
  <c r="AR94" i="9" s="1"/>
  <c r="AR95" i="9" s="1"/>
  <c r="AR96" i="9" s="1"/>
  <c r="AR97" i="9" s="1"/>
  <c r="AR98" i="9" s="1"/>
  <c r="AR99" i="9" s="1"/>
  <c r="AR100" i="9" s="1"/>
  <c r="AR101" i="9" s="1"/>
  <c r="AR102" i="9" s="1"/>
  <c r="AR103" i="9" s="1"/>
  <c r="AR104" i="9" s="1"/>
  <c r="AR105" i="9" s="1"/>
  <c r="AR106" i="9" s="1"/>
  <c r="AR107" i="9" s="1"/>
  <c r="AR108" i="9" s="1"/>
  <c r="AR109" i="9" s="1"/>
  <c r="AR110" i="9" s="1"/>
  <c r="AR111" i="9" s="1"/>
  <c r="AR112" i="9" s="1"/>
  <c r="AR113" i="9" s="1"/>
  <c r="AR114" i="9" s="1"/>
  <c r="AR115" i="9" s="1"/>
  <c r="AR116" i="9" s="1"/>
  <c r="AR117" i="9" s="1"/>
  <c r="AR118" i="9" s="1"/>
  <c r="AR119" i="9" s="1"/>
  <c r="AR120" i="9" s="1"/>
  <c r="AR121" i="9" s="1"/>
  <c r="AR122" i="9" s="1"/>
  <c r="AR123" i="9" s="1"/>
  <c r="AR124" i="9" s="1"/>
  <c r="AR125" i="9" s="1"/>
  <c r="AR126" i="9" s="1"/>
  <c r="AR127" i="9" s="1"/>
  <c r="AR128" i="9" s="1"/>
  <c r="AR129" i="9" s="1"/>
  <c r="AR130" i="9" s="1"/>
  <c r="AR131" i="9" s="1"/>
  <c r="AR132" i="9" s="1"/>
  <c r="AR133" i="9" s="1"/>
  <c r="AR134" i="9" s="1"/>
  <c r="AR135" i="9" s="1"/>
  <c r="AQ3" i="9"/>
  <c r="AQ4" i="9" s="1"/>
  <c r="AQ5" i="9" s="1"/>
  <c r="AQ6" i="9" s="1"/>
  <c r="AQ7" i="9" s="1"/>
  <c r="AQ8" i="9" s="1"/>
  <c r="AQ9" i="9" s="1"/>
  <c r="AQ10" i="9" s="1"/>
  <c r="AQ11" i="9" s="1"/>
  <c r="AQ12" i="9" s="1"/>
  <c r="AQ13" i="9" s="1"/>
  <c r="AQ14" i="9" s="1"/>
  <c r="AQ15" i="9" s="1"/>
  <c r="AQ16" i="9" s="1"/>
  <c r="AQ17" i="9" s="1"/>
  <c r="AQ18" i="9" s="1"/>
  <c r="AQ19" i="9" s="1"/>
  <c r="AQ20" i="9" s="1"/>
  <c r="AQ21" i="9" s="1"/>
  <c r="AQ22" i="9" s="1"/>
  <c r="AQ23" i="9" s="1"/>
  <c r="AQ24" i="9" s="1"/>
  <c r="AQ25" i="9" s="1"/>
  <c r="AQ26" i="9" s="1"/>
  <c r="AQ27" i="9" s="1"/>
  <c r="AQ28" i="9" s="1"/>
  <c r="AQ29" i="9" s="1"/>
  <c r="AQ30" i="9" s="1"/>
  <c r="AQ31" i="9" s="1"/>
  <c r="AQ32" i="9" s="1"/>
  <c r="AQ33" i="9" s="1"/>
  <c r="AQ34" i="9" s="1"/>
  <c r="AQ35" i="9" s="1"/>
  <c r="AQ36" i="9" s="1"/>
  <c r="AQ37" i="9" s="1"/>
  <c r="AQ38" i="9" s="1"/>
  <c r="AQ39" i="9" s="1"/>
  <c r="AQ40" i="9" s="1"/>
  <c r="AQ41" i="9" s="1"/>
  <c r="AQ42" i="9" s="1"/>
  <c r="AQ43" i="9" s="1"/>
  <c r="AQ44" i="9" s="1"/>
  <c r="AQ45" i="9" s="1"/>
  <c r="AQ46" i="9" s="1"/>
  <c r="AQ47" i="9" s="1"/>
  <c r="AQ48" i="9" s="1"/>
  <c r="AQ49" i="9" s="1"/>
  <c r="AQ50" i="9" s="1"/>
  <c r="AQ51" i="9" s="1"/>
  <c r="AQ52" i="9" s="1"/>
  <c r="AQ53" i="9" s="1"/>
  <c r="AQ54" i="9" s="1"/>
  <c r="AQ55" i="9" s="1"/>
  <c r="AQ56" i="9" s="1"/>
  <c r="AQ57" i="9" s="1"/>
  <c r="AQ58" i="9" s="1"/>
  <c r="AQ59" i="9" s="1"/>
  <c r="AQ60" i="9" s="1"/>
  <c r="AQ61" i="9" s="1"/>
  <c r="AQ62" i="9" s="1"/>
  <c r="AQ63" i="9" s="1"/>
  <c r="AQ64" i="9" s="1"/>
  <c r="AQ65" i="9" s="1"/>
  <c r="AQ66" i="9" s="1"/>
  <c r="AQ67" i="9" s="1"/>
  <c r="AQ68" i="9" s="1"/>
  <c r="AQ69" i="9" s="1"/>
  <c r="AQ70" i="9" s="1"/>
  <c r="AQ71" i="9" s="1"/>
  <c r="AQ72" i="9" s="1"/>
  <c r="AQ73" i="9" s="1"/>
  <c r="AQ74" i="9" s="1"/>
  <c r="AQ75" i="9" s="1"/>
  <c r="AQ76" i="9" s="1"/>
  <c r="AQ77" i="9" s="1"/>
  <c r="AQ78" i="9" s="1"/>
  <c r="AQ79" i="9" s="1"/>
  <c r="AQ80" i="9" s="1"/>
  <c r="AQ81" i="9" s="1"/>
  <c r="AQ82" i="9" s="1"/>
  <c r="AQ83" i="9" s="1"/>
  <c r="AQ84" i="9" s="1"/>
  <c r="AQ85" i="9" s="1"/>
  <c r="AQ86" i="9" s="1"/>
  <c r="AQ87" i="9" s="1"/>
  <c r="AQ88" i="9" s="1"/>
  <c r="AQ89" i="9" s="1"/>
  <c r="AQ90" i="9" s="1"/>
  <c r="AQ91" i="9" s="1"/>
  <c r="AQ92" i="9" s="1"/>
  <c r="AQ93" i="9" s="1"/>
  <c r="AQ94" i="9" s="1"/>
  <c r="AQ95" i="9" s="1"/>
  <c r="AQ96" i="9" s="1"/>
  <c r="AQ97" i="9" s="1"/>
  <c r="AQ98" i="9" s="1"/>
  <c r="AQ99" i="9" s="1"/>
  <c r="AQ100" i="9" s="1"/>
  <c r="AQ101" i="9" s="1"/>
  <c r="AQ102" i="9" s="1"/>
  <c r="AQ103" i="9" s="1"/>
  <c r="AQ104" i="9" s="1"/>
  <c r="AQ105" i="9" s="1"/>
  <c r="AQ106" i="9" s="1"/>
  <c r="AQ107" i="9" s="1"/>
  <c r="AQ108" i="9" s="1"/>
  <c r="AQ109" i="9" s="1"/>
  <c r="AQ110" i="9" s="1"/>
  <c r="AQ111" i="9" s="1"/>
  <c r="AQ112" i="9" s="1"/>
  <c r="AQ113" i="9" s="1"/>
  <c r="AQ114" i="9" s="1"/>
  <c r="AQ115" i="9" s="1"/>
  <c r="AQ116" i="9" s="1"/>
  <c r="AQ117" i="9" s="1"/>
  <c r="AQ118" i="9" s="1"/>
  <c r="AQ119" i="9" s="1"/>
  <c r="AQ120" i="9" s="1"/>
  <c r="AQ121" i="9" s="1"/>
  <c r="AQ122" i="9" s="1"/>
  <c r="AQ123" i="9" s="1"/>
  <c r="AQ124" i="9" s="1"/>
  <c r="AQ125" i="9" s="1"/>
  <c r="AQ126" i="9" s="1"/>
  <c r="AQ127" i="9" s="1"/>
  <c r="AQ128" i="9" s="1"/>
  <c r="AQ129" i="9" s="1"/>
  <c r="AQ130" i="9" s="1"/>
  <c r="AQ131" i="9" s="1"/>
  <c r="AQ132" i="9" s="1"/>
  <c r="AQ133" i="9" s="1"/>
  <c r="AQ134" i="9" s="1"/>
  <c r="AQ135" i="9" s="1"/>
  <c r="AP3" i="9"/>
  <c r="AP4" i="9" s="1"/>
  <c r="AP5" i="9" s="1"/>
  <c r="AP6" i="9" s="1"/>
  <c r="AP7" i="9" s="1"/>
  <c r="AP8" i="9" s="1"/>
  <c r="AP9" i="9" s="1"/>
  <c r="AP10" i="9" s="1"/>
  <c r="AP11" i="9" s="1"/>
  <c r="AP12" i="9" s="1"/>
  <c r="AP13" i="9" s="1"/>
  <c r="AP14" i="9" s="1"/>
  <c r="AP15" i="9" s="1"/>
  <c r="AP16" i="9" s="1"/>
  <c r="AP17" i="9" s="1"/>
  <c r="AP18" i="9" s="1"/>
  <c r="AP19" i="9" s="1"/>
  <c r="AP20" i="9" s="1"/>
  <c r="AP21" i="9" s="1"/>
  <c r="AP22" i="9" s="1"/>
  <c r="AP23" i="9" s="1"/>
  <c r="AP24" i="9" s="1"/>
  <c r="AP25" i="9" s="1"/>
  <c r="AP26" i="9" s="1"/>
  <c r="AP27" i="9" s="1"/>
  <c r="AP28" i="9" s="1"/>
  <c r="AP29" i="9" s="1"/>
  <c r="AP30" i="9" s="1"/>
  <c r="AP31" i="9" s="1"/>
  <c r="AP32" i="9" s="1"/>
  <c r="AP33" i="9" s="1"/>
  <c r="AP34" i="9" s="1"/>
  <c r="AP35" i="9" s="1"/>
  <c r="AP36" i="9" s="1"/>
  <c r="AP37" i="9" s="1"/>
  <c r="AP38" i="9" s="1"/>
  <c r="AP39" i="9" s="1"/>
  <c r="AP40" i="9" s="1"/>
  <c r="AP41" i="9" s="1"/>
  <c r="AP42" i="9" s="1"/>
  <c r="AP43" i="9" s="1"/>
  <c r="AP44" i="9" s="1"/>
  <c r="AP45" i="9" s="1"/>
  <c r="AP46" i="9" s="1"/>
  <c r="AP47" i="9" s="1"/>
  <c r="AP48" i="9" s="1"/>
  <c r="AP49" i="9" s="1"/>
  <c r="AP50" i="9" s="1"/>
  <c r="AP51" i="9" s="1"/>
  <c r="AP52" i="9" s="1"/>
  <c r="AP53" i="9" s="1"/>
  <c r="AP54" i="9" s="1"/>
  <c r="AP55" i="9" s="1"/>
  <c r="AP56" i="9" s="1"/>
  <c r="AP57" i="9" s="1"/>
  <c r="AP58" i="9" s="1"/>
  <c r="AP59" i="9" s="1"/>
  <c r="AP60" i="9" s="1"/>
  <c r="AP61" i="9" s="1"/>
  <c r="AP62" i="9" s="1"/>
  <c r="AP63" i="9" s="1"/>
  <c r="AP64" i="9" s="1"/>
  <c r="AP65" i="9" s="1"/>
  <c r="AP66" i="9" s="1"/>
  <c r="AP67" i="9" s="1"/>
  <c r="AP68" i="9" s="1"/>
  <c r="AP69" i="9" s="1"/>
  <c r="AP70" i="9" s="1"/>
  <c r="AP71" i="9" s="1"/>
  <c r="AP72" i="9" s="1"/>
  <c r="AP73" i="9" s="1"/>
  <c r="AP74" i="9" s="1"/>
  <c r="AP75" i="9" s="1"/>
  <c r="AP76" i="9" s="1"/>
  <c r="AP77" i="9" s="1"/>
  <c r="AP78" i="9" s="1"/>
  <c r="AP79" i="9" s="1"/>
  <c r="AP80" i="9" s="1"/>
  <c r="AP81" i="9" s="1"/>
  <c r="AP82" i="9" s="1"/>
  <c r="AP83" i="9" s="1"/>
  <c r="AP84" i="9" s="1"/>
  <c r="AP85" i="9" s="1"/>
  <c r="AP86" i="9" s="1"/>
  <c r="AP87" i="9" s="1"/>
  <c r="AP88" i="9" s="1"/>
  <c r="AP89" i="9" s="1"/>
  <c r="AP90" i="9" s="1"/>
  <c r="AP91" i="9" s="1"/>
  <c r="AP92" i="9" s="1"/>
  <c r="AP93" i="9" s="1"/>
  <c r="AP94" i="9" s="1"/>
  <c r="AP95" i="9" s="1"/>
  <c r="AP96" i="9" s="1"/>
  <c r="AP97" i="9" s="1"/>
  <c r="AP98" i="9" s="1"/>
  <c r="AP99" i="9" s="1"/>
  <c r="AP100" i="9" s="1"/>
  <c r="AP101" i="9" s="1"/>
  <c r="AP102" i="9" s="1"/>
  <c r="AP103" i="9" s="1"/>
  <c r="AP104" i="9" s="1"/>
  <c r="AP105" i="9" s="1"/>
  <c r="AP106" i="9" s="1"/>
  <c r="AP107" i="9" s="1"/>
  <c r="AP108" i="9" s="1"/>
  <c r="AP109" i="9" s="1"/>
  <c r="AP110" i="9" s="1"/>
  <c r="AP111" i="9" s="1"/>
  <c r="AP112" i="9" s="1"/>
  <c r="AP113" i="9" s="1"/>
  <c r="AP114" i="9" s="1"/>
  <c r="AP115" i="9" s="1"/>
  <c r="AP116" i="9" s="1"/>
  <c r="AP117" i="9" s="1"/>
  <c r="AP118" i="9" s="1"/>
  <c r="AP119" i="9" s="1"/>
  <c r="AP120" i="9" s="1"/>
  <c r="AP121" i="9" s="1"/>
  <c r="AP122" i="9" s="1"/>
  <c r="AP123" i="9" s="1"/>
  <c r="AP124" i="9" s="1"/>
  <c r="AP125" i="9" s="1"/>
  <c r="AP126" i="9" s="1"/>
  <c r="AP127" i="9" s="1"/>
  <c r="AP128" i="9" s="1"/>
  <c r="AP129" i="9" s="1"/>
  <c r="AP130" i="9" s="1"/>
  <c r="AP131" i="9" s="1"/>
  <c r="AP132" i="9" s="1"/>
  <c r="AP133" i="9" s="1"/>
  <c r="AP134" i="9" s="1"/>
  <c r="AP135" i="9" s="1"/>
  <c r="AO3" i="9"/>
  <c r="AO4" i="9" s="1"/>
  <c r="AO5" i="9" s="1"/>
  <c r="AO6" i="9" s="1"/>
  <c r="AO7" i="9" s="1"/>
  <c r="AO8" i="9" s="1"/>
  <c r="AO9" i="9" s="1"/>
  <c r="AO10" i="9" s="1"/>
  <c r="AO11" i="9" s="1"/>
  <c r="AO12" i="9" s="1"/>
  <c r="AO13" i="9" s="1"/>
  <c r="AO14" i="9" s="1"/>
  <c r="AO15" i="9" s="1"/>
  <c r="AO16" i="9" s="1"/>
  <c r="AO17" i="9" s="1"/>
  <c r="AO18" i="9" s="1"/>
  <c r="AO19" i="9" s="1"/>
  <c r="AO20" i="9" s="1"/>
  <c r="AO21" i="9" s="1"/>
  <c r="AO22" i="9" s="1"/>
  <c r="AO23" i="9" s="1"/>
  <c r="AO24" i="9" s="1"/>
  <c r="AO25" i="9" s="1"/>
  <c r="AO26" i="9" s="1"/>
  <c r="AO27" i="9" s="1"/>
  <c r="AO28" i="9" s="1"/>
  <c r="AO29" i="9" s="1"/>
  <c r="AO30" i="9" s="1"/>
  <c r="AO31" i="9" s="1"/>
  <c r="AO32" i="9" s="1"/>
  <c r="AO33" i="9" s="1"/>
  <c r="AO34" i="9" s="1"/>
  <c r="AO35" i="9" s="1"/>
  <c r="AO36" i="9" s="1"/>
  <c r="AO37" i="9" s="1"/>
  <c r="AO38" i="9" s="1"/>
  <c r="AO39" i="9" s="1"/>
  <c r="AO40" i="9" s="1"/>
  <c r="AO41" i="9" s="1"/>
  <c r="AO42" i="9" s="1"/>
  <c r="AO43" i="9" s="1"/>
  <c r="AO44" i="9" s="1"/>
  <c r="AO45" i="9" s="1"/>
  <c r="AO46" i="9" s="1"/>
  <c r="AO47" i="9" s="1"/>
  <c r="AO48" i="9" s="1"/>
  <c r="AO49" i="9" s="1"/>
  <c r="AO50" i="9" s="1"/>
  <c r="AO51" i="9" s="1"/>
  <c r="AO52" i="9" s="1"/>
  <c r="AO53" i="9" s="1"/>
  <c r="AO54" i="9" s="1"/>
  <c r="AO55" i="9" s="1"/>
  <c r="AO56" i="9" s="1"/>
  <c r="AO57" i="9" s="1"/>
  <c r="AO58" i="9" s="1"/>
  <c r="AO59" i="9" s="1"/>
  <c r="AO60" i="9" s="1"/>
  <c r="AO61" i="9" s="1"/>
  <c r="AO62" i="9" s="1"/>
  <c r="AO63" i="9" s="1"/>
  <c r="AO64" i="9" s="1"/>
  <c r="AO65" i="9" s="1"/>
  <c r="AO66" i="9" s="1"/>
  <c r="AO67" i="9" s="1"/>
  <c r="AO68" i="9" s="1"/>
  <c r="AO69" i="9" s="1"/>
  <c r="AO70" i="9" s="1"/>
  <c r="AO71" i="9" s="1"/>
  <c r="AO72" i="9" s="1"/>
  <c r="AO73" i="9" s="1"/>
  <c r="AO74" i="9" s="1"/>
  <c r="AO75" i="9" s="1"/>
  <c r="AO76" i="9" s="1"/>
  <c r="AO77" i="9" s="1"/>
  <c r="AO78" i="9" s="1"/>
  <c r="AO79" i="9" s="1"/>
  <c r="AO80" i="9" s="1"/>
  <c r="AO81" i="9" s="1"/>
  <c r="AO82" i="9" s="1"/>
  <c r="AO83" i="9" s="1"/>
  <c r="AO84" i="9" s="1"/>
  <c r="AO85" i="9" s="1"/>
  <c r="AO86" i="9" s="1"/>
  <c r="AO87" i="9" s="1"/>
  <c r="AO88" i="9" s="1"/>
  <c r="AO89" i="9" s="1"/>
  <c r="AO90" i="9" s="1"/>
  <c r="AO91" i="9" s="1"/>
  <c r="AO92" i="9" s="1"/>
  <c r="AO93" i="9" s="1"/>
  <c r="AO94" i="9" s="1"/>
  <c r="AO95" i="9" s="1"/>
  <c r="AO96" i="9" s="1"/>
  <c r="AO97" i="9" s="1"/>
  <c r="AO98" i="9" s="1"/>
  <c r="AO99" i="9" s="1"/>
  <c r="AO100" i="9" s="1"/>
  <c r="AO101" i="9" s="1"/>
  <c r="AO102" i="9" s="1"/>
  <c r="AO103" i="9" s="1"/>
  <c r="AO104" i="9" s="1"/>
  <c r="AO105" i="9" s="1"/>
  <c r="AO106" i="9" s="1"/>
  <c r="AO107" i="9" s="1"/>
  <c r="AO108" i="9" s="1"/>
  <c r="AO109" i="9" s="1"/>
  <c r="AO110" i="9" s="1"/>
  <c r="AO111" i="9" s="1"/>
  <c r="AO112" i="9" s="1"/>
  <c r="AO113" i="9" s="1"/>
  <c r="AO114" i="9" s="1"/>
  <c r="AO115" i="9" s="1"/>
  <c r="AO116" i="9" s="1"/>
  <c r="AO117" i="9" s="1"/>
  <c r="AO118" i="9" s="1"/>
  <c r="AO119" i="9" s="1"/>
  <c r="AO120" i="9" s="1"/>
  <c r="AO121" i="9" s="1"/>
  <c r="AO122" i="9" s="1"/>
  <c r="AO123" i="9" s="1"/>
  <c r="AO124" i="9" s="1"/>
  <c r="AO125" i="9" s="1"/>
  <c r="AO126" i="9" s="1"/>
  <c r="AO127" i="9" s="1"/>
  <c r="AO128" i="9" s="1"/>
  <c r="AO129" i="9" s="1"/>
  <c r="AO130" i="9" s="1"/>
  <c r="AO131" i="9" s="1"/>
  <c r="AO132" i="9" s="1"/>
  <c r="AO133" i="9" s="1"/>
  <c r="AO134" i="9" s="1"/>
  <c r="AO135" i="9" s="1"/>
  <c r="AN3" i="9"/>
  <c r="AN4" i="9" s="1"/>
  <c r="AN5" i="9" s="1"/>
  <c r="AN6" i="9" s="1"/>
  <c r="AN7" i="9" s="1"/>
  <c r="AN8" i="9" s="1"/>
  <c r="AN9" i="9" s="1"/>
  <c r="AN10" i="9" s="1"/>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N52" i="9" s="1"/>
  <c r="AN53" i="9" s="1"/>
  <c r="AN54" i="9" s="1"/>
  <c r="AN55" i="9" s="1"/>
  <c r="AN56" i="9" s="1"/>
  <c r="AN57" i="9" s="1"/>
  <c r="AN58" i="9" s="1"/>
  <c r="AN59" i="9" s="1"/>
  <c r="AN60" i="9" s="1"/>
  <c r="AN61" i="9" s="1"/>
  <c r="AN62" i="9" s="1"/>
  <c r="AN63" i="9" s="1"/>
  <c r="AN64" i="9" s="1"/>
  <c r="AN65" i="9" s="1"/>
  <c r="AN66" i="9" s="1"/>
  <c r="AN67" i="9" s="1"/>
  <c r="AN68" i="9" s="1"/>
  <c r="AN69" i="9" s="1"/>
  <c r="AN70" i="9" s="1"/>
  <c r="AN71" i="9" s="1"/>
  <c r="AN72" i="9" s="1"/>
  <c r="AN73" i="9" s="1"/>
  <c r="AN74" i="9" s="1"/>
  <c r="AN75" i="9" s="1"/>
  <c r="AN76" i="9" s="1"/>
  <c r="AN77" i="9" s="1"/>
  <c r="AN78" i="9" s="1"/>
  <c r="AN79" i="9" s="1"/>
  <c r="AN80" i="9" s="1"/>
  <c r="AN81" i="9" s="1"/>
  <c r="AN82" i="9" s="1"/>
  <c r="AN83" i="9" s="1"/>
  <c r="AN84" i="9" s="1"/>
  <c r="AN85" i="9" s="1"/>
  <c r="AN86" i="9" s="1"/>
  <c r="AN87" i="9" s="1"/>
  <c r="AN88" i="9" s="1"/>
  <c r="AN89" i="9" s="1"/>
  <c r="AN90" i="9" s="1"/>
  <c r="AN91" i="9" s="1"/>
  <c r="AN92" i="9" s="1"/>
  <c r="AN93" i="9" s="1"/>
  <c r="AN94" i="9" s="1"/>
  <c r="AN95" i="9" s="1"/>
  <c r="AN96" i="9" s="1"/>
  <c r="AN97" i="9" s="1"/>
  <c r="AN98" i="9" s="1"/>
  <c r="AN99" i="9" s="1"/>
  <c r="AN100" i="9" s="1"/>
  <c r="AN101" i="9" s="1"/>
  <c r="AN102" i="9" s="1"/>
  <c r="AN103" i="9" s="1"/>
  <c r="AN104" i="9" s="1"/>
  <c r="AN105" i="9" s="1"/>
  <c r="AN106" i="9" s="1"/>
  <c r="AN107" i="9" s="1"/>
  <c r="AN108" i="9" s="1"/>
  <c r="AN109" i="9" s="1"/>
  <c r="AN110" i="9" s="1"/>
  <c r="AN111" i="9" s="1"/>
  <c r="AN112" i="9" s="1"/>
  <c r="AN113" i="9" s="1"/>
  <c r="AN114" i="9" s="1"/>
  <c r="AN115" i="9" s="1"/>
  <c r="AN116" i="9" s="1"/>
  <c r="AN117" i="9" s="1"/>
  <c r="AN118" i="9" s="1"/>
  <c r="AN119" i="9" s="1"/>
  <c r="AN120" i="9" s="1"/>
  <c r="AN121" i="9" s="1"/>
  <c r="AN122" i="9" s="1"/>
  <c r="AN123" i="9" s="1"/>
  <c r="AN124" i="9" s="1"/>
  <c r="AN125" i="9" s="1"/>
  <c r="AN126" i="9" s="1"/>
  <c r="AN127" i="9" s="1"/>
  <c r="AN128" i="9" s="1"/>
  <c r="AN129" i="9" s="1"/>
  <c r="AN130" i="9" s="1"/>
  <c r="AN131" i="9" s="1"/>
  <c r="AN132" i="9" s="1"/>
  <c r="AN133" i="9" s="1"/>
  <c r="AN134" i="9" s="1"/>
  <c r="AN135" i="9" s="1"/>
  <c r="AM3" i="9"/>
  <c r="AM4" i="9" s="1"/>
  <c r="AM5" i="9" s="1"/>
  <c r="AM6" i="9" s="1"/>
  <c r="AM7" i="9" s="1"/>
  <c r="AM8" i="9" s="1"/>
  <c r="AM9" i="9" s="1"/>
  <c r="AM10" i="9" s="1"/>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M52" i="9" s="1"/>
  <c r="AM53" i="9" s="1"/>
  <c r="AM54" i="9" s="1"/>
  <c r="AM55" i="9" s="1"/>
  <c r="AM56" i="9" s="1"/>
  <c r="AM57" i="9" s="1"/>
  <c r="AM58" i="9" s="1"/>
  <c r="AM59" i="9" s="1"/>
  <c r="AM60" i="9" s="1"/>
  <c r="AM61" i="9" s="1"/>
  <c r="AM62" i="9" s="1"/>
  <c r="AM63" i="9" s="1"/>
  <c r="AM64" i="9" s="1"/>
  <c r="AM65" i="9" s="1"/>
  <c r="AM66" i="9" s="1"/>
  <c r="AM67" i="9" s="1"/>
  <c r="AM68" i="9" s="1"/>
  <c r="AM69" i="9" s="1"/>
  <c r="AM70" i="9" s="1"/>
  <c r="AM71" i="9" s="1"/>
  <c r="AM72" i="9" s="1"/>
  <c r="AM73" i="9" s="1"/>
  <c r="AM74" i="9" s="1"/>
  <c r="AM75" i="9" s="1"/>
  <c r="AM76" i="9" s="1"/>
  <c r="AM77" i="9" s="1"/>
  <c r="AM78" i="9" s="1"/>
  <c r="AM79" i="9" s="1"/>
  <c r="AM80" i="9" s="1"/>
  <c r="AM81" i="9" s="1"/>
  <c r="AM82" i="9" s="1"/>
  <c r="AM83" i="9" s="1"/>
  <c r="AM84" i="9" s="1"/>
  <c r="AM85" i="9" s="1"/>
  <c r="AM86" i="9" s="1"/>
  <c r="AM87" i="9" s="1"/>
  <c r="AM88" i="9" s="1"/>
  <c r="AM89" i="9" s="1"/>
  <c r="AM90" i="9" s="1"/>
  <c r="AM91" i="9" s="1"/>
  <c r="AM92" i="9" s="1"/>
  <c r="AM93" i="9" s="1"/>
  <c r="AM94" i="9" s="1"/>
  <c r="AM95" i="9" s="1"/>
  <c r="AM96" i="9" s="1"/>
  <c r="AM97" i="9" s="1"/>
  <c r="AM98" i="9" s="1"/>
  <c r="AM99" i="9" s="1"/>
  <c r="AM100" i="9" s="1"/>
  <c r="AM101" i="9" s="1"/>
  <c r="AM102" i="9" s="1"/>
  <c r="AM103" i="9" s="1"/>
  <c r="AM104" i="9" s="1"/>
  <c r="AM105" i="9" s="1"/>
  <c r="AM106" i="9" s="1"/>
  <c r="AM107" i="9" s="1"/>
  <c r="AM108" i="9" s="1"/>
  <c r="AM109" i="9" s="1"/>
  <c r="AM110" i="9" s="1"/>
  <c r="AM111" i="9" s="1"/>
  <c r="AM112" i="9" s="1"/>
  <c r="AM113" i="9" s="1"/>
  <c r="AM114" i="9" s="1"/>
  <c r="AM115" i="9" s="1"/>
  <c r="AM116" i="9" s="1"/>
  <c r="AM117" i="9" s="1"/>
  <c r="AM118" i="9" s="1"/>
  <c r="AM119" i="9" s="1"/>
  <c r="AM120" i="9" s="1"/>
  <c r="AM121" i="9" s="1"/>
  <c r="AM122" i="9" s="1"/>
  <c r="AM123" i="9" s="1"/>
  <c r="AM124" i="9" s="1"/>
  <c r="AM125" i="9" s="1"/>
  <c r="AM126" i="9" s="1"/>
  <c r="AM127" i="9" s="1"/>
  <c r="AM128" i="9" s="1"/>
  <c r="AM129" i="9" s="1"/>
  <c r="AM130" i="9" s="1"/>
  <c r="AM131" i="9" s="1"/>
  <c r="AM132" i="9" s="1"/>
  <c r="AM133" i="9" s="1"/>
  <c r="AM134" i="9" s="1"/>
  <c r="AM135" i="9" s="1"/>
  <c r="AL3" i="9"/>
  <c r="AL4" i="9" s="1"/>
  <c r="AL5" i="9" s="1"/>
  <c r="AL6" i="9" s="1"/>
  <c r="AL7" i="9" s="1"/>
  <c r="AL8" i="9" s="1"/>
  <c r="AL9" i="9" s="1"/>
  <c r="AL10" i="9" s="1"/>
  <c r="AL11" i="9" s="1"/>
  <c r="AL12" i="9" s="1"/>
  <c r="AL13" i="9" s="1"/>
  <c r="AL14" i="9" s="1"/>
  <c r="AL15" i="9" s="1"/>
  <c r="AL16" i="9" s="1"/>
  <c r="AL17" i="9" s="1"/>
  <c r="AL18" i="9" s="1"/>
  <c r="AL19" i="9" s="1"/>
  <c r="AL20" i="9" s="1"/>
  <c r="AL21" i="9" s="1"/>
  <c r="AL22" i="9" s="1"/>
  <c r="AL23" i="9" s="1"/>
  <c r="AL24" i="9" s="1"/>
  <c r="AL25" i="9" s="1"/>
  <c r="AL26" i="9" s="1"/>
  <c r="AL27" i="9" s="1"/>
  <c r="AL28" i="9" s="1"/>
  <c r="AL29" i="9" s="1"/>
  <c r="AL30" i="9" s="1"/>
  <c r="AL31" i="9" s="1"/>
  <c r="AL32" i="9" s="1"/>
  <c r="AL33" i="9" s="1"/>
  <c r="AL34" i="9" s="1"/>
  <c r="AL35" i="9" s="1"/>
  <c r="AL36" i="9" s="1"/>
  <c r="AL37" i="9" s="1"/>
  <c r="AL38" i="9" s="1"/>
  <c r="AL39" i="9" s="1"/>
  <c r="AL40" i="9" s="1"/>
  <c r="AL41" i="9" s="1"/>
  <c r="AL42" i="9" s="1"/>
  <c r="AL43" i="9" s="1"/>
  <c r="AL44" i="9" s="1"/>
  <c r="AL45" i="9" s="1"/>
  <c r="AL46" i="9" s="1"/>
  <c r="AL47" i="9" s="1"/>
  <c r="AL48" i="9" s="1"/>
  <c r="AL49" i="9" s="1"/>
  <c r="AL50" i="9" s="1"/>
  <c r="AL51" i="9" s="1"/>
  <c r="AL52" i="9" s="1"/>
  <c r="AL53" i="9" s="1"/>
  <c r="AL54" i="9" s="1"/>
  <c r="AL55" i="9" s="1"/>
  <c r="AL56" i="9" s="1"/>
  <c r="AL57" i="9" s="1"/>
  <c r="AL58" i="9" s="1"/>
  <c r="AL59" i="9" s="1"/>
  <c r="AL60" i="9" s="1"/>
  <c r="AL61" i="9" s="1"/>
  <c r="AL62" i="9" s="1"/>
  <c r="AL63" i="9" s="1"/>
  <c r="AL64" i="9" s="1"/>
  <c r="AL65" i="9" s="1"/>
  <c r="AL66" i="9" s="1"/>
  <c r="AL67" i="9" s="1"/>
  <c r="AL68" i="9" s="1"/>
  <c r="AL69" i="9" s="1"/>
  <c r="AL70" i="9" s="1"/>
  <c r="AL71" i="9" s="1"/>
  <c r="AL72" i="9" s="1"/>
  <c r="AL73" i="9" s="1"/>
  <c r="AL74" i="9" s="1"/>
  <c r="AL75" i="9" s="1"/>
  <c r="AL76" i="9" s="1"/>
  <c r="AL77" i="9" s="1"/>
  <c r="AL78" i="9" s="1"/>
  <c r="AL79" i="9" s="1"/>
  <c r="AL80" i="9" s="1"/>
  <c r="AL81" i="9" s="1"/>
  <c r="AL82" i="9" s="1"/>
  <c r="AL83" i="9" s="1"/>
  <c r="AL84" i="9" s="1"/>
  <c r="AL85" i="9" s="1"/>
  <c r="AL86" i="9" s="1"/>
  <c r="AL87" i="9" s="1"/>
  <c r="AL88" i="9" s="1"/>
  <c r="AL89" i="9" s="1"/>
  <c r="AL90" i="9" s="1"/>
  <c r="AL91" i="9" s="1"/>
  <c r="AL92" i="9" s="1"/>
  <c r="AL93" i="9" s="1"/>
  <c r="AL94" i="9" s="1"/>
  <c r="AL95" i="9" s="1"/>
  <c r="AL96" i="9" s="1"/>
  <c r="AL97" i="9" s="1"/>
  <c r="AL98" i="9" s="1"/>
  <c r="AL99" i="9" s="1"/>
  <c r="AL100" i="9" s="1"/>
  <c r="AL101" i="9" s="1"/>
  <c r="AL102" i="9" s="1"/>
  <c r="AL103" i="9" s="1"/>
  <c r="AL104" i="9" s="1"/>
  <c r="AL105" i="9" s="1"/>
  <c r="AL106" i="9" s="1"/>
  <c r="AL107" i="9" s="1"/>
  <c r="AL108" i="9" s="1"/>
  <c r="AL109" i="9" s="1"/>
  <c r="AL110" i="9" s="1"/>
  <c r="AL111" i="9" s="1"/>
  <c r="AL112" i="9" s="1"/>
  <c r="AL113" i="9" s="1"/>
  <c r="AL114" i="9" s="1"/>
  <c r="AL115" i="9" s="1"/>
  <c r="AL116" i="9" s="1"/>
  <c r="AL117" i="9" s="1"/>
  <c r="AL118" i="9" s="1"/>
  <c r="AL119" i="9" s="1"/>
  <c r="AL120" i="9" s="1"/>
  <c r="AL121" i="9" s="1"/>
  <c r="AL122" i="9" s="1"/>
  <c r="AL123" i="9" s="1"/>
  <c r="AL124" i="9" s="1"/>
  <c r="AL125" i="9" s="1"/>
  <c r="AL126" i="9" s="1"/>
  <c r="AL127" i="9" s="1"/>
  <c r="AL128" i="9" s="1"/>
  <c r="AL129" i="9" s="1"/>
  <c r="AL130" i="9" s="1"/>
  <c r="AL131" i="9" s="1"/>
  <c r="AL132" i="9" s="1"/>
  <c r="AL133" i="9" s="1"/>
  <c r="AL134" i="9" s="1"/>
  <c r="AL135" i="9" s="1"/>
  <c r="AB2" i="9"/>
  <c r="BB2" i="9" s="1"/>
  <c r="AB1" i="9"/>
  <c r="BB1" i="9" s="1"/>
  <c r="B41" i="6"/>
  <c r="D98" i="6"/>
  <c r="C91" i="6"/>
  <c r="C90" i="6"/>
  <c r="C89" i="6"/>
  <c r="AK3" i="9"/>
  <c r="AK4" i="9" s="1"/>
  <c r="AK5" i="9" s="1"/>
  <c r="AK6" i="9" s="1"/>
  <c r="AK7" i="9" s="1"/>
  <c r="AK8" i="9" s="1"/>
  <c r="AK9" i="9" s="1"/>
  <c r="AK10" i="9" s="1"/>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K54" i="9" s="1"/>
  <c r="AK55" i="9" s="1"/>
  <c r="AK56" i="9" s="1"/>
  <c r="AK57" i="9" s="1"/>
  <c r="AK58" i="9" s="1"/>
  <c r="AK59" i="9" s="1"/>
  <c r="AK60" i="9" s="1"/>
  <c r="AK61" i="9" s="1"/>
  <c r="AK62" i="9" s="1"/>
  <c r="AK63" i="9" s="1"/>
  <c r="AK64" i="9" s="1"/>
  <c r="AK65" i="9" s="1"/>
  <c r="AK66" i="9" s="1"/>
  <c r="AK67" i="9" s="1"/>
  <c r="AK68" i="9" s="1"/>
  <c r="AK69" i="9" s="1"/>
  <c r="AK70" i="9" s="1"/>
  <c r="AK71" i="9" s="1"/>
  <c r="AK72" i="9" s="1"/>
  <c r="AK73" i="9" s="1"/>
  <c r="AK74" i="9" s="1"/>
  <c r="AK75" i="9" s="1"/>
  <c r="AK76" i="9" s="1"/>
  <c r="AK77" i="9" s="1"/>
  <c r="AK78" i="9" s="1"/>
  <c r="AK79" i="9" s="1"/>
  <c r="AK80" i="9" s="1"/>
  <c r="AK81" i="9" s="1"/>
  <c r="AK82" i="9" s="1"/>
  <c r="AK83" i="9" s="1"/>
  <c r="AK84" i="9" s="1"/>
  <c r="AK85" i="9" s="1"/>
  <c r="AK86" i="9" s="1"/>
  <c r="AK87" i="9" s="1"/>
  <c r="AK88" i="9" s="1"/>
  <c r="AK89" i="9" s="1"/>
  <c r="AK90" i="9" s="1"/>
  <c r="AK91" i="9" s="1"/>
  <c r="AK92" i="9" s="1"/>
  <c r="AK93" i="9" s="1"/>
  <c r="AK94" i="9" s="1"/>
  <c r="AK95" i="9" s="1"/>
  <c r="AK96" i="9" s="1"/>
  <c r="AK97" i="9" s="1"/>
  <c r="AK98" i="9" s="1"/>
  <c r="AK99" i="9" s="1"/>
  <c r="AK100" i="9" s="1"/>
  <c r="AK101" i="9" s="1"/>
  <c r="AK102" i="9" s="1"/>
  <c r="AK103" i="9" s="1"/>
  <c r="AK104" i="9" s="1"/>
  <c r="AK105" i="9" s="1"/>
  <c r="AK106" i="9" s="1"/>
  <c r="AK107" i="9" s="1"/>
  <c r="AK108" i="9" s="1"/>
  <c r="AK109" i="9" s="1"/>
  <c r="AK110" i="9" s="1"/>
  <c r="AK111" i="9" s="1"/>
  <c r="AK112" i="9" s="1"/>
  <c r="AK113" i="9" s="1"/>
  <c r="AK114" i="9" s="1"/>
  <c r="AK115" i="9" s="1"/>
  <c r="AK116" i="9" s="1"/>
  <c r="AK117" i="9" s="1"/>
  <c r="AK118" i="9" s="1"/>
  <c r="AK119" i="9" s="1"/>
  <c r="AK120" i="9" s="1"/>
  <c r="AK121" i="9" s="1"/>
  <c r="AK122" i="9" s="1"/>
  <c r="AK123" i="9" s="1"/>
  <c r="AK124" i="9" s="1"/>
  <c r="AK125" i="9" s="1"/>
  <c r="AK126" i="9" s="1"/>
  <c r="AK127" i="9" s="1"/>
  <c r="AK128" i="9" s="1"/>
  <c r="AK129" i="9" s="1"/>
  <c r="AK130" i="9" s="1"/>
  <c r="AK131" i="9" s="1"/>
  <c r="AK132" i="9" s="1"/>
  <c r="AK133" i="9" s="1"/>
  <c r="AK134" i="9" s="1"/>
  <c r="AK135" i="9" s="1"/>
  <c r="AJ3" i="9"/>
  <c r="AJ4" i="9" s="1"/>
  <c r="AJ5" i="9" s="1"/>
  <c r="AJ6" i="9" s="1"/>
  <c r="AJ7" i="9" s="1"/>
  <c r="AJ8" i="9" s="1"/>
  <c r="AJ9" i="9" s="1"/>
  <c r="AJ10" i="9" s="1"/>
  <c r="AJ11" i="9" s="1"/>
  <c r="AJ12" i="9" s="1"/>
  <c r="AJ13" i="9" s="1"/>
  <c r="AJ14" i="9" s="1"/>
  <c r="AJ15" i="9" s="1"/>
  <c r="AJ16" i="9" s="1"/>
  <c r="AJ17" i="9" s="1"/>
  <c r="AJ18" i="9" s="1"/>
  <c r="AJ19" i="9" s="1"/>
  <c r="AJ20" i="9" s="1"/>
  <c r="AJ21" i="9" s="1"/>
  <c r="AJ22" i="9" s="1"/>
  <c r="AJ23" i="9" s="1"/>
  <c r="AJ24" i="9" s="1"/>
  <c r="AJ25" i="9" s="1"/>
  <c r="AJ26" i="9" s="1"/>
  <c r="AJ27" i="9" s="1"/>
  <c r="AJ28" i="9" s="1"/>
  <c r="AJ29" i="9" s="1"/>
  <c r="AJ30" i="9" s="1"/>
  <c r="AJ31" i="9" s="1"/>
  <c r="AJ32" i="9" s="1"/>
  <c r="AJ33" i="9" s="1"/>
  <c r="AJ34" i="9" s="1"/>
  <c r="AJ35" i="9" s="1"/>
  <c r="AJ36" i="9" s="1"/>
  <c r="AJ37" i="9" s="1"/>
  <c r="AJ38" i="9" s="1"/>
  <c r="AJ39" i="9" s="1"/>
  <c r="AJ40" i="9" s="1"/>
  <c r="AJ41" i="9" s="1"/>
  <c r="AJ42" i="9" s="1"/>
  <c r="AJ43" i="9" s="1"/>
  <c r="AJ44" i="9" s="1"/>
  <c r="AJ45" i="9" s="1"/>
  <c r="AJ46" i="9" s="1"/>
  <c r="AJ47" i="9" s="1"/>
  <c r="AJ48" i="9" s="1"/>
  <c r="AJ49" i="9" s="1"/>
  <c r="AJ50" i="9" s="1"/>
  <c r="AJ51" i="9" s="1"/>
  <c r="AJ52" i="9" s="1"/>
  <c r="AJ53" i="9" s="1"/>
  <c r="AJ54" i="9" s="1"/>
  <c r="AJ55" i="9" s="1"/>
  <c r="AJ56" i="9" s="1"/>
  <c r="AJ57" i="9" s="1"/>
  <c r="AJ58" i="9" s="1"/>
  <c r="AJ59" i="9" s="1"/>
  <c r="AJ60" i="9" s="1"/>
  <c r="AJ61" i="9" s="1"/>
  <c r="AJ62" i="9" s="1"/>
  <c r="AJ63" i="9" s="1"/>
  <c r="AJ64" i="9" s="1"/>
  <c r="AJ65" i="9" s="1"/>
  <c r="AJ66" i="9" s="1"/>
  <c r="AJ67" i="9" s="1"/>
  <c r="AJ68" i="9" s="1"/>
  <c r="AJ69" i="9" s="1"/>
  <c r="AJ70" i="9" s="1"/>
  <c r="AJ71" i="9" s="1"/>
  <c r="AJ72" i="9" s="1"/>
  <c r="AJ73" i="9" s="1"/>
  <c r="AJ74" i="9" s="1"/>
  <c r="AJ75" i="9" s="1"/>
  <c r="AJ76" i="9" s="1"/>
  <c r="AJ77" i="9" s="1"/>
  <c r="AJ78" i="9" s="1"/>
  <c r="AJ79" i="9" s="1"/>
  <c r="AJ80" i="9" s="1"/>
  <c r="AJ81" i="9" s="1"/>
  <c r="AJ82" i="9" s="1"/>
  <c r="AJ83" i="9" s="1"/>
  <c r="AJ84" i="9" s="1"/>
  <c r="AJ85" i="9" s="1"/>
  <c r="AJ86" i="9" s="1"/>
  <c r="AJ87" i="9" s="1"/>
  <c r="AJ88" i="9" s="1"/>
  <c r="AJ89" i="9" s="1"/>
  <c r="AJ90" i="9" s="1"/>
  <c r="AJ91" i="9" s="1"/>
  <c r="AJ92" i="9" s="1"/>
  <c r="AJ93" i="9" s="1"/>
  <c r="AJ94" i="9" s="1"/>
  <c r="AJ95" i="9" s="1"/>
  <c r="AJ96" i="9" s="1"/>
  <c r="AJ97" i="9" s="1"/>
  <c r="AJ98" i="9" s="1"/>
  <c r="AJ99" i="9" s="1"/>
  <c r="AJ100" i="9" s="1"/>
  <c r="AJ101" i="9" s="1"/>
  <c r="AJ102" i="9" s="1"/>
  <c r="AJ103" i="9" s="1"/>
  <c r="AJ104" i="9" s="1"/>
  <c r="AJ105" i="9" s="1"/>
  <c r="AJ106" i="9" s="1"/>
  <c r="AJ107" i="9" s="1"/>
  <c r="AJ108" i="9" s="1"/>
  <c r="AJ109" i="9" s="1"/>
  <c r="AJ110" i="9" s="1"/>
  <c r="AJ111" i="9" s="1"/>
  <c r="AJ112" i="9" s="1"/>
  <c r="AJ113" i="9" s="1"/>
  <c r="AJ114" i="9" s="1"/>
  <c r="AJ115" i="9" s="1"/>
  <c r="AJ116" i="9" s="1"/>
  <c r="AJ117" i="9" s="1"/>
  <c r="AJ118" i="9" s="1"/>
  <c r="AJ119" i="9" s="1"/>
  <c r="AJ120" i="9" s="1"/>
  <c r="AJ121" i="9" s="1"/>
  <c r="AJ122" i="9" s="1"/>
  <c r="AJ123" i="9" s="1"/>
  <c r="AJ124" i="9" s="1"/>
  <c r="AJ125" i="9" s="1"/>
  <c r="AJ126" i="9" s="1"/>
  <c r="AJ127" i="9" s="1"/>
  <c r="AJ128" i="9" s="1"/>
  <c r="AJ129" i="9" s="1"/>
  <c r="AJ130" i="9" s="1"/>
  <c r="AJ131" i="9" s="1"/>
  <c r="AJ132" i="9" s="1"/>
  <c r="AJ133" i="9" s="1"/>
  <c r="AJ134" i="9" s="1"/>
  <c r="AJ135" i="9" s="1"/>
  <c r="AI3" i="9"/>
  <c r="AI4" i="9" s="1"/>
  <c r="AI5" i="9" s="1"/>
  <c r="AI6" i="9" s="1"/>
  <c r="AI7" i="9" s="1"/>
  <c r="AI8" i="9" s="1"/>
  <c r="AI9" i="9" s="1"/>
  <c r="AI10" i="9" s="1"/>
  <c r="AI11" i="9" s="1"/>
  <c r="AI12" i="9" s="1"/>
  <c r="AI13" i="9" s="1"/>
  <c r="AI14" i="9" s="1"/>
  <c r="AI15" i="9" s="1"/>
  <c r="AI16" i="9" s="1"/>
  <c r="AI17" i="9" s="1"/>
  <c r="AI18" i="9" s="1"/>
  <c r="AI19" i="9" s="1"/>
  <c r="AI20" i="9" s="1"/>
  <c r="AI21" i="9" s="1"/>
  <c r="AI22" i="9" s="1"/>
  <c r="AI23" i="9" s="1"/>
  <c r="AI24" i="9" s="1"/>
  <c r="AI25" i="9" s="1"/>
  <c r="AI26" i="9" s="1"/>
  <c r="AI27" i="9" s="1"/>
  <c r="AI28" i="9" s="1"/>
  <c r="AI29" i="9" s="1"/>
  <c r="AI30" i="9" s="1"/>
  <c r="AI31" i="9" s="1"/>
  <c r="AI32" i="9" s="1"/>
  <c r="AI33" i="9" s="1"/>
  <c r="AI34" i="9" s="1"/>
  <c r="AI35" i="9" s="1"/>
  <c r="AI36" i="9" s="1"/>
  <c r="AI37" i="9" s="1"/>
  <c r="AI38" i="9" s="1"/>
  <c r="AI39" i="9" s="1"/>
  <c r="AI40" i="9" s="1"/>
  <c r="AI41" i="9" s="1"/>
  <c r="AI42" i="9" s="1"/>
  <c r="AI43" i="9" s="1"/>
  <c r="AI44" i="9" s="1"/>
  <c r="AI45" i="9" s="1"/>
  <c r="AI46" i="9" s="1"/>
  <c r="AI47" i="9" s="1"/>
  <c r="AI48" i="9" s="1"/>
  <c r="AI49" i="9" s="1"/>
  <c r="AI50" i="9" s="1"/>
  <c r="AI51" i="9" s="1"/>
  <c r="AI52" i="9" s="1"/>
  <c r="AI53" i="9" s="1"/>
  <c r="AI54" i="9" s="1"/>
  <c r="AI55" i="9" s="1"/>
  <c r="AI56" i="9" s="1"/>
  <c r="AI57" i="9" s="1"/>
  <c r="AI58" i="9" s="1"/>
  <c r="AI59" i="9" s="1"/>
  <c r="AI60" i="9" s="1"/>
  <c r="AI61" i="9" s="1"/>
  <c r="AI62" i="9" s="1"/>
  <c r="AI63" i="9" s="1"/>
  <c r="AI64" i="9" s="1"/>
  <c r="AI65" i="9" s="1"/>
  <c r="AI66" i="9" s="1"/>
  <c r="AI67" i="9" s="1"/>
  <c r="AI68" i="9" s="1"/>
  <c r="AI69" i="9" s="1"/>
  <c r="AI70" i="9" s="1"/>
  <c r="AI71" i="9" s="1"/>
  <c r="AI72" i="9" s="1"/>
  <c r="AI73" i="9" s="1"/>
  <c r="AI74" i="9" s="1"/>
  <c r="AI75" i="9" s="1"/>
  <c r="AI76" i="9" s="1"/>
  <c r="AI77" i="9" s="1"/>
  <c r="AI78" i="9" s="1"/>
  <c r="AI79" i="9" s="1"/>
  <c r="AI80" i="9" s="1"/>
  <c r="AI81" i="9" s="1"/>
  <c r="AI82" i="9" s="1"/>
  <c r="AI83" i="9" s="1"/>
  <c r="AI84" i="9" s="1"/>
  <c r="AI85" i="9" s="1"/>
  <c r="AI86" i="9" s="1"/>
  <c r="AI87" i="9" s="1"/>
  <c r="AI88" i="9" s="1"/>
  <c r="AI89" i="9" s="1"/>
  <c r="AI90" i="9" s="1"/>
  <c r="AI91" i="9" s="1"/>
  <c r="AI92" i="9" s="1"/>
  <c r="AI93" i="9" s="1"/>
  <c r="AI94" i="9" s="1"/>
  <c r="AI95" i="9" s="1"/>
  <c r="AI96" i="9" s="1"/>
  <c r="AI97" i="9" s="1"/>
  <c r="AI98" i="9" s="1"/>
  <c r="AI99" i="9" s="1"/>
  <c r="AI100" i="9" s="1"/>
  <c r="AI101" i="9" s="1"/>
  <c r="AI102" i="9" s="1"/>
  <c r="AI103" i="9" s="1"/>
  <c r="AI104" i="9" s="1"/>
  <c r="AI105" i="9" s="1"/>
  <c r="AI106" i="9" s="1"/>
  <c r="AI107" i="9" s="1"/>
  <c r="AI108" i="9" s="1"/>
  <c r="AI109" i="9" s="1"/>
  <c r="AI110" i="9" s="1"/>
  <c r="AI111" i="9" s="1"/>
  <c r="AI112" i="9" s="1"/>
  <c r="AI113" i="9" s="1"/>
  <c r="AI114" i="9" s="1"/>
  <c r="AI115" i="9" s="1"/>
  <c r="AI116" i="9" s="1"/>
  <c r="AI117" i="9" s="1"/>
  <c r="AI118" i="9" s="1"/>
  <c r="AI119" i="9" s="1"/>
  <c r="AI120" i="9" s="1"/>
  <c r="AI121" i="9" s="1"/>
  <c r="AI122" i="9" s="1"/>
  <c r="AI123" i="9" s="1"/>
  <c r="AI124" i="9" s="1"/>
  <c r="AI125" i="9" s="1"/>
  <c r="AI126" i="9" s="1"/>
  <c r="AI127" i="9" s="1"/>
  <c r="AI128" i="9" s="1"/>
  <c r="AI129" i="9" s="1"/>
  <c r="AI130" i="9" s="1"/>
  <c r="AI131" i="9" s="1"/>
  <c r="AI132" i="9" s="1"/>
  <c r="AI133" i="9" s="1"/>
  <c r="AI134" i="9" s="1"/>
  <c r="AI135" i="9" s="1"/>
  <c r="AH3" i="9"/>
  <c r="AH4" i="9" s="1"/>
  <c r="AH5" i="9" s="1"/>
  <c r="AH6" i="9" s="1"/>
  <c r="AH7" i="9" s="1"/>
  <c r="AH8" i="9" s="1"/>
  <c r="AH9" i="9" s="1"/>
  <c r="AH10" i="9" s="1"/>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AH52" i="9" s="1"/>
  <c r="AH53" i="9" s="1"/>
  <c r="AH54" i="9" s="1"/>
  <c r="AH55" i="9" s="1"/>
  <c r="AH56" i="9" s="1"/>
  <c r="AH57" i="9" s="1"/>
  <c r="AH58" i="9" s="1"/>
  <c r="AH59" i="9" s="1"/>
  <c r="AH60" i="9" s="1"/>
  <c r="AH61" i="9" s="1"/>
  <c r="AH62" i="9" s="1"/>
  <c r="AH63" i="9" s="1"/>
  <c r="AH64" i="9" s="1"/>
  <c r="AH65" i="9" s="1"/>
  <c r="AH66" i="9" s="1"/>
  <c r="AH67" i="9" s="1"/>
  <c r="AH68" i="9" s="1"/>
  <c r="AH69" i="9" s="1"/>
  <c r="AH70" i="9" s="1"/>
  <c r="AH71" i="9" s="1"/>
  <c r="AH72" i="9" s="1"/>
  <c r="AH73" i="9" s="1"/>
  <c r="AH74" i="9" s="1"/>
  <c r="AH75" i="9" s="1"/>
  <c r="AH76" i="9" s="1"/>
  <c r="AH77" i="9" s="1"/>
  <c r="AH78" i="9" s="1"/>
  <c r="AH79" i="9" s="1"/>
  <c r="AH80" i="9" s="1"/>
  <c r="AH81" i="9" s="1"/>
  <c r="AH82" i="9" s="1"/>
  <c r="AH83" i="9" s="1"/>
  <c r="AH84" i="9" s="1"/>
  <c r="AH85" i="9" s="1"/>
  <c r="AH86" i="9" s="1"/>
  <c r="AH87" i="9" s="1"/>
  <c r="AH88" i="9" s="1"/>
  <c r="AH89" i="9" s="1"/>
  <c r="AH90" i="9" s="1"/>
  <c r="AH91" i="9" s="1"/>
  <c r="AH92" i="9" s="1"/>
  <c r="AH93" i="9" s="1"/>
  <c r="AH94" i="9" s="1"/>
  <c r="AH95" i="9" s="1"/>
  <c r="AH96" i="9" s="1"/>
  <c r="AH97" i="9" s="1"/>
  <c r="AH98" i="9" s="1"/>
  <c r="AH99" i="9" s="1"/>
  <c r="AH100" i="9" s="1"/>
  <c r="AH101" i="9" s="1"/>
  <c r="AH102" i="9" s="1"/>
  <c r="AH103" i="9" s="1"/>
  <c r="AH104" i="9" s="1"/>
  <c r="AH105" i="9" s="1"/>
  <c r="AH106" i="9" s="1"/>
  <c r="AH107" i="9" s="1"/>
  <c r="AH108" i="9" s="1"/>
  <c r="AH109" i="9" s="1"/>
  <c r="AH110" i="9" s="1"/>
  <c r="AH111" i="9" s="1"/>
  <c r="AH112" i="9" s="1"/>
  <c r="AH113" i="9" s="1"/>
  <c r="AH114" i="9" s="1"/>
  <c r="AH115" i="9" s="1"/>
  <c r="AH116" i="9" s="1"/>
  <c r="AH117" i="9" s="1"/>
  <c r="AH118" i="9" s="1"/>
  <c r="AH119" i="9" s="1"/>
  <c r="AH120" i="9" s="1"/>
  <c r="AH121" i="9" s="1"/>
  <c r="AH122" i="9" s="1"/>
  <c r="AH123" i="9" s="1"/>
  <c r="AH124" i="9" s="1"/>
  <c r="AH125" i="9" s="1"/>
  <c r="AH126" i="9" s="1"/>
  <c r="AH127" i="9" s="1"/>
  <c r="AH128" i="9" s="1"/>
  <c r="AH129" i="9" s="1"/>
  <c r="AH130" i="9" s="1"/>
  <c r="AH131" i="9" s="1"/>
  <c r="AH132" i="9" s="1"/>
  <c r="AH133" i="9" s="1"/>
  <c r="AH134" i="9" s="1"/>
  <c r="AH135" i="9" s="1"/>
  <c r="AG3" i="9"/>
  <c r="AG4" i="9" s="1"/>
  <c r="AG5" i="9" s="1"/>
  <c r="AG6" i="9" s="1"/>
  <c r="AG7" i="9" s="1"/>
  <c r="AG8" i="9" s="1"/>
  <c r="AG9" i="9" s="1"/>
  <c r="AG10" i="9" s="1"/>
  <c r="AG11" i="9" s="1"/>
  <c r="AG12" i="9" s="1"/>
  <c r="AG13" i="9" s="1"/>
  <c r="AG14" i="9" s="1"/>
  <c r="AG15" i="9" s="1"/>
  <c r="AG16" i="9" s="1"/>
  <c r="AG17" i="9" s="1"/>
  <c r="AG18" i="9" s="1"/>
  <c r="AG19" i="9" s="1"/>
  <c r="AG20" i="9" s="1"/>
  <c r="AG21" i="9" s="1"/>
  <c r="AG22" i="9" s="1"/>
  <c r="AG23" i="9" s="1"/>
  <c r="AG24" i="9" s="1"/>
  <c r="AG25" i="9" s="1"/>
  <c r="AG26" i="9" s="1"/>
  <c r="AG27" i="9" s="1"/>
  <c r="AG28" i="9" s="1"/>
  <c r="AG29" i="9" s="1"/>
  <c r="AG30" i="9" s="1"/>
  <c r="AG31" i="9" s="1"/>
  <c r="AG32" i="9" s="1"/>
  <c r="AG33" i="9" s="1"/>
  <c r="AG34" i="9" s="1"/>
  <c r="AG35" i="9" s="1"/>
  <c r="AG36" i="9" s="1"/>
  <c r="AG37" i="9" s="1"/>
  <c r="AG38" i="9" s="1"/>
  <c r="AG39" i="9" s="1"/>
  <c r="AG40" i="9" s="1"/>
  <c r="AG41" i="9" s="1"/>
  <c r="AG42" i="9" s="1"/>
  <c r="AG43" i="9" s="1"/>
  <c r="AG44" i="9" s="1"/>
  <c r="AG45" i="9" s="1"/>
  <c r="AG46" i="9" s="1"/>
  <c r="AG47" i="9" s="1"/>
  <c r="AG48" i="9" s="1"/>
  <c r="AG49" i="9" s="1"/>
  <c r="AG50" i="9" s="1"/>
  <c r="AG51" i="9" s="1"/>
  <c r="AG52" i="9" s="1"/>
  <c r="AG53" i="9" s="1"/>
  <c r="AG54" i="9" s="1"/>
  <c r="AG55" i="9" s="1"/>
  <c r="AG56" i="9" s="1"/>
  <c r="AG57" i="9" s="1"/>
  <c r="AG58" i="9" s="1"/>
  <c r="AG59" i="9" s="1"/>
  <c r="AG60" i="9" s="1"/>
  <c r="AG61" i="9" s="1"/>
  <c r="AG62" i="9" s="1"/>
  <c r="AG63" i="9" s="1"/>
  <c r="AG64" i="9" s="1"/>
  <c r="AG65" i="9" s="1"/>
  <c r="AG66" i="9" s="1"/>
  <c r="AG67" i="9" s="1"/>
  <c r="AG68" i="9" s="1"/>
  <c r="AG69" i="9" s="1"/>
  <c r="AG70" i="9" s="1"/>
  <c r="AG71" i="9" s="1"/>
  <c r="AG72" i="9" s="1"/>
  <c r="AG73" i="9" s="1"/>
  <c r="AG74" i="9" s="1"/>
  <c r="AG75" i="9" s="1"/>
  <c r="AG76" i="9" s="1"/>
  <c r="AG77" i="9" s="1"/>
  <c r="AG78" i="9" s="1"/>
  <c r="AG79" i="9" s="1"/>
  <c r="AG80" i="9" s="1"/>
  <c r="AG81" i="9" s="1"/>
  <c r="AG82" i="9" s="1"/>
  <c r="AG83" i="9" s="1"/>
  <c r="AG84" i="9" s="1"/>
  <c r="AG85" i="9" s="1"/>
  <c r="AG86" i="9" s="1"/>
  <c r="AG87" i="9" s="1"/>
  <c r="AG88" i="9" s="1"/>
  <c r="AG89" i="9" s="1"/>
  <c r="AG90" i="9" s="1"/>
  <c r="AG91" i="9" s="1"/>
  <c r="AG92" i="9" s="1"/>
  <c r="AG93" i="9" s="1"/>
  <c r="AG94" i="9" s="1"/>
  <c r="AG95" i="9" s="1"/>
  <c r="AG96" i="9" s="1"/>
  <c r="AG97" i="9" s="1"/>
  <c r="AG98" i="9" s="1"/>
  <c r="AG99" i="9" s="1"/>
  <c r="AG100" i="9" s="1"/>
  <c r="AG101" i="9" s="1"/>
  <c r="AG102" i="9" s="1"/>
  <c r="AG103" i="9" s="1"/>
  <c r="AG104" i="9" s="1"/>
  <c r="AG105" i="9" s="1"/>
  <c r="AG106" i="9" s="1"/>
  <c r="AG107" i="9" s="1"/>
  <c r="AG108" i="9" s="1"/>
  <c r="AG109" i="9" s="1"/>
  <c r="AG110" i="9" s="1"/>
  <c r="AG111" i="9" s="1"/>
  <c r="AG112" i="9" s="1"/>
  <c r="AG113" i="9" s="1"/>
  <c r="AG114" i="9" s="1"/>
  <c r="AG115" i="9" s="1"/>
  <c r="AG116" i="9" s="1"/>
  <c r="AG117" i="9" s="1"/>
  <c r="AG118" i="9" s="1"/>
  <c r="AG119" i="9" s="1"/>
  <c r="AG120" i="9" s="1"/>
  <c r="AG121" i="9" s="1"/>
  <c r="AG122" i="9" s="1"/>
  <c r="AG123" i="9" s="1"/>
  <c r="AG124" i="9" s="1"/>
  <c r="AG125" i="9" s="1"/>
  <c r="AG126" i="9" s="1"/>
  <c r="AG127" i="9" s="1"/>
  <c r="AG128" i="9" s="1"/>
  <c r="AG129" i="9" s="1"/>
  <c r="AG130" i="9" s="1"/>
  <c r="AG131" i="9" s="1"/>
  <c r="AG132" i="9" s="1"/>
  <c r="AG133" i="9" s="1"/>
  <c r="AG134" i="9" s="1"/>
  <c r="AG135" i="9" s="1"/>
  <c r="A23" i="4"/>
  <c r="DV14" i="8" l="1"/>
  <c r="BD3" i="5"/>
  <c r="DV16" i="8"/>
  <c r="DV15" i="8"/>
  <c r="DV13" i="8"/>
  <c r="DV12" i="8"/>
  <c r="DV10" i="8"/>
  <c r="B42" i="6"/>
  <c r="Y3" i="8" l="1"/>
  <c r="Y4" i="8" s="1"/>
  <c r="Y5" i="8" s="1"/>
  <c r="Y6" i="8" s="1"/>
  <c r="Y7" i="8" s="1"/>
  <c r="Y8" i="8" s="1"/>
  <c r="Y9" i="8" s="1"/>
  <c r="Y10" i="8" s="1"/>
  <c r="Y11" i="8" s="1"/>
  <c r="Y12" i="8" s="1"/>
  <c r="Y13" i="8" s="1"/>
  <c r="Y14" i="8" s="1"/>
  <c r="Y15" i="8" s="1"/>
  <c r="Y16" i="8" s="1"/>
  <c r="Y17" i="8" s="1"/>
  <c r="Y18" i="8" s="1"/>
  <c r="Y19" i="8" s="1"/>
  <c r="Y20" i="8" s="1"/>
  <c r="Y21" i="8" s="1"/>
  <c r="Y22" i="8" s="1"/>
  <c r="Y23" i="8" s="1"/>
  <c r="Y24" i="8" s="1"/>
  <c r="Y25" i="8" s="1"/>
  <c r="Y26" i="8" s="1"/>
  <c r="Y27" i="8" s="1"/>
  <c r="Y28" i="8" s="1"/>
  <c r="Y29" i="8" s="1"/>
  <c r="Y30" i="8" s="1"/>
  <c r="Y31" i="8" s="1"/>
  <c r="Y32" i="8" s="1"/>
  <c r="Y33" i="8" s="1"/>
  <c r="Y34" i="8" s="1"/>
  <c r="Y35" i="8" s="1"/>
  <c r="Y36" i="8" s="1"/>
  <c r="Y37" i="8" s="1"/>
  <c r="Y38" i="8" s="1"/>
  <c r="Y39" i="8" s="1"/>
  <c r="Y40" i="8" s="1"/>
  <c r="Y41" i="8" s="1"/>
  <c r="Y42" i="8" s="1"/>
  <c r="Y43" i="8" s="1"/>
  <c r="Y44" i="8" s="1"/>
  <c r="Y45" i="8" s="1"/>
  <c r="Y46" i="8" s="1"/>
  <c r="Y47" i="8" s="1"/>
  <c r="Y48" i="8" s="1"/>
  <c r="Y49" i="8" s="1"/>
  <c r="Y50" i="8" s="1"/>
  <c r="Y51" i="8" s="1"/>
  <c r="Y52" i="8" s="1"/>
  <c r="Y53" i="8" s="1"/>
  <c r="Y54" i="8" s="1"/>
  <c r="Y55" i="8" s="1"/>
  <c r="Y56" i="8" s="1"/>
  <c r="Y57" i="8" s="1"/>
  <c r="Y58" i="8" s="1"/>
  <c r="Y59" i="8" s="1"/>
  <c r="Y60" i="8" s="1"/>
  <c r="Y61" i="8" s="1"/>
  <c r="Y62" i="8" s="1"/>
  <c r="Y63" i="8" s="1"/>
  <c r="Y64" i="8" s="1"/>
  <c r="Y65" i="8" s="1"/>
  <c r="Y66" i="8" s="1"/>
  <c r="Y67" i="8" s="1"/>
  <c r="Y68" i="8" s="1"/>
  <c r="Y69" i="8" s="1"/>
  <c r="Y70" i="8" s="1"/>
  <c r="Y71" i="8" s="1"/>
  <c r="Y72" i="8" s="1"/>
  <c r="Y73" i="8" s="1"/>
  <c r="Y74" i="8" s="1"/>
  <c r="Y75" i="8" s="1"/>
  <c r="Y76" i="8" s="1"/>
  <c r="Y77" i="8" s="1"/>
  <c r="Y78" i="8" s="1"/>
  <c r="Y79" i="8" s="1"/>
  <c r="Y80" i="8" s="1"/>
  <c r="Y81" i="8" s="1"/>
  <c r="Y82" i="8" s="1"/>
  <c r="Y83" i="8" s="1"/>
  <c r="Y84" i="8" s="1"/>
  <c r="Y85" i="8" s="1"/>
  <c r="Y86" i="8" s="1"/>
  <c r="Y87" i="8" s="1"/>
  <c r="Y88" i="8" s="1"/>
  <c r="Y89" i="8" s="1"/>
  <c r="Y90" i="8" s="1"/>
  <c r="Y91" i="8" s="1"/>
  <c r="Y92" i="8" s="1"/>
  <c r="Y93" i="8" s="1"/>
  <c r="Y94" i="8" s="1"/>
  <c r="Y95" i="8" s="1"/>
  <c r="Y96" i="8" s="1"/>
  <c r="Y97" i="8" s="1"/>
  <c r="Y98" i="8" s="1"/>
  <c r="Y99" i="8" s="1"/>
  <c r="Y100" i="8" s="1"/>
  <c r="Y101" i="8" s="1"/>
  <c r="Y102" i="8" s="1"/>
  <c r="Y103" i="8" s="1"/>
  <c r="Y104" i="8" s="1"/>
  <c r="Y105" i="8" s="1"/>
  <c r="Y106" i="8" s="1"/>
  <c r="Y107" i="8" s="1"/>
  <c r="Y108" i="8" s="1"/>
  <c r="Y109" i="8" s="1"/>
  <c r="Y110" i="8" s="1"/>
  <c r="Y111" i="8" s="1"/>
  <c r="Y112" i="8" s="1"/>
  <c r="Y113" i="8" s="1"/>
  <c r="Y114" i="8" s="1"/>
  <c r="Y115" i="8" s="1"/>
  <c r="Y116" i="8" s="1"/>
  <c r="Y117" i="8" s="1"/>
  <c r="Y118" i="8" s="1"/>
  <c r="Y119" i="8" s="1"/>
  <c r="Y120" i="8" s="1"/>
  <c r="Y121" i="8" s="1"/>
  <c r="Y122" i="8" s="1"/>
  <c r="Y123" i="8" s="1"/>
  <c r="Y124" i="8" s="1"/>
  <c r="Y125" i="8" s="1"/>
  <c r="Y126" i="8" s="1"/>
  <c r="Y127" i="8" s="1"/>
  <c r="Y128" i="8" s="1"/>
  <c r="Y129" i="8" s="1"/>
  <c r="Y130" i="8" s="1"/>
  <c r="Y131" i="8" s="1"/>
  <c r="Y132" i="8" s="1"/>
  <c r="Y133" i="8" s="1"/>
  <c r="Y134" i="8" s="1"/>
  <c r="Y135" i="8" s="1"/>
  <c r="B44" i="6"/>
  <c r="B46" i="6"/>
  <c r="B47" i="6"/>
  <c r="B43" i="6"/>
  <c r="B45" i="6"/>
  <c r="E27" i="6"/>
  <c r="B27" i="6"/>
  <c r="A27" i="6"/>
  <c r="BE3" i="1"/>
  <c r="BJ3" i="1" s="1"/>
  <c r="B66" i="4"/>
  <c r="B67" i="4"/>
  <c r="CQ25" i="5" s="1"/>
  <c r="N140" i="3"/>
  <c r="N139" i="3"/>
  <c r="N136" i="3"/>
  <c r="N135" i="3"/>
  <c r="N132" i="3"/>
  <c r="N131" i="3"/>
  <c r="N128" i="3"/>
  <c r="N127" i="3"/>
  <c r="N124" i="3"/>
  <c r="N123" i="3"/>
  <c r="N120" i="3"/>
  <c r="N119" i="3"/>
  <c r="N116" i="3"/>
  <c r="N115" i="3"/>
  <c r="N112" i="3"/>
  <c r="N111" i="3"/>
  <c r="N108" i="3"/>
  <c r="N107" i="3"/>
  <c r="N104" i="3"/>
  <c r="N103" i="3"/>
  <c r="N100" i="3"/>
  <c r="N99" i="3"/>
  <c r="N96" i="3"/>
  <c r="N95" i="3"/>
  <c r="N92" i="3"/>
  <c r="N91" i="3"/>
  <c r="N88" i="3"/>
  <c r="N87" i="3"/>
  <c r="N84" i="3"/>
  <c r="N83" i="3"/>
  <c r="N80" i="3"/>
  <c r="N79" i="3"/>
  <c r="N76" i="3"/>
  <c r="N75" i="3"/>
  <c r="N72" i="3"/>
  <c r="N71" i="3"/>
  <c r="N68" i="3"/>
  <c r="N67" i="3"/>
  <c r="N64" i="3"/>
  <c r="N63" i="3"/>
  <c r="N60" i="3"/>
  <c r="N59" i="3"/>
  <c r="N56" i="3"/>
  <c r="N55" i="3"/>
  <c r="N52" i="3"/>
  <c r="N51" i="3"/>
  <c r="N48" i="3"/>
  <c r="N47" i="3"/>
  <c r="N44" i="3"/>
  <c r="N43" i="3"/>
  <c r="N40" i="3"/>
  <c r="N39" i="3"/>
  <c r="N36" i="3"/>
  <c r="N35" i="3"/>
  <c r="N32" i="3"/>
  <c r="N31" i="3"/>
  <c r="N28" i="3"/>
  <c r="N27" i="3"/>
  <c r="N24" i="3"/>
  <c r="N23" i="3"/>
  <c r="N20" i="3"/>
  <c r="N19" i="3"/>
  <c r="N16" i="3"/>
  <c r="N15" i="3"/>
  <c r="N12" i="3"/>
  <c r="N11" i="3"/>
  <c r="N8" i="3"/>
  <c r="N7" i="3"/>
  <c r="O14" i="4"/>
  <c r="AS3" i="5"/>
  <c r="AS14" i="5"/>
  <c r="AS13" i="5"/>
  <c r="AS12" i="5"/>
  <c r="AS11" i="5"/>
  <c r="AS10" i="5"/>
  <c r="AS9" i="5"/>
  <c r="AS8" i="5"/>
  <c r="AS7" i="5"/>
  <c r="AS6" i="5"/>
  <c r="AS5" i="5"/>
  <c r="AS4"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6" i="5"/>
  <c r="AS25" i="5"/>
  <c r="AS24" i="5"/>
  <c r="AS23" i="5"/>
  <c r="AS22" i="5"/>
  <c r="AS21" i="5"/>
  <c r="AS20" i="5"/>
  <c r="AS19" i="5"/>
  <c r="AS18" i="5"/>
  <c r="AS16" i="5"/>
  <c r="AS15" i="5"/>
  <c r="DV11" i="8"/>
  <c r="DV9" i="8"/>
  <c r="DV8" i="8"/>
  <c r="DV7" i="8"/>
  <c r="DV6" i="8"/>
  <c r="DV5" i="8"/>
  <c r="DV4" i="8"/>
  <c r="K3" i="8"/>
  <c r="K4" i="8" s="1"/>
  <c r="K5" i="8" s="1"/>
  <c r="J3" i="8"/>
  <c r="I3" i="8"/>
  <c r="H3" i="8"/>
  <c r="H4" i="8" s="1"/>
  <c r="H5" i="8" s="1"/>
  <c r="G3" i="8"/>
  <c r="O3" i="2" s="1"/>
  <c r="F3" i="8"/>
  <c r="M3" i="2"/>
  <c r="BP3" i="5"/>
  <c r="BP4" i="5" s="1"/>
  <c r="Y3" i="1" s="1"/>
  <c r="BO3" i="5"/>
  <c r="BO4" i="5" s="1"/>
  <c r="BO5" i="5" s="1"/>
  <c r="BO6" i="5" s="1"/>
  <c r="BO7" i="5" s="1"/>
  <c r="BO8" i="5" s="1"/>
  <c r="BO9" i="5" s="1"/>
  <c r="BO10" i="5" s="1"/>
  <c r="BO11" i="5" s="1"/>
  <c r="BO12" i="5" s="1"/>
  <c r="BO13" i="5" s="1"/>
  <c r="BO14" i="5" s="1"/>
  <c r="BO15" i="5" s="1"/>
  <c r="BO16" i="5" s="1"/>
  <c r="BO17" i="5" s="1"/>
  <c r="BO18" i="5" s="1"/>
  <c r="BO19" i="5" s="1"/>
  <c r="BO20" i="5" s="1"/>
  <c r="BO21" i="5" s="1"/>
  <c r="BO22" i="5" s="1"/>
  <c r="BO23" i="5" s="1"/>
  <c r="BO24" i="5" s="1"/>
  <c r="BO25" i="5" s="1"/>
  <c r="BO26" i="5" s="1"/>
  <c r="BO27" i="5" s="1"/>
  <c r="BO28" i="5" s="1"/>
  <c r="BO29" i="5" s="1"/>
  <c r="BO30" i="5" s="1"/>
  <c r="BO31" i="5" s="1"/>
  <c r="BO32" i="5" s="1"/>
  <c r="BO33" i="5" s="1"/>
  <c r="BO34" i="5" s="1"/>
  <c r="BO35" i="5" s="1"/>
  <c r="BO36" i="5" s="1"/>
  <c r="BO37" i="5" s="1"/>
  <c r="BO38" i="5" s="1"/>
  <c r="BO39" i="5" s="1"/>
  <c r="BO40" i="5" s="1"/>
  <c r="BO41" i="5" s="1"/>
  <c r="BO42" i="5" s="1"/>
  <c r="BO43" i="5" s="1"/>
  <c r="BO44" i="5" s="1"/>
  <c r="BO45" i="5" s="1"/>
  <c r="BO46" i="5" s="1"/>
  <c r="BO47" i="5" s="1"/>
  <c r="BO48" i="5" s="1"/>
  <c r="BO49" i="5" s="1"/>
  <c r="BO50" i="5" s="1"/>
  <c r="BO51" i="5" s="1"/>
  <c r="BO52" i="5" s="1"/>
  <c r="BO53" i="5" s="1"/>
  <c r="BO54" i="5" s="1"/>
  <c r="BO55" i="5" s="1"/>
  <c r="BO56" i="5" s="1"/>
  <c r="BO57" i="5" s="1"/>
  <c r="BO58" i="5" s="1"/>
  <c r="BO59" i="5" s="1"/>
  <c r="BO60" i="5" s="1"/>
  <c r="BO61" i="5" s="1"/>
  <c r="BO62" i="5" s="1"/>
  <c r="BO63" i="5" s="1"/>
  <c r="BO64" i="5" s="1"/>
  <c r="BO65" i="5" s="1"/>
  <c r="BO66" i="5" s="1"/>
  <c r="BO67" i="5" s="1"/>
  <c r="BO68" i="5" s="1"/>
  <c r="BO69" i="5" s="1"/>
  <c r="BO70" i="5" s="1"/>
  <c r="BO71" i="5" s="1"/>
  <c r="BO72" i="5" s="1"/>
  <c r="BO73" i="5" s="1"/>
  <c r="BO74" i="5" s="1"/>
  <c r="BO75" i="5" s="1"/>
  <c r="BO76" i="5" s="1"/>
  <c r="BO77" i="5" s="1"/>
  <c r="BO78" i="5" s="1"/>
  <c r="BO79" i="5" s="1"/>
  <c r="BO80" i="5" s="1"/>
  <c r="BO81" i="5" s="1"/>
  <c r="BO82" i="5" s="1"/>
  <c r="BO83" i="5" s="1"/>
  <c r="BO84" i="5" s="1"/>
  <c r="BO85" i="5" s="1"/>
  <c r="BO86" i="5" s="1"/>
  <c r="BO87" i="5" s="1"/>
  <c r="BO88" i="5" s="1"/>
  <c r="BO89" i="5" s="1"/>
  <c r="BO90" i="5" s="1"/>
  <c r="BO91" i="5" s="1"/>
  <c r="BO92" i="5" s="1"/>
  <c r="BO93" i="5" s="1"/>
  <c r="BO94" i="5" s="1"/>
  <c r="BO95" i="5" s="1"/>
  <c r="BO96" i="5" s="1"/>
  <c r="BO97" i="5" s="1"/>
  <c r="BO98" i="5" s="1"/>
  <c r="BO99" i="5" s="1"/>
  <c r="BO100" i="5" s="1"/>
  <c r="BO101" i="5" s="1"/>
  <c r="BO102" i="5" s="1"/>
  <c r="BO103" i="5" s="1"/>
  <c r="BO104" i="5" s="1"/>
  <c r="BO105" i="5" s="1"/>
  <c r="BO106" i="5" s="1"/>
  <c r="BO107" i="5" s="1"/>
  <c r="BO108" i="5" s="1"/>
  <c r="BO109" i="5" s="1"/>
  <c r="BO110" i="5" s="1"/>
  <c r="BO111" i="5" s="1"/>
  <c r="BO112" i="5" s="1"/>
  <c r="BO113" i="5" s="1"/>
  <c r="BO114" i="5" s="1"/>
  <c r="BO115" i="5" s="1"/>
  <c r="BO116" i="5" s="1"/>
  <c r="BO117" i="5" s="1"/>
  <c r="BO118" i="5" s="1"/>
  <c r="BO119" i="5" s="1"/>
  <c r="BO120" i="5" s="1"/>
  <c r="BO121" i="5" s="1"/>
  <c r="BO122" i="5" s="1"/>
  <c r="BO123" i="5" s="1"/>
  <c r="BO124" i="5" s="1"/>
  <c r="BO125" i="5" s="1"/>
  <c r="BO126" i="5" s="1"/>
  <c r="BO127" i="5" s="1"/>
  <c r="BO128" i="5" s="1"/>
  <c r="BO129" i="5" s="1"/>
  <c r="BO130" i="5" s="1"/>
  <c r="BO131" i="5" s="1"/>
  <c r="BO132" i="5" s="1"/>
  <c r="BO133" i="5" s="1"/>
  <c r="BO134" i="5" s="1"/>
  <c r="BO135" i="5" s="1"/>
  <c r="BN3" i="5"/>
  <c r="BN4" i="5" s="1"/>
  <c r="AF3" i="1" s="1"/>
  <c r="BM3" i="5"/>
  <c r="BL3" i="5"/>
  <c r="BL4" i="5" s="1"/>
  <c r="BL5" i="5" s="1"/>
  <c r="BL6" i="5" s="1"/>
  <c r="BL7" i="5" s="1"/>
  <c r="BL8" i="5" s="1"/>
  <c r="BL9" i="5" s="1"/>
  <c r="BL10" i="5" s="1"/>
  <c r="BL11" i="5" s="1"/>
  <c r="BL12" i="5" s="1"/>
  <c r="BL13" i="5" s="1"/>
  <c r="BL14" i="5" s="1"/>
  <c r="BL15" i="5" s="1"/>
  <c r="BL16" i="5" s="1"/>
  <c r="BL17" i="5" s="1"/>
  <c r="BL18" i="5" s="1"/>
  <c r="BL19" i="5" s="1"/>
  <c r="BL20" i="5" s="1"/>
  <c r="BL21" i="5" s="1"/>
  <c r="BL22" i="5" s="1"/>
  <c r="BL23" i="5" s="1"/>
  <c r="BL24" i="5" s="1"/>
  <c r="BL25" i="5" s="1"/>
  <c r="BL26" i="5" s="1"/>
  <c r="BL27" i="5" s="1"/>
  <c r="BL28" i="5" s="1"/>
  <c r="BL29" i="5" s="1"/>
  <c r="BL30" i="5" s="1"/>
  <c r="BL31" i="5" s="1"/>
  <c r="BL32" i="5" s="1"/>
  <c r="BL33" i="5" s="1"/>
  <c r="BL34" i="5" s="1"/>
  <c r="BL35" i="5" s="1"/>
  <c r="BL36" i="5" s="1"/>
  <c r="BL37" i="5" s="1"/>
  <c r="BL38" i="5" s="1"/>
  <c r="BL39" i="5" s="1"/>
  <c r="BL40" i="5" s="1"/>
  <c r="BL41" i="5" s="1"/>
  <c r="BL42" i="5" s="1"/>
  <c r="BL43" i="5" s="1"/>
  <c r="BL44" i="5" s="1"/>
  <c r="BL45" i="5" s="1"/>
  <c r="BL46" i="5" s="1"/>
  <c r="BL47" i="5" s="1"/>
  <c r="BL48" i="5" s="1"/>
  <c r="BL49" i="5" s="1"/>
  <c r="BL50" i="5" s="1"/>
  <c r="BL51" i="5" s="1"/>
  <c r="BL52" i="5" s="1"/>
  <c r="BL53" i="5" s="1"/>
  <c r="BL54" i="5" s="1"/>
  <c r="BL55" i="5" s="1"/>
  <c r="BL56" i="5" s="1"/>
  <c r="BL57" i="5" s="1"/>
  <c r="BL58" i="5" s="1"/>
  <c r="BL59" i="5" s="1"/>
  <c r="BL60" i="5" s="1"/>
  <c r="BL61" i="5" s="1"/>
  <c r="BL62" i="5" s="1"/>
  <c r="BL63" i="5" s="1"/>
  <c r="BL64" i="5" s="1"/>
  <c r="BL65" i="5" s="1"/>
  <c r="BL66" i="5" s="1"/>
  <c r="BL67" i="5" s="1"/>
  <c r="BL68" i="5" s="1"/>
  <c r="BL69" i="5" s="1"/>
  <c r="BL70" i="5" s="1"/>
  <c r="BL71" i="5" s="1"/>
  <c r="BL72" i="5" s="1"/>
  <c r="BL73" i="5" s="1"/>
  <c r="BL74" i="5" s="1"/>
  <c r="BL75" i="5" s="1"/>
  <c r="BL76" i="5" s="1"/>
  <c r="BL77" i="5" s="1"/>
  <c r="BL78" i="5" s="1"/>
  <c r="BL79" i="5" s="1"/>
  <c r="BL80" i="5" s="1"/>
  <c r="BL81" i="5" s="1"/>
  <c r="BL82" i="5" s="1"/>
  <c r="BL83" i="5" s="1"/>
  <c r="BL84" i="5" s="1"/>
  <c r="BL85" i="5" s="1"/>
  <c r="BL86" i="5" s="1"/>
  <c r="BL87" i="5" s="1"/>
  <c r="BL88" i="5" s="1"/>
  <c r="BL89" i="5" s="1"/>
  <c r="BL90" i="5" s="1"/>
  <c r="BL91" i="5" s="1"/>
  <c r="BL92" i="5" s="1"/>
  <c r="BL93" i="5" s="1"/>
  <c r="BL94" i="5" s="1"/>
  <c r="BL95" i="5" s="1"/>
  <c r="BL96" i="5" s="1"/>
  <c r="BL97" i="5" s="1"/>
  <c r="BL98" i="5" s="1"/>
  <c r="BL99" i="5" s="1"/>
  <c r="BL100" i="5" s="1"/>
  <c r="BL101" i="5" s="1"/>
  <c r="BL102" i="5" s="1"/>
  <c r="BL103" i="5" s="1"/>
  <c r="BL104" i="5" s="1"/>
  <c r="BL105" i="5" s="1"/>
  <c r="BL106" i="5" s="1"/>
  <c r="BL107" i="5" s="1"/>
  <c r="BL108" i="5" s="1"/>
  <c r="BL109" i="5" s="1"/>
  <c r="BL110" i="5" s="1"/>
  <c r="BL111" i="5" s="1"/>
  <c r="BL112" i="5" s="1"/>
  <c r="BL113" i="5" s="1"/>
  <c r="BL114" i="5" s="1"/>
  <c r="BL115" i="5" s="1"/>
  <c r="BL116" i="5" s="1"/>
  <c r="BL117" i="5" s="1"/>
  <c r="BL118" i="5" s="1"/>
  <c r="BL119" i="5" s="1"/>
  <c r="BL120" i="5" s="1"/>
  <c r="BL121" i="5" s="1"/>
  <c r="BL122" i="5" s="1"/>
  <c r="BL123" i="5" s="1"/>
  <c r="BL124" i="5" s="1"/>
  <c r="BL125" i="5" s="1"/>
  <c r="BL126" i="5" s="1"/>
  <c r="BL127" i="5" s="1"/>
  <c r="BL128" i="5" s="1"/>
  <c r="BL129" i="5" s="1"/>
  <c r="BL130" i="5" s="1"/>
  <c r="BL131" i="5" s="1"/>
  <c r="BL132" i="5" s="1"/>
  <c r="BL133" i="5" s="1"/>
  <c r="BL134" i="5" s="1"/>
  <c r="BL135" i="5" s="1"/>
  <c r="BK3" i="5"/>
  <c r="BK4" i="5" s="1"/>
  <c r="AD3" i="1" s="1"/>
  <c r="BJ3" i="5"/>
  <c r="BI3" i="5"/>
  <c r="BI4" i="5" s="1"/>
  <c r="BI5" i="5" s="1"/>
  <c r="BI6" i="5" s="1"/>
  <c r="BI7" i="5" s="1"/>
  <c r="BI8" i="5" s="1"/>
  <c r="BI9" i="5" s="1"/>
  <c r="BI10" i="5" s="1"/>
  <c r="BI11" i="5" s="1"/>
  <c r="BI12" i="5" s="1"/>
  <c r="BI13" i="5" s="1"/>
  <c r="BI14" i="5" s="1"/>
  <c r="BI15" i="5" s="1"/>
  <c r="BI16" i="5" s="1"/>
  <c r="BI17" i="5" s="1"/>
  <c r="BI18" i="5" s="1"/>
  <c r="BI19" i="5" s="1"/>
  <c r="BI20" i="5" s="1"/>
  <c r="BI21" i="5" s="1"/>
  <c r="BI22" i="5" s="1"/>
  <c r="BI23" i="5" s="1"/>
  <c r="BI24" i="5" s="1"/>
  <c r="BI25" i="5" s="1"/>
  <c r="BI26" i="5" s="1"/>
  <c r="BI27" i="5" s="1"/>
  <c r="BI28" i="5" s="1"/>
  <c r="BI29" i="5" s="1"/>
  <c r="BI30" i="5" s="1"/>
  <c r="BI31" i="5" s="1"/>
  <c r="BI32" i="5" s="1"/>
  <c r="BI33" i="5" s="1"/>
  <c r="BI34" i="5" s="1"/>
  <c r="BI35" i="5" s="1"/>
  <c r="BI36" i="5" s="1"/>
  <c r="BI37" i="5" s="1"/>
  <c r="BI38" i="5" s="1"/>
  <c r="BI39" i="5" s="1"/>
  <c r="BI40" i="5" s="1"/>
  <c r="BI41" i="5" s="1"/>
  <c r="BI42" i="5" s="1"/>
  <c r="BI43" i="5" s="1"/>
  <c r="BI44" i="5" s="1"/>
  <c r="BI45" i="5" s="1"/>
  <c r="BI46" i="5" s="1"/>
  <c r="BI47" i="5" s="1"/>
  <c r="BI48" i="5" s="1"/>
  <c r="BI49" i="5" s="1"/>
  <c r="BI50" i="5" s="1"/>
  <c r="BI51" i="5" s="1"/>
  <c r="BI52" i="5" s="1"/>
  <c r="BI53" i="5" s="1"/>
  <c r="BI54" i="5" s="1"/>
  <c r="BI55" i="5" s="1"/>
  <c r="BI56" i="5" s="1"/>
  <c r="BI57" i="5" s="1"/>
  <c r="BI58" i="5" s="1"/>
  <c r="BI59" i="5" s="1"/>
  <c r="BI60" i="5" s="1"/>
  <c r="BI61" i="5" s="1"/>
  <c r="BI62" i="5" s="1"/>
  <c r="BI63" i="5" s="1"/>
  <c r="BI64" i="5" s="1"/>
  <c r="BI65" i="5" s="1"/>
  <c r="BI66" i="5" s="1"/>
  <c r="BI67" i="5" s="1"/>
  <c r="BI68" i="5" s="1"/>
  <c r="BI69" i="5" s="1"/>
  <c r="BI70" i="5" s="1"/>
  <c r="BI71" i="5" s="1"/>
  <c r="BI72" i="5" s="1"/>
  <c r="BI73" i="5" s="1"/>
  <c r="BI74" i="5" s="1"/>
  <c r="BI75" i="5" s="1"/>
  <c r="BI76" i="5" s="1"/>
  <c r="BI77" i="5" s="1"/>
  <c r="BI78" i="5" s="1"/>
  <c r="BI79" i="5" s="1"/>
  <c r="BI80" i="5" s="1"/>
  <c r="BI81" i="5" s="1"/>
  <c r="BI82" i="5" s="1"/>
  <c r="BI83" i="5" s="1"/>
  <c r="BI84" i="5" s="1"/>
  <c r="BI85" i="5" s="1"/>
  <c r="BI86" i="5" s="1"/>
  <c r="BI87" i="5" s="1"/>
  <c r="BI88" i="5" s="1"/>
  <c r="BI89" i="5" s="1"/>
  <c r="BI90" i="5" s="1"/>
  <c r="BI91" i="5" s="1"/>
  <c r="BI92" i="5" s="1"/>
  <c r="BI93" i="5" s="1"/>
  <c r="BI94" i="5" s="1"/>
  <c r="BI95" i="5" s="1"/>
  <c r="BI96" i="5" s="1"/>
  <c r="BI97" i="5" s="1"/>
  <c r="BI98" i="5" s="1"/>
  <c r="BI99" i="5" s="1"/>
  <c r="BI100" i="5" s="1"/>
  <c r="BI101" i="5" s="1"/>
  <c r="BI102" i="5" s="1"/>
  <c r="BI103" i="5" s="1"/>
  <c r="BI104" i="5" s="1"/>
  <c r="BI105" i="5" s="1"/>
  <c r="BI106" i="5" s="1"/>
  <c r="BI107" i="5" s="1"/>
  <c r="BI108" i="5" s="1"/>
  <c r="BI109" i="5" s="1"/>
  <c r="BI110" i="5" s="1"/>
  <c r="BI111" i="5" s="1"/>
  <c r="BI112" i="5" s="1"/>
  <c r="BI113" i="5" s="1"/>
  <c r="BI114" i="5" s="1"/>
  <c r="BI115" i="5" s="1"/>
  <c r="BI116" i="5" s="1"/>
  <c r="BI117" i="5" s="1"/>
  <c r="BI118" i="5" s="1"/>
  <c r="BI119" i="5" s="1"/>
  <c r="BI120" i="5" s="1"/>
  <c r="BI121" i="5" s="1"/>
  <c r="BI122" i="5" s="1"/>
  <c r="BI123" i="5" s="1"/>
  <c r="BI124" i="5" s="1"/>
  <c r="BI125" i="5" s="1"/>
  <c r="BI126" i="5" s="1"/>
  <c r="BI127" i="5" s="1"/>
  <c r="BI128" i="5" s="1"/>
  <c r="BI129" i="5" s="1"/>
  <c r="BI130" i="5" s="1"/>
  <c r="BI131" i="5" s="1"/>
  <c r="BI132" i="5" s="1"/>
  <c r="BI133" i="5" s="1"/>
  <c r="BI134" i="5" s="1"/>
  <c r="BI135" i="5" s="1"/>
  <c r="BH3" i="5"/>
  <c r="BH4" i="5" s="1"/>
  <c r="BH5" i="5" s="1"/>
  <c r="BH6" i="5" s="1"/>
  <c r="BH7" i="5" s="1"/>
  <c r="BH8" i="5" s="1"/>
  <c r="BH9" i="5" s="1"/>
  <c r="BH10" i="5" s="1"/>
  <c r="BH11" i="5" s="1"/>
  <c r="BH12" i="5" s="1"/>
  <c r="BH13" i="5" s="1"/>
  <c r="BH14" i="5" s="1"/>
  <c r="BH15" i="5" s="1"/>
  <c r="BH16" i="5" s="1"/>
  <c r="BH17" i="5" s="1"/>
  <c r="BH18" i="5" s="1"/>
  <c r="BH19" i="5" s="1"/>
  <c r="BH20" i="5" s="1"/>
  <c r="BH21" i="5" s="1"/>
  <c r="BH22" i="5" s="1"/>
  <c r="BH23" i="5" s="1"/>
  <c r="BH24" i="5" s="1"/>
  <c r="BH25" i="5" s="1"/>
  <c r="BH26" i="5" s="1"/>
  <c r="BH27" i="5" s="1"/>
  <c r="BH28" i="5" s="1"/>
  <c r="BH29" i="5" s="1"/>
  <c r="BH30" i="5" s="1"/>
  <c r="BH31" i="5" s="1"/>
  <c r="BH32" i="5" s="1"/>
  <c r="BH33" i="5" s="1"/>
  <c r="BH34" i="5" s="1"/>
  <c r="BH35" i="5" s="1"/>
  <c r="BH36" i="5" s="1"/>
  <c r="BH37" i="5" s="1"/>
  <c r="BH38" i="5" s="1"/>
  <c r="BH39" i="5" s="1"/>
  <c r="BH40" i="5" s="1"/>
  <c r="BH41" i="5" s="1"/>
  <c r="BH42" i="5" s="1"/>
  <c r="BH43" i="5" s="1"/>
  <c r="BH44" i="5" s="1"/>
  <c r="BH45" i="5" s="1"/>
  <c r="BH46" i="5" s="1"/>
  <c r="BH47" i="5" s="1"/>
  <c r="BH48" i="5" s="1"/>
  <c r="BH49" i="5" s="1"/>
  <c r="BH50" i="5" s="1"/>
  <c r="BH51" i="5" s="1"/>
  <c r="BH52" i="5" s="1"/>
  <c r="BH53" i="5" s="1"/>
  <c r="BH54" i="5" s="1"/>
  <c r="BH55" i="5" s="1"/>
  <c r="BH56" i="5" s="1"/>
  <c r="BH57" i="5" s="1"/>
  <c r="BH58" i="5" s="1"/>
  <c r="BH59" i="5" s="1"/>
  <c r="BH60" i="5" s="1"/>
  <c r="BH61" i="5" s="1"/>
  <c r="BH62" i="5" s="1"/>
  <c r="BH63" i="5" s="1"/>
  <c r="BH64" i="5" s="1"/>
  <c r="BH65" i="5" s="1"/>
  <c r="BH66" i="5" s="1"/>
  <c r="BH67" i="5" s="1"/>
  <c r="BH68" i="5" s="1"/>
  <c r="BH69" i="5" s="1"/>
  <c r="BH70" i="5" s="1"/>
  <c r="BH71" i="5" s="1"/>
  <c r="BH72" i="5" s="1"/>
  <c r="BH73" i="5" s="1"/>
  <c r="BH74" i="5" s="1"/>
  <c r="BH75" i="5" s="1"/>
  <c r="BH76" i="5" s="1"/>
  <c r="BH77" i="5" s="1"/>
  <c r="BH78" i="5" s="1"/>
  <c r="BH79" i="5" s="1"/>
  <c r="BH80" i="5" s="1"/>
  <c r="BH81" i="5" s="1"/>
  <c r="BH82" i="5" s="1"/>
  <c r="BH83" i="5" s="1"/>
  <c r="BH84" i="5" s="1"/>
  <c r="BH85" i="5" s="1"/>
  <c r="BH86" i="5" s="1"/>
  <c r="BH87" i="5" s="1"/>
  <c r="BH88" i="5" s="1"/>
  <c r="BH89" i="5" s="1"/>
  <c r="BH90" i="5" s="1"/>
  <c r="BH91" i="5" s="1"/>
  <c r="BH92" i="5" s="1"/>
  <c r="BH93" i="5" s="1"/>
  <c r="BH94" i="5" s="1"/>
  <c r="BH95" i="5" s="1"/>
  <c r="BH96" i="5" s="1"/>
  <c r="BH97" i="5" s="1"/>
  <c r="BH98" i="5" s="1"/>
  <c r="BH99" i="5" s="1"/>
  <c r="BH100" i="5" s="1"/>
  <c r="BH101" i="5" s="1"/>
  <c r="BH102" i="5" s="1"/>
  <c r="BH103" i="5" s="1"/>
  <c r="BH104" i="5" s="1"/>
  <c r="BH105" i="5" s="1"/>
  <c r="BH106" i="5" s="1"/>
  <c r="BH107" i="5" s="1"/>
  <c r="BH108" i="5" s="1"/>
  <c r="BH109" i="5" s="1"/>
  <c r="BH110" i="5" s="1"/>
  <c r="BH111" i="5" s="1"/>
  <c r="BH112" i="5" s="1"/>
  <c r="BH113" i="5" s="1"/>
  <c r="BH114" i="5" s="1"/>
  <c r="BH115" i="5" s="1"/>
  <c r="BH116" i="5" s="1"/>
  <c r="BH117" i="5" s="1"/>
  <c r="BH118" i="5" s="1"/>
  <c r="BH119" i="5" s="1"/>
  <c r="BH120" i="5" s="1"/>
  <c r="BH121" i="5" s="1"/>
  <c r="BH122" i="5" s="1"/>
  <c r="BH123" i="5" s="1"/>
  <c r="BH124" i="5" s="1"/>
  <c r="BH125" i="5" s="1"/>
  <c r="BH126" i="5" s="1"/>
  <c r="BH127" i="5" s="1"/>
  <c r="BH128" i="5" s="1"/>
  <c r="BH129" i="5" s="1"/>
  <c r="BH130" i="5" s="1"/>
  <c r="BH131" i="5" s="1"/>
  <c r="BH132" i="5" s="1"/>
  <c r="BH133" i="5" s="1"/>
  <c r="BH134" i="5" s="1"/>
  <c r="BH135" i="5" s="1"/>
  <c r="BG3" i="5"/>
  <c r="BG4" i="5" s="1"/>
  <c r="BG5" i="5" s="1"/>
  <c r="BG6" i="5" s="1"/>
  <c r="BG7" i="5" s="1"/>
  <c r="BG8" i="5" s="1"/>
  <c r="BG9" i="5" s="1"/>
  <c r="BG10" i="5" s="1"/>
  <c r="BG11" i="5" s="1"/>
  <c r="BG12" i="5" s="1"/>
  <c r="BG13" i="5" s="1"/>
  <c r="BG14" i="5" s="1"/>
  <c r="BG15" i="5" s="1"/>
  <c r="BG16" i="5" s="1"/>
  <c r="BG17" i="5" s="1"/>
  <c r="BG18" i="5" s="1"/>
  <c r="BG19" i="5" s="1"/>
  <c r="BG20" i="5" s="1"/>
  <c r="BG21" i="5" s="1"/>
  <c r="BG22" i="5" s="1"/>
  <c r="BG23" i="5" s="1"/>
  <c r="BG24" i="5" s="1"/>
  <c r="BG25" i="5" s="1"/>
  <c r="BG26" i="5" s="1"/>
  <c r="BG27" i="5" s="1"/>
  <c r="BG28" i="5" s="1"/>
  <c r="BG29" i="5" s="1"/>
  <c r="BG30" i="5" s="1"/>
  <c r="BG31" i="5" s="1"/>
  <c r="BG32" i="5" s="1"/>
  <c r="BG33" i="5" s="1"/>
  <c r="BG34" i="5" s="1"/>
  <c r="BG35" i="5" s="1"/>
  <c r="BG36" i="5" s="1"/>
  <c r="BG37" i="5" s="1"/>
  <c r="BG38" i="5" s="1"/>
  <c r="BG39" i="5" s="1"/>
  <c r="BG40" i="5" s="1"/>
  <c r="BG41" i="5" s="1"/>
  <c r="BG42" i="5" s="1"/>
  <c r="BG43" i="5" s="1"/>
  <c r="BG44" i="5" s="1"/>
  <c r="BG45" i="5" s="1"/>
  <c r="BG46" i="5" s="1"/>
  <c r="BG47" i="5" s="1"/>
  <c r="BG48" i="5" s="1"/>
  <c r="BG49" i="5" s="1"/>
  <c r="BG50" i="5" s="1"/>
  <c r="BG51" i="5" s="1"/>
  <c r="BG52" i="5" s="1"/>
  <c r="BG53" i="5" s="1"/>
  <c r="BG54" i="5" s="1"/>
  <c r="BG55" i="5" s="1"/>
  <c r="BG56" i="5" s="1"/>
  <c r="BG57" i="5" s="1"/>
  <c r="BG58" i="5" s="1"/>
  <c r="BG59" i="5" s="1"/>
  <c r="BG60" i="5" s="1"/>
  <c r="BG61" i="5" s="1"/>
  <c r="BG62" i="5" s="1"/>
  <c r="BG63" i="5" s="1"/>
  <c r="BG64" i="5" s="1"/>
  <c r="BG65" i="5" s="1"/>
  <c r="BG66" i="5" s="1"/>
  <c r="BG67" i="5" s="1"/>
  <c r="BG68" i="5" s="1"/>
  <c r="BG69" i="5" s="1"/>
  <c r="BG70" i="5" s="1"/>
  <c r="BG71" i="5" s="1"/>
  <c r="BG72" i="5" s="1"/>
  <c r="BG73" i="5" s="1"/>
  <c r="BG74" i="5" s="1"/>
  <c r="BG75" i="5" s="1"/>
  <c r="BG76" i="5" s="1"/>
  <c r="BG77" i="5" s="1"/>
  <c r="BG78" i="5" s="1"/>
  <c r="BG79" i="5" s="1"/>
  <c r="BG80" i="5" s="1"/>
  <c r="BG81" i="5" s="1"/>
  <c r="BG82" i="5" s="1"/>
  <c r="BG83" i="5" s="1"/>
  <c r="BG84" i="5" s="1"/>
  <c r="BG85" i="5" s="1"/>
  <c r="BG86" i="5" s="1"/>
  <c r="BG87" i="5" s="1"/>
  <c r="BG88" i="5" s="1"/>
  <c r="BG89" i="5" s="1"/>
  <c r="BG90" i="5" s="1"/>
  <c r="BG91" i="5" s="1"/>
  <c r="BG92" i="5" s="1"/>
  <c r="BG93" i="5" s="1"/>
  <c r="BG94" i="5" s="1"/>
  <c r="BG95" i="5" s="1"/>
  <c r="BG96" i="5" s="1"/>
  <c r="BG97" i="5" s="1"/>
  <c r="BG98" i="5" s="1"/>
  <c r="BG99" i="5" s="1"/>
  <c r="BG100" i="5" s="1"/>
  <c r="BG101" i="5" s="1"/>
  <c r="BG102" i="5" s="1"/>
  <c r="BG103" i="5" s="1"/>
  <c r="BG104" i="5" s="1"/>
  <c r="BG105" i="5" s="1"/>
  <c r="BG106" i="5" s="1"/>
  <c r="BG107" i="5" s="1"/>
  <c r="BG108" i="5" s="1"/>
  <c r="BG109" i="5" s="1"/>
  <c r="BG110" i="5" s="1"/>
  <c r="BG111" i="5" s="1"/>
  <c r="BG112" i="5" s="1"/>
  <c r="BG113" i="5" s="1"/>
  <c r="BG114" i="5" s="1"/>
  <c r="BG115" i="5" s="1"/>
  <c r="BG116" i="5" s="1"/>
  <c r="BG117" i="5" s="1"/>
  <c r="BG118" i="5" s="1"/>
  <c r="BG119" i="5" s="1"/>
  <c r="BG120" i="5" s="1"/>
  <c r="BG121" i="5" s="1"/>
  <c r="BG122" i="5" s="1"/>
  <c r="BG123" i="5" s="1"/>
  <c r="BG124" i="5" s="1"/>
  <c r="BG125" i="5" s="1"/>
  <c r="BG126" i="5" s="1"/>
  <c r="BG127" i="5" s="1"/>
  <c r="BG128" i="5" s="1"/>
  <c r="BG129" i="5" s="1"/>
  <c r="BG130" i="5" s="1"/>
  <c r="BG131" i="5" s="1"/>
  <c r="BG132" i="5" s="1"/>
  <c r="BG133" i="5" s="1"/>
  <c r="BG134" i="5" s="1"/>
  <c r="BG135" i="5" s="1"/>
  <c r="BF3" i="5"/>
  <c r="BF4" i="5" s="1"/>
  <c r="BF5" i="5" s="1"/>
  <c r="BF6" i="5" s="1"/>
  <c r="BF7" i="5" s="1"/>
  <c r="BF8" i="5" s="1"/>
  <c r="BF9" i="5" s="1"/>
  <c r="BF10" i="5" s="1"/>
  <c r="BF11" i="5" s="1"/>
  <c r="BF12" i="5" s="1"/>
  <c r="BF13" i="5" s="1"/>
  <c r="BF14" i="5" s="1"/>
  <c r="BF15" i="5" s="1"/>
  <c r="BF16" i="5" s="1"/>
  <c r="BF17" i="5" s="1"/>
  <c r="BF18" i="5" s="1"/>
  <c r="BF19" i="5" s="1"/>
  <c r="BF20" i="5" s="1"/>
  <c r="BF21" i="5" s="1"/>
  <c r="BF22" i="5" s="1"/>
  <c r="BF23" i="5" s="1"/>
  <c r="BF24" i="5" s="1"/>
  <c r="BF25" i="5" s="1"/>
  <c r="BF26" i="5" s="1"/>
  <c r="BF27" i="5" s="1"/>
  <c r="BF28" i="5" s="1"/>
  <c r="BF29" i="5" s="1"/>
  <c r="BF30" i="5" s="1"/>
  <c r="BF31" i="5" s="1"/>
  <c r="BF32" i="5" s="1"/>
  <c r="BF33" i="5" s="1"/>
  <c r="BF34" i="5" s="1"/>
  <c r="BF35" i="5" s="1"/>
  <c r="BF36" i="5" s="1"/>
  <c r="BF37" i="5" s="1"/>
  <c r="BF38" i="5" s="1"/>
  <c r="BF39" i="5" s="1"/>
  <c r="BF40" i="5" s="1"/>
  <c r="BF41" i="5" s="1"/>
  <c r="BF42" i="5" s="1"/>
  <c r="BF43" i="5" s="1"/>
  <c r="BF44" i="5" s="1"/>
  <c r="BF45" i="5" s="1"/>
  <c r="BF46" i="5" s="1"/>
  <c r="BF47" i="5" s="1"/>
  <c r="BF48" i="5" s="1"/>
  <c r="BF49" i="5" s="1"/>
  <c r="BF50" i="5" s="1"/>
  <c r="BF51" i="5" s="1"/>
  <c r="BF52" i="5" s="1"/>
  <c r="BF53" i="5" s="1"/>
  <c r="BF54" i="5" s="1"/>
  <c r="BF55" i="5" s="1"/>
  <c r="BF56" i="5" s="1"/>
  <c r="BF57" i="5" s="1"/>
  <c r="BF58" i="5" s="1"/>
  <c r="BF59" i="5" s="1"/>
  <c r="BF60" i="5" s="1"/>
  <c r="BF61" i="5" s="1"/>
  <c r="BF62" i="5" s="1"/>
  <c r="BF63" i="5" s="1"/>
  <c r="BF64" i="5" s="1"/>
  <c r="BF65" i="5" s="1"/>
  <c r="BF66" i="5" s="1"/>
  <c r="BF67" i="5" s="1"/>
  <c r="BF68" i="5" s="1"/>
  <c r="BF69" i="5" s="1"/>
  <c r="BF70" i="5" s="1"/>
  <c r="BF71" i="5" s="1"/>
  <c r="BF72" i="5" s="1"/>
  <c r="BF73" i="5" s="1"/>
  <c r="BF74" i="5" s="1"/>
  <c r="BF75" i="5" s="1"/>
  <c r="BF76" i="5" s="1"/>
  <c r="BF77" i="5" s="1"/>
  <c r="BF78" i="5" s="1"/>
  <c r="BF79" i="5" s="1"/>
  <c r="BF80" i="5" s="1"/>
  <c r="BF81" i="5" s="1"/>
  <c r="BF82" i="5" s="1"/>
  <c r="BF83" i="5" s="1"/>
  <c r="BF84" i="5" s="1"/>
  <c r="BF85" i="5" s="1"/>
  <c r="BF86" i="5" s="1"/>
  <c r="BF87" i="5" s="1"/>
  <c r="BF88" i="5" s="1"/>
  <c r="BF89" i="5" s="1"/>
  <c r="BF90" i="5" s="1"/>
  <c r="BF91" i="5" s="1"/>
  <c r="BF92" i="5" s="1"/>
  <c r="BF93" i="5" s="1"/>
  <c r="BF94" i="5" s="1"/>
  <c r="BF95" i="5" s="1"/>
  <c r="BF96" i="5" s="1"/>
  <c r="BF97" i="5" s="1"/>
  <c r="BF98" i="5" s="1"/>
  <c r="BF99" i="5" s="1"/>
  <c r="BF100" i="5" s="1"/>
  <c r="BF101" i="5" s="1"/>
  <c r="BF102" i="5" s="1"/>
  <c r="BF103" i="5" s="1"/>
  <c r="BF104" i="5" s="1"/>
  <c r="BF105" i="5" s="1"/>
  <c r="BF106" i="5" s="1"/>
  <c r="BF107" i="5" s="1"/>
  <c r="BF108" i="5" s="1"/>
  <c r="BF109" i="5" s="1"/>
  <c r="BF110" i="5" s="1"/>
  <c r="BF111" i="5" s="1"/>
  <c r="BF112" i="5" s="1"/>
  <c r="BF113" i="5" s="1"/>
  <c r="BF114" i="5" s="1"/>
  <c r="BF115" i="5" s="1"/>
  <c r="BF116" i="5" s="1"/>
  <c r="BF117" i="5" s="1"/>
  <c r="BF118" i="5" s="1"/>
  <c r="BF119" i="5" s="1"/>
  <c r="BF120" i="5" s="1"/>
  <c r="BF121" i="5" s="1"/>
  <c r="BF122" i="5" s="1"/>
  <c r="BF123" i="5" s="1"/>
  <c r="BF124" i="5" s="1"/>
  <c r="BF125" i="5" s="1"/>
  <c r="BF126" i="5" s="1"/>
  <c r="BF127" i="5" s="1"/>
  <c r="BF128" i="5" s="1"/>
  <c r="BF129" i="5" s="1"/>
  <c r="BF130" i="5" s="1"/>
  <c r="BF131" i="5" s="1"/>
  <c r="BF132" i="5" s="1"/>
  <c r="BF133" i="5" s="1"/>
  <c r="BF134" i="5" s="1"/>
  <c r="BF135" i="5" s="1"/>
  <c r="BE3" i="5"/>
  <c r="BD4" i="5"/>
  <c r="BD5" i="5" s="1"/>
  <c r="BD6" i="5" s="1"/>
  <c r="BD7" i="5" s="1"/>
  <c r="BD8" i="5" s="1"/>
  <c r="BD9" i="5" s="1"/>
  <c r="BD10" i="5" s="1"/>
  <c r="BD11" i="5" s="1"/>
  <c r="BD12" i="5" s="1"/>
  <c r="BD13" i="5" s="1"/>
  <c r="BD14" i="5" s="1"/>
  <c r="BD15" i="5" s="1"/>
  <c r="BD16" i="5" s="1"/>
  <c r="BD17" i="5" s="1"/>
  <c r="BD18" i="5" s="1"/>
  <c r="BD19" i="5" s="1"/>
  <c r="BD20" i="5" s="1"/>
  <c r="BD21" i="5" s="1"/>
  <c r="BD22" i="5" s="1"/>
  <c r="BD23" i="5" s="1"/>
  <c r="BD24" i="5" s="1"/>
  <c r="BD25" i="5" s="1"/>
  <c r="BD26" i="5" s="1"/>
  <c r="BD27" i="5" s="1"/>
  <c r="BD28" i="5" s="1"/>
  <c r="BD29" i="5" s="1"/>
  <c r="BD30" i="5" s="1"/>
  <c r="BD31" i="5" s="1"/>
  <c r="BD32" i="5" s="1"/>
  <c r="BD33" i="5" s="1"/>
  <c r="BD34" i="5" s="1"/>
  <c r="BD35" i="5" s="1"/>
  <c r="BD36" i="5" s="1"/>
  <c r="BD37" i="5" s="1"/>
  <c r="BD38" i="5" s="1"/>
  <c r="BD39" i="5" s="1"/>
  <c r="BD40" i="5" s="1"/>
  <c r="BD41" i="5" s="1"/>
  <c r="BD42" i="5" s="1"/>
  <c r="BD43" i="5" s="1"/>
  <c r="BD44" i="5" s="1"/>
  <c r="BD45" i="5" s="1"/>
  <c r="BD46" i="5" s="1"/>
  <c r="BD47" i="5" s="1"/>
  <c r="BD48" i="5" s="1"/>
  <c r="BD49" i="5" s="1"/>
  <c r="BD50" i="5" s="1"/>
  <c r="BD51" i="5" s="1"/>
  <c r="BD52" i="5" s="1"/>
  <c r="BD53" i="5" s="1"/>
  <c r="BD54" i="5" s="1"/>
  <c r="BD55" i="5" s="1"/>
  <c r="BD56" i="5" s="1"/>
  <c r="BD57" i="5" s="1"/>
  <c r="BD58" i="5" s="1"/>
  <c r="BD59" i="5" s="1"/>
  <c r="BD60" i="5" s="1"/>
  <c r="BD61" i="5" s="1"/>
  <c r="BD62" i="5" s="1"/>
  <c r="BD63" i="5" s="1"/>
  <c r="BD64" i="5" s="1"/>
  <c r="BD65" i="5" s="1"/>
  <c r="BD66" i="5" s="1"/>
  <c r="BD67" i="5" s="1"/>
  <c r="BD68" i="5" s="1"/>
  <c r="BD69" i="5" s="1"/>
  <c r="BD70" i="5" s="1"/>
  <c r="BD71" i="5" s="1"/>
  <c r="BD72" i="5" s="1"/>
  <c r="BD73" i="5" s="1"/>
  <c r="BD74" i="5" s="1"/>
  <c r="BD75" i="5" s="1"/>
  <c r="BD76" i="5" s="1"/>
  <c r="BD77" i="5" s="1"/>
  <c r="BD78" i="5" s="1"/>
  <c r="BD79" i="5" s="1"/>
  <c r="BD80" i="5" s="1"/>
  <c r="BD81" i="5" s="1"/>
  <c r="BD82" i="5" s="1"/>
  <c r="BD83" i="5" s="1"/>
  <c r="BD84" i="5" s="1"/>
  <c r="BD85" i="5" s="1"/>
  <c r="BD86" i="5" s="1"/>
  <c r="BD87" i="5" s="1"/>
  <c r="BD88" i="5" s="1"/>
  <c r="BD89" i="5" s="1"/>
  <c r="BD90" i="5" s="1"/>
  <c r="BD91" i="5" s="1"/>
  <c r="BD92" i="5" s="1"/>
  <c r="BD93" i="5" s="1"/>
  <c r="BD94" i="5" s="1"/>
  <c r="BD95" i="5" s="1"/>
  <c r="BD96" i="5" s="1"/>
  <c r="BD97" i="5" s="1"/>
  <c r="BD98" i="5" s="1"/>
  <c r="BD99" i="5" s="1"/>
  <c r="BD100" i="5" s="1"/>
  <c r="BD101" i="5" s="1"/>
  <c r="BD102" i="5" s="1"/>
  <c r="BD103" i="5" s="1"/>
  <c r="BD104" i="5" s="1"/>
  <c r="BD105" i="5" s="1"/>
  <c r="BD106" i="5" s="1"/>
  <c r="BD107" i="5" s="1"/>
  <c r="BD108" i="5" s="1"/>
  <c r="BD109" i="5" s="1"/>
  <c r="BD110" i="5" s="1"/>
  <c r="BD111" i="5" s="1"/>
  <c r="BD112" i="5" s="1"/>
  <c r="BD113" i="5" s="1"/>
  <c r="BD114" i="5" s="1"/>
  <c r="BD115" i="5" s="1"/>
  <c r="BD116" i="5" s="1"/>
  <c r="BD117" i="5" s="1"/>
  <c r="BD118" i="5" s="1"/>
  <c r="BD119" i="5" s="1"/>
  <c r="BD120" i="5" s="1"/>
  <c r="BD121" i="5" s="1"/>
  <c r="BD122" i="5" s="1"/>
  <c r="BD123" i="5" s="1"/>
  <c r="BD124" i="5" s="1"/>
  <c r="BD125" i="5" s="1"/>
  <c r="BD126" i="5" s="1"/>
  <c r="BD127" i="5" s="1"/>
  <c r="BD128" i="5" s="1"/>
  <c r="BD129" i="5" s="1"/>
  <c r="BD130" i="5" s="1"/>
  <c r="BD131" i="5" s="1"/>
  <c r="BD132" i="5" s="1"/>
  <c r="BD133" i="5" s="1"/>
  <c r="BD134" i="5" s="1"/>
  <c r="BD135" i="5" s="1"/>
  <c r="BC3" i="5"/>
  <c r="BB3" i="5"/>
  <c r="BB4" i="5" s="1"/>
  <c r="BB5" i="5" s="1"/>
  <c r="BB6" i="5" s="1"/>
  <c r="BB7" i="5" s="1"/>
  <c r="BB8" i="5" s="1"/>
  <c r="BB9" i="5" s="1"/>
  <c r="BB10" i="5" s="1"/>
  <c r="BB11" i="5" s="1"/>
  <c r="BB12" i="5" s="1"/>
  <c r="BB13" i="5" s="1"/>
  <c r="BB14" i="5" s="1"/>
  <c r="BB15" i="5" s="1"/>
  <c r="BB16" i="5" s="1"/>
  <c r="BB17" i="5" s="1"/>
  <c r="BB18" i="5" s="1"/>
  <c r="BB19" i="5" s="1"/>
  <c r="BB20" i="5" s="1"/>
  <c r="BB21" i="5" s="1"/>
  <c r="BB22" i="5" s="1"/>
  <c r="BB23" i="5" s="1"/>
  <c r="BB24" i="5" s="1"/>
  <c r="BB25" i="5" s="1"/>
  <c r="BB26" i="5" s="1"/>
  <c r="BB27" i="5" s="1"/>
  <c r="BB28" i="5" s="1"/>
  <c r="BB29" i="5" s="1"/>
  <c r="BB30" i="5" s="1"/>
  <c r="BB31" i="5" s="1"/>
  <c r="BB32" i="5" s="1"/>
  <c r="BB33" i="5" s="1"/>
  <c r="BB34" i="5" s="1"/>
  <c r="BB35" i="5" s="1"/>
  <c r="BB36" i="5" s="1"/>
  <c r="BB37" i="5" s="1"/>
  <c r="BB38" i="5" s="1"/>
  <c r="BB39" i="5" s="1"/>
  <c r="BB40" i="5" s="1"/>
  <c r="BB41" i="5" s="1"/>
  <c r="BB42" i="5" s="1"/>
  <c r="BB43" i="5" s="1"/>
  <c r="BB44" i="5" s="1"/>
  <c r="BB45" i="5" s="1"/>
  <c r="BB46" i="5" s="1"/>
  <c r="BB47" i="5" s="1"/>
  <c r="BB48" i="5" s="1"/>
  <c r="BB49" i="5" s="1"/>
  <c r="BB50" i="5" s="1"/>
  <c r="BB51" i="5" s="1"/>
  <c r="BB52" i="5" s="1"/>
  <c r="BB53" i="5" s="1"/>
  <c r="BB54" i="5" s="1"/>
  <c r="BB55" i="5" s="1"/>
  <c r="BB56" i="5" s="1"/>
  <c r="BB57" i="5" s="1"/>
  <c r="BB58" i="5" s="1"/>
  <c r="BB59" i="5" s="1"/>
  <c r="BB60" i="5" s="1"/>
  <c r="BB61" i="5" s="1"/>
  <c r="BB62" i="5" s="1"/>
  <c r="BB63" i="5" s="1"/>
  <c r="BB64" i="5" s="1"/>
  <c r="BB65" i="5" s="1"/>
  <c r="BB66" i="5" s="1"/>
  <c r="BB67" i="5" s="1"/>
  <c r="BB68" i="5" s="1"/>
  <c r="BB69" i="5" s="1"/>
  <c r="BB70" i="5" s="1"/>
  <c r="BB71" i="5" s="1"/>
  <c r="BB72" i="5" s="1"/>
  <c r="BB73" i="5" s="1"/>
  <c r="BB74" i="5" s="1"/>
  <c r="BB75" i="5" s="1"/>
  <c r="BB76" i="5" s="1"/>
  <c r="BB77" i="5" s="1"/>
  <c r="BB78" i="5" s="1"/>
  <c r="BB79" i="5" s="1"/>
  <c r="BB80" i="5" s="1"/>
  <c r="BB81" i="5" s="1"/>
  <c r="BB82" i="5" s="1"/>
  <c r="BB83" i="5" s="1"/>
  <c r="BB84" i="5" s="1"/>
  <c r="BB85" i="5" s="1"/>
  <c r="BB86" i="5" s="1"/>
  <c r="BB87" i="5" s="1"/>
  <c r="BB88" i="5" s="1"/>
  <c r="BB89" i="5" s="1"/>
  <c r="BB90" i="5" s="1"/>
  <c r="BB91" i="5" s="1"/>
  <c r="BB92" i="5" s="1"/>
  <c r="BB93" i="5" s="1"/>
  <c r="BB94" i="5" s="1"/>
  <c r="BB95" i="5" s="1"/>
  <c r="BB96" i="5" s="1"/>
  <c r="BB97" i="5" s="1"/>
  <c r="BB98" i="5" s="1"/>
  <c r="BB99" i="5" s="1"/>
  <c r="BB100" i="5" s="1"/>
  <c r="BB101" i="5" s="1"/>
  <c r="BB102" i="5" s="1"/>
  <c r="BB103" i="5" s="1"/>
  <c r="BB104" i="5" s="1"/>
  <c r="BB105" i="5" s="1"/>
  <c r="BB106" i="5" s="1"/>
  <c r="BB107" i="5" s="1"/>
  <c r="BB108" i="5" s="1"/>
  <c r="BB109" i="5" s="1"/>
  <c r="BB110" i="5" s="1"/>
  <c r="BB111" i="5" s="1"/>
  <c r="BB112" i="5" s="1"/>
  <c r="BB113" i="5" s="1"/>
  <c r="BB114" i="5" s="1"/>
  <c r="BB115" i="5" s="1"/>
  <c r="BB116" i="5" s="1"/>
  <c r="BB117" i="5" s="1"/>
  <c r="BB118" i="5" s="1"/>
  <c r="BB119" i="5" s="1"/>
  <c r="BB120" i="5" s="1"/>
  <c r="BB121" i="5" s="1"/>
  <c r="BB122" i="5" s="1"/>
  <c r="BB123" i="5" s="1"/>
  <c r="BB124" i="5" s="1"/>
  <c r="BB125" i="5" s="1"/>
  <c r="BB126" i="5" s="1"/>
  <c r="BB127" i="5" s="1"/>
  <c r="BB128" i="5" s="1"/>
  <c r="BB129" i="5" s="1"/>
  <c r="BB130" i="5" s="1"/>
  <c r="BB131" i="5" s="1"/>
  <c r="BB132" i="5" s="1"/>
  <c r="BB133" i="5" s="1"/>
  <c r="BB134" i="5" s="1"/>
  <c r="BB135" i="5" s="1"/>
  <c r="BA3" i="5"/>
  <c r="BA4" i="5" s="1"/>
  <c r="AZ3" i="5"/>
  <c r="AY3" i="5"/>
  <c r="AY4" i="5" s="1"/>
  <c r="AY5" i="5" s="1"/>
  <c r="AY6" i="5" s="1"/>
  <c r="AX3" i="5"/>
  <c r="AX4" i="5" s="1"/>
  <c r="Y135" i="1"/>
  <c r="O3" i="1"/>
  <c r="E15" i="4"/>
  <c r="CM3" i="11" s="1"/>
  <c r="AE135" i="9"/>
  <c r="AE134" i="9"/>
  <c r="AE133" i="9"/>
  <c r="AE132" i="9"/>
  <c r="AE131" i="9"/>
  <c r="AE130" i="9"/>
  <c r="AE129" i="9"/>
  <c r="AE128" i="9"/>
  <c r="AE127" i="9"/>
  <c r="AE126" i="9"/>
  <c r="AE125" i="9"/>
  <c r="AE124" i="9"/>
  <c r="AE123" i="9"/>
  <c r="AE122" i="9"/>
  <c r="AE121" i="9"/>
  <c r="AE120" i="9"/>
  <c r="AE119" i="9"/>
  <c r="AE118" i="9"/>
  <c r="AE117" i="9"/>
  <c r="AE116" i="9"/>
  <c r="AE115" i="9"/>
  <c r="AE114" i="9"/>
  <c r="AE113" i="9"/>
  <c r="AE112" i="9"/>
  <c r="AE111" i="9"/>
  <c r="AE110" i="9"/>
  <c r="AE109" i="9"/>
  <c r="AE108" i="9"/>
  <c r="AE107" i="9"/>
  <c r="AE106" i="9"/>
  <c r="AE105" i="9"/>
  <c r="AE104" i="9"/>
  <c r="AE103" i="9"/>
  <c r="AE102" i="9"/>
  <c r="AE101" i="9"/>
  <c r="AE100" i="9"/>
  <c r="AE99" i="9"/>
  <c r="AE98" i="9"/>
  <c r="AE97" i="9"/>
  <c r="AE96" i="9"/>
  <c r="AE95" i="9"/>
  <c r="AE94" i="9"/>
  <c r="AE93" i="9"/>
  <c r="AE92" i="9"/>
  <c r="AE91" i="9"/>
  <c r="AE90" i="9"/>
  <c r="AE89" i="9"/>
  <c r="AE88" i="9"/>
  <c r="AE87" i="9"/>
  <c r="AE86" i="9"/>
  <c r="AE85" i="9"/>
  <c r="AE84" i="9"/>
  <c r="AE83" i="9"/>
  <c r="AE82" i="9"/>
  <c r="AE81" i="9"/>
  <c r="AE80" i="9"/>
  <c r="AE79" i="9"/>
  <c r="AE78" i="9"/>
  <c r="AE77" i="9"/>
  <c r="AE76" i="9"/>
  <c r="AE75" i="9"/>
  <c r="AE74" i="9"/>
  <c r="AE73" i="9"/>
  <c r="AE72" i="9"/>
  <c r="AE71" i="9"/>
  <c r="AE70" i="9"/>
  <c r="AE69" i="9"/>
  <c r="AE68" i="9"/>
  <c r="AE67" i="9"/>
  <c r="AE66" i="9"/>
  <c r="AE65" i="9"/>
  <c r="AE64" i="9"/>
  <c r="AE63" i="9"/>
  <c r="AE62" i="9"/>
  <c r="AE61" i="9"/>
  <c r="AE60" i="9"/>
  <c r="AE59" i="9"/>
  <c r="AE58" i="9"/>
  <c r="AE57" i="9"/>
  <c r="AE56" i="9"/>
  <c r="AE55" i="9"/>
  <c r="AE54" i="9"/>
  <c r="AE53" i="9"/>
  <c r="AE52" i="9"/>
  <c r="AE51" i="9"/>
  <c r="AE50" i="9"/>
  <c r="AE49" i="9"/>
  <c r="AE48" i="9"/>
  <c r="AE47" i="9"/>
  <c r="AE46" i="9"/>
  <c r="AE45" i="9"/>
  <c r="AE44" i="9"/>
  <c r="AE43" i="9"/>
  <c r="AE42" i="9"/>
  <c r="AE41" i="9"/>
  <c r="AE40" i="9"/>
  <c r="AE39" i="9"/>
  <c r="AE38" i="9"/>
  <c r="AE37" i="9"/>
  <c r="AE36" i="9"/>
  <c r="AE35" i="9"/>
  <c r="AE34" i="9"/>
  <c r="AE33" i="9"/>
  <c r="AE32" i="9"/>
  <c r="AE31" i="9"/>
  <c r="AE30" i="9"/>
  <c r="AE29" i="9"/>
  <c r="AE28" i="9"/>
  <c r="AE27" i="9"/>
  <c r="AE26" i="9"/>
  <c r="AE25" i="9"/>
  <c r="AE24" i="9"/>
  <c r="AE23" i="9"/>
  <c r="AE22" i="9"/>
  <c r="AE21" i="9"/>
  <c r="AE20" i="9"/>
  <c r="AE19" i="9"/>
  <c r="AE18" i="9"/>
  <c r="AE17" i="9"/>
  <c r="AE16" i="9"/>
  <c r="AE14" i="9"/>
  <c r="AE13" i="9"/>
  <c r="AE12" i="9"/>
  <c r="AE11" i="9"/>
  <c r="AE10" i="9"/>
  <c r="AE9" i="9"/>
  <c r="AE8" i="9"/>
  <c r="AE7" i="9"/>
  <c r="AE6" i="9"/>
  <c r="AE5" i="9"/>
  <c r="AE4" i="9"/>
  <c r="AE3" i="9"/>
  <c r="D3" i="9" s="1"/>
  <c r="AE15" i="9"/>
  <c r="D28" i="4"/>
  <c r="F3" i="12"/>
  <c r="E3" i="12" s="1"/>
  <c r="J3" i="12"/>
  <c r="C4" i="12"/>
  <c r="C5" i="12" s="1"/>
  <c r="C6" i="12" s="1"/>
  <c r="C7" i="12" s="1"/>
  <c r="C8" i="12" s="1"/>
  <c r="C9" i="12" s="1"/>
  <c r="C10" i="12" s="1"/>
  <c r="C11" i="12" s="1"/>
  <c r="C12" i="12" s="1"/>
  <c r="C13" i="12" s="1"/>
  <c r="C14" i="12" s="1"/>
  <c r="C15" i="12" s="1"/>
  <c r="C16" i="12" s="1"/>
  <c r="C17" i="12" s="1"/>
  <c r="D4" i="12"/>
  <c r="F4" i="12" s="1"/>
  <c r="E4" i="12" s="1"/>
  <c r="I4" i="12"/>
  <c r="I5" i="12" s="1"/>
  <c r="J4" i="12"/>
  <c r="B9" i="12"/>
  <c r="B13" i="12"/>
  <c r="M22" i="12"/>
  <c r="C23" i="12"/>
  <c r="E24" i="12"/>
  <c r="I24" i="12" s="1"/>
  <c r="F24" i="12"/>
  <c r="I25" i="12"/>
  <c r="M25" i="12"/>
  <c r="C26" i="12"/>
  <c r="M26" i="12"/>
  <c r="K27" i="12"/>
  <c r="K28" i="12"/>
  <c r="K22" i="12" s="1"/>
  <c r="C34" i="12"/>
  <c r="I35" i="12"/>
  <c r="I36" i="12"/>
  <c r="M37" i="12"/>
  <c r="K38" i="12"/>
  <c r="K33" i="12" s="1"/>
  <c r="K39" i="12"/>
  <c r="F52" i="12"/>
  <c r="E52" i="12"/>
  <c r="F53" i="12"/>
  <c r="E53" i="12" s="1"/>
  <c r="F54" i="12"/>
  <c r="E54" i="12" s="1"/>
  <c r="F55" i="12"/>
  <c r="E55" i="12" s="1"/>
  <c r="C65" i="6"/>
  <c r="A69" i="6"/>
  <c r="C79" i="6"/>
  <c r="C92" i="6" s="1"/>
  <c r="C80" i="6"/>
  <c r="B106" i="6"/>
  <c r="C3" i="5"/>
  <c r="M3" i="5"/>
  <c r="C4" i="5"/>
  <c r="DH4" i="5"/>
  <c r="DH5" i="5" s="1"/>
  <c r="DH6" i="5" s="1"/>
  <c r="DH7" i="5" s="1"/>
  <c r="DH8" i="5" s="1"/>
  <c r="DH9" i="5" s="1"/>
  <c r="DH10" i="5" s="1"/>
  <c r="DH11" i="5" s="1"/>
  <c r="DH12" i="5" s="1"/>
  <c r="DH13" i="5" s="1"/>
  <c r="DH14" i="5" s="1"/>
  <c r="DH15" i="5" s="1"/>
  <c r="DH16" i="5" s="1"/>
  <c r="DH17" i="5" s="1"/>
  <c r="DH18" i="5" s="1"/>
  <c r="DH19" i="5" s="1"/>
  <c r="DH20" i="5" s="1"/>
  <c r="DH21" i="5" s="1"/>
  <c r="DH22" i="5" s="1"/>
  <c r="DH23" i="5" s="1"/>
  <c r="DH24" i="5" s="1"/>
  <c r="DH25" i="5" s="1"/>
  <c r="DH26" i="5" s="1"/>
  <c r="DH27" i="5" s="1"/>
  <c r="DH28" i="5" s="1"/>
  <c r="DH29" i="5" s="1"/>
  <c r="DH30" i="5" s="1"/>
  <c r="DH31" i="5" s="1"/>
  <c r="DH32" i="5" s="1"/>
  <c r="DH33" i="5" s="1"/>
  <c r="DH34" i="5" s="1"/>
  <c r="DH35" i="5" s="1"/>
  <c r="DH36" i="5" s="1"/>
  <c r="DH37" i="5" s="1"/>
  <c r="DH38" i="5" s="1"/>
  <c r="DH39" i="5" s="1"/>
  <c r="DH40" i="5" s="1"/>
  <c r="DH41" i="5" s="1"/>
  <c r="DH42" i="5" s="1"/>
  <c r="DH43" i="5" s="1"/>
  <c r="DH44" i="5" s="1"/>
  <c r="DH45" i="5" s="1"/>
  <c r="DH46" i="5" s="1"/>
  <c r="DH47" i="5" s="1"/>
  <c r="DH48" i="5" s="1"/>
  <c r="DH49" i="5" s="1"/>
  <c r="DH50" i="5" s="1"/>
  <c r="DH51" i="5" s="1"/>
  <c r="DH52" i="5" s="1"/>
  <c r="DH53" i="5" s="1"/>
  <c r="DH54" i="5" s="1"/>
  <c r="DH55" i="5" s="1"/>
  <c r="DH56" i="5" s="1"/>
  <c r="DH57" i="5" s="1"/>
  <c r="DH58" i="5" s="1"/>
  <c r="DH59" i="5" s="1"/>
  <c r="DH60" i="5" s="1"/>
  <c r="DH61" i="5" s="1"/>
  <c r="DH62" i="5" s="1"/>
  <c r="DH63" i="5" s="1"/>
  <c r="DH64" i="5" s="1"/>
  <c r="DH65" i="5" s="1"/>
  <c r="DH66" i="5" s="1"/>
  <c r="DH67" i="5" s="1"/>
  <c r="DH68" i="5" s="1"/>
  <c r="DH69" i="5" s="1"/>
  <c r="DH70" i="5" s="1"/>
  <c r="DH71" i="5" s="1"/>
  <c r="DH72" i="5" s="1"/>
  <c r="DH73" i="5" s="1"/>
  <c r="DH74" i="5" s="1"/>
  <c r="DH75" i="5" s="1"/>
  <c r="DH76" i="5" s="1"/>
  <c r="DH77" i="5" s="1"/>
  <c r="DH78" i="5" s="1"/>
  <c r="DH79" i="5" s="1"/>
  <c r="DH80" i="5" s="1"/>
  <c r="DH81" i="5" s="1"/>
  <c r="DH82" i="5" s="1"/>
  <c r="DH83" i="5" s="1"/>
  <c r="DH84" i="5" s="1"/>
  <c r="DH85" i="5" s="1"/>
  <c r="DH86" i="5" s="1"/>
  <c r="DH87" i="5" s="1"/>
  <c r="DH88" i="5" s="1"/>
  <c r="DH89" i="5" s="1"/>
  <c r="DH90" i="5" s="1"/>
  <c r="DH91" i="5" s="1"/>
  <c r="DH92" i="5" s="1"/>
  <c r="DH93" i="5" s="1"/>
  <c r="DH94" i="5" s="1"/>
  <c r="DH95" i="5" s="1"/>
  <c r="DH96" i="5" s="1"/>
  <c r="DH97" i="5" s="1"/>
  <c r="DH98" i="5" s="1"/>
  <c r="DH99" i="5" s="1"/>
  <c r="DH100" i="5" s="1"/>
  <c r="DH101" i="5" s="1"/>
  <c r="DH102" i="5" s="1"/>
  <c r="DH103" i="5" s="1"/>
  <c r="DH104" i="5" s="1"/>
  <c r="DH105" i="5" s="1"/>
  <c r="DH106" i="5" s="1"/>
  <c r="DH107" i="5" s="1"/>
  <c r="DH108" i="5" s="1"/>
  <c r="DH109" i="5" s="1"/>
  <c r="DH110" i="5" s="1"/>
  <c r="DH111" i="5" s="1"/>
  <c r="DH112" i="5" s="1"/>
  <c r="DH113" i="5" s="1"/>
  <c r="DH114" i="5" s="1"/>
  <c r="DH115" i="5" s="1"/>
  <c r="DH116" i="5" s="1"/>
  <c r="DH117" i="5" s="1"/>
  <c r="DH118" i="5" s="1"/>
  <c r="DH119" i="5" s="1"/>
  <c r="DH120" i="5" s="1"/>
  <c r="DH121" i="5" s="1"/>
  <c r="DH122" i="5" s="1"/>
  <c r="DH123" i="5" s="1"/>
  <c r="DH124" i="5" s="1"/>
  <c r="DH125" i="5" s="1"/>
  <c r="DH126" i="5" s="1"/>
  <c r="DH127" i="5" s="1"/>
  <c r="DH128" i="5" s="1"/>
  <c r="DH129" i="5" s="1"/>
  <c r="DH130" i="5" s="1"/>
  <c r="DH131" i="5" s="1"/>
  <c r="DH132" i="5" s="1"/>
  <c r="DH133" i="5" s="1"/>
  <c r="DH134" i="5" s="1"/>
  <c r="DH135" i="5" s="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Q41" i="5"/>
  <c r="C42" i="5"/>
  <c r="C43" i="5"/>
  <c r="C44" i="5"/>
  <c r="C45" i="5"/>
  <c r="C46" i="5"/>
  <c r="C47" i="5"/>
  <c r="C48" i="5"/>
  <c r="C49" i="5"/>
  <c r="C50" i="5"/>
  <c r="C51" i="5"/>
  <c r="CV51" i="5"/>
  <c r="C52" i="5"/>
  <c r="C53" i="5"/>
  <c r="C54" i="5"/>
  <c r="C55" i="5"/>
  <c r="C56" i="5"/>
  <c r="C57" i="5"/>
  <c r="C58" i="5"/>
  <c r="C59" i="5"/>
  <c r="C60" i="5"/>
  <c r="C61" i="5"/>
  <c r="C62" i="5"/>
  <c r="C63" i="5"/>
  <c r="C64" i="5"/>
  <c r="C65" i="5"/>
  <c r="CV65" i="5"/>
  <c r="C66" i="5"/>
  <c r="C67" i="5"/>
  <c r="C68" i="5"/>
  <c r="C69" i="5"/>
  <c r="C70" i="5"/>
  <c r="C71" i="5"/>
  <c r="C72" i="5"/>
  <c r="C73" i="5"/>
  <c r="C74" i="5"/>
  <c r="C75" i="5"/>
  <c r="B65" i="4" s="1"/>
  <c r="E67" i="4" s="1"/>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V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3" i="7"/>
  <c r="R75" i="7"/>
  <c r="R76" i="7"/>
  <c r="R77" i="7"/>
  <c r="R78" i="7" s="1"/>
  <c r="R79" i="7" s="1"/>
  <c r="R80" i="7" s="1"/>
  <c r="R81" i="7" s="1"/>
  <c r="R82" i="7" s="1"/>
  <c r="R83" i="7" s="1"/>
  <c r="R84" i="7" s="1"/>
  <c r="R85" i="7" s="1"/>
  <c r="R86" i="7" s="1"/>
  <c r="R87" i="7" s="1"/>
  <c r="R88" i="7" s="1"/>
  <c r="R89" i="7" s="1"/>
  <c r="R90" i="7" s="1"/>
  <c r="R91" i="7" s="1"/>
  <c r="R92" i="7" s="1"/>
  <c r="R93" i="7" s="1"/>
  <c r="R94" i="7" s="1"/>
  <c r="R95" i="7" s="1"/>
  <c r="R96" i="7" s="1"/>
  <c r="R97" i="7" s="1"/>
  <c r="R98" i="7" s="1"/>
  <c r="R99" i="7" s="1"/>
  <c r="R100" i="7" s="1"/>
  <c r="R101" i="7" s="1"/>
  <c r="R102" i="7" s="1"/>
  <c r="R103" i="7" s="1"/>
  <c r="R104" i="7" s="1"/>
  <c r="R105" i="7" s="1"/>
  <c r="R106" i="7" s="1"/>
  <c r="R107" i="7" s="1"/>
  <c r="R108" i="7" s="1"/>
  <c r="R109" i="7" s="1"/>
  <c r="R110" i="7" s="1"/>
  <c r="R111" i="7" s="1"/>
  <c r="R112" i="7" s="1"/>
  <c r="R113" i="7" s="1"/>
  <c r="R114" i="7" s="1"/>
  <c r="R115" i="7" s="1"/>
  <c r="R116" i="7" s="1"/>
  <c r="R117" i="7" s="1"/>
  <c r="R118" i="7" s="1"/>
  <c r="R119" i="7" s="1"/>
  <c r="R120" i="7" s="1"/>
  <c r="R121" i="7" s="1"/>
  <c r="R122" i="7" s="1"/>
  <c r="R123" i="7" s="1"/>
  <c r="R124" i="7" s="1"/>
  <c r="R125" i="7" s="1"/>
  <c r="R126" i="7" s="1"/>
  <c r="R127" i="7" s="1"/>
  <c r="R128" i="7" s="1"/>
  <c r="R129" i="7" s="1"/>
  <c r="R130" i="7" s="1"/>
  <c r="R131" i="7" s="1"/>
  <c r="R132" i="7" s="1"/>
  <c r="R133" i="7" s="1"/>
  <c r="R134" i="7" s="1"/>
  <c r="R135" i="7" s="1"/>
  <c r="K3" i="11"/>
  <c r="AQ3" i="11"/>
  <c r="AR3" i="11"/>
  <c r="AS3" i="11"/>
  <c r="AT3" i="11"/>
  <c r="AW3" i="11"/>
  <c r="AX3" i="11"/>
  <c r="AY3" i="11"/>
  <c r="BA3" i="11"/>
  <c r="BB3" i="11"/>
  <c r="BC3" i="11"/>
  <c r="BD3" i="11"/>
  <c r="BF3" i="11"/>
  <c r="BG3" i="11"/>
  <c r="BH3" i="11"/>
  <c r="BI3" i="11"/>
  <c r="BK3" i="11"/>
  <c r="BL3" i="11"/>
  <c r="BM3" i="11"/>
  <c r="BN3" i="11"/>
  <c r="BP3" i="11"/>
  <c r="BQ3" i="11"/>
  <c r="BR3" i="11"/>
  <c r="BS3" i="11"/>
  <c r="BU3" i="11"/>
  <c r="BV3" i="11"/>
  <c r="BW3" i="11"/>
  <c r="BX3" i="11"/>
  <c r="CJ3" i="11"/>
  <c r="M3" i="11" s="1"/>
  <c r="CK3" i="11" s="1"/>
  <c r="AQ4" i="11"/>
  <c r="AR4" i="11"/>
  <c r="AS4" i="11"/>
  <c r="AT4" i="11"/>
  <c r="AX4" i="1" s="1"/>
  <c r="AV4" i="11"/>
  <c r="AW4" i="11"/>
  <c r="AX4" i="11"/>
  <c r="AY4" i="11"/>
  <c r="BA4" i="11"/>
  <c r="BB4" i="11"/>
  <c r="BC4" i="11"/>
  <c r="BD4" i="11"/>
  <c r="BF4" i="11"/>
  <c r="BG4" i="11"/>
  <c r="BH4" i="11"/>
  <c r="BI4" i="11"/>
  <c r="BK4" i="11"/>
  <c r="BL4" i="11"/>
  <c r="BM4" i="11"/>
  <c r="BN4" i="11"/>
  <c r="BP4" i="11"/>
  <c r="BQ4" i="11"/>
  <c r="BR4" i="11"/>
  <c r="BS4" i="11"/>
  <c r="BU4" i="11"/>
  <c r="BV4" i="11"/>
  <c r="BW4" i="11"/>
  <c r="BX4" i="11"/>
  <c r="CJ4" i="11"/>
  <c r="M4" i="11" s="1"/>
  <c r="CK4" i="11" s="1"/>
  <c r="AQ5" i="11"/>
  <c r="AR5" i="11"/>
  <c r="AS5" i="11"/>
  <c r="AT5" i="11"/>
  <c r="AV5" i="11"/>
  <c r="AW5" i="11"/>
  <c r="AX5" i="11"/>
  <c r="AY5" i="11"/>
  <c r="BA5" i="11"/>
  <c r="BB5" i="11"/>
  <c r="BC5" i="11"/>
  <c r="BD5" i="11"/>
  <c r="BF5" i="11"/>
  <c r="BG5" i="11"/>
  <c r="BH5" i="11"/>
  <c r="BI5" i="11"/>
  <c r="BK5" i="11"/>
  <c r="BL5" i="11"/>
  <c r="BM5" i="11"/>
  <c r="BN5" i="11"/>
  <c r="BP5" i="11"/>
  <c r="BQ5" i="11"/>
  <c r="BR5" i="11"/>
  <c r="BS5" i="11"/>
  <c r="BU5" i="11"/>
  <c r="BV5" i="11"/>
  <c r="BW5" i="11"/>
  <c r="BX5" i="11"/>
  <c r="CJ5" i="11"/>
  <c r="M5" i="11" s="1"/>
  <c r="CK5" i="11" s="1"/>
  <c r="AQ6" i="11"/>
  <c r="AR6" i="11"/>
  <c r="AS6" i="11"/>
  <c r="AT6" i="11"/>
  <c r="AV6" i="11"/>
  <c r="AW6" i="11"/>
  <c r="AX6" i="11"/>
  <c r="AY6" i="11"/>
  <c r="BA6" i="11"/>
  <c r="BB6" i="11"/>
  <c r="BC6" i="11"/>
  <c r="BD6" i="11"/>
  <c r="BF6" i="11"/>
  <c r="BG6" i="11"/>
  <c r="BH6" i="11"/>
  <c r="BI6" i="11"/>
  <c r="BK6" i="11"/>
  <c r="BL6" i="11"/>
  <c r="BM6" i="11"/>
  <c r="BN6" i="11"/>
  <c r="BP6" i="11"/>
  <c r="BQ6" i="11"/>
  <c r="BR6" i="11"/>
  <c r="BS6" i="11"/>
  <c r="BU6" i="11"/>
  <c r="BV6" i="11"/>
  <c r="BW6" i="11"/>
  <c r="BX6" i="11"/>
  <c r="CJ6" i="11"/>
  <c r="M6" i="11" s="1"/>
  <c r="CK6" i="11" s="1"/>
  <c r="AQ7" i="11"/>
  <c r="AR7" i="11"/>
  <c r="AS7" i="11"/>
  <c r="AT7" i="11"/>
  <c r="AX7" i="1" s="1"/>
  <c r="AV7" i="11"/>
  <c r="AW7" i="11"/>
  <c r="AX7" i="11"/>
  <c r="AY7" i="11"/>
  <c r="BA7" i="11"/>
  <c r="BB7" i="11"/>
  <c r="BC7" i="11"/>
  <c r="BD7" i="11"/>
  <c r="BF7" i="11"/>
  <c r="BG7" i="11"/>
  <c r="BH7" i="11"/>
  <c r="BI7" i="11"/>
  <c r="BK7" i="11"/>
  <c r="BL7" i="11"/>
  <c r="BM7" i="11"/>
  <c r="BN7" i="11"/>
  <c r="BP7" i="11"/>
  <c r="BQ7" i="11"/>
  <c r="BR7" i="11"/>
  <c r="BS7" i="11"/>
  <c r="BU7" i="11"/>
  <c r="BV7" i="11"/>
  <c r="BW7" i="11"/>
  <c r="BX7" i="11"/>
  <c r="CJ7" i="11"/>
  <c r="M7" i="11" s="1"/>
  <c r="CK7" i="11" s="1"/>
  <c r="AQ8" i="11"/>
  <c r="AR8" i="11"/>
  <c r="AS8" i="11"/>
  <c r="AT8" i="11"/>
  <c r="AX8" i="1" s="1"/>
  <c r="AV8" i="11"/>
  <c r="AW8" i="11"/>
  <c r="AX8" i="11"/>
  <c r="AY8" i="11"/>
  <c r="BA8" i="11"/>
  <c r="BB8" i="11"/>
  <c r="BC8" i="11"/>
  <c r="BD8" i="11"/>
  <c r="BF8" i="11"/>
  <c r="BG8" i="11"/>
  <c r="BH8" i="11"/>
  <c r="BI8" i="11"/>
  <c r="BK8" i="11"/>
  <c r="BL8" i="11"/>
  <c r="BM8" i="11"/>
  <c r="BN8" i="11"/>
  <c r="BP8" i="11"/>
  <c r="BQ8" i="11"/>
  <c r="BR8" i="11"/>
  <c r="BS8" i="11"/>
  <c r="BU8" i="11"/>
  <c r="BV8" i="11"/>
  <c r="BW8" i="11"/>
  <c r="BX8" i="11"/>
  <c r="CJ8" i="11"/>
  <c r="M8" i="11" s="1"/>
  <c r="CK8" i="11" s="1"/>
  <c r="AQ9" i="11"/>
  <c r="AR9" i="11"/>
  <c r="AS9" i="11"/>
  <c r="AT9" i="11"/>
  <c r="AV9" i="11"/>
  <c r="AW9" i="11"/>
  <c r="AX9" i="11"/>
  <c r="AY9" i="11"/>
  <c r="BA9" i="11"/>
  <c r="BB9" i="11"/>
  <c r="BC9" i="11"/>
  <c r="BD9" i="11"/>
  <c r="BF9" i="11"/>
  <c r="BG9" i="11"/>
  <c r="BH9" i="11"/>
  <c r="BI9" i="11"/>
  <c r="BK9" i="11"/>
  <c r="BL9" i="11"/>
  <c r="BM9" i="11"/>
  <c r="BN9" i="11"/>
  <c r="BP9" i="11"/>
  <c r="BQ9" i="11"/>
  <c r="BR9" i="11"/>
  <c r="BS9" i="11"/>
  <c r="BU9" i="11"/>
  <c r="BV9" i="11"/>
  <c r="BW9" i="11"/>
  <c r="BX9" i="11"/>
  <c r="CJ9" i="11"/>
  <c r="M9" i="11" s="1"/>
  <c r="CK9" i="11" s="1"/>
  <c r="AQ10" i="11"/>
  <c r="AR10" i="11"/>
  <c r="AS10" i="11"/>
  <c r="AT10" i="11"/>
  <c r="AV10" i="11"/>
  <c r="AW10" i="11"/>
  <c r="AX10" i="11"/>
  <c r="AY10" i="11"/>
  <c r="BA10" i="11"/>
  <c r="BB10" i="11"/>
  <c r="BC10" i="11"/>
  <c r="BD10" i="11"/>
  <c r="BF10" i="11"/>
  <c r="BG10" i="11"/>
  <c r="BH10" i="11"/>
  <c r="BI10" i="11"/>
  <c r="BK10" i="11"/>
  <c r="BL10" i="11"/>
  <c r="BM10" i="11"/>
  <c r="BN10" i="11"/>
  <c r="BP10" i="11"/>
  <c r="BQ10" i="11"/>
  <c r="BR10" i="11"/>
  <c r="BS10" i="11"/>
  <c r="BU10" i="11"/>
  <c r="BV10" i="11"/>
  <c r="BW10" i="11"/>
  <c r="BX10" i="11"/>
  <c r="CJ10" i="11"/>
  <c r="M10" i="11" s="1"/>
  <c r="AQ11" i="11"/>
  <c r="AR11" i="11"/>
  <c r="AS11" i="11"/>
  <c r="AT11" i="11"/>
  <c r="AV11" i="11"/>
  <c r="AW11" i="11"/>
  <c r="AX11" i="11"/>
  <c r="AY11" i="11"/>
  <c r="BA11" i="11"/>
  <c r="BB11" i="11"/>
  <c r="BC11" i="11"/>
  <c r="BD11" i="11"/>
  <c r="BF11" i="11"/>
  <c r="BG11" i="11"/>
  <c r="BH11" i="11"/>
  <c r="BI11" i="11"/>
  <c r="BK11" i="11"/>
  <c r="BL11" i="11"/>
  <c r="BM11" i="11"/>
  <c r="BN11" i="11"/>
  <c r="BP11" i="11"/>
  <c r="BQ11" i="11"/>
  <c r="BR11" i="11"/>
  <c r="BS11" i="11"/>
  <c r="BU11" i="11"/>
  <c r="BV11" i="11"/>
  <c r="BW11" i="11"/>
  <c r="BX11" i="11"/>
  <c r="CJ11" i="11"/>
  <c r="M11" i="11" s="1"/>
  <c r="CK11" i="11" s="1"/>
  <c r="AQ12" i="11"/>
  <c r="AR12" i="11"/>
  <c r="AS12" i="11"/>
  <c r="AT12" i="11"/>
  <c r="AX12" i="1" s="1"/>
  <c r="AV12" i="11"/>
  <c r="AW12" i="11"/>
  <c r="AX12" i="11"/>
  <c r="AY12" i="11"/>
  <c r="BA12" i="11"/>
  <c r="BB12" i="11"/>
  <c r="BC12" i="11"/>
  <c r="BD12" i="11"/>
  <c r="BF12" i="11"/>
  <c r="BG12" i="11"/>
  <c r="BH12" i="11"/>
  <c r="BI12" i="11"/>
  <c r="BK12" i="11"/>
  <c r="BL12" i="11"/>
  <c r="BM12" i="11"/>
  <c r="BN12" i="11"/>
  <c r="BP12" i="11"/>
  <c r="BQ12" i="11"/>
  <c r="BR12" i="11"/>
  <c r="BS12" i="11"/>
  <c r="BU12" i="11"/>
  <c r="BV12" i="11"/>
  <c r="BW12" i="11"/>
  <c r="BX12" i="11"/>
  <c r="CJ12" i="11"/>
  <c r="M12" i="11" s="1"/>
  <c r="CK12" i="11" s="1"/>
  <c r="AQ13" i="11"/>
  <c r="AR13" i="11"/>
  <c r="AS13" i="11"/>
  <c r="AT13" i="11"/>
  <c r="AV13" i="11"/>
  <c r="AW13" i="11"/>
  <c r="AX13" i="11"/>
  <c r="AY13" i="11"/>
  <c r="BA13" i="11"/>
  <c r="BB13" i="11"/>
  <c r="BC13" i="11"/>
  <c r="BD13" i="11"/>
  <c r="BF13" i="11"/>
  <c r="BG13" i="11"/>
  <c r="BH13" i="11"/>
  <c r="BI13" i="11"/>
  <c r="BK13" i="11"/>
  <c r="BL13" i="11"/>
  <c r="BM13" i="11"/>
  <c r="BN13" i="11"/>
  <c r="BP13" i="11"/>
  <c r="BQ13" i="11"/>
  <c r="BR13" i="11"/>
  <c r="BS13" i="11"/>
  <c r="BU13" i="11"/>
  <c r="BV13" i="11"/>
  <c r="BW13" i="11"/>
  <c r="BX13" i="11"/>
  <c r="CJ13" i="11"/>
  <c r="M13" i="11" s="1"/>
  <c r="CK13" i="11" s="1"/>
  <c r="AQ14" i="11"/>
  <c r="AR14" i="11"/>
  <c r="AS14" i="11"/>
  <c r="AT14" i="11"/>
  <c r="AV14" i="11"/>
  <c r="AW14" i="11"/>
  <c r="AX14" i="11"/>
  <c r="AY14" i="11"/>
  <c r="BA14" i="11"/>
  <c r="BB14" i="11"/>
  <c r="BC14" i="11"/>
  <c r="BD14" i="11"/>
  <c r="BF14" i="11"/>
  <c r="BG14" i="11"/>
  <c r="BH14" i="11"/>
  <c r="BI14" i="11"/>
  <c r="BK14" i="11"/>
  <c r="BL14" i="11"/>
  <c r="BM14" i="11"/>
  <c r="BN14" i="11"/>
  <c r="BP14" i="11"/>
  <c r="BQ14" i="11"/>
  <c r="BR14" i="11"/>
  <c r="BS14" i="11"/>
  <c r="BU14" i="11"/>
  <c r="BV14" i="11"/>
  <c r="BW14" i="11"/>
  <c r="BX14" i="11"/>
  <c r="CJ14" i="11"/>
  <c r="M14" i="11" s="1"/>
  <c r="CK14" i="11" s="1"/>
  <c r="AQ15" i="11"/>
  <c r="AR15" i="11"/>
  <c r="AS15" i="11"/>
  <c r="AT15" i="11"/>
  <c r="AV15" i="11"/>
  <c r="AW15" i="11"/>
  <c r="AX15" i="11"/>
  <c r="AY15" i="11"/>
  <c r="BA15" i="11"/>
  <c r="BB15" i="11"/>
  <c r="BC15" i="11"/>
  <c r="BD15" i="11"/>
  <c r="BF15" i="11"/>
  <c r="BG15" i="11"/>
  <c r="BH15" i="11"/>
  <c r="BI15" i="11"/>
  <c r="BK15" i="11"/>
  <c r="BL15" i="11"/>
  <c r="BM15" i="11"/>
  <c r="BN15" i="11"/>
  <c r="BP15" i="11"/>
  <c r="BQ15" i="11"/>
  <c r="BR15" i="11"/>
  <c r="BS15" i="11"/>
  <c r="BU15" i="11"/>
  <c r="BV15" i="11"/>
  <c r="BW15" i="11"/>
  <c r="BX15" i="11"/>
  <c r="CJ15" i="11"/>
  <c r="M15" i="11" s="1"/>
  <c r="CK15" i="11" s="1"/>
  <c r="AQ16" i="11"/>
  <c r="AR16" i="11"/>
  <c r="AS16" i="11"/>
  <c r="AT16" i="11"/>
  <c r="AX16" i="1" s="1"/>
  <c r="AV16" i="11"/>
  <c r="AW16" i="11"/>
  <c r="AX16" i="11"/>
  <c r="AY16" i="11"/>
  <c r="BA16" i="11"/>
  <c r="BB16" i="11"/>
  <c r="BC16" i="11"/>
  <c r="BD16" i="11"/>
  <c r="BF16" i="11"/>
  <c r="BG16" i="11"/>
  <c r="BH16" i="11"/>
  <c r="BI16" i="11"/>
  <c r="BK16" i="11"/>
  <c r="BL16" i="11"/>
  <c r="BM16" i="11"/>
  <c r="BN16" i="11"/>
  <c r="BP16" i="11"/>
  <c r="BQ16" i="11"/>
  <c r="BR16" i="11"/>
  <c r="BS16" i="11"/>
  <c r="BU16" i="11"/>
  <c r="BV16" i="11"/>
  <c r="BW16" i="11"/>
  <c r="BX16" i="11"/>
  <c r="CJ16" i="11"/>
  <c r="M16" i="11" s="1"/>
  <c r="CK16" i="11" s="1"/>
  <c r="AQ17" i="11"/>
  <c r="AR17" i="11"/>
  <c r="AS17" i="11"/>
  <c r="AT17" i="11"/>
  <c r="AV17" i="11"/>
  <c r="AW17" i="11"/>
  <c r="AX17" i="11"/>
  <c r="AY17" i="11"/>
  <c r="BA17" i="11"/>
  <c r="BB17" i="11"/>
  <c r="BC17" i="11"/>
  <c r="BD17" i="11"/>
  <c r="BF17" i="11"/>
  <c r="BG17" i="11"/>
  <c r="BH17" i="11"/>
  <c r="BI17" i="11"/>
  <c r="BK17" i="11"/>
  <c r="BL17" i="11"/>
  <c r="BM17" i="11"/>
  <c r="BN17" i="11"/>
  <c r="BP17" i="11"/>
  <c r="BQ17" i="11"/>
  <c r="BR17" i="11"/>
  <c r="BS17" i="11"/>
  <c r="BU17" i="11"/>
  <c r="BV17" i="11"/>
  <c r="BW17" i="11"/>
  <c r="BX17" i="11"/>
  <c r="CJ17" i="11"/>
  <c r="M17" i="11" s="1"/>
  <c r="CK17" i="11" s="1"/>
  <c r="AQ18" i="11"/>
  <c r="AR18" i="11"/>
  <c r="AS18" i="11"/>
  <c r="AT18" i="11"/>
  <c r="AV18" i="11"/>
  <c r="AW18" i="11"/>
  <c r="AX18" i="11"/>
  <c r="AY18" i="11"/>
  <c r="BA18" i="11"/>
  <c r="BB18" i="11"/>
  <c r="BC18" i="11"/>
  <c r="BD18" i="11"/>
  <c r="BF18" i="11"/>
  <c r="BG18" i="11"/>
  <c r="BH18" i="11"/>
  <c r="BI18" i="11"/>
  <c r="BK18" i="11"/>
  <c r="BL18" i="11"/>
  <c r="BM18" i="11"/>
  <c r="BN18" i="11"/>
  <c r="BP18" i="11"/>
  <c r="BQ18" i="11"/>
  <c r="BR18" i="11"/>
  <c r="BS18" i="11"/>
  <c r="BU18" i="11"/>
  <c r="BV18" i="11"/>
  <c r="BW18" i="11"/>
  <c r="BX18" i="11"/>
  <c r="CJ18" i="11"/>
  <c r="M18" i="11" s="1"/>
  <c r="CK18" i="11" s="1"/>
  <c r="AQ19" i="11"/>
  <c r="AR19" i="11"/>
  <c r="AS19" i="11"/>
  <c r="AT19" i="11"/>
  <c r="AV19" i="11"/>
  <c r="AW19" i="11"/>
  <c r="AX19" i="11"/>
  <c r="AY19" i="11"/>
  <c r="BA19" i="11"/>
  <c r="BB19" i="11"/>
  <c r="BC19" i="11"/>
  <c r="BD19" i="11"/>
  <c r="BF19" i="11"/>
  <c r="BG19" i="11"/>
  <c r="BH19" i="11"/>
  <c r="BI19" i="11"/>
  <c r="BK19" i="11"/>
  <c r="BL19" i="11"/>
  <c r="BM19" i="11"/>
  <c r="BN19" i="11"/>
  <c r="BP19" i="11"/>
  <c r="BQ19" i="11"/>
  <c r="BR19" i="11"/>
  <c r="BS19" i="11"/>
  <c r="BU19" i="11"/>
  <c r="BV19" i="11"/>
  <c r="BW19" i="11"/>
  <c r="BX19" i="11"/>
  <c r="CJ19" i="11"/>
  <c r="M19" i="11" s="1"/>
  <c r="CK19" i="11" s="1"/>
  <c r="AQ20" i="11"/>
  <c r="AR20" i="11"/>
  <c r="AS20" i="11"/>
  <c r="AT20" i="11"/>
  <c r="AX20" i="1" s="1"/>
  <c r="AV20" i="11"/>
  <c r="AW20" i="11"/>
  <c r="AX20" i="11"/>
  <c r="AY20" i="11"/>
  <c r="BA20" i="11"/>
  <c r="BB20" i="11"/>
  <c r="BC20" i="11"/>
  <c r="BD20" i="11"/>
  <c r="BF20" i="11"/>
  <c r="BG20" i="11"/>
  <c r="BH20" i="11"/>
  <c r="BI20" i="11"/>
  <c r="BK20" i="11"/>
  <c r="BL20" i="11"/>
  <c r="BM20" i="11"/>
  <c r="BN20" i="11"/>
  <c r="BP20" i="11"/>
  <c r="BQ20" i="11"/>
  <c r="BR20" i="11"/>
  <c r="BS20" i="11"/>
  <c r="BU20" i="11"/>
  <c r="BV20" i="11"/>
  <c r="BW20" i="11"/>
  <c r="BX20" i="11"/>
  <c r="CJ20" i="11"/>
  <c r="M20" i="11" s="1"/>
  <c r="CK20" i="11" s="1"/>
  <c r="AQ21" i="11"/>
  <c r="AR21" i="11"/>
  <c r="AS21" i="11"/>
  <c r="AT21" i="11"/>
  <c r="AV21" i="11"/>
  <c r="AW21" i="11"/>
  <c r="AX21" i="11"/>
  <c r="AY21" i="11"/>
  <c r="BA21" i="11"/>
  <c r="BB21" i="11"/>
  <c r="BC21" i="11"/>
  <c r="BD21" i="11"/>
  <c r="BF21" i="11"/>
  <c r="BG21" i="11"/>
  <c r="BH21" i="11"/>
  <c r="BI21" i="11"/>
  <c r="BK21" i="11"/>
  <c r="BL21" i="11"/>
  <c r="BM21" i="11"/>
  <c r="BN21" i="11"/>
  <c r="BP21" i="11"/>
  <c r="BQ21" i="11"/>
  <c r="BR21" i="11"/>
  <c r="BS21" i="11"/>
  <c r="BU21" i="11"/>
  <c r="BV21" i="11"/>
  <c r="BW21" i="11"/>
  <c r="BX21" i="11"/>
  <c r="CJ21" i="11"/>
  <c r="M21" i="11" s="1"/>
  <c r="AQ22" i="11"/>
  <c r="AR22" i="11"/>
  <c r="AS22" i="11"/>
  <c r="AT22" i="11"/>
  <c r="AV22" i="11"/>
  <c r="AW22" i="11"/>
  <c r="AX22" i="11"/>
  <c r="AY22" i="11"/>
  <c r="BA22" i="11"/>
  <c r="BB22" i="11"/>
  <c r="BC22" i="11"/>
  <c r="BD22" i="11"/>
  <c r="BF22" i="11"/>
  <c r="BG22" i="11"/>
  <c r="BH22" i="11"/>
  <c r="BI22" i="11"/>
  <c r="BK22" i="11"/>
  <c r="BL22" i="11"/>
  <c r="BM22" i="11"/>
  <c r="BN22" i="11"/>
  <c r="BP22" i="11"/>
  <c r="BQ22" i="11"/>
  <c r="BR22" i="11"/>
  <c r="BS22" i="11"/>
  <c r="BU22" i="11"/>
  <c r="BV22" i="11"/>
  <c r="BW22" i="11"/>
  <c r="BX22" i="11"/>
  <c r="CJ22" i="11"/>
  <c r="M22" i="11" s="1"/>
  <c r="CK22" i="11" s="1"/>
  <c r="AQ23" i="11"/>
  <c r="AR23" i="11"/>
  <c r="AS23" i="11"/>
  <c r="AT23" i="11"/>
  <c r="AV23" i="11"/>
  <c r="AW23" i="11"/>
  <c r="AX23" i="11"/>
  <c r="AY23" i="11"/>
  <c r="BA23" i="11"/>
  <c r="BB23" i="11"/>
  <c r="BC23" i="11"/>
  <c r="BD23" i="11"/>
  <c r="BF23" i="11"/>
  <c r="BG23" i="11"/>
  <c r="BH23" i="11"/>
  <c r="BI23" i="11"/>
  <c r="BK23" i="11"/>
  <c r="BL23" i="11"/>
  <c r="BM23" i="11"/>
  <c r="BN23" i="11"/>
  <c r="BP23" i="11"/>
  <c r="BQ23" i="11"/>
  <c r="BR23" i="11"/>
  <c r="BS23" i="11"/>
  <c r="BU23" i="11"/>
  <c r="BV23" i="11"/>
  <c r="BW23" i="11"/>
  <c r="BX23" i="11"/>
  <c r="CJ23" i="11"/>
  <c r="M23" i="11" s="1"/>
  <c r="CK23" i="11" s="1"/>
  <c r="AQ24" i="11"/>
  <c r="AR24" i="11"/>
  <c r="AS24" i="11"/>
  <c r="AT24" i="11"/>
  <c r="AX24" i="1" s="1"/>
  <c r="AV24" i="11"/>
  <c r="AW24" i="11"/>
  <c r="AX24" i="11"/>
  <c r="AY24" i="11"/>
  <c r="BA24" i="11"/>
  <c r="BB24" i="11"/>
  <c r="BC24" i="11"/>
  <c r="BD24" i="11"/>
  <c r="BF24" i="11"/>
  <c r="BG24" i="11"/>
  <c r="BH24" i="11"/>
  <c r="BI24" i="11"/>
  <c r="BK24" i="11"/>
  <c r="BL24" i="11"/>
  <c r="BM24" i="11"/>
  <c r="BN24" i="11"/>
  <c r="BP24" i="11"/>
  <c r="BQ24" i="11"/>
  <c r="BR24" i="11"/>
  <c r="BS24" i="11"/>
  <c r="BU24" i="11"/>
  <c r="BV24" i="11"/>
  <c r="BW24" i="11"/>
  <c r="BX24" i="11"/>
  <c r="CJ24" i="11"/>
  <c r="M24" i="11" s="1"/>
  <c r="CK24" i="11" s="1"/>
  <c r="AQ25" i="11"/>
  <c r="AR25" i="11"/>
  <c r="AS25" i="11"/>
  <c r="AT25" i="11"/>
  <c r="AV25" i="11"/>
  <c r="AW25" i="11"/>
  <c r="AX25" i="11"/>
  <c r="AY25" i="11"/>
  <c r="BA25" i="11"/>
  <c r="BB25" i="11"/>
  <c r="BC25" i="11"/>
  <c r="BD25" i="11"/>
  <c r="BF25" i="11"/>
  <c r="BG25" i="11"/>
  <c r="BH25" i="11"/>
  <c r="BI25" i="11"/>
  <c r="BK25" i="11"/>
  <c r="BL25" i="11"/>
  <c r="BM25" i="11"/>
  <c r="BN25" i="11"/>
  <c r="BP25" i="11"/>
  <c r="BQ25" i="11"/>
  <c r="BR25" i="11"/>
  <c r="BS25" i="11"/>
  <c r="BU25" i="11"/>
  <c r="BV25" i="11"/>
  <c r="BW25" i="11"/>
  <c r="BX25" i="11"/>
  <c r="CJ25" i="11"/>
  <c r="M25" i="11" s="1"/>
  <c r="CK25" i="11" s="1"/>
  <c r="AQ26" i="11"/>
  <c r="AR26" i="11"/>
  <c r="AS26" i="11"/>
  <c r="AT26" i="11"/>
  <c r="AX26" i="1" s="1"/>
  <c r="AV26" i="11"/>
  <c r="AW26" i="11"/>
  <c r="AX26" i="11"/>
  <c r="AY26" i="11"/>
  <c r="BA26" i="11"/>
  <c r="BB26" i="11"/>
  <c r="BC26" i="11"/>
  <c r="BD26" i="11"/>
  <c r="BF26" i="11"/>
  <c r="BG26" i="11"/>
  <c r="BH26" i="11"/>
  <c r="BI26" i="11"/>
  <c r="BK26" i="11"/>
  <c r="BL26" i="11"/>
  <c r="BM26" i="11"/>
  <c r="BN26" i="11"/>
  <c r="BP26" i="11"/>
  <c r="BQ26" i="11"/>
  <c r="BR26" i="11"/>
  <c r="BS26" i="11"/>
  <c r="BU26" i="11"/>
  <c r="BV26" i="11"/>
  <c r="BW26" i="11"/>
  <c r="BX26" i="11"/>
  <c r="CJ26" i="11"/>
  <c r="M26" i="11" s="1"/>
  <c r="CK26" i="11" s="1"/>
  <c r="AQ27" i="11"/>
  <c r="AR27" i="11"/>
  <c r="AS27" i="11"/>
  <c r="AT27" i="11"/>
  <c r="AX27" i="1" s="1"/>
  <c r="AV27" i="11"/>
  <c r="AW27" i="11"/>
  <c r="AX27" i="11"/>
  <c r="AY27" i="11"/>
  <c r="BA27" i="11"/>
  <c r="BB27" i="11"/>
  <c r="BC27" i="11"/>
  <c r="BD27" i="11"/>
  <c r="BF27" i="11"/>
  <c r="BG27" i="11"/>
  <c r="BH27" i="11"/>
  <c r="BI27" i="11"/>
  <c r="BK27" i="11"/>
  <c r="BL27" i="11"/>
  <c r="BM27" i="11"/>
  <c r="BN27" i="11"/>
  <c r="BP27" i="11"/>
  <c r="BQ27" i="11"/>
  <c r="BR27" i="11"/>
  <c r="BS27" i="11"/>
  <c r="BU27" i="11"/>
  <c r="BV27" i="11"/>
  <c r="BW27" i="11"/>
  <c r="BX27" i="11"/>
  <c r="CJ27" i="11"/>
  <c r="M27" i="11" s="1"/>
  <c r="CK27" i="11" s="1"/>
  <c r="AQ28" i="11"/>
  <c r="AR28" i="11"/>
  <c r="AS28" i="11"/>
  <c r="AT28" i="11"/>
  <c r="AX28" i="1" s="1"/>
  <c r="AV28" i="11"/>
  <c r="AW28" i="11"/>
  <c r="AX28" i="11"/>
  <c r="AY28" i="11"/>
  <c r="BA28" i="11"/>
  <c r="BB28" i="11"/>
  <c r="BC28" i="11"/>
  <c r="BD28" i="11"/>
  <c r="BF28" i="11"/>
  <c r="BG28" i="11"/>
  <c r="BH28" i="11"/>
  <c r="BI28" i="11"/>
  <c r="BK28" i="11"/>
  <c r="BL28" i="11"/>
  <c r="BM28" i="11"/>
  <c r="BN28" i="11"/>
  <c r="BP28" i="11"/>
  <c r="BQ28" i="11"/>
  <c r="BR28" i="11"/>
  <c r="BS28" i="11"/>
  <c r="BU28" i="11"/>
  <c r="BV28" i="11"/>
  <c r="BW28" i="11"/>
  <c r="BX28" i="11"/>
  <c r="CJ28" i="11"/>
  <c r="M28" i="11" s="1"/>
  <c r="CK28" i="11" s="1"/>
  <c r="AQ29" i="11"/>
  <c r="AR29" i="11"/>
  <c r="AS29" i="11"/>
  <c r="AT29" i="11"/>
  <c r="AX29" i="1" s="1"/>
  <c r="AV29" i="11"/>
  <c r="AW29" i="11"/>
  <c r="AX29" i="11"/>
  <c r="AY29" i="11"/>
  <c r="BA29" i="11"/>
  <c r="BB29" i="11"/>
  <c r="BC29" i="11"/>
  <c r="BD29" i="11"/>
  <c r="BF29" i="11"/>
  <c r="BG29" i="11"/>
  <c r="BH29" i="11"/>
  <c r="BI29" i="11"/>
  <c r="BK29" i="11"/>
  <c r="BL29" i="11"/>
  <c r="BM29" i="11"/>
  <c r="BN29" i="11"/>
  <c r="BP29" i="11"/>
  <c r="BQ29" i="11"/>
  <c r="BR29" i="11"/>
  <c r="BS29" i="11"/>
  <c r="BU29" i="11"/>
  <c r="BV29" i="11"/>
  <c r="BW29" i="11"/>
  <c r="BX29" i="11"/>
  <c r="CJ29" i="11"/>
  <c r="M29" i="11" s="1"/>
  <c r="CK29" i="11" s="1"/>
  <c r="AQ30" i="11"/>
  <c r="AR30" i="11"/>
  <c r="AS30" i="11"/>
  <c r="AT30" i="11"/>
  <c r="AV30" i="11"/>
  <c r="AW30" i="11"/>
  <c r="AX30" i="11"/>
  <c r="AY30" i="11"/>
  <c r="BA30" i="11"/>
  <c r="BB30" i="11"/>
  <c r="BC30" i="11"/>
  <c r="BD30" i="11"/>
  <c r="BF30" i="11"/>
  <c r="BG30" i="11"/>
  <c r="BH30" i="11"/>
  <c r="BI30" i="11"/>
  <c r="BK30" i="11"/>
  <c r="BL30" i="11"/>
  <c r="BM30" i="11"/>
  <c r="BN30" i="11"/>
  <c r="BP30" i="11"/>
  <c r="BQ30" i="11"/>
  <c r="BR30" i="11"/>
  <c r="BS30" i="11"/>
  <c r="BU30" i="11"/>
  <c r="BV30" i="11"/>
  <c r="BW30" i="11"/>
  <c r="BX30" i="11"/>
  <c r="CJ30" i="11"/>
  <c r="M30" i="11" s="1"/>
  <c r="CK30" i="11" s="1"/>
  <c r="AQ31" i="11"/>
  <c r="AR31" i="11"/>
  <c r="AS31" i="11"/>
  <c r="AT31" i="11"/>
  <c r="AX31" i="1" s="1"/>
  <c r="AV31" i="11"/>
  <c r="AW31" i="11"/>
  <c r="AX31" i="11"/>
  <c r="AY31" i="11"/>
  <c r="BA31" i="11"/>
  <c r="BB31" i="11"/>
  <c r="BC31" i="11"/>
  <c r="BD31" i="11"/>
  <c r="BF31" i="11"/>
  <c r="BG31" i="11"/>
  <c r="BH31" i="11"/>
  <c r="BI31" i="11"/>
  <c r="BK31" i="11"/>
  <c r="BL31" i="11"/>
  <c r="BM31" i="11"/>
  <c r="BN31" i="11"/>
  <c r="BP31" i="11"/>
  <c r="BQ31" i="11"/>
  <c r="BR31" i="11"/>
  <c r="BS31" i="11"/>
  <c r="BU31" i="11"/>
  <c r="BV31" i="11"/>
  <c r="BW31" i="11"/>
  <c r="BX31" i="11"/>
  <c r="CJ31" i="11"/>
  <c r="M31" i="11" s="1"/>
  <c r="CK31" i="11" s="1"/>
  <c r="AQ32" i="11"/>
  <c r="AR32" i="11"/>
  <c r="AS32" i="11"/>
  <c r="AT32" i="11"/>
  <c r="AX32" i="1" s="1"/>
  <c r="AV32" i="11"/>
  <c r="AW32" i="11"/>
  <c r="AX32" i="11"/>
  <c r="AY32" i="11"/>
  <c r="BA32" i="11"/>
  <c r="BB32" i="11"/>
  <c r="BC32" i="11"/>
  <c r="BD32" i="11"/>
  <c r="BF32" i="11"/>
  <c r="BG32" i="11"/>
  <c r="BH32" i="11"/>
  <c r="BI32" i="11"/>
  <c r="BK32" i="11"/>
  <c r="BL32" i="11"/>
  <c r="BM32" i="11"/>
  <c r="BN32" i="11"/>
  <c r="BP32" i="11"/>
  <c r="BQ32" i="11"/>
  <c r="BR32" i="11"/>
  <c r="BS32" i="11"/>
  <c r="BU32" i="11"/>
  <c r="BV32" i="11"/>
  <c r="BW32" i="11"/>
  <c r="BX32" i="11"/>
  <c r="CJ32" i="11"/>
  <c r="M32" i="11" s="1"/>
  <c r="CK32" i="11" s="1"/>
  <c r="AQ33" i="11"/>
  <c r="AR33" i="11"/>
  <c r="AS33" i="11"/>
  <c r="AT33" i="11"/>
  <c r="AV33" i="11"/>
  <c r="AW33" i="11"/>
  <c r="AX33" i="11"/>
  <c r="AY33" i="11"/>
  <c r="BA33" i="11"/>
  <c r="BB33" i="11"/>
  <c r="BC33" i="11"/>
  <c r="BD33" i="11"/>
  <c r="BF33" i="11"/>
  <c r="BG33" i="11"/>
  <c r="BH33" i="11"/>
  <c r="BI33" i="11"/>
  <c r="BK33" i="11"/>
  <c r="BL33" i="11"/>
  <c r="BM33" i="11"/>
  <c r="BN33" i="11"/>
  <c r="BP33" i="11"/>
  <c r="BQ33" i="11"/>
  <c r="BR33" i="11"/>
  <c r="BS33" i="11"/>
  <c r="BU33" i="11"/>
  <c r="BV33" i="11"/>
  <c r="BW33" i="11"/>
  <c r="BX33" i="11"/>
  <c r="CJ33" i="11"/>
  <c r="M33" i="11" s="1"/>
  <c r="CK33" i="11" s="1"/>
  <c r="AQ34" i="11"/>
  <c r="AR34" i="11"/>
  <c r="AS34" i="11"/>
  <c r="AT34" i="11"/>
  <c r="AV34" i="11"/>
  <c r="AW34" i="11"/>
  <c r="AX34" i="11"/>
  <c r="AY34" i="11"/>
  <c r="BA34" i="11"/>
  <c r="BB34" i="11"/>
  <c r="BC34" i="11"/>
  <c r="BD34" i="11"/>
  <c r="BF34" i="11"/>
  <c r="BG34" i="11"/>
  <c r="BH34" i="11"/>
  <c r="BI34" i="11"/>
  <c r="BK34" i="11"/>
  <c r="BL34" i="11"/>
  <c r="BM34" i="11"/>
  <c r="BN34" i="11"/>
  <c r="BP34" i="11"/>
  <c r="BQ34" i="11"/>
  <c r="BR34" i="11"/>
  <c r="BS34" i="11"/>
  <c r="BU34" i="11"/>
  <c r="BV34" i="11"/>
  <c r="BW34" i="11"/>
  <c r="BX34" i="11"/>
  <c r="CJ34" i="11"/>
  <c r="M34" i="11" s="1"/>
  <c r="CK34" i="11" s="1"/>
  <c r="AQ35" i="11"/>
  <c r="AR35" i="11"/>
  <c r="AS35" i="11"/>
  <c r="AT35" i="11"/>
  <c r="AV35" i="11"/>
  <c r="AW35" i="11"/>
  <c r="AX35" i="11"/>
  <c r="AY35" i="11"/>
  <c r="BA35" i="11"/>
  <c r="BB35" i="11"/>
  <c r="BC35" i="11"/>
  <c r="BD35" i="11"/>
  <c r="BF35" i="11"/>
  <c r="BG35" i="11"/>
  <c r="BH35" i="11"/>
  <c r="BI35" i="11"/>
  <c r="BK35" i="11"/>
  <c r="BL35" i="11"/>
  <c r="BM35" i="11"/>
  <c r="BN35" i="11"/>
  <c r="BP35" i="11"/>
  <c r="BQ35" i="11"/>
  <c r="BR35" i="11"/>
  <c r="BS35" i="11"/>
  <c r="BU35" i="11"/>
  <c r="BV35" i="11"/>
  <c r="BW35" i="11"/>
  <c r="BX35" i="11"/>
  <c r="CJ35" i="11"/>
  <c r="M35" i="11" s="1"/>
  <c r="CK35" i="11" s="1"/>
  <c r="AQ36" i="11"/>
  <c r="AR36" i="11"/>
  <c r="AS36" i="11"/>
  <c r="AT36" i="11"/>
  <c r="AX36" i="1" s="1"/>
  <c r="AV36" i="11"/>
  <c r="AW36" i="11"/>
  <c r="AX36" i="11"/>
  <c r="AY36" i="11"/>
  <c r="BA36" i="11"/>
  <c r="BB36" i="11"/>
  <c r="BC36" i="11"/>
  <c r="BD36" i="11"/>
  <c r="BF36" i="11"/>
  <c r="BG36" i="11"/>
  <c r="BH36" i="11"/>
  <c r="BI36" i="11"/>
  <c r="BK36" i="11"/>
  <c r="BL36" i="11"/>
  <c r="BM36" i="11"/>
  <c r="BN36" i="11"/>
  <c r="BP36" i="11"/>
  <c r="BQ36" i="11"/>
  <c r="BR36" i="11"/>
  <c r="BS36" i="11"/>
  <c r="BU36" i="11"/>
  <c r="BV36" i="11"/>
  <c r="BW36" i="11"/>
  <c r="BX36" i="11"/>
  <c r="CJ36" i="11"/>
  <c r="M36" i="11" s="1"/>
  <c r="CK36" i="11" s="1"/>
  <c r="AQ37" i="11"/>
  <c r="AR37" i="11"/>
  <c r="AS37" i="11"/>
  <c r="AT37" i="11"/>
  <c r="AV37" i="11"/>
  <c r="AW37" i="11"/>
  <c r="AX37" i="11"/>
  <c r="AY37" i="11"/>
  <c r="BA37" i="11"/>
  <c r="BB37" i="11"/>
  <c r="BC37" i="11"/>
  <c r="BD37" i="11"/>
  <c r="BF37" i="11"/>
  <c r="BG37" i="11"/>
  <c r="BH37" i="11"/>
  <c r="BI37" i="11"/>
  <c r="BK37" i="11"/>
  <c r="BL37" i="11"/>
  <c r="BM37" i="11"/>
  <c r="BN37" i="11"/>
  <c r="BP37" i="11"/>
  <c r="BQ37" i="11"/>
  <c r="BR37" i="11"/>
  <c r="BS37" i="11"/>
  <c r="BU37" i="11"/>
  <c r="BV37" i="11"/>
  <c r="BW37" i="11"/>
  <c r="BX37" i="11"/>
  <c r="CJ37" i="11"/>
  <c r="M37" i="11" s="1"/>
  <c r="CK37" i="11" s="1"/>
  <c r="AQ38" i="11"/>
  <c r="AR38" i="11"/>
  <c r="AS38" i="11"/>
  <c r="AT38" i="11"/>
  <c r="AV38" i="11"/>
  <c r="AW38" i="11"/>
  <c r="AX38" i="11"/>
  <c r="AY38" i="11"/>
  <c r="BA38" i="11"/>
  <c r="BB38" i="11"/>
  <c r="BC38" i="11"/>
  <c r="BD38" i="11"/>
  <c r="BF38" i="11"/>
  <c r="BG38" i="11"/>
  <c r="BH38" i="11"/>
  <c r="BI38" i="11"/>
  <c r="BK38" i="11"/>
  <c r="BL38" i="11"/>
  <c r="BM38" i="11"/>
  <c r="BN38" i="11"/>
  <c r="BP38" i="11"/>
  <c r="BQ38" i="11"/>
  <c r="BR38" i="11"/>
  <c r="BS38" i="11"/>
  <c r="BU38" i="11"/>
  <c r="BV38" i="11"/>
  <c r="BW38" i="11"/>
  <c r="BX38" i="11"/>
  <c r="CJ38" i="11"/>
  <c r="M38" i="11" s="1"/>
  <c r="CK38" i="11" s="1"/>
  <c r="AQ39" i="11"/>
  <c r="AR39" i="11"/>
  <c r="AS39" i="11"/>
  <c r="AT39" i="11"/>
  <c r="AV39" i="11"/>
  <c r="AW39" i="11"/>
  <c r="AX39" i="11"/>
  <c r="AY39" i="11"/>
  <c r="BA39" i="11"/>
  <c r="BB39" i="11"/>
  <c r="BC39" i="11"/>
  <c r="BD39" i="11"/>
  <c r="BF39" i="11"/>
  <c r="BG39" i="11"/>
  <c r="BH39" i="11"/>
  <c r="BI39" i="11"/>
  <c r="BK39" i="11"/>
  <c r="BL39" i="11"/>
  <c r="BM39" i="11"/>
  <c r="BN39" i="11"/>
  <c r="BP39" i="11"/>
  <c r="BQ39" i="11"/>
  <c r="BR39" i="11"/>
  <c r="BS39" i="11"/>
  <c r="BU39" i="11"/>
  <c r="BV39" i="11"/>
  <c r="BW39" i="11"/>
  <c r="BX39" i="11"/>
  <c r="CJ39" i="11"/>
  <c r="M39" i="11" s="1"/>
  <c r="CK39" i="11" s="1"/>
  <c r="AQ40" i="11"/>
  <c r="AR40" i="11"/>
  <c r="AS40" i="11"/>
  <c r="AT40" i="11"/>
  <c r="AX40" i="1" s="1"/>
  <c r="AV40" i="11"/>
  <c r="AW40" i="11"/>
  <c r="AX40" i="11"/>
  <c r="AY40" i="11"/>
  <c r="BA40" i="11"/>
  <c r="BB40" i="11"/>
  <c r="BC40" i="11"/>
  <c r="BD40" i="11"/>
  <c r="BF40" i="11"/>
  <c r="BG40" i="11"/>
  <c r="BH40" i="11"/>
  <c r="BI40" i="11"/>
  <c r="BK40" i="11"/>
  <c r="BL40" i="11"/>
  <c r="BM40" i="11"/>
  <c r="BN40" i="11"/>
  <c r="BP40" i="11"/>
  <c r="BQ40" i="11"/>
  <c r="BR40" i="11"/>
  <c r="BS40" i="11"/>
  <c r="BU40" i="11"/>
  <c r="BV40" i="11"/>
  <c r="BW40" i="11"/>
  <c r="BX40" i="11"/>
  <c r="CJ40" i="11"/>
  <c r="M40" i="11" s="1"/>
  <c r="CK40" i="11" s="1"/>
  <c r="AQ41" i="11"/>
  <c r="AR41" i="11"/>
  <c r="AS41" i="11"/>
  <c r="AT41" i="11"/>
  <c r="AV41" i="11"/>
  <c r="AW41" i="11"/>
  <c r="AX41" i="11"/>
  <c r="AY41" i="11"/>
  <c r="BA41" i="11"/>
  <c r="BB41" i="11"/>
  <c r="BC41" i="11"/>
  <c r="BD41" i="11"/>
  <c r="BF41" i="11"/>
  <c r="BG41" i="11"/>
  <c r="BH41" i="11"/>
  <c r="BI41" i="11"/>
  <c r="BK41" i="11"/>
  <c r="BL41" i="11"/>
  <c r="BM41" i="11"/>
  <c r="BN41" i="11"/>
  <c r="BP41" i="11"/>
  <c r="BQ41" i="11"/>
  <c r="BR41" i="11"/>
  <c r="BS41" i="11"/>
  <c r="BU41" i="11"/>
  <c r="BV41" i="11"/>
  <c r="BW41" i="11"/>
  <c r="BX41" i="11"/>
  <c r="CJ41" i="11"/>
  <c r="M41" i="11" s="1"/>
  <c r="CK41" i="11" s="1"/>
  <c r="AQ42" i="11"/>
  <c r="AR42" i="11"/>
  <c r="AS42" i="11"/>
  <c r="AT42" i="11"/>
  <c r="AV42" i="11"/>
  <c r="AW42" i="11"/>
  <c r="AX42" i="11"/>
  <c r="AY42" i="11"/>
  <c r="BA42" i="11"/>
  <c r="BB42" i="11"/>
  <c r="BC42" i="11"/>
  <c r="BD42" i="11"/>
  <c r="BF42" i="11"/>
  <c r="BG42" i="11"/>
  <c r="BH42" i="11"/>
  <c r="BI42" i="11"/>
  <c r="BK42" i="11"/>
  <c r="BL42" i="11"/>
  <c r="BM42" i="11"/>
  <c r="BN42" i="11"/>
  <c r="BP42" i="11"/>
  <c r="BQ42" i="11"/>
  <c r="BR42" i="11"/>
  <c r="BS42" i="11"/>
  <c r="BU42" i="11"/>
  <c r="BV42" i="11"/>
  <c r="BW42" i="11"/>
  <c r="BX42" i="11"/>
  <c r="CJ42" i="11"/>
  <c r="M42" i="11" s="1"/>
  <c r="CK42" i="11" s="1"/>
  <c r="AQ43" i="11"/>
  <c r="AR43" i="11"/>
  <c r="AS43" i="11"/>
  <c r="AT43" i="11"/>
  <c r="AV43" i="11"/>
  <c r="AW43" i="11"/>
  <c r="AX43" i="11"/>
  <c r="AY43" i="11"/>
  <c r="BA43" i="11"/>
  <c r="BB43" i="11"/>
  <c r="BC43" i="11"/>
  <c r="BD43" i="11"/>
  <c r="BF43" i="11"/>
  <c r="BG43" i="11"/>
  <c r="BH43" i="11"/>
  <c r="BI43" i="11"/>
  <c r="BK43" i="11"/>
  <c r="BL43" i="11"/>
  <c r="BM43" i="11"/>
  <c r="BN43" i="11"/>
  <c r="BP43" i="11"/>
  <c r="BQ43" i="11"/>
  <c r="BR43" i="11"/>
  <c r="BS43" i="11"/>
  <c r="BU43" i="11"/>
  <c r="BV43" i="11"/>
  <c r="BW43" i="11"/>
  <c r="BX43" i="11"/>
  <c r="CJ43" i="11"/>
  <c r="M43" i="11" s="1"/>
  <c r="CK43" i="11" s="1"/>
  <c r="AQ44" i="11"/>
  <c r="AR44" i="11"/>
  <c r="AS44" i="11"/>
  <c r="AT44" i="11"/>
  <c r="AX44" i="1" s="1"/>
  <c r="AV44" i="11"/>
  <c r="AW44" i="11"/>
  <c r="AX44" i="11"/>
  <c r="AY44" i="11"/>
  <c r="BA44" i="11"/>
  <c r="BB44" i="11"/>
  <c r="BC44" i="11"/>
  <c r="BD44" i="11"/>
  <c r="BF44" i="11"/>
  <c r="BG44" i="11"/>
  <c r="BH44" i="11"/>
  <c r="BI44" i="11"/>
  <c r="BK44" i="11"/>
  <c r="BL44" i="11"/>
  <c r="BM44" i="11"/>
  <c r="BN44" i="11"/>
  <c r="BP44" i="11"/>
  <c r="BQ44" i="11"/>
  <c r="BR44" i="11"/>
  <c r="BS44" i="11"/>
  <c r="BU44" i="11"/>
  <c r="BV44" i="11"/>
  <c r="BW44" i="11"/>
  <c r="BX44" i="11"/>
  <c r="CJ44" i="11"/>
  <c r="M44" i="11" s="1"/>
  <c r="CK44" i="11" s="1"/>
  <c r="AQ45" i="11"/>
  <c r="AR45" i="11"/>
  <c r="AS45" i="11"/>
  <c r="AT45" i="11"/>
  <c r="AX45" i="1" s="1"/>
  <c r="AV45" i="11"/>
  <c r="AW45" i="11"/>
  <c r="AX45" i="11"/>
  <c r="AY45" i="11"/>
  <c r="BA45" i="11"/>
  <c r="BB45" i="11"/>
  <c r="BC45" i="11"/>
  <c r="BD45" i="11"/>
  <c r="BF45" i="11"/>
  <c r="BG45" i="11"/>
  <c r="BH45" i="11"/>
  <c r="BI45" i="11"/>
  <c r="BK45" i="11"/>
  <c r="BL45" i="11"/>
  <c r="BM45" i="11"/>
  <c r="BN45" i="11"/>
  <c r="BP45" i="11"/>
  <c r="BQ45" i="11"/>
  <c r="BR45" i="11"/>
  <c r="BS45" i="11"/>
  <c r="BU45" i="11"/>
  <c r="BV45" i="11"/>
  <c r="BW45" i="11"/>
  <c r="BX45" i="11"/>
  <c r="CJ45" i="11"/>
  <c r="M45" i="11" s="1"/>
  <c r="CK45" i="11" s="1"/>
  <c r="AQ46" i="11"/>
  <c r="AR46" i="11"/>
  <c r="AS46" i="11"/>
  <c r="AT46" i="11"/>
  <c r="AV46" i="11"/>
  <c r="AW46" i="11"/>
  <c r="AX46" i="11"/>
  <c r="AY46" i="11"/>
  <c r="BA46" i="11"/>
  <c r="BB46" i="11"/>
  <c r="BC46" i="11"/>
  <c r="BD46" i="11"/>
  <c r="BF46" i="11"/>
  <c r="BG46" i="11"/>
  <c r="BH46" i="11"/>
  <c r="BI46" i="11"/>
  <c r="BK46" i="11"/>
  <c r="BL46" i="11"/>
  <c r="BM46" i="11"/>
  <c r="BN46" i="11"/>
  <c r="BP46" i="11"/>
  <c r="BQ46" i="11"/>
  <c r="BR46" i="11"/>
  <c r="BS46" i="11"/>
  <c r="BU46" i="11"/>
  <c r="BV46" i="11"/>
  <c r="BW46" i="11"/>
  <c r="BX46" i="11"/>
  <c r="CJ46" i="11"/>
  <c r="M46" i="11" s="1"/>
  <c r="CK46" i="11" s="1"/>
  <c r="AQ47" i="11"/>
  <c r="AR47" i="11"/>
  <c r="AS47" i="11"/>
  <c r="AT47" i="11"/>
  <c r="AV47" i="11"/>
  <c r="AW47" i="11"/>
  <c r="AX47" i="11"/>
  <c r="AY47" i="11"/>
  <c r="BA47" i="11"/>
  <c r="BB47" i="11"/>
  <c r="BC47" i="11"/>
  <c r="BD47" i="11"/>
  <c r="BF47" i="11"/>
  <c r="BG47" i="11"/>
  <c r="BH47" i="11"/>
  <c r="BI47" i="11"/>
  <c r="BK47" i="11"/>
  <c r="BL47" i="11"/>
  <c r="BM47" i="11"/>
  <c r="BN47" i="11"/>
  <c r="BP47" i="11"/>
  <c r="BQ47" i="11"/>
  <c r="BR47" i="11"/>
  <c r="BS47" i="11"/>
  <c r="BU47" i="11"/>
  <c r="BV47" i="11"/>
  <c r="BW47" i="11"/>
  <c r="BX47" i="11"/>
  <c r="CJ47" i="11"/>
  <c r="M47" i="11" s="1"/>
  <c r="CK47" i="11" s="1"/>
  <c r="AQ48" i="11"/>
  <c r="AR48" i="11"/>
  <c r="AS48" i="11"/>
  <c r="AT48" i="11"/>
  <c r="AX48" i="1" s="1"/>
  <c r="AV48" i="11"/>
  <c r="AW48" i="11"/>
  <c r="AX48" i="11"/>
  <c r="AY48" i="11"/>
  <c r="BA48" i="11"/>
  <c r="BB48" i="11"/>
  <c r="BC48" i="11"/>
  <c r="BD48" i="11"/>
  <c r="BF48" i="11"/>
  <c r="BG48" i="11"/>
  <c r="BH48" i="11"/>
  <c r="BI48" i="11"/>
  <c r="BK48" i="11"/>
  <c r="BL48" i="11"/>
  <c r="BM48" i="11"/>
  <c r="BN48" i="11"/>
  <c r="BP48" i="11"/>
  <c r="BQ48" i="11"/>
  <c r="BR48" i="11"/>
  <c r="BS48" i="11"/>
  <c r="BU48" i="11"/>
  <c r="BV48" i="11"/>
  <c r="BW48" i="11"/>
  <c r="BX48" i="11"/>
  <c r="CJ48" i="11"/>
  <c r="M48" i="11" s="1"/>
  <c r="CK48" i="11" s="1"/>
  <c r="AQ49" i="11"/>
  <c r="AR49" i="11"/>
  <c r="AS49" i="11"/>
  <c r="AT49" i="11"/>
  <c r="AX49" i="1" s="1"/>
  <c r="AV49" i="11"/>
  <c r="AW49" i="11"/>
  <c r="AX49" i="11"/>
  <c r="AY49" i="11"/>
  <c r="BA49" i="11"/>
  <c r="BB49" i="11"/>
  <c r="BC49" i="11"/>
  <c r="BD49" i="11"/>
  <c r="BF49" i="11"/>
  <c r="BG49" i="11"/>
  <c r="BH49" i="11"/>
  <c r="BI49" i="11"/>
  <c r="BK49" i="11"/>
  <c r="BL49" i="11"/>
  <c r="BM49" i="11"/>
  <c r="BN49" i="11"/>
  <c r="BP49" i="11"/>
  <c r="BQ49" i="11"/>
  <c r="BR49" i="11"/>
  <c r="BS49" i="11"/>
  <c r="BU49" i="11"/>
  <c r="BV49" i="11"/>
  <c r="BW49" i="11"/>
  <c r="BX49" i="11"/>
  <c r="CJ49" i="11"/>
  <c r="M49" i="11" s="1"/>
  <c r="CK49" i="11" s="1"/>
  <c r="AQ50" i="11"/>
  <c r="AR50" i="11"/>
  <c r="AS50" i="11"/>
  <c r="AT50" i="11"/>
  <c r="AV50" i="11"/>
  <c r="AW50" i="11"/>
  <c r="AX50" i="11"/>
  <c r="AY50" i="11"/>
  <c r="BA50" i="11"/>
  <c r="BB50" i="11"/>
  <c r="BC50" i="11"/>
  <c r="BD50" i="11"/>
  <c r="BF50" i="11"/>
  <c r="BG50" i="11"/>
  <c r="BH50" i="11"/>
  <c r="BI50" i="11"/>
  <c r="BK50" i="11"/>
  <c r="BL50" i="11"/>
  <c r="BM50" i="11"/>
  <c r="BN50" i="11"/>
  <c r="BP50" i="11"/>
  <c r="BQ50" i="11"/>
  <c r="BR50" i="11"/>
  <c r="BS50" i="11"/>
  <c r="BU50" i="11"/>
  <c r="BV50" i="11"/>
  <c r="BW50" i="11"/>
  <c r="BX50" i="11"/>
  <c r="CJ50" i="11"/>
  <c r="M50" i="11" s="1"/>
  <c r="CK50" i="11" s="1"/>
  <c r="AQ51" i="11"/>
  <c r="AR51" i="11"/>
  <c r="AS51" i="11"/>
  <c r="AT51" i="11"/>
  <c r="AX51" i="1" s="1"/>
  <c r="AV51" i="11"/>
  <c r="AW51" i="11"/>
  <c r="AX51" i="11"/>
  <c r="AY51" i="11"/>
  <c r="BA51" i="11"/>
  <c r="BB51" i="11"/>
  <c r="BC51" i="11"/>
  <c r="BD51" i="11"/>
  <c r="BF51" i="11"/>
  <c r="BG51" i="11"/>
  <c r="BH51" i="11"/>
  <c r="BI51" i="11"/>
  <c r="BK51" i="11"/>
  <c r="BL51" i="11"/>
  <c r="BM51" i="11"/>
  <c r="BN51" i="11"/>
  <c r="BP51" i="11"/>
  <c r="BQ51" i="11"/>
  <c r="BR51" i="11"/>
  <c r="BS51" i="11"/>
  <c r="BU51" i="11"/>
  <c r="BV51" i="11"/>
  <c r="BW51" i="11"/>
  <c r="BX51" i="11"/>
  <c r="CJ51" i="11"/>
  <c r="M51" i="11" s="1"/>
  <c r="CK51" i="11" s="1"/>
  <c r="AQ52" i="11"/>
  <c r="AR52" i="11"/>
  <c r="AS52" i="11"/>
  <c r="AT52" i="11"/>
  <c r="AX52" i="1" s="1"/>
  <c r="AV52" i="11"/>
  <c r="AW52" i="11"/>
  <c r="AX52" i="11"/>
  <c r="AY52" i="11"/>
  <c r="BA52" i="11"/>
  <c r="BB52" i="11"/>
  <c r="BC52" i="11"/>
  <c r="BD52" i="11"/>
  <c r="BF52" i="11"/>
  <c r="BG52" i="11"/>
  <c r="BH52" i="11"/>
  <c r="BI52" i="11"/>
  <c r="BK52" i="11"/>
  <c r="BL52" i="11"/>
  <c r="BM52" i="11"/>
  <c r="BN52" i="11"/>
  <c r="BP52" i="11"/>
  <c r="BQ52" i="11"/>
  <c r="BR52" i="11"/>
  <c r="BS52" i="11"/>
  <c r="BU52" i="11"/>
  <c r="BV52" i="11"/>
  <c r="BW52" i="11"/>
  <c r="BX52" i="11"/>
  <c r="CJ52" i="11"/>
  <c r="M52" i="11" s="1"/>
  <c r="CK52" i="11" s="1"/>
  <c r="AQ53" i="11"/>
  <c r="AR53" i="11"/>
  <c r="AS53" i="11"/>
  <c r="AT53" i="11"/>
  <c r="AV53" i="11"/>
  <c r="AW53" i="11"/>
  <c r="AX53" i="11"/>
  <c r="AY53" i="11"/>
  <c r="BA53" i="11"/>
  <c r="BB53" i="11"/>
  <c r="BC53" i="11"/>
  <c r="BD53" i="11"/>
  <c r="BF53" i="11"/>
  <c r="BG53" i="11"/>
  <c r="BH53" i="11"/>
  <c r="BI53" i="11"/>
  <c r="BK53" i="11"/>
  <c r="BL53" i="11"/>
  <c r="BM53" i="11"/>
  <c r="BN53" i="11"/>
  <c r="BP53" i="11"/>
  <c r="BQ53" i="11"/>
  <c r="BR53" i="11"/>
  <c r="BS53" i="11"/>
  <c r="BU53" i="11"/>
  <c r="BV53" i="11"/>
  <c r="BW53" i="11"/>
  <c r="BX53" i="11"/>
  <c r="CJ53" i="11"/>
  <c r="M53" i="11" s="1"/>
  <c r="CK53" i="11" s="1"/>
  <c r="AQ54" i="11"/>
  <c r="AR54" i="11"/>
  <c r="AS54" i="11"/>
  <c r="AT54" i="11"/>
  <c r="AV54" i="11"/>
  <c r="AW54" i="11"/>
  <c r="AX54" i="11"/>
  <c r="AY54" i="11"/>
  <c r="BA54" i="11"/>
  <c r="BB54" i="11"/>
  <c r="BC54" i="11"/>
  <c r="BD54" i="11"/>
  <c r="BF54" i="11"/>
  <c r="BG54" i="11"/>
  <c r="BH54" i="11"/>
  <c r="BI54" i="11"/>
  <c r="BK54" i="11"/>
  <c r="BL54" i="11"/>
  <c r="BM54" i="11"/>
  <c r="BN54" i="11"/>
  <c r="BP54" i="11"/>
  <c r="BQ54" i="11"/>
  <c r="BR54" i="11"/>
  <c r="BS54" i="11"/>
  <c r="BU54" i="11"/>
  <c r="BV54" i="11"/>
  <c r="BW54" i="11"/>
  <c r="BX54" i="11"/>
  <c r="CJ54" i="11"/>
  <c r="M54" i="11" s="1"/>
  <c r="CK54" i="11" s="1"/>
  <c r="AQ55" i="11"/>
  <c r="AR55" i="11"/>
  <c r="AS55" i="11"/>
  <c r="AT55" i="11"/>
  <c r="AX55" i="1" s="1"/>
  <c r="AV55" i="11"/>
  <c r="AW55" i="11"/>
  <c r="AX55" i="11"/>
  <c r="AY55" i="11"/>
  <c r="BA55" i="11"/>
  <c r="BB55" i="11"/>
  <c r="BC55" i="11"/>
  <c r="BD55" i="11"/>
  <c r="BF55" i="11"/>
  <c r="BG55" i="11"/>
  <c r="BH55" i="11"/>
  <c r="BI55" i="11"/>
  <c r="BK55" i="11"/>
  <c r="BL55" i="11"/>
  <c r="BM55" i="11"/>
  <c r="BN55" i="11"/>
  <c r="BP55" i="11"/>
  <c r="BQ55" i="11"/>
  <c r="BR55" i="11"/>
  <c r="BS55" i="11"/>
  <c r="BU55" i="11"/>
  <c r="BV55" i="11"/>
  <c r="BW55" i="11"/>
  <c r="BX55" i="11"/>
  <c r="CJ55" i="11"/>
  <c r="M55" i="11" s="1"/>
  <c r="CK55" i="11" s="1"/>
  <c r="AQ56" i="11"/>
  <c r="AR56" i="11"/>
  <c r="AS56" i="11"/>
  <c r="AT56" i="11"/>
  <c r="AX56" i="1" s="1"/>
  <c r="AV56" i="11"/>
  <c r="AW56" i="11"/>
  <c r="AX56" i="11"/>
  <c r="AY56" i="11"/>
  <c r="BA56" i="11"/>
  <c r="BB56" i="11"/>
  <c r="BC56" i="11"/>
  <c r="BD56" i="11"/>
  <c r="BF56" i="11"/>
  <c r="BG56" i="11"/>
  <c r="BH56" i="11"/>
  <c r="BI56" i="11"/>
  <c r="BK56" i="11"/>
  <c r="BL56" i="11"/>
  <c r="BM56" i="11"/>
  <c r="BN56" i="11"/>
  <c r="BP56" i="11"/>
  <c r="BQ56" i="11"/>
  <c r="BR56" i="11"/>
  <c r="BS56" i="11"/>
  <c r="BU56" i="11"/>
  <c r="BV56" i="11"/>
  <c r="BW56" i="11"/>
  <c r="BX56" i="11"/>
  <c r="CJ56" i="11"/>
  <c r="M56" i="11" s="1"/>
  <c r="CK56" i="11" s="1"/>
  <c r="AQ57" i="11"/>
  <c r="AR57" i="11"/>
  <c r="AS57" i="11"/>
  <c r="AT57" i="11"/>
  <c r="AX57" i="1" s="1"/>
  <c r="AV57" i="11"/>
  <c r="AW57" i="11"/>
  <c r="AX57" i="11"/>
  <c r="AY57" i="11"/>
  <c r="BA57" i="11"/>
  <c r="BB57" i="11"/>
  <c r="BC57" i="11"/>
  <c r="BD57" i="11"/>
  <c r="BF57" i="11"/>
  <c r="BG57" i="11"/>
  <c r="BH57" i="11"/>
  <c r="BI57" i="11"/>
  <c r="BK57" i="11"/>
  <c r="BL57" i="11"/>
  <c r="BM57" i="11"/>
  <c r="BN57" i="11"/>
  <c r="BP57" i="11"/>
  <c r="BQ57" i="11"/>
  <c r="BR57" i="11"/>
  <c r="BS57" i="11"/>
  <c r="BU57" i="11"/>
  <c r="BV57" i="11"/>
  <c r="BW57" i="11"/>
  <c r="BX57" i="11"/>
  <c r="CJ57" i="11"/>
  <c r="M57" i="11" s="1"/>
  <c r="CK57" i="11" s="1"/>
  <c r="AQ58" i="11"/>
  <c r="AR58" i="11"/>
  <c r="AS58" i="11"/>
  <c r="AT58" i="11"/>
  <c r="AX58" i="1" s="1"/>
  <c r="AV58" i="11"/>
  <c r="AW58" i="11"/>
  <c r="AX58" i="11"/>
  <c r="AY58" i="11"/>
  <c r="BA58" i="11"/>
  <c r="BB58" i="11"/>
  <c r="BC58" i="11"/>
  <c r="BD58" i="11"/>
  <c r="BF58" i="11"/>
  <c r="BG58" i="11"/>
  <c r="BH58" i="11"/>
  <c r="BI58" i="11"/>
  <c r="BK58" i="11"/>
  <c r="BL58" i="11"/>
  <c r="BM58" i="11"/>
  <c r="BN58" i="11"/>
  <c r="BP58" i="11"/>
  <c r="BQ58" i="11"/>
  <c r="BR58" i="11"/>
  <c r="BS58" i="11"/>
  <c r="BU58" i="11"/>
  <c r="BV58" i="11"/>
  <c r="BW58" i="11"/>
  <c r="BX58" i="11"/>
  <c r="CJ58" i="11"/>
  <c r="M58" i="11" s="1"/>
  <c r="CK58" i="11" s="1"/>
  <c r="AQ59" i="11"/>
  <c r="AR59" i="11"/>
  <c r="AS59" i="11"/>
  <c r="AT59" i="11"/>
  <c r="AV59" i="11"/>
  <c r="AW59" i="11"/>
  <c r="AX59" i="11"/>
  <c r="AY59" i="11"/>
  <c r="BA59" i="11"/>
  <c r="BB59" i="11"/>
  <c r="BC59" i="11"/>
  <c r="BD59" i="11"/>
  <c r="BF59" i="11"/>
  <c r="BG59" i="11"/>
  <c r="BH59" i="11"/>
  <c r="BI59" i="11"/>
  <c r="BK59" i="11"/>
  <c r="BL59" i="11"/>
  <c r="BM59" i="11"/>
  <c r="BN59" i="11"/>
  <c r="BP59" i="11"/>
  <c r="BQ59" i="11"/>
  <c r="BR59" i="11"/>
  <c r="BS59" i="11"/>
  <c r="BU59" i="11"/>
  <c r="BV59" i="11"/>
  <c r="BW59" i="11"/>
  <c r="BX59" i="11"/>
  <c r="CJ59" i="11"/>
  <c r="M59" i="11" s="1"/>
  <c r="CK59" i="11" s="1"/>
  <c r="AQ60" i="11"/>
  <c r="AR60" i="11"/>
  <c r="AS60" i="11"/>
  <c r="AT60" i="11"/>
  <c r="AX60" i="1" s="1"/>
  <c r="AV60" i="11"/>
  <c r="AW60" i="11"/>
  <c r="AX60" i="11"/>
  <c r="AY60" i="11"/>
  <c r="BA60" i="11"/>
  <c r="BB60" i="11"/>
  <c r="BC60" i="11"/>
  <c r="BD60" i="11"/>
  <c r="BF60" i="11"/>
  <c r="BG60" i="11"/>
  <c r="BH60" i="11"/>
  <c r="BI60" i="11"/>
  <c r="BK60" i="11"/>
  <c r="BL60" i="11"/>
  <c r="BM60" i="11"/>
  <c r="BN60" i="11"/>
  <c r="BP60" i="11"/>
  <c r="BQ60" i="11"/>
  <c r="BR60" i="11"/>
  <c r="BS60" i="11"/>
  <c r="BU60" i="11"/>
  <c r="BV60" i="11"/>
  <c r="BW60" i="11"/>
  <c r="BX60" i="11"/>
  <c r="CJ60" i="11"/>
  <c r="M60" i="11" s="1"/>
  <c r="CK60" i="11" s="1"/>
  <c r="AQ61" i="11"/>
  <c r="AR61" i="11"/>
  <c r="AS61" i="11"/>
  <c r="AT61" i="11"/>
  <c r="AV61" i="11"/>
  <c r="AW61" i="11"/>
  <c r="AX61" i="11"/>
  <c r="AY61" i="11"/>
  <c r="BA61" i="11"/>
  <c r="BB61" i="11"/>
  <c r="BC61" i="11"/>
  <c r="BD61" i="11"/>
  <c r="BF61" i="11"/>
  <c r="BG61" i="11"/>
  <c r="BH61" i="11"/>
  <c r="BI61" i="11"/>
  <c r="BK61" i="11"/>
  <c r="BL61" i="11"/>
  <c r="BM61" i="11"/>
  <c r="BN61" i="11"/>
  <c r="BP61" i="11"/>
  <c r="BQ61" i="11"/>
  <c r="BR61" i="11"/>
  <c r="BS61" i="11"/>
  <c r="BU61" i="11"/>
  <c r="BV61" i="11"/>
  <c r="BW61" i="11"/>
  <c r="BX61" i="11"/>
  <c r="CJ61" i="11"/>
  <c r="M61" i="11" s="1"/>
  <c r="CK61" i="11" s="1"/>
  <c r="AQ62" i="11"/>
  <c r="AR62" i="11"/>
  <c r="AS62" i="11"/>
  <c r="AT62" i="11"/>
  <c r="AX62" i="1" s="1"/>
  <c r="AV62" i="11"/>
  <c r="AW62" i="11"/>
  <c r="AX62" i="11"/>
  <c r="AY62" i="11"/>
  <c r="BA62" i="11"/>
  <c r="BB62" i="11"/>
  <c r="BC62" i="11"/>
  <c r="BD62" i="11"/>
  <c r="BF62" i="11"/>
  <c r="BG62" i="11"/>
  <c r="BH62" i="11"/>
  <c r="BI62" i="11"/>
  <c r="BK62" i="11"/>
  <c r="BL62" i="11"/>
  <c r="BM62" i="11"/>
  <c r="BN62" i="11"/>
  <c r="BP62" i="11"/>
  <c r="BQ62" i="11"/>
  <c r="BR62" i="11"/>
  <c r="BS62" i="11"/>
  <c r="BU62" i="11"/>
  <c r="BV62" i="11"/>
  <c r="BW62" i="11"/>
  <c r="BX62" i="11"/>
  <c r="CJ62" i="11"/>
  <c r="M62" i="11" s="1"/>
  <c r="CK62" i="11" s="1"/>
  <c r="AQ63" i="11"/>
  <c r="AR63" i="11"/>
  <c r="AS63" i="11"/>
  <c r="AT63" i="11"/>
  <c r="AV63" i="11"/>
  <c r="AW63" i="11"/>
  <c r="AX63" i="11"/>
  <c r="AY63" i="11"/>
  <c r="BA63" i="11"/>
  <c r="BB63" i="11"/>
  <c r="BC63" i="11"/>
  <c r="BD63" i="11"/>
  <c r="BF63" i="11"/>
  <c r="BG63" i="11"/>
  <c r="BH63" i="11"/>
  <c r="BI63" i="11"/>
  <c r="BK63" i="11"/>
  <c r="BL63" i="11"/>
  <c r="BM63" i="11"/>
  <c r="BN63" i="11"/>
  <c r="BP63" i="11"/>
  <c r="BQ63" i="11"/>
  <c r="BR63" i="11"/>
  <c r="BS63" i="11"/>
  <c r="BU63" i="11"/>
  <c r="BV63" i="11"/>
  <c r="BW63" i="11"/>
  <c r="BX63" i="11"/>
  <c r="CJ63" i="11"/>
  <c r="M63" i="11" s="1"/>
  <c r="CK63" i="11" s="1"/>
  <c r="AQ64" i="11"/>
  <c r="AR64" i="11"/>
  <c r="AS64" i="11"/>
  <c r="AT64" i="11"/>
  <c r="AX64" i="1" s="1"/>
  <c r="AV64" i="11"/>
  <c r="AW64" i="11"/>
  <c r="AX64" i="11"/>
  <c r="AY64" i="11"/>
  <c r="BA64" i="11"/>
  <c r="BB64" i="11"/>
  <c r="BC64" i="11"/>
  <c r="BD64" i="11"/>
  <c r="BF64" i="11"/>
  <c r="BG64" i="11"/>
  <c r="BH64" i="11"/>
  <c r="BI64" i="11"/>
  <c r="BK64" i="11"/>
  <c r="BL64" i="11"/>
  <c r="BM64" i="11"/>
  <c r="BN64" i="11"/>
  <c r="BP64" i="11"/>
  <c r="BQ64" i="11"/>
  <c r="BR64" i="11"/>
  <c r="BS64" i="11"/>
  <c r="BU64" i="11"/>
  <c r="BV64" i="11"/>
  <c r="BW64" i="11"/>
  <c r="BX64" i="11"/>
  <c r="CJ64" i="11"/>
  <c r="M64" i="11" s="1"/>
  <c r="CK64" i="11" s="1"/>
  <c r="AQ65" i="11"/>
  <c r="AR65" i="11"/>
  <c r="AS65" i="11"/>
  <c r="AT65" i="11"/>
  <c r="AX65" i="1" s="1"/>
  <c r="AV65" i="11"/>
  <c r="AW65" i="11"/>
  <c r="AX65" i="11"/>
  <c r="AY65" i="11"/>
  <c r="BA65" i="11"/>
  <c r="BB65" i="11"/>
  <c r="BC65" i="11"/>
  <c r="BD65" i="11"/>
  <c r="BF65" i="11"/>
  <c r="BG65" i="11"/>
  <c r="BH65" i="11"/>
  <c r="BI65" i="11"/>
  <c r="BK65" i="11"/>
  <c r="BL65" i="11"/>
  <c r="BM65" i="11"/>
  <c r="BN65" i="11"/>
  <c r="BP65" i="11"/>
  <c r="BQ65" i="11"/>
  <c r="BR65" i="11"/>
  <c r="BS65" i="11"/>
  <c r="BU65" i="11"/>
  <c r="BV65" i="11"/>
  <c r="BW65" i="11"/>
  <c r="BX65" i="11"/>
  <c r="CJ65" i="11"/>
  <c r="M65" i="11" s="1"/>
  <c r="CK65" i="11" s="1"/>
  <c r="AQ66" i="11"/>
  <c r="AR66" i="11"/>
  <c r="AS66" i="11"/>
  <c r="AT66" i="11"/>
  <c r="AV66" i="11"/>
  <c r="AW66" i="11"/>
  <c r="AX66" i="11"/>
  <c r="AY66" i="11"/>
  <c r="BA66" i="11"/>
  <c r="BB66" i="11"/>
  <c r="BC66" i="11"/>
  <c r="BD66" i="11"/>
  <c r="BF66" i="11"/>
  <c r="BG66" i="11"/>
  <c r="BH66" i="11"/>
  <c r="BI66" i="11"/>
  <c r="BK66" i="11"/>
  <c r="BL66" i="11"/>
  <c r="BM66" i="11"/>
  <c r="BN66" i="11"/>
  <c r="BP66" i="11"/>
  <c r="BQ66" i="11"/>
  <c r="BR66" i="11"/>
  <c r="BS66" i="11"/>
  <c r="BU66" i="11"/>
  <c r="BV66" i="11"/>
  <c r="BW66" i="11"/>
  <c r="BX66" i="11"/>
  <c r="CJ66" i="11"/>
  <c r="M66" i="11" s="1"/>
  <c r="CK66" i="11" s="1"/>
  <c r="AQ67" i="11"/>
  <c r="AR67" i="11"/>
  <c r="AS67" i="11"/>
  <c r="AT67" i="11"/>
  <c r="AX67" i="1" s="1"/>
  <c r="AV67" i="11"/>
  <c r="AW67" i="11"/>
  <c r="AX67" i="11"/>
  <c r="AY67" i="11"/>
  <c r="BA67" i="11"/>
  <c r="BB67" i="11"/>
  <c r="BC67" i="11"/>
  <c r="BD67" i="11"/>
  <c r="BF67" i="11"/>
  <c r="BG67" i="11"/>
  <c r="BH67" i="11"/>
  <c r="BI67" i="11"/>
  <c r="BK67" i="11"/>
  <c r="BL67" i="11"/>
  <c r="BM67" i="11"/>
  <c r="BN67" i="11"/>
  <c r="BP67" i="11"/>
  <c r="BQ67" i="11"/>
  <c r="BR67" i="11"/>
  <c r="BS67" i="11"/>
  <c r="BU67" i="11"/>
  <c r="BV67" i="11"/>
  <c r="BW67" i="11"/>
  <c r="BX67" i="11"/>
  <c r="CJ67" i="11"/>
  <c r="M67" i="11" s="1"/>
  <c r="CK67" i="11" s="1"/>
  <c r="AQ68" i="11"/>
  <c r="AR68" i="11"/>
  <c r="AS68" i="11"/>
  <c r="AT68" i="11"/>
  <c r="AX68" i="1" s="1"/>
  <c r="AV68" i="11"/>
  <c r="AW68" i="11"/>
  <c r="AX68" i="11"/>
  <c r="AY68" i="11"/>
  <c r="BA68" i="11"/>
  <c r="BB68" i="11"/>
  <c r="BC68" i="11"/>
  <c r="BD68" i="11"/>
  <c r="BF68" i="11"/>
  <c r="BG68" i="11"/>
  <c r="BH68" i="11"/>
  <c r="BI68" i="11"/>
  <c r="BK68" i="11"/>
  <c r="BL68" i="11"/>
  <c r="BM68" i="11"/>
  <c r="BN68" i="11"/>
  <c r="BP68" i="11"/>
  <c r="BQ68" i="11"/>
  <c r="BR68" i="11"/>
  <c r="BS68" i="11"/>
  <c r="BU68" i="11"/>
  <c r="BV68" i="11"/>
  <c r="BW68" i="11"/>
  <c r="BX68" i="11"/>
  <c r="CJ68" i="11"/>
  <c r="M68" i="11" s="1"/>
  <c r="CK68" i="11" s="1"/>
  <c r="AQ69" i="11"/>
  <c r="AR69" i="11"/>
  <c r="AS69" i="11"/>
  <c r="AT69" i="11"/>
  <c r="AX69" i="1" s="1"/>
  <c r="AV69" i="11"/>
  <c r="AW69" i="11"/>
  <c r="AX69" i="11"/>
  <c r="AY69" i="11"/>
  <c r="BA69" i="11"/>
  <c r="BB69" i="11"/>
  <c r="BC69" i="11"/>
  <c r="BD69" i="11"/>
  <c r="BF69" i="11"/>
  <c r="BG69" i="11"/>
  <c r="BH69" i="11"/>
  <c r="BI69" i="11"/>
  <c r="BK69" i="11"/>
  <c r="BL69" i="11"/>
  <c r="BM69" i="11"/>
  <c r="BN69" i="11"/>
  <c r="BP69" i="11"/>
  <c r="BQ69" i="11"/>
  <c r="BR69" i="11"/>
  <c r="BS69" i="11"/>
  <c r="BU69" i="11"/>
  <c r="BV69" i="11"/>
  <c r="BW69" i="11"/>
  <c r="BX69" i="11"/>
  <c r="CJ69" i="11"/>
  <c r="M69" i="11" s="1"/>
  <c r="CK69" i="11" s="1"/>
  <c r="AQ70" i="11"/>
  <c r="AR70" i="11"/>
  <c r="AS70" i="11"/>
  <c r="AT70" i="11"/>
  <c r="AX70" i="1" s="1"/>
  <c r="AV70" i="11"/>
  <c r="AW70" i="11"/>
  <c r="AX70" i="11"/>
  <c r="AY70" i="11"/>
  <c r="BA70" i="11"/>
  <c r="BB70" i="11"/>
  <c r="BC70" i="11"/>
  <c r="BD70" i="11"/>
  <c r="BF70" i="11"/>
  <c r="BG70" i="11"/>
  <c r="BH70" i="11"/>
  <c r="BI70" i="11"/>
  <c r="BK70" i="11"/>
  <c r="BL70" i="11"/>
  <c r="BM70" i="11"/>
  <c r="BN70" i="11"/>
  <c r="BP70" i="11"/>
  <c r="BQ70" i="11"/>
  <c r="BR70" i="11"/>
  <c r="BS70" i="11"/>
  <c r="BU70" i="11"/>
  <c r="BV70" i="11"/>
  <c r="BW70" i="11"/>
  <c r="BX70" i="11"/>
  <c r="CJ70" i="11"/>
  <c r="M70" i="11" s="1"/>
  <c r="CK70" i="11" s="1"/>
  <c r="AQ71" i="11"/>
  <c r="AR71" i="11"/>
  <c r="AS71" i="11"/>
  <c r="AT71" i="11"/>
  <c r="AX71" i="1" s="1"/>
  <c r="AV71" i="11"/>
  <c r="AW71" i="11"/>
  <c r="AX71" i="11"/>
  <c r="AY71" i="11"/>
  <c r="BA71" i="11"/>
  <c r="BB71" i="11"/>
  <c r="BC71" i="11"/>
  <c r="BD71" i="11"/>
  <c r="BF71" i="11"/>
  <c r="BG71" i="11"/>
  <c r="BH71" i="11"/>
  <c r="BI71" i="11"/>
  <c r="BK71" i="11"/>
  <c r="BL71" i="11"/>
  <c r="BM71" i="11"/>
  <c r="BN71" i="11"/>
  <c r="BP71" i="11"/>
  <c r="BQ71" i="11"/>
  <c r="BR71" i="11"/>
  <c r="BS71" i="11"/>
  <c r="BU71" i="11"/>
  <c r="BV71" i="11"/>
  <c r="BW71" i="11"/>
  <c r="BX71" i="11"/>
  <c r="CJ71" i="11"/>
  <c r="M71" i="11" s="1"/>
  <c r="CK71" i="11" s="1"/>
  <c r="AQ72" i="11"/>
  <c r="AR72" i="11"/>
  <c r="AS72" i="11"/>
  <c r="AT72" i="11"/>
  <c r="AX72" i="1" s="1"/>
  <c r="AV72" i="11"/>
  <c r="AW72" i="11"/>
  <c r="AX72" i="11"/>
  <c r="AY72" i="11"/>
  <c r="BA72" i="11"/>
  <c r="BB72" i="11"/>
  <c r="BC72" i="11"/>
  <c r="BD72" i="11"/>
  <c r="BF72" i="11"/>
  <c r="BG72" i="11"/>
  <c r="BH72" i="11"/>
  <c r="BI72" i="11"/>
  <c r="BK72" i="11"/>
  <c r="BL72" i="11"/>
  <c r="BM72" i="11"/>
  <c r="BN72" i="11"/>
  <c r="BP72" i="11"/>
  <c r="BQ72" i="11"/>
  <c r="BR72" i="11"/>
  <c r="BS72" i="11"/>
  <c r="BU72" i="11"/>
  <c r="BV72" i="11"/>
  <c r="BW72" i="11"/>
  <c r="BX72" i="11"/>
  <c r="CJ72" i="11"/>
  <c r="M72" i="11" s="1"/>
  <c r="CK72" i="11" s="1"/>
  <c r="AQ73" i="11"/>
  <c r="AR73" i="11"/>
  <c r="AS73" i="11"/>
  <c r="AT73" i="11"/>
  <c r="AX73" i="1" s="1"/>
  <c r="AV73" i="11"/>
  <c r="AW73" i="11"/>
  <c r="AX73" i="11"/>
  <c r="AY73" i="11"/>
  <c r="BA73" i="11"/>
  <c r="BB73" i="11"/>
  <c r="BC73" i="11"/>
  <c r="BD73" i="11"/>
  <c r="BF73" i="11"/>
  <c r="BG73" i="11"/>
  <c r="BH73" i="11"/>
  <c r="BI73" i="11"/>
  <c r="BK73" i="11"/>
  <c r="BL73" i="11"/>
  <c r="BM73" i="11"/>
  <c r="BN73" i="11"/>
  <c r="BP73" i="11"/>
  <c r="BQ73" i="11"/>
  <c r="BR73" i="11"/>
  <c r="BS73" i="11"/>
  <c r="BU73" i="11"/>
  <c r="BV73" i="11"/>
  <c r="BW73" i="11"/>
  <c r="BX73" i="11"/>
  <c r="CJ73" i="11"/>
  <c r="M73" i="11" s="1"/>
  <c r="CK73" i="11" s="1"/>
  <c r="AQ74" i="11"/>
  <c r="AR74" i="11"/>
  <c r="AS74" i="11"/>
  <c r="AT74" i="11"/>
  <c r="AV74" i="11"/>
  <c r="AW74" i="11"/>
  <c r="AX74" i="11"/>
  <c r="AY74" i="11"/>
  <c r="BA74" i="11"/>
  <c r="BB74" i="11"/>
  <c r="BC74" i="11"/>
  <c r="BD74" i="11"/>
  <c r="BF74" i="11"/>
  <c r="BG74" i="11"/>
  <c r="BH74" i="11"/>
  <c r="BI74" i="11"/>
  <c r="BK74" i="11"/>
  <c r="BL74" i="11"/>
  <c r="BM74" i="11"/>
  <c r="BN74" i="11"/>
  <c r="BP74" i="11"/>
  <c r="BQ74" i="11"/>
  <c r="BR74" i="11"/>
  <c r="BS74" i="11"/>
  <c r="BU74" i="11"/>
  <c r="BV74" i="11"/>
  <c r="BW74" i="11"/>
  <c r="BX74" i="11"/>
  <c r="CJ74" i="11"/>
  <c r="M74" i="11" s="1"/>
  <c r="CK74" i="11" s="1"/>
  <c r="AQ75" i="11"/>
  <c r="AR75" i="11"/>
  <c r="AS75" i="11"/>
  <c r="AT75" i="11"/>
  <c r="AX75" i="1" s="1"/>
  <c r="AV75" i="11"/>
  <c r="AW75" i="11"/>
  <c r="AX75" i="11"/>
  <c r="AY75" i="11"/>
  <c r="BA75" i="11"/>
  <c r="BB75" i="11"/>
  <c r="BC75" i="11"/>
  <c r="BD75" i="11"/>
  <c r="BF75" i="11"/>
  <c r="BG75" i="11"/>
  <c r="BH75" i="11"/>
  <c r="BI75" i="11"/>
  <c r="BK75" i="11"/>
  <c r="BL75" i="11"/>
  <c r="BM75" i="11"/>
  <c r="BN75" i="11"/>
  <c r="BP75" i="11"/>
  <c r="BQ75" i="11"/>
  <c r="BR75" i="11"/>
  <c r="BS75" i="11"/>
  <c r="BU75" i="11"/>
  <c r="I63" i="4" s="1"/>
  <c r="BV75" i="11"/>
  <c r="BW75" i="11"/>
  <c r="BX75" i="11"/>
  <c r="CJ75" i="11"/>
  <c r="M75" i="11" s="1"/>
  <c r="CK75" i="11" s="1"/>
  <c r="AQ76" i="11"/>
  <c r="AR76" i="11"/>
  <c r="AS76" i="11"/>
  <c r="AT76" i="11"/>
  <c r="AX76" i="1" s="1"/>
  <c r="AV76" i="11"/>
  <c r="AW76" i="11"/>
  <c r="AX76" i="11"/>
  <c r="AY76" i="11"/>
  <c r="BA76" i="11"/>
  <c r="BB76" i="11"/>
  <c r="BC76" i="11"/>
  <c r="BD76" i="11"/>
  <c r="BF76" i="11"/>
  <c r="BG76" i="11"/>
  <c r="BH76" i="11"/>
  <c r="BI76" i="11"/>
  <c r="BK76" i="11"/>
  <c r="BL76" i="11"/>
  <c r="BM76" i="11"/>
  <c r="BN76" i="11"/>
  <c r="BP76" i="11"/>
  <c r="BQ76" i="11"/>
  <c r="BR76" i="11"/>
  <c r="BS76" i="11"/>
  <c r="BU76" i="11"/>
  <c r="BV76" i="11"/>
  <c r="BW76" i="11"/>
  <c r="BX76" i="11"/>
  <c r="CJ76" i="11"/>
  <c r="M76" i="11" s="1"/>
  <c r="CK76" i="11" s="1"/>
  <c r="AQ77" i="11"/>
  <c r="AR77" i="11"/>
  <c r="AS77" i="11"/>
  <c r="AT77" i="11"/>
  <c r="AX77" i="1" s="1"/>
  <c r="AV77" i="11"/>
  <c r="AW77" i="11"/>
  <c r="AX77" i="11"/>
  <c r="AY77" i="11"/>
  <c r="BA77" i="11"/>
  <c r="BB77" i="11"/>
  <c r="BC77" i="11"/>
  <c r="BD77" i="11"/>
  <c r="BF77" i="11"/>
  <c r="BG77" i="11"/>
  <c r="BH77" i="11"/>
  <c r="BI77" i="11"/>
  <c r="BK77" i="11"/>
  <c r="BL77" i="11"/>
  <c r="BM77" i="11"/>
  <c r="BN77" i="11"/>
  <c r="BP77" i="11"/>
  <c r="BQ77" i="11"/>
  <c r="BR77" i="11"/>
  <c r="BS77" i="11"/>
  <c r="BU77" i="11"/>
  <c r="BV77" i="11"/>
  <c r="BW77" i="11"/>
  <c r="BX77" i="11"/>
  <c r="CJ77" i="11"/>
  <c r="M77" i="11" s="1"/>
  <c r="CK77" i="11" s="1"/>
  <c r="AQ78" i="11"/>
  <c r="AR78" i="11"/>
  <c r="AS78" i="11"/>
  <c r="AT78" i="11"/>
  <c r="AX78" i="1" s="1"/>
  <c r="AV78" i="11"/>
  <c r="AW78" i="11"/>
  <c r="AX78" i="11"/>
  <c r="AY78" i="11"/>
  <c r="BA78" i="11"/>
  <c r="BB78" i="11"/>
  <c r="BC78" i="11"/>
  <c r="BD78" i="11"/>
  <c r="BF78" i="11"/>
  <c r="BG78" i="11"/>
  <c r="BH78" i="11"/>
  <c r="BI78" i="11"/>
  <c r="BK78" i="11"/>
  <c r="BL78" i="11"/>
  <c r="BM78" i="11"/>
  <c r="BN78" i="11"/>
  <c r="BP78" i="11"/>
  <c r="BQ78" i="11"/>
  <c r="BR78" i="11"/>
  <c r="BS78" i="11"/>
  <c r="BU78" i="11"/>
  <c r="BV78" i="11"/>
  <c r="BW78" i="11"/>
  <c r="BX78" i="11"/>
  <c r="CJ78" i="11"/>
  <c r="M78" i="11" s="1"/>
  <c r="CK78" i="11" s="1"/>
  <c r="AQ79" i="11"/>
  <c r="AR79" i="11"/>
  <c r="AS79" i="11"/>
  <c r="AT79" i="11"/>
  <c r="AX79" i="1" s="1"/>
  <c r="AV79" i="11"/>
  <c r="AW79" i="11"/>
  <c r="AX79" i="11"/>
  <c r="AY79" i="11"/>
  <c r="BA79" i="11"/>
  <c r="BB79" i="11"/>
  <c r="BC79" i="11"/>
  <c r="BD79" i="11"/>
  <c r="BF79" i="11"/>
  <c r="BG79" i="11"/>
  <c r="BH79" i="11"/>
  <c r="BI79" i="11"/>
  <c r="BK79" i="11"/>
  <c r="BL79" i="11"/>
  <c r="BM79" i="11"/>
  <c r="BN79" i="11"/>
  <c r="BP79" i="11"/>
  <c r="BQ79" i="11"/>
  <c r="BR79" i="11"/>
  <c r="BS79" i="11"/>
  <c r="BU79" i="11"/>
  <c r="BV79" i="11"/>
  <c r="BW79" i="11"/>
  <c r="BX79" i="11"/>
  <c r="CJ79" i="11"/>
  <c r="M79" i="11" s="1"/>
  <c r="CK79" i="11" s="1"/>
  <c r="AQ80" i="11"/>
  <c r="AR80" i="11"/>
  <c r="AS80" i="11"/>
  <c r="AT80" i="11"/>
  <c r="AX80" i="1" s="1"/>
  <c r="AV80" i="11"/>
  <c r="AW80" i="11"/>
  <c r="AX80" i="11"/>
  <c r="AY80" i="11"/>
  <c r="BA80" i="11"/>
  <c r="BB80" i="11"/>
  <c r="BC80" i="11"/>
  <c r="BD80" i="11"/>
  <c r="BF80" i="11"/>
  <c r="BG80" i="11"/>
  <c r="BH80" i="11"/>
  <c r="BI80" i="11"/>
  <c r="BK80" i="11"/>
  <c r="BL80" i="11"/>
  <c r="BM80" i="11"/>
  <c r="BN80" i="11"/>
  <c r="BP80" i="11"/>
  <c r="BQ80" i="11"/>
  <c r="BR80" i="11"/>
  <c r="BS80" i="11"/>
  <c r="BU80" i="11"/>
  <c r="BV80" i="11"/>
  <c r="BW80" i="11"/>
  <c r="BX80" i="11"/>
  <c r="CJ80" i="11"/>
  <c r="M80" i="11" s="1"/>
  <c r="CK80" i="11" s="1"/>
  <c r="AQ81" i="11"/>
  <c r="AR81" i="11"/>
  <c r="AS81" i="11"/>
  <c r="AT81" i="11"/>
  <c r="AX81" i="1" s="1"/>
  <c r="AV81" i="11"/>
  <c r="AW81" i="11"/>
  <c r="AX81" i="11"/>
  <c r="AY81" i="11"/>
  <c r="BA81" i="11"/>
  <c r="BB81" i="11"/>
  <c r="BC81" i="11"/>
  <c r="BD81" i="11"/>
  <c r="BF81" i="11"/>
  <c r="BG81" i="11"/>
  <c r="BH81" i="11"/>
  <c r="BI81" i="11"/>
  <c r="BK81" i="11"/>
  <c r="BL81" i="11"/>
  <c r="BM81" i="11"/>
  <c r="BN81" i="11"/>
  <c r="BP81" i="11"/>
  <c r="BQ81" i="11"/>
  <c r="BR81" i="11"/>
  <c r="BS81" i="11"/>
  <c r="BU81" i="11"/>
  <c r="BV81" i="11"/>
  <c r="BW81" i="11"/>
  <c r="BX81" i="11"/>
  <c r="CJ81" i="11"/>
  <c r="M81" i="11" s="1"/>
  <c r="CK81" i="11" s="1"/>
  <c r="AQ82" i="11"/>
  <c r="AR82" i="11"/>
  <c r="AS82" i="11"/>
  <c r="AT82" i="11"/>
  <c r="AV82" i="11"/>
  <c r="AW82" i="11"/>
  <c r="AX82" i="11"/>
  <c r="AY82" i="11"/>
  <c r="BA82" i="11"/>
  <c r="BB82" i="11"/>
  <c r="BC82" i="11"/>
  <c r="BD82" i="11"/>
  <c r="BF82" i="11"/>
  <c r="BG82" i="11"/>
  <c r="BH82" i="11"/>
  <c r="BI82" i="11"/>
  <c r="BK82" i="11"/>
  <c r="BL82" i="11"/>
  <c r="BM82" i="11"/>
  <c r="BN82" i="11"/>
  <c r="BP82" i="11"/>
  <c r="BQ82" i="11"/>
  <c r="BR82" i="11"/>
  <c r="BS82" i="11"/>
  <c r="BU82" i="11"/>
  <c r="BV82" i="11"/>
  <c r="BW82" i="11"/>
  <c r="BX82" i="11"/>
  <c r="CJ82" i="11"/>
  <c r="M82" i="11" s="1"/>
  <c r="CK82" i="11" s="1"/>
  <c r="AQ83" i="11"/>
  <c r="AR83" i="11"/>
  <c r="AS83" i="11"/>
  <c r="AT83" i="11"/>
  <c r="AX83" i="1" s="1"/>
  <c r="AV83" i="11"/>
  <c r="AW83" i="11"/>
  <c r="AX83" i="11"/>
  <c r="AY83" i="11"/>
  <c r="BA83" i="11"/>
  <c r="BB83" i="11"/>
  <c r="BC83" i="11"/>
  <c r="BD83" i="11"/>
  <c r="BF83" i="11"/>
  <c r="BG83" i="11"/>
  <c r="BH83" i="11"/>
  <c r="BI83" i="11"/>
  <c r="BK83" i="11"/>
  <c r="BL83" i="11"/>
  <c r="BM83" i="11"/>
  <c r="BN83" i="11"/>
  <c r="BP83" i="11"/>
  <c r="BQ83" i="11"/>
  <c r="BR83" i="11"/>
  <c r="BS83" i="11"/>
  <c r="BU83" i="11"/>
  <c r="BV83" i="11"/>
  <c r="BW83" i="11"/>
  <c r="BX83" i="11"/>
  <c r="CJ83" i="11"/>
  <c r="M83" i="11" s="1"/>
  <c r="CK83" i="11" s="1"/>
  <c r="AQ84" i="11"/>
  <c r="AR84" i="11"/>
  <c r="AS84" i="11"/>
  <c r="AT84" i="11"/>
  <c r="AX84" i="1" s="1"/>
  <c r="AV84" i="11"/>
  <c r="AW84" i="11"/>
  <c r="AX84" i="11"/>
  <c r="AY84" i="11"/>
  <c r="BA84" i="11"/>
  <c r="BB84" i="11"/>
  <c r="BC84" i="11"/>
  <c r="BD84" i="11"/>
  <c r="BF84" i="11"/>
  <c r="BG84" i="11"/>
  <c r="BH84" i="11"/>
  <c r="BI84" i="11"/>
  <c r="BK84" i="11"/>
  <c r="BL84" i="11"/>
  <c r="BM84" i="11"/>
  <c r="BN84" i="11"/>
  <c r="BP84" i="11"/>
  <c r="BQ84" i="11"/>
  <c r="BR84" i="11"/>
  <c r="BS84" i="11"/>
  <c r="BU84" i="11"/>
  <c r="BV84" i="11"/>
  <c r="BW84" i="11"/>
  <c r="BX84" i="11"/>
  <c r="CJ84" i="11"/>
  <c r="M84" i="11" s="1"/>
  <c r="CK84" i="11" s="1"/>
  <c r="AQ85" i="11"/>
  <c r="AR85" i="11"/>
  <c r="AS85" i="11"/>
  <c r="AT85" i="11"/>
  <c r="AX85" i="1" s="1"/>
  <c r="AV85" i="11"/>
  <c r="AW85" i="11"/>
  <c r="AX85" i="11"/>
  <c r="AY85" i="11"/>
  <c r="BA85" i="11"/>
  <c r="BB85" i="11"/>
  <c r="BC85" i="11"/>
  <c r="BD85" i="11"/>
  <c r="BF85" i="11"/>
  <c r="BG85" i="11"/>
  <c r="BH85" i="11"/>
  <c r="BI85" i="11"/>
  <c r="BK85" i="11"/>
  <c r="BL85" i="11"/>
  <c r="BM85" i="11"/>
  <c r="BN85" i="11"/>
  <c r="BP85" i="11"/>
  <c r="BQ85" i="11"/>
  <c r="BR85" i="11"/>
  <c r="BS85" i="11"/>
  <c r="BU85" i="11"/>
  <c r="BV85" i="11"/>
  <c r="BW85" i="11"/>
  <c r="BX85" i="11"/>
  <c r="CJ85" i="11"/>
  <c r="M85" i="11" s="1"/>
  <c r="CK85" i="11" s="1"/>
  <c r="AQ86" i="11"/>
  <c r="AR86" i="11"/>
  <c r="AS86" i="11"/>
  <c r="AT86" i="11"/>
  <c r="AX86" i="1" s="1"/>
  <c r="AV86" i="11"/>
  <c r="AW86" i="11"/>
  <c r="AX86" i="11"/>
  <c r="AY86" i="11"/>
  <c r="BA86" i="11"/>
  <c r="BB86" i="11"/>
  <c r="BC86" i="11"/>
  <c r="BD86" i="11"/>
  <c r="BF86" i="11"/>
  <c r="BG86" i="11"/>
  <c r="BH86" i="11"/>
  <c r="BI86" i="11"/>
  <c r="BK86" i="11"/>
  <c r="BL86" i="11"/>
  <c r="BM86" i="11"/>
  <c r="BN86" i="11"/>
  <c r="BP86" i="11"/>
  <c r="BQ86" i="11"/>
  <c r="BR86" i="11"/>
  <c r="BS86" i="11"/>
  <c r="BU86" i="11"/>
  <c r="BV86" i="11"/>
  <c r="BW86" i="11"/>
  <c r="BX86" i="11"/>
  <c r="CJ86" i="11"/>
  <c r="M86" i="11" s="1"/>
  <c r="CK86" i="11" s="1"/>
  <c r="AQ87" i="11"/>
  <c r="AR87" i="11"/>
  <c r="AS87" i="11"/>
  <c r="AT87" i="11"/>
  <c r="AX87" i="1" s="1"/>
  <c r="AV87" i="11"/>
  <c r="AW87" i="11"/>
  <c r="AX87" i="11"/>
  <c r="AY87" i="11"/>
  <c r="BA87" i="11"/>
  <c r="BB87" i="11"/>
  <c r="BC87" i="11"/>
  <c r="BD87" i="11"/>
  <c r="BF87" i="11"/>
  <c r="BG87" i="11"/>
  <c r="BH87" i="11"/>
  <c r="BI87" i="11"/>
  <c r="BK87" i="11"/>
  <c r="BL87" i="11"/>
  <c r="BM87" i="11"/>
  <c r="BN87" i="11"/>
  <c r="BP87" i="11"/>
  <c r="BQ87" i="11"/>
  <c r="BR87" i="11"/>
  <c r="BS87" i="11"/>
  <c r="BU87" i="11"/>
  <c r="BV87" i="11"/>
  <c r="BW87" i="11"/>
  <c r="BX87" i="11"/>
  <c r="CJ87" i="11"/>
  <c r="M87" i="11" s="1"/>
  <c r="CK87" i="11" s="1"/>
  <c r="AQ88" i="11"/>
  <c r="AR88" i="11"/>
  <c r="AS88" i="11"/>
  <c r="AT88" i="11"/>
  <c r="AX88" i="1" s="1"/>
  <c r="AV88" i="11"/>
  <c r="AW88" i="11"/>
  <c r="AX88" i="11"/>
  <c r="AY88" i="11"/>
  <c r="BA88" i="11"/>
  <c r="BB88" i="11"/>
  <c r="BC88" i="11"/>
  <c r="BD88" i="11"/>
  <c r="BF88" i="11"/>
  <c r="BG88" i="11"/>
  <c r="BH88" i="11"/>
  <c r="BI88" i="11"/>
  <c r="BK88" i="11"/>
  <c r="BL88" i="11"/>
  <c r="BM88" i="11"/>
  <c r="BN88" i="11"/>
  <c r="BP88" i="11"/>
  <c r="BQ88" i="11"/>
  <c r="BR88" i="11"/>
  <c r="BS88" i="11"/>
  <c r="BU88" i="11"/>
  <c r="BV88" i="11"/>
  <c r="BW88" i="11"/>
  <c r="BX88" i="11"/>
  <c r="CJ88" i="11"/>
  <c r="M88" i="11" s="1"/>
  <c r="CK88" i="11" s="1"/>
  <c r="AQ89" i="11"/>
  <c r="AR89" i="11"/>
  <c r="AS89" i="11"/>
  <c r="AT89" i="11"/>
  <c r="AX89" i="1" s="1"/>
  <c r="AV89" i="11"/>
  <c r="AW89" i="11"/>
  <c r="AX89" i="11"/>
  <c r="AY89" i="11"/>
  <c r="BA89" i="11"/>
  <c r="BB89" i="11"/>
  <c r="BC89" i="11"/>
  <c r="BD89" i="11"/>
  <c r="BF89" i="11"/>
  <c r="BG89" i="11"/>
  <c r="BH89" i="11"/>
  <c r="BI89" i="11"/>
  <c r="BK89" i="11"/>
  <c r="BL89" i="11"/>
  <c r="BM89" i="11"/>
  <c r="BN89" i="11"/>
  <c r="BP89" i="11"/>
  <c r="BQ89" i="11"/>
  <c r="BR89" i="11"/>
  <c r="BS89" i="11"/>
  <c r="BU89" i="11"/>
  <c r="BV89" i="11"/>
  <c r="BW89" i="11"/>
  <c r="BX89" i="11"/>
  <c r="CJ89" i="11"/>
  <c r="M89" i="11" s="1"/>
  <c r="CK89" i="11" s="1"/>
  <c r="AQ90" i="11"/>
  <c r="AR90" i="11"/>
  <c r="AS90" i="11"/>
  <c r="AT90" i="11"/>
  <c r="AX90" i="1" s="1"/>
  <c r="AV90" i="11"/>
  <c r="AW90" i="11"/>
  <c r="AX90" i="11"/>
  <c r="AY90" i="11"/>
  <c r="BA90" i="11"/>
  <c r="BB90" i="11"/>
  <c r="BC90" i="11"/>
  <c r="BD90" i="11"/>
  <c r="BF90" i="11"/>
  <c r="BG90" i="11"/>
  <c r="BH90" i="11"/>
  <c r="BI90" i="11"/>
  <c r="BK90" i="11"/>
  <c r="BL90" i="11"/>
  <c r="BM90" i="11"/>
  <c r="BN90" i="11"/>
  <c r="BP90" i="11"/>
  <c r="BQ90" i="11"/>
  <c r="BR90" i="11"/>
  <c r="BS90" i="11"/>
  <c r="BU90" i="11"/>
  <c r="BV90" i="11"/>
  <c r="BW90" i="11"/>
  <c r="BX90" i="11"/>
  <c r="CJ90" i="11"/>
  <c r="M90" i="11" s="1"/>
  <c r="CK90" i="11" s="1"/>
  <c r="AQ91" i="11"/>
  <c r="AR91" i="11"/>
  <c r="AS91" i="11"/>
  <c r="AT91" i="11"/>
  <c r="AV91" i="11"/>
  <c r="AW91" i="11"/>
  <c r="AX91" i="11"/>
  <c r="AY91" i="11"/>
  <c r="BA91" i="11"/>
  <c r="BB91" i="11"/>
  <c r="BC91" i="11"/>
  <c r="BD91" i="11"/>
  <c r="BF91" i="11"/>
  <c r="BG91" i="11"/>
  <c r="BH91" i="11"/>
  <c r="BI91" i="11"/>
  <c r="BK91" i="11"/>
  <c r="BL91" i="11"/>
  <c r="BM91" i="11"/>
  <c r="BN91" i="11"/>
  <c r="BP91" i="11"/>
  <c r="BQ91" i="11"/>
  <c r="BR91" i="11"/>
  <c r="BS91" i="11"/>
  <c r="BU91" i="11"/>
  <c r="BV91" i="11"/>
  <c r="BW91" i="11"/>
  <c r="BX91" i="11"/>
  <c r="CJ91" i="11"/>
  <c r="M91" i="11" s="1"/>
  <c r="CK91" i="11" s="1"/>
  <c r="AQ92" i="11"/>
  <c r="AR92" i="11"/>
  <c r="AS92" i="11"/>
  <c r="AT92" i="11"/>
  <c r="AX92" i="1" s="1"/>
  <c r="AV92" i="11"/>
  <c r="AW92" i="11"/>
  <c r="AX92" i="11"/>
  <c r="AY92" i="11"/>
  <c r="BA92" i="11"/>
  <c r="BB92" i="11"/>
  <c r="BC92" i="11"/>
  <c r="BD92" i="11"/>
  <c r="BF92" i="11"/>
  <c r="BG92" i="11"/>
  <c r="BH92" i="11"/>
  <c r="BI92" i="11"/>
  <c r="BK92" i="11"/>
  <c r="BL92" i="11"/>
  <c r="BM92" i="11"/>
  <c r="BN92" i="11"/>
  <c r="BP92" i="11"/>
  <c r="BQ92" i="11"/>
  <c r="BR92" i="11"/>
  <c r="BS92" i="11"/>
  <c r="BU92" i="11"/>
  <c r="BV92" i="11"/>
  <c r="BW92" i="11"/>
  <c r="BX92" i="11"/>
  <c r="CJ92" i="11"/>
  <c r="M92" i="11" s="1"/>
  <c r="CK92" i="11" s="1"/>
  <c r="AQ93" i="11"/>
  <c r="AR93" i="11"/>
  <c r="AS93" i="11"/>
  <c r="AT93" i="11"/>
  <c r="AV93" i="11"/>
  <c r="AW93" i="11"/>
  <c r="AX93" i="11"/>
  <c r="AY93" i="11"/>
  <c r="BA93" i="11"/>
  <c r="BB93" i="11"/>
  <c r="BC93" i="11"/>
  <c r="BD93" i="11"/>
  <c r="BF93" i="11"/>
  <c r="BG93" i="11"/>
  <c r="BH93" i="11"/>
  <c r="BI93" i="11"/>
  <c r="BK93" i="11"/>
  <c r="BL93" i="11"/>
  <c r="BM93" i="11"/>
  <c r="BN93" i="11"/>
  <c r="BP93" i="11"/>
  <c r="BQ93" i="11"/>
  <c r="BR93" i="11"/>
  <c r="BS93" i="11"/>
  <c r="BU93" i="11"/>
  <c r="BV93" i="11"/>
  <c r="BW93" i="11"/>
  <c r="BX93" i="11"/>
  <c r="CJ93" i="11"/>
  <c r="M93" i="11" s="1"/>
  <c r="CK93" i="11" s="1"/>
  <c r="AQ94" i="11"/>
  <c r="AR94" i="11"/>
  <c r="AS94" i="11"/>
  <c r="AT94" i="11"/>
  <c r="AX94" i="1"/>
  <c r="AV94" i="11"/>
  <c r="AW94" i="11"/>
  <c r="AX94" i="11"/>
  <c r="AY94" i="11"/>
  <c r="BA94" i="11"/>
  <c r="BB94" i="11"/>
  <c r="BC94" i="11"/>
  <c r="BD94" i="11"/>
  <c r="BF94" i="11"/>
  <c r="BG94" i="11"/>
  <c r="BH94" i="11"/>
  <c r="BI94" i="11"/>
  <c r="BK94" i="11"/>
  <c r="BL94" i="11"/>
  <c r="BM94" i="11"/>
  <c r="BN94" i="11"/>
  <c r="BP94" i="11"/>
  <c r="BQ94" i="11"/>
  <c r="BR94" i="11"/>
  <c r="BS94" i="11"/>
  <c r="BU94" i="11"/>
  <c r="BV94" i="11"/>
  <c r="BW94" i="11"/>
  <c r="BX94" i="11"/>
  <c r="CJ94" i="11"/>
  <c r="M94" i="11" s="1"/>
  <c r="CK94" i="11" s="1"/>
  <c r="AQ95" i="11"/>
  <c r="AR95" i="11"/>
  <c r="AS95" i="11"/>
  <c r="AT95" i="11"/>
  <c r="AV95" i="11"/>
  <c r="AW95" i="11"/>
  <c r="AX95" i="11"/>
  <c r="AY95" i="11"/>
  <c r="BA95" i="11"/>
  <c r="BB95" i="11"/>
  <c r="BC95" i="11"/>
  <c r="BD95" i="11"/>
  <c r="BF95" i="11"/>
  <c r="BG95" i="11"/>
  <c r="BH95" i="11"/>
  <c r="BI95" i="11"/>
  <c r="BK95" i="11"/>
  <c r="BL95" i="11"/>
  <c r="BM95" i="11"/>
  <c r="BN95" i="11"/>
  <c r="BP95" i="11"/>
  <c r="BQ95" i="11"/>
  <c r="BR95" i="11"/>
  <c r="BS95" i="11"/>
  <c r="BU95" i="11"/>
  <c r="BV95" i="11"/>
  <c r="BW95" i="11"/>
  <c r="BX95" i="11"/>
  <c r="CJ95" i="11"/>
  <c r="M95" i="11" s="1"/>
  <c r="CK95" i="11" s="1"/>
  <c r="AQ96" i="11"/>
  <c r="AR96" i="11"/>
  <c r="AS96" i="11"/>
  <c r="AT96" i="11"/>
  <c r="AV96" i="11"/>
  <c r="AW96" i="11"/>
  <c r="AX96" i="11"/>
  <c r="AY96" i="11"/>
  <c r="BA96" i="11"/>
  <c r="BB96" i="11"/>
  <c r="BC96" i="11"/>
  <c r="BD96" i="11"/>
  <c r="BF96" i="11"/>
  <c r="BG96" i="11"/>
  <c r="BH96" i="11"/>
  <c r="BI96" i="11"/>
  <c r="BK96" i="11"/>
  <c r="BL96" i="11"/>
  <c r="BM96" i="11"/>
  <c r="BN96" i="11"/>
  <c r="BP96" i="11"/>
  <c r="BQ96" i="11"/>
  <c r="BR96" i="11"/>
  <c r="BS96" i="11"/>
  <c r="BU96" i="11"/>
  <c r="BV96" i="11"/>
  <c r="BW96" i="11"/>
  <c r="BX96" i="11"/>
  <c r="CJ96" i="11"/>
  <c r="M96" i="11" s="1"/>
  <c r="CK96" i="11" s="1"/>
  <c r="AQ97" i="11"/>
  <c r="AR97" i="11"/>
  <c r="AS97" i="11"/>
  <c r="AT97" i="11"/>
  <c r="AV97" i="11"/>
  <c r="AW97" i="11"/>
  <c r="AX97" i="11"/>
  <c r="AY97" i="11"/>
  <c r="BA97" i="11"/>
  <c r="BB97" i="11"/>
  <c r="BC97" i="11"/>
  <c r="BD97" i="11"/>
  <c r="BF97" i="11"/>
  <c r="BG97" i="11"/>
  <c r="BH97" i="11"/>
  <c r="BI97" i="11"/>
  <c r="BK97" i="11"/>
  <c r="BL97" i="11"/>
  <c r="BM97" i="11"/>
  <c r="BN97" i="11"/>
  <c r="BP97" i="11"/>
  <c r="BQ97" i="11"/>
  <c r="BR97" i="11"/>
  <c r="BS97" i="11"/>
  <c r="BU97" i="11"/>
  <c r="BV97" i="11"/>
  <c r="BW97" i="11"/>
  <c r="BX97" i="11"/>
  <c r="CJ97" i="11"/>
  <c r="M97" i="11" s="1"/>
  <c r="CK97" i="11" s="1"/>
  <c r="AQ98" i="11"/>
  <c r="AR98" i="11"/>
  <c r="AS98" i="11"/>
  <c r="AT98" i="11"/>
  <c r="AX98" i="1"/>
  <c r="AV98" i="11"/>
  <c r="AW98" i="11"/>
  <c r="AX98" i="11"/>
  <c r="AY98" i="11"/>
  <c r="BA98" i="11"/>
  <c r="BB98" i="11"/>
  <c r="BC98" i="11"/>
  <c r="BD98" i="11"/>
  <c r="BF98" i="11"/>
  <c r="BG98" i="11"/>
  <c r="BH98" i="11"/>
  <c r="BI98" i="11"/>
  <c r="BK98" i="11"/>
  <c r="BL98" i="11"/>
  <c r="BM98" i="11"/>
  <c r="BN98" i="11"/>
  <c r="BP98" i="11"/>
  <c r="BQ98" i="11"/>
  <c r="BR98" i="11"/>
  <c r="BS98" i="11"/>
  <c r="BU98" i="11"/>
  <c r="BV98" i="11"/>
  <c r="BW98" i="11"/>
  <c r="BX98" i="11"/>
  <c r="CJ98" i="11"/>
  <c r="M98" i="11" s="1"/>
  <c r="CK98" i="11" s="1"/>
  <c r="AQ99" i="11"/>
  <c r="AR99" i="11"/>
  <c r="AS99" i="11"/>
  <c r="AT99" i="11"/>
  <c r="AV99" i="11"/>
  <c r="AW99" i="11"/>
  <c r="AX99" i="11"/>
  <c r="AY99" i="11"/>
  <c r="BA99" i="11"/>
  <c r="BB99" i="11"/>
  <c r="BC99" i="11"/>
  <c r="BD99" i="11"/>
  <c r="BF99" i="11"/>
  <c r="BG99" i="11"/>
  <c r="BH99" i="11"/>
  <c r="BI99" i="11"/>
  <c r="BK99" i="11"/>
  <c r="BL99" i="11"/>
  <c r="BM99" i="11"/>
  <c r="BN99" i="11"/>
  <c r="BP99" i="11"/>
  <c r="BQ99" i="11"/>
  <c r="BR99" i="11"/>
  <c r="BS99" i="11"/>
  <c r="BU99" i="11"/>
  <c r="BV99" i="11"/>
  <c r="BW99" i="11"/>
  <c r="BX99" i="11"/>
  <c r="CJ99" i="11"/>
  <c r="M99" i="11" s="1"/>
  <c r="CK99" i="11" s="1"/>
  <c r="AQ100" i="11"/>
  <c r="AR100" i="11"/>
  <c r="AS100" i="11"/>
  <c r="AT100" i="11"/>
  <c r="AV100" i="11"/>
  <c r="AW100" i="11"/>
  <c r="AX100" i="11"/>
  <c r="AY100" i="11"/>
  <c r="BA100" i="11"/>
  <c r="BB100" i="11"/>
  <c r="BC100" i="11"/>
  <c r="BD100" i="11"/>
  <c r="BF100" i="11"/>
  <c r="BG100" i="11"/>
  <c r="BH100" i="11"/>
  <c r="BI100" i="11"/>
  <c r="BK100" i="11"/>
  <c r="BL100" i="11"/>
  <c r="BM100" i="11"/>
  <c r="BN100" i="11"/>
  <c r="BP100" i="11"/>
  <c r="BQ100" i="11"/>
  <c r="BR100" i="11"/>
  <c r="BS100" i="11"/>
  <c r="BU100" i="11"/>
  <c r="BV100" i="11"/>
  <c r="BW100" i="11"/>
  <c r="BX100" i="11"/>
  <c r="CJ100" i="11"/>
  <c r="M100" i="11" s="1"/>
  <c r="CK100" i="11" s="1"/>
  <c r="AQ101" i="11"/>
  <c r="AR101" i="11"/>
  <c r="AS101" i="11"/>
  <c r="AT101" i="11"/>
  <c r="AV101" i="11"/>
  <c r="AW101" i="11"/>
  <c r="AX101" i="11"/>
  <c r="AY101" i="11"/>
  <c r="BA101" i="11"/>
  <c r="BB101" i="11"/>
  <c r="BC101" i="11"/>
  <c r="BD101" i="11"/>
  <c r="BF101" i="11"/>
  <c r="BG101" i="11"/>
  <c r="BH101" i="11"/>
  <c r="BI101" i="11"/>
  <c r="BK101" i="11"/>
  <c r="BL101" i="11"/>
  <c r="BM101" i="11"/>
  <c r="BN101" i="11"/>
  <c r="BP101" i="11"/>
  <c r="BQ101" i="11"/>
  <c r="BR101" i="11"/>
  <c r="BS101" i="11"/>
  <c r="BU101" i="11"/>
  <c r="BV101" i="11"/>
  <c r="BW101" i="11"/>
  <c r="BX101" i="11"/>
  <c r="CJ101" i="11"/>
  <c r="M101" i="11" s="1"/>
  <c r="CK101" i="11" s="1"/>
  <c r="AQ102" i="11"/>
  <c r="AR102" i="11"/>
  <c r="AS102" i="11"/>
  <c r="AT102" i="11"/>
  <c r="AX102" i="1" s="1"/>
  <c r="AV102" i="11"/>
  <c r="AW102" i="11"/>
  <c r="AX102" i="11"/>
  <c r="AY102" i="11"/>
  <c r="BA102" i="11"/>
  <c r="BB102" i="11"/>
  <c r="BC102" i="11"/>
  <c r="BD102" i="11"/>
  <c r="BF102" i="11"/>
  <c r="BG102" i="11"/>
  <c r="BH102" i="11"/>
  <c r="BI102" i="11"/>
  <c r="BK102" i="11"/>
  <c r="BL102" i="11"/>
  <c r="BM102" i="11"/>
  <c r="BN102" i="11"/>
  <c r="BP102" i="11"/>
  <c r="BQ102" i="11"/>
  <c r="BR102" i="11"/>
  <c r="BS102" i="11"/>
  <c r="BU102" i="11"/>
  <c r="BV102" i="11"/>
  <c r="BW102" i="11"/>
  <c r="BX102" i="11"/>
  <c r="CJ102" i="11"/>
  <c r="M102" i="11" s="1"/>
  <c r="CK102" i="11" s="1"/>
  <c r="AQ103" i="11"/>
  <c r="AR103" i="11"/>
  <c r="AS103" i="11"/>
  <c r="AT103" i="11"/>
  <c r="AV103" i="11"/>
  <c r="AW103" i="11"/>
  <c r="AX103" i="11"/>
  <c r="AY103" i="11"/>
  <c r="BA103" i="11"/>
  <c r="BB103" i="11"/>
  <c r="BC103" i="11"/>
  <c r="BD103" i="11"/>
  <c r="BF103" i="11"/>
  <c r="BG103" i="11"/>
  <c r="BH103" i="11"/>
  <c r="BI103" i="11"/>
  <c r="BK103" i="11"/>
  <c r="BL103" i="11"/>
  <c r="BM103" i="11"/>
  <c r="BN103" i="11"/>
  <c r="BP103" i="11"/>
  <c r="BQ103" i="11"/>
  <c r="BR103" i="11"/>
  <c r="BS103" i="11"/>
  <c r="BU103" i="11"/>
  <c r="BV103" i="11"/>
  <c r="BW103" i="11"/>
  <c r="BX103" i="11"/>
  <c r="CJ103" i="11"/>
  <c r="M103" i="11" s="1"/>
  <c r="CK103" i="11" s="1"/>
  <c r="AQ104" i="11"/>
  <c r="AR104" i="11"/>
  <c r="AS104" i="11"/>
  <c r="AT104" i="11"/>
  <c r="AV104" i="11"/>
  <c r="AW104" i="11"/>
  <c r="AX104" i="11"/>
  <c r="AY104" i="11"/>
  <c r="BA104" i="11"/>
  <c r="BB104" i="11"/>
  <c r="BC104" i="11"/>
  <c r="BD104" i="11"/>
  <c r="BF104" i="11"/>
  <c r="BG104" i="11"/>
  <c r="BH104" i="11"/>
  <c r="BI104" i="11"/>
  <c r="BK104" i="11"/>
  <c r="BL104" i="11"/>
  <c r="BM104" i="11"/>
  <c r="BN104" i="11"/>
  <c r="BP104" i="11"/>
  <c r="BQ104" i="11"/>
  <c r="BR104" i="11"/>
  <c r="BS104" i="11"/>
  <c r="BU104" i="11"/>
  <c r="BV104" i="11"/>
  <c r="BW104" i="11"/>
  <c r="BX104" i="11"/>
  <c r="CJ104" i="11"/>
  <c r="M104" i="11" s="1"/>
  <c r="CK104" i="11" s="1"/>
  <c r="AQ105" i="11"/>
  <c r="AR105" i="11"/>
  <c r="AS105" i="11"/>
  <c r="AT105" i="11"/>
  <c r="AX105" i="1" s="1"/>
  <c r="AV105" i="11"/>
  <c r="AW105" i="11"/>
  <c r="AX105" i="11"/>
  <c r="AY105" i="11"/>
  <c r="BA105" i="11"/>
  <c r="BB105" i="11"/>
  <c r="BC105" i="11"/>
  <c r="BD105" i="11"/>
  <c r="BF105" i="11"/>
  <c r="BG105" i="11"/>
  <c r="BH105" i="11"/>
  <c r="BI105" i="11"/>
  <c r="BK105" i="11"/>
  <c r="BL105" i="11"/>
  <c r="BM105" i="11"/>
  <c r="BN105" i="11"/>
  <c r="BP105" i="11"/>
  <c r="BQ105" i="11"/>
  <c r="BR105" i="11"/>
  <c r="BS105" i="11"/>
  <c r="BU105" i="11"/>
  <c r="BV105" i="11"/>
  <c r="BW105" i="11"/>
  <c r="BX105" i="11"/>
  <c r="CJ105" i="11"/>
  <c r="M105" i="11" s="1"/>
  <c r="CK105" i="11" s="1"/>
  <c r="AQ106" i="11"/>
  <c r="AR106" i="11"/>
  <c r="AS106" i="11"/>
  <c r="AT106" i="11"/>
  <c r="AX106" i="1" s="1"/>
  <c r="AV106" i="11"/>
  <c r="AW106" i="11"/>
  <c r="AX106" i="11"/>
  <c r="AY106" i="11"/>
  <c r="BA106" i="11"/>
  <c r="BB106" i="11"/>
  <c r="BC106" i="11"/>
  <c r="BD106" i="11"/>
  <c r="BF106" i="11"/>
  <c r="BG106" i="11"/>
  <c r="BH106" i="11"/>
  <c r="BI106" i="11"/>
  <c r="BK106" i="11"/>
  <c r="BL106" i="11"/>
  <c r="BM106" i="11"/>
  <c r="BN106" i="11"/>
  <c r="BP106" i="11"/>
  <c r="BQ106" i="11"/>
  <c r="BR106" i="11"/>
  <c r="BS106" i="11"/>
  <c r="BU106" i="11"/>
  <c r="BV106" i="11"/>
  <c r="BW106" i="11"/>
  <c r="BX106" i="11"/>
  <c r="CJ106" i="11"/>
  <c r="M106" i="11" s="1"/>
  <c r="CK106" i="11" s="1"/>
  <c r="AQ107" i="11"/>
  <c r="AR107" i="11"/>
  <c r="AS107" i="11"/>
  <c r="AT107" i="11"/>
  <c r="AX107" i="1" s="1"/>
  <c r="AV107" i="11"/>
  <c r="AW107" i="11"/>
  <c r="AX107" i="11"/>
  <c r="AY107" i="11"/>
  <c r="BA107" i="11"/>
  <c r="BB107" i="11"/>
  <c r="BC107" i="11"/>
  <c r="BD107" i="11"/>
  <c r="BF107" i="11"/>
  <c r="BG107" i="11"/>
  <c r="BH107" i="11"/>
  <c r="BI107" i="11"/>
  <c r="BK107" i="11"/>
  <c r="BL107" i="11"/>
  <c r="BM107" i="11"/>
  <c r="BN107" i="11"/>
  <c r="BP107" i="11"/>
  <c r="BQ107" i="11"/>
  <c r="BR107" i="11"/>
  <c r="BS107" i="11"/>
  <c r="BU107" i="11"/>
  <c r="BV107" i="11"/>
  <c r="BW107" i="11"/>
  <c r="BX107" i="11"/>
  <c r="CJ107" i="11"/>
  <c r="M107" i="11" s="1"/>
  <c r="CK107" i="11" s="1"/>
  <c r="AQ108" i="11"/>
  <c r="AR108" i="11"/>
  <c r="AS108" i="11"/>
  <c r="AT108" i="11"/>
  <c r="AX108" i="1" s="1"/>
  <c r="AV108" i="11"/>
  <c r="AW108" i="11"/>
  <c r="AX108" i="11"/>
  <c r="AY108" i="11"/>
  <c r="BA108" i="11"/>
  <c r="BB108" i="11"/>
  <c r="BC108" i="11"/>
  <c r="BD108" i="11"/>
  <c r="BF108" i="11"/>
  <c r="BG108" i="11"/>
  <c r="BH108" i="11"/>
  <c r="BI108" i="11"/>
  <c r="BK108" i="11"/>
  <c r="BL108" i="11"/>
  <c r="BM108" i="11"/>
  <c r="BN108" i="11"/>
  <c r="BP108" i="11"/>
  <c r="BQ108" i="11"/>
  <c r="BR108" i="11"/>
  <c r="BS108" i="11"/>
  <c r="BU108" i="11"/>
  <c r="BV108" i="11"/>
  <c r="BW108" i="11"/>
  <c r="BX108" i="11"/>
  <c r="CJ108" i="11"/>
  <c r="M108" i="11" s="1"/>
  <c r="CK108" i="11" s="1"/>
  <c r="AQ109" i="11"/>
  <c r="AR109" i="11"/>
  <c r="AS109" i="11"/>
  <c r="AT109" i="11"/>
  <c r="AX109" i="1" s="1"/>
  <c r="AV109" i="11"/>
  <c r="AW109" i="11"/>
  <c r="AX109" i="11"/>
  <c r="AY109" i="11"/>
  <c r="BA109" i="11"/>
  <c r="BB109" i="11"/>
  <c r="BC109" i="11"/>
  <c r="BD109" i="11"/>
  <c r="BF109" i="11"/>
  <c r="BG109" i="11"/>
  <c r="BH109" i="11"/>
  <c r="BI109" i="11"/>
  <c r="BK109" i="11"/>
  <c r="BL109" i="11"/>
  <c r="BM109" i="11"/>
  <c r="BN109" i="11"/>
  <c r="BP109" i="11"/>
  <c r="BQ109" i="11"/>
  <c r="BR109" i="11"/>
  <c r="BS109" i="11"/>
  <c r="BU109" i="11"/>
  <c r="BV109" i="11"/>
  <c r="BW109" i="11"/>
  <c r="BX109" i="11"/>
  <c r="CJ109" i="11"/>
  <c r="M109" i="11" s="1"/>
  <c r="CK109" i="11" s="1"/>
  <c r="AQ110" i="11"/>
  <c r="AR110" i="11"/>
  <c r="AS110" i="11"/>
  <c r="AT110" i="11"/>
  <c r="AX110" i="1" s="1"/>
  <c r="AV110" i="11"/>
  <c r="AW110" i="11"/>
  <c r="AX110" i="11"/>
  <c r="AY110" i="11"/>
  <c r="BA110" i="11"/>
  <c r="BB110" i="11"/>
  <c r="BC110" i="11"/>
  <c r="BD110" i="11"/>
  <c r="BF110" i="11"/>
  <c r="BG110" i="11"/>
  <c r="BH110" i="11"/>
  <c r="BI110" i="11"/>
  <c r="BK110" i="11"/>
  <c r="BL110" i="11"/>
  <c r="BM110" i="11"/>
  <c r="BN110" i="11"/>
  <c r="BP110" i="11"/>
  <c r="BQ110" i="11"/>
  <c r="BR110" i="11"/>
  <c r="BS110" i="11"/>
  <c r="BU110" i="11"/>
  <c r="BV110" i="11"/>
  <c r="BW110" i="11"/>
  <c r="BX110" i="11"/>
  <c r="CJ110" i="11"/>
  <c r="M110" i="11" s="1"/>
  <c r="CK110" i="11" s="1"/>
  <c r="AQ111" i="11"/>
  <c r="AR111" i="11"/>
  <c r="AS111" i="11"/>
  <c r="AT111" i="11"/>
  <c r="AX111" i="1" s="1"/>
  <c r="AV111" i="11"/>
  <c r="AW111" i="11"/>
  <c r="AX111" i="11"/>
  <c r="AY111" i="11"/>
  <c r="BA111" i="11"/>
  <c r="BB111" i="11"/>
  <c r="BC111" i="11"/>
  <c r="BD111" i="11"/>
  <c r="BF111" i="11"/>
  <c r="BG111" i="11"/>
  <c r="BH111" i="11"/>
  <c r="BI111" i="11"/>
  <c r="BK111" i="11"/>
  <c r="BL111" i="11"/>
  <c r="BM111" i="11"/>
  <c r="BN111" i="11"/>
  <c r="BP111" i="11"/>
  <c r="BQ111" i="11"/>
  <c r="BR111" i="11"/>
  <c r="BS111" i="11"/>
  <c r="BU111" i="11"/>
  <c r="BV111" i="11"/>
  <c r="BW111" i="11"/>
  <c r="BX111" i="11"/>
  <c r="CJ111" i="11"/>
  <c r="M111" i="11" s="1"/>
  <c r="CK111" i="11" s="1"/>
  <c r="AQ112" i="11"/>
  <c r="AR112" i="11"/>
  <c r="AS112" i="11"/>
  <c r="AT112" i="11"/>
  <c r="AV112" i="11"/>
  <c r="AW112" i="11"/>
  <c r="AX112" i="11"/>
  <c r="AY112" i="11"/>
  <c r="BA112" i="11"/>
  <c r="BB112" i="11"/>
  <c r="BC112" i="11"/>
  <c r="BD112" i="11"/>
  <c r="BF112" i="11"/>
  <c r="BG112" i="11"/>
  <c r="BH112" i="11"/>
  <c r="BI112" i="11"/>
  <c r="BK112" i="11"/>
  <c r="BL112" i="11"/>
  <c r="BM112" i="11"/>
  <c r="BN112" i="11"/>
  <c r="BP112" i="11"/>
  <c r="BQ112" i="11"/>
  <c r="BR112" i="11"/>
  <c r="BS112" i="11"/>
  <c r="BU112" i="11"/>
  <c r="BV112" i="11"/>
  <c r="BW112" i="11"/>
  <c r="BX112" i="11"/>
  <c r="CJ112" i="11"/>
  <c r="M112" i="11" s="1"/>
  <c r="CK112" i="11" s="1"/>
  <c r="AQ113" i="11"/>
  <c r="AR113" i="11"/>
  <c r="AS113" i="11"/>
  <c r="AT113" i="11"/>
  <c r="AX113" i="1" s="1"/>
  <c r="AV113" i="11"/>
  <c r="AW113" i="11"/>
  <c r="AX113" i="11"/>
  <c r="AY113" i="11"/>
  <c r="BA113" i="11"/>
  <c r="BB113" i="11"/>
  <c r="BC113" i="11"/>
  <c r="BD113" i="11"/>
  <c r="BF113" i="11"/>
  <c r="BG113" i="11"/>
  <c r="BH113" i="11"/>
  <c r="BI113" i="11"/>
  <c r="BK113" i="11"/>
  <c r="BL113" i="11"/>
  <c r="BM113" i="11"/>
  <c r="BN113" i="11"/>
  <c r="BP113" i="11"/>
  <c r="BQ113" i="11"/>
  <c r="BR113" i="11"/>
  <c r="BS113" i="11"/>
  <c r="BU113" i="11"/>
  <c r="BV113" i="11"/>
  <c r="BW113" i="11"/>
  <c r="BX113" i="11"/>
  <c r="CJ113" i="11"/>
  <c r="M113" i="11" s="1"/>
  <c r="CK113" i="11" s="1"/>
  <c r="AQ114" i="11"/>
  <c r="AR114" i="11"/>
  <c r="AS114" i="11"/>
  <c r="AT114" i="11"/>
  <c r="AV114" i="11"/>
  <c r="AW114" i="11"/>
  <c r="AX114" i="11"/>
  <c r="AY114" i="11"/>
  <c r="BA114" i="11"/>
  <c r="BB114" i="11"/>
  <c r="BC114" i="11"/>
  <c r="BD114" i="11"/>
  <c r="BF114" i="11"/>
  <c r="BG114" i="11"/>
  <c r="BH114" i="11"/>
  <c r="BI114" i="11"/>
  <c r="BK114" i="11"/>
  <c r="BL114" i="11"/>
  <c r="BM114" i="11"/>
  <c r="BN114" i="11"/>
  <c r="BP114" i="11"/>
  <c r="BQ114" i="11"/>
  <c r="BR114" i="11"/>
  <c r="BS114" i="11"/>
  <c r="BU114" i="11"/>
  <c r="BV114" i="11"/>
  <c r="BW114" i="11"/>
  <c r="BX114" i="11"/>
  <c r="CJ114" i="11"/>
  <c r="M114" i="11" s="1"/>
  <c r="CK114" i="11" s="1"/>
  <c r="AQ115" i="11"/>
  <c r="AR115" i="11"/>
  <c r="AS115" i="11"/>
  <c r="AT115" i="11"/>
  <c r="AV115" i="11"/>
  <c r="AW115" i="11"/>
  <c r="AX115" i="11"/>
  <c r="AY115" i="11"/>
  <c r="BA115" i="11"/>
  <c r="BB115" i="11"/>
  <c r="BC115" i="11"/>
  <c r="BD115" i="11"/>
  <c r="BF115" i="11"/>
  <c r="BG115" i="11"/>
  <c r="BH115" i="11"/>
  <c r="BI115" i="11"/>
  <c r="BK115" i="11"/>
  <c r="BL115" i="11"/>
  <c r="BM115" i="11"/>
  <c r="BN115" i="11"/>
  <c r="BP115" i="11"/>
  <c r="BQ115" i="11"/>
  <c r="BR115" i="11"/>
  <c r="BS115" i="11"/>
  <c r="BU115" i="11"/>
  <c r="BV115" i="11"/>
  <c r="BW115" i="11"/>
  <c r="BX115" i="11"/>
  <c r="CJ115" i="11"/>
  <c r="M115" i="11" s="1"/>
  <c r="CK115" i="11" s="1"/>
  <c r="AQ116" i="11"/>
  <c r="AR116" i="11"/>
  <c r="AS116" i="11"/>
  <c r="AT116" i="11"/>
  <c r="AX116" i="1" s="1"/>
  <c r="AV116" i="11"/>
  <c r="AW116" i="11"/>
  <c r="AX116" i="11"/>
  <c r="AY116" i="11"/>
  <c r="BA116" i="11"/>
  <c r="BB116" i="11"/>
  <c r="BC116" i="11"/>
  <c r="BD116" i="11"/>
  <c r="BF116" i="11"/>
  <c r="BG116" i="11"/>
  <c r="BH116" i="11"/>
  <c r="BI116" i="11"/>
  <c r="BK116" i="11"/>
  <c r="BL116" i="11"/>
  <c r="BM116" i="11"/>
  <c r="BN116" i="11"/>
  <c r="BP116" i="11"/>
  <c r="BQ116" i="11"/>
  <c r="BR116" i="11"/>
  <c r="BS116" i="11"/>
  <c r="BU116" i="11"/>
  <c r="BV116" i="11"/>
  <c r="BW116" i="11"/>
  <c r="BX116" i="11"/>
  <c r="CJ116" i="11"/>
  <c r="M116" i="11" s="1"/>
  <c r="CK116" i="11" s="1"/>
  <c r="AQ117" i="11"/>
  <c r="AR117" i="11"/>
  <c r="AS117" i="11"/>
  <c r="AT117" i="11"/>
  <c r="AX117" i="1" s="1"/>
  <c r="AV117" i="11"/>
  <c r="AW117" i="11"/>
  <c r="AX117" i="11"/>
  <c r="AY117" i="11"/>
  <c r="BA117" i="11"/>
  <c r="BB117" i="11"/>
  <c r="BC117" i="11"/>
  <c r="BD117" i="11"/>
  <c r="BF117" i="11"/>
  <c r="BG117" i="11"/>
  <c r="BH117" i="11"/>
  <c r="BI117" i="11"/>
  <c r="BK117" i="11"/>
  <c r="BL117" i="11"/>
  <c r="BM117" i="11"/>
  <c r="BN117" i="11"/>
  <c r="BP117" i="11"/>
  <c r="BQ117" i="11"/>
  <c r="BR117" i="11"/>
  <c r="BS117" i="11"/>
  <c r="BU117" i="11"/>
  <c r="BV117" i="11"/>
  <c r="BW117" i="11"/>
  <c r="BX117" i="11"/>
  <c r="CJ117" i="11"/>
  <c r="M117" i="11" s="1"/>
  <c r="CK117" i="11" s="1"/>
  <c r="AQ118" i="11"/>
  <c r="AR118" i="11"/>
  <c r="AS118" i="11"/>
  <c r="AT118" i="11"/>
  <c r="AX118" i="1" s="1"/>
  <c r="AV118" i="11"/>
  <c r="AW118" i="11"/>
  <c r="AX118" i="11"/>
  <c r="AY118" i="11"/>
  <c r="BA118" i="11"/>
  <c r="BB118" i="11"/>
  <c r="BC118" i="11"/>
  <c r="BD118" i="11"/>
  <c r="BF118" i="11"/>
  <c r="BG118" i="11"/>
  <c r="BH118" i="11"/>
  <c r="BI118" i="11"/>
  <c r="BK118" i="11"/>
  <c r="BL118" i="11"/>
  <c r="BM118" i="11"/>
  <c r="BN118" i="11"/>
  <c r="BP118" i="11"/>
  <c r="BQ118" i="11"/>
  <c r="BR118" i="11"/>
  <c r="BS118" i="11"/>
  <c r="BU118" i="11"/>
  <c r="BV118" i="11"/>
  <c r="BW118" i="11"/>
  <c r="BX118" i="11"/>
  <c r="CJ118" i="11"/>
  <c r="M118" i="11" s="1"/>
  <c r="CK118" i="11" s="1"/>
  <c r="AQ119" i="11"/>
  <c r="AR119" i="11"/>
  <c r="AS119" i="11"/>
  <c r="AT119" i="11"/>
  <c r="AX119" i="1" s="1"/>
  <c r="AV119" i="11"/>
  <c r="AW119" i="11"/>
  <c r="AX119" i="11"/>
  <c r="AY119" i="11"/>
  <c r="BA119" i="11"/>
  <c r="BB119" i="11"/>
  <c r="BC119" i="11"/>
  <c r="BD119" i="11"/>
  <c r="BF119" i="11"/>
  <c r="BG119" i="11"/>
  <c r="BH119" i="11"/>
  <c r="BI119" i="11"/>
  <c r="BK119" i="11"/>
  <c r="BL119" i="11"/>
  <c r="BM119" i="11"/>
  <c r="BN119" i="11"/>
  <c r="BP119" i="11"/>
  <c r="BQ119" i="11"/>
  <c r="BR119" i="11"/>
  <c r="BS119" i="11"/>
  <c r="BU119" i="11"/>
  <c r="BV119" i="11"/>
  <c r="BW119" i="11"/>
  <c r="BX119" i="11"/>
  <c r="CJ119" i="11"/>
  <c r="M119" i="11" s="1"/>
  <c r="CK119" i="11" s="1"/>
  <c r="AQ120" i="11"/>
  <c r="AR120" i="11"/>
  <c r="AS120" i="11"/>
  <c r="AT120" i="11"/>
  <c r="AX120" i="1" s="1"/>
  <c r="AV120" i="11"/>
  <c r="AW120" i="11"/>
  <c r="AX120" i="11"/>
  <c r="AY120" i="11"/>
  <c r="BA120" i="11"/>
  <c r="BB120" i="11"/>
  <c r="BC120" i="11"/>
  <c r="BD120" i="11"/>
  <c r="BF120" i="11"/>
  <c r="BG120" i="11"/>
  <c r="BH120" i="11"/>
  <c r="BI120" i="11"/>
  <c r="BK120" i="11"/>
  <c r="BL120" i="11"/>
  <c r="BM120" i="11"/>
  <c r="BN120" i="11"/>
  <c r="BP120" i="11"/>
  <c r="BQ120" i="11"/>
  <c r="BR120" i="11"/>
  <c r="BS120" i="11"/>
  <c r="BU120" i="11"/>
  <c r="BV120" i="11"/>
  <c r="BW120" i="11"/>
  <c r="BX120" i="11"/>
  <c r="CJ120" i="11"/>
  <c r="M120" i="11" s="1"/>
  <c r="CK120" i="11" s="1"/>
  <c r="AQ121" i="11"/>
  <c r="AR121" i="11"/>
  <c r="AS121" i="11"/>
  <c r="AT121" i="11"/>
  <c r="AX121" i="1" s="1"/>
  <c r="AV121" i="11"/>
  <c r="AW121" i="11"/>
  <c r="AX121" i="11"/>
  <c r="AY121" i="11"/>
  <c r="BA121" i="11"/>
  <c r="BB121" i="11"/>
  <c r="BC121" i="11"/>
  <c r="BD121" i="11"/>
  <c r="BF121" i="11"/>
  <c r="BG121" i="11"/>
  <c r="BH121" i="11"/>
  <c r="BI121" i="11"/>
  <c r="BK121" i="11"/>
  <c r="BL121" i="11"/>
  <c r="BM121" i="11"/>
  <c r="BN121" i="11"/>
  <c r="BP121" i="11"/>
  <c r="BQ121" i="11"/>
  <c r="BR121" i="11"/>
  <c r="BS121" i="11"/>
  <c r="BU121" i="11"/>
  <c r="BV121" i="11"/>
  <c r="BW121" i="11"/>
  <c r="BX121" i="11"/>
  <c r="CJ121" i="11"/>
  <c r="M121" i="11" s="1"/>
  <c r="CK121" i="11" s="1"/>
  <c r="AQ122" i="11"/>
  <c r="AR122" i="11"/>
  <c r="AS122" i="11"/>
  <c r="AT122" i="11"/>
  <c r="AX122" i="1" s="1"/>
  <c r="AV122" i="11"/>
  <c r="AW122" i="11"/>
  <c r="AX122" i="11"/>
  <c r="AY122" i="11"/>
  <c r="BA122" i="11"/>
  <c r="BB122" i="11"/>
  <c r="BC122" i="11"/>
  <c r="BD122" i="11"/>
  <c r="BF122" i="11"/>
  <c r="BG122" i="11"/>
  <c r="BH122" i="11"/>
  <c r="BI122" i="11"/>
  <c r="BK122" i="11"/>
  <c r="BL122" i="11"/>
  <c r="BM122" i="11"/>
  <c r="BN122" i="11"/>
  <c r="BP122" i="11"/>
  <c r="BQ122" i="11"/>
  <c r="BR122" i="11"/>
  <c r="BS122" i="11"/>
  <c r="BU122" i="11"/>
  <c r="BV122" i="11"/>
  <c r="BW122" i="11"/>
  <c r="BX122" i="11"/>
  <c r="CJ122" i="11"/>
  <c r="M122" i="11" s="1"/>
  <c r="CK122" i="11" s="1"/>
  <c r="AQ123" i="11"/>
  <c r="AR123" i="11"/>
  <c r="AS123" i="11"/>
  <c r="AT123" i="11"/>
  <c r="AX123" i="1" s="1"/>
  <c r="AV123" i="11"/>
  <c r="AW123" i="11"/>
  <c r="AX123" i="11"/>
  <c r="AY123" i="11"/>
  <c r="BA123" i="11"/>
  <c r="BB123" i="11"/>
  <c r="BC123" i="11"/>
  <c r="BD123" i="11"/>
  <c r="BF123" i="11"/>
  <c r="BG123" i="11"/>
  <c r="BH123" i="11"/>
  <c r="BI123" i="11"/>
  <c r="BK123" i="11"/>
  <c r="BL123" i="11"/>
  <c r="BM123" i="11"/>
  <c r="BN123" i="11"/>
  <c r="BP123" i="11"/>
  <c r="BQ123" i="11"/>
  <c r="BR123" i="11"/>
  <c r="BS123" i="11"/>
  <c r="BU123" i="11"/>
  <c r="BV123" i="11"/>
  <c r="BW123" i="11"/>
  <c r="BX123" i="11"/>
  <c r="CJ123" i="11"/>
  <c r="M123" i="11" s="1"/>
  <c r="CK123" i="11" s="1"/>
  <c r="AQ124" i="11"/>
  <c r="AR124" i="11"/>
  <c r="AS124" i="11"/>
  <c r="AT124" i="11"/>
  <c r="AX124" i="1" s="1"/>
  <c r="AV124" i="11"/>
  <c r="AW124" i="11"/>
  <c r="AX124" i="11"/>
  <c r="AY124" i="11"/>
  <c r="BA124" i="11"/>
  <c r="BB124" i="11"/>
  <c r="BC124" i="11"/>
  <c r="BD124" i="11"/>
  <c r="BF124" i="11"/>
  <c r="BG124" i="11"/>
  <c r="BH124" i="11"/>
  <c r="BI124" i="11"/>
  <c r="BK124" i="11"/>
  <c r="BL124" i="11"/>
  <c r="BM124" i="11"/>
  <c r="BN124" i="11"/>
  <c r="BP124" i="11"/>
  <c r="BQ124" i="11"/>
  <c r="BR124" i="11"/>
  <c r="BS124" i="11"/>
  <c r="BU124" i="11"/>
  <c r="BV124" i="11"/>
  <c r="BW124" i="11"/>
  <c r="BX124" i="11"/>
  <c r="CJ124" i="11"/>
  <c r="M124" i="11" s="1"/>
  <c r="CK124" i="11" s="1"/>
  <c r="AQ125" i="11"/>
  <c r="AR125" i="11"/>
  <c r="AS125" i="11"/>
  <c r="AT125" i="11"/>
  <c r="AX125" i="1" s="1"/>
  <c r="AV125" i="11"/>
  <c r="AW125" i="11"/>
  <c r="AX125" i="11"/>
  <c r="AY125" i="11"/>
  <c r="BA125" i="11"/>
  <c r="BB125" i="11"/>
  <c r="BC125" i="11"/>
  <c r="BD125" i="11"/>
  <c r="BF125" i="11"/>
  <c r="BG125" i="11"/>
  <c r="BH125" i="11"/>
  <c r="BI125" i="11"/>
  <c r="BK125" i="11"/>
  <c r="BL125" i="11"/>
  <c r="BM125" i="11"/>
  <c r="BN125" i="11"/>
  <c r="BP125" i="11"/>
  <c r="BQ125" i="11"/>
  <c r="BR125" i="11"/>
  <c r="BS125" i="11"/>
  <c r="BU125" i="11"/>
  <c r="BV125" i="11"/>
  <c r="BW125" i="11"/>
  <c r="BX125" i="11"/>
  <c r="CJ125" i="11"/>
  <c r="M125" i="11" s="1"/>
  <c r="CK125" i="11" s="1"/>
  <c r="AQ126" i="11"/>
  <c r="AR126" i="11"/>
  <c r="AS126" i="11"/>
  <c r="AT126" i="11"/>
  <c r="AX126" i="1" s="1"/>
  <c r="AV126" i="11"/>
  <c r="AW126" i="11"/>
  <c r="AX126" i="11"/>
  <c r="AY126" i="11"/>
  <c r="BA126" i="11"/>
  <c r="BB126" i="11"/>
  <c r="BC126" i="11"/>
  <c r="BD126" i="11"/>
  <c r="BF126" i="11"/>
  <c r="BG126" i="11"/>
  <c r="BH126" i="11"/>
  <c r="BI126" i="11"/>
  <c r="BK126" i="11"/>
  <c r="BL126" i="11"/>
  <c r="BM126" i="11"/>
  <c r="BN126" i="11"/>
  <c r="BP126" i="11"/>
  <c r="BQ126" i="11"/>
  <c r="BR126" i="11"/>
  <c r="BS126" i="11"/>
  <c r="BU126" i="11"/>
  <c r="BV126" i="11"/>
  <c r="BW126" i="11"/>
  <c r="BX126" i="11"/>
  <c r="CJ126" i="11"/>
  <c r="M126" i="11" s="1"/>
  <c r="CK126" i="11" s="1"/>
  <c r="AQ127" i="11"/>
  <c r="AR127" i="11"/>
  <c r="AS127" i="11"/>
  <c r="AT127" i="11"/>
  <c r="AX127" i="1" s="1"/>
  <c r="AV127" i="11"/>
  <c r="AW127" i="11"/>
  <c r="AX127" i="11"/>
  <c r="AY127" i="11"/>
  <c r="BA127" i="11"/>
  <c r="BB127" i="11"/>
  <c r="BC127" i="11"/>
  <c r="BD127" i="11"/>
  <c r="BF127" i="11"/>
  <c r="BG127" i="11"/>
  <c r="BH127" i="11"/>
  <c r="BI127" i="11"/>
  <c r="BK127" i="11"/>
  <c r="BL127" i="11"/>
  <c r="BM127" i="11"/>
  <c r="BN127" i="11"/>
  <c r="BP127" i="11"/>
  <c r="BQ127" i="11"/>
  <c r="BR127" i="11"/>
  <c r="BS127" i="11"/>
  <c r="BU127" i="11"/>
  <c r="BV127" i="11"/>
  <c r="BW127" i="11"/>
  <c r="BX127" i="11"/>
  <c r="CJ127" i="11"/>
  <c r="M127" i="11" s="1"/>
  <c r="CK127" i="11" s="1"/>
  <c r="AQ128" i="11"/>
  <c r="AR128" i="11"/>
  <c r="AS128" i="11"/>
  <c r="AT128" i="11"/>
  <c r="AX128" i="1"/>
  <c r="AV128" i="11"/>
  <c r="AW128" i="11"/>
  <c r="AX128" i="11"/>
  <c r="AY128" i="11"/>
  <c r="BA128" i="11"/>
  <c r="BB128" i="11"/>
  <c r="BC128" i="11"/>
  <c r="BD128" i="11"/>
  <c r="BF128" i="11"/>
  <c r="BG128" i="11"/>
  <c r="BH128" i="11"/>
  <c r="BI128" i="11"/>
  <c r="BK128" i="11"/>
  <c r="BL128" i="11"/>
  <c r="BM128" i="11"/>
  <c r="BN128" i="11"/>
  <c r="BP128" i="11"/>
  <c r="BQ128" i="11"/>
  <c r="BR128" i="11"/>
  <c r="BS128" i="11"/>
  <c r="BU128" i="11"/>
  <c r="BV128" i="11"/>
  <c r="BW128" i="11"/>
  <c r="BX128" i="11"/>
  <c r="CJ128" i="11"/>
  <c r="M128" i="11" s="1"/>
  <c r="CK128" i="11" s="1"/>
  <c r="AQ129" i="11"/>
  <c r="AR129" i="11"/>
  <c r="AS129" i="11"/>
  <c r="AT129" i="11"/>
  <c r="AV129" i="11"/>
  <c r="AW129" i="11"/>
  <c r="AX129" i="11"/>
  <c r="AY129" i="11"/>
  <c r="BA129" i="11"/>
  <c r="BB129" i="11"/>
  <c r="BC129" i="11"/>
  <c r="BD129" i="11"/>
  <c r="BF129" i="11"/>
  <c r="BG129" i="11"/>
  <c r="BH129" i="11"/>
  <c r="BI129" i="11"/>
  <c r="BK129" i="11"/>
  <c r="BL129" i="11"/>
  <c r="BM129" i="11"/>
  <c r="BN129" i="11"/>
  <c r="BP129" i="11"/>
  <c r="BQ129" i="11"/>
  <c r="BR129" i="11"/>
  <c r="BS129" i="11"/>
  <c r="BU129" i="11"/>
  <c r="BV129" i="11"/>
  <c r="BW129" i="11"/>
  <c r="BX129" i="11"/>
  <c r="CJ129" i="11"/>
  <c r="M129" i="11" s="1"/>
  <c r="CK129" i="11" s="1"/>
  <c r="AQ130" i="11"/>
  <c r="AR130" i="11"/>
  <c r="AS130" i="11"/>
  <c r="AT130" i="11"/>
  <c r="AX130" i="1" s="1"/>
  <c r="AV130" i="11"/>
  <c r="AW130" i="11"/>
  <c r="AX130" i="11"/>
  <c r="AY130" i="11"/>
  <c r="BA130" i="11"/>
  <c r="BB130" i="11"/>
  <c r="BC130" i="11"/>
  <c r="BD130" i="11"/>
  <c r="BF130" i="11"/>
  <c r="BG130" i="11"/>
  <c r="BH130" i="11"/>
  <c r="BI130" i="11"/>
  <c r="BK130" i="11"/>
  <c r="BL130" i="11"/>
  <c r="BM130" i="11"/>
  <c r="BN130" i="11"/>
  <c r="BP130" i="11"/>
  <c r="BQ130" i="11"/>
  <c r="BR130" i="11"/>
  <c r="BS130" i="11"/>
  <c r="BU130" i="11"/>
  <c r="BV130" i="11"/>
  <c r="BW130" i="11"/>
  <c r="BX130" i="11"/>
  <c r="CJ130" i="11"/>
  <c r="M130" i="11" s="1"/>
  <c r="CK130" i="11" s="1"/>
  <c r="AQ131" i="11"/>
  <c r="AR131" i="11"/>
  <c r="AS131" i="11"/>
  <c r="AT131" i="11"/>
  <c r="AV131" i="11"/>
  <c r="AW131" i="11"/>
  <c r="AX131" i="11"/>
  <c r="AY131" i="11"/>
  <c r="BA131" i="11"/>
  <c r="BB131" i="11"/>
  <c r="BC131" i="11"/>
  <c r="BD131" i="11"/>
  <c r="BF131" i="11"/>
  <c r="BG131" i="11"/>
  <c r="BH131" i="11"/>
  <c r="BI131" i="11"/>
  <c r="BK131" i="11"/>
  <c r="BL131" i="11"/>
  <c r="BM131" i="11"/>
  <c r="BN131" i="11"/>
  <c r="BP131" i="11"/>
  <c r="BQ131" i="11"/>
  <c r="BR131" i="11"/>
  <c r="BS131" i="11"/>
  <c r="BU131" i="11"/>
  <c r="BV131" i="11"/>
  <c r="BW131" i="11"/>
  <c r="BX131" i="11"/>
  <c r="CJ131" i="11"/>
  <c r="M131" i="11" s="1"/>
  <c r="CK131" i="11" s="1"/>
  <c r="AQ132" i="11"/>
  <c r="AR132" i="11"/>
  <c r="AS132" i="11"/>
  <c r="AT132" i="11"/>
  <c r="AX132" i="1" s="1"/>
  <c r="AV132" i="11"/>
  <c r="AW132" i="11"/>
  <c r="AX132" i="11"/>
  <c r="AY132" i="11"/>
  <c r="BA132" i="11"/>
  <c r="BB132" i="11"/>
  <c r="BC132" i="11"/>
  <c r="BD132" i="11"/>
  <c r="BF132" i="11"/>
  <c r="BG132" i="11"/>
  <c r="BH132" i="11"/>
  <c r="BI132" i="11"/>
  <c r="BK132" i="11"/>
  <c r="BL132" i="11"/>
  <c r="BM132" i="11"/>
  <c r="BN132" i="11"/>
  <c r="BP132" i="11"/>
  <c r="BQ132" i="11"/>
  <c r="BR132" i="11"/>
  <c r="BS132" i="11"/>
  <c r="BU132" i="11"/>
  <c r="BV132" i="11"/>
  <c r="BW132" i="11"/>
  <c r="BX132" i="11"/>
  <c r="CJ132" i="11"/>
  <c r="M132" i="11" s="1"/>
  <c r="CK132" i="11" s="1"/>
  <c r="AQ133" i="11"/>
  <c r="AR133" i="11"/>
  <c r="AS133" i="11"/>
  <c r="AT133" i="11"/>
  <c r="AX133" i="1" s="1"/>
  <c r="AV133" i="11"/>
  <c r="AW133" i="11"/>
  <c r="AX133" i="11"/>
  <c r="AY133" i="11"/>
  <c r="BA133" i="11"/>
  <c r="BB133" i="11"/>
  <c r="BC133" i="11"/>
  <c r="BD133" i="11"/>
  <c r="BF133" i="11"/>
  <c r="BG133" i="11"/>
  <c r="BH133" i="11"/>
  <c r="BI133" i="11"/>
  <c r="BK133" i="11"/>
  <c r="BL133" i="11"/>
  <c r="BM133" i="11"/>
  <c r="BN133" i="11"/>
  <c r="BP133" i="11"/>
  <c r="BQ133" i="11"/>
  <c r="BR133" i="11"/>
  <c r="BS133" i="11"/>
  <c r="BU133" i="11"/>
  <c r="BV133" i="11"/>
  <c r="BW133" i="11"/>
  <c r="BX133" i="11"/>
  <c r="CJ133" i="11"/>
  <c r="M133" i="11" s="1"/>
  <c r="CK133" i="11" s="1"/>
  <c r="AQ134" i="11"/>
  <c r="AR134" i="11"/>
  <c r="AS134" i="11"/>
  <c r="AT134" i="11"/>
  <c r="AX134" i="1" s="1"/>
  <c r="AV134" i="11"/>
  <c r="AW134" i="11"/>
  <c r="AX134" i="11"/>
  <c r="AY134" i="11"/>
  <c r="BA134" i="11"/>
  <c r="BB134" i="11"/>
  <c r="BC134" i="11"/>
  <c r="BD134" i="11"/>
  <c r="BF134" i="11"/>
  <c r="BG134" i="11"/>
  <c r="BH134" i="11"/>
  <c r="BI134" i="11"/>
  <c r="BK134" i="11"/>
  <c r="BL134" i="11"/>
  <c r="BM134" i="11"/>
  <c r="BN134" i="11"/>
  <c r="BP134" i="11"/>
  <c r="BQ134" i="11"/>
  <c r="BR134" i="11"/>
  <c r="BS134" i="11"/>
  <c r="BU134" i="11"/>
  <c r="BV134" i="11"/>
  <c r="BW134" i="11"/>
  <c r="BX134" i="11"/>
  <c r="CJ134" i="11"/>
  <c r="M134" i="11" s="1"/>
  <c r="CK134" i="11" s="1"/>
  <c r="AQ135" i="11"/>
  <c r="AR135" i="11"/>
  <c r="AS135" i="11"/>
  <c r="AT135" i="11"/>
  <c r="AX135" i="1" s="1"/>
  <c r="AV135" i="11"/>
  <c r="AW135" i="11"/>
  <c r="AX135" i="11"/>
  <c r="AY135" i="11"/>
  <c r="BA135" i="11"/>
  <c r="BB135" i="11"/>
  <c r="BC135" i="11"/>
  <c r="BD135" i="11"/>
  <c r="BF135" i="11"/>
  <c r="BG135" i="11"/>
  <c r="BH135" i="11"/>
  <c r="BI135" i="11"/>
  <c r="BK135" i="11"/>
  <c r="BL135" i="11"/>
  <c r="BM135" i="11"/>
  <c r="BN135" i="11"/>
  <c r="BP135" i="11"/>
  <c r="BQ135" i="11"/>
  <c r="BR135" i="11"/>
  <c r="BS135" i="11"/>
  <c r="BU135" i="11"/>
  <c r="BV135" i="11"/>
  <c r="BW135" i="11"/>
  <c r="BX135" i="11"/>
  <c r="CJ135" i="11"/>
  <c r="M135" i="11" s="1"/>
  <c r="CK135" i="11" s="1"/>
  <c r="A3" i="9"/>
  <c r="A3" i="8"/>
  <c r="AD3" i="8"/>
  <c r="E16" i="4"/>
  <c r="B17" i="4"/>
  <c r="A43" i="4"/>
  <c r="A44" i="4"/>
  <c r="A45" i="4"/>
  <c r="D46" i="4"/>
  <c r="D47" i="4"/>
  <c r="D48" i="4"/>
  <c r="D49" i="4"/>
  <c r="D50" i="4"/>
  <c r="D51" i="4"/>
  <c r="D52" i="4"/>
  <c r="D53" i="4"/>
  <c r="D54" i="4"/>
  <c r="D55" i="4"/>
  <c r="D56" i="4"/>
  <c r="D57" i="4"/>
  <c r="D58" i="4"/>
  <c r="D59" i="4"/>
  <c r="D60" i="4"/>
  <c r="D61" i="4"/>
  <c r="D62" i="4"/>
  <c r="D63" i="4"/>
  <c r="B64" i="4"/>
  <c r="D64" i="4"/>
  <c r="J64" i="4"/>
  <c r="E74" i="4"/>
  <c r="E76" i="4"/>
  <c r="E77" i="4"/>
  <c r="E78" i="4"/>
  <c r="E79" i="4"/>
  <c r="E81" i="4"/>
  <c r="E82" i="4"/>
  <c r="E99" i="4"/>
  <c r="A3" i="2"/>
  <c r="BB3" i="1"/>
  <c r="BB4" i="1"/>
  <c r="BB5" i="1" s="1"/>
  <c r="BB6" i="1" s="1"/>
  <c r="BB7" i="1" s="1"/>
  <c r="BB8" i="1" s="1"/>
  <c r="BB9" i="1" s="1"/>
  <c r="BB10" i="1" s="1"/>
  <c r="BB11" i="1" s="1"/>
  <c r="BB12" i="1" s="1"/>
  <c r="BB13" i="1" s="1"/>
  <c r="BB14" i="1" s="1"/>
  <c r="BB15" i="1" s="1"/>
  <c r="BB16" i="1" s="1"/>
  <c r="BB17" i="1" s="1"/>
  <c r="BB18" i="1" s="1"/>
  <c r="BB19" i="1" s="1"/>
  <c r="BB20" i="1" s="1"/>
  <c r="BB21" i="1" s="1"/>
  <c r="BB22" i="1" s="1"/>
  <c r="BB23" i="1" s="1"/>
  <c r="BB24" i="1" s="1"/>
  <c r="BB25" i="1" s="1"/>
  <c r="BB26" i="1" s="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J4" i="1"/>
  <c r="AX5" i="1"/>
  <c r="BJ5" i="1"/>
  <c r="AX6" i="1"/>
  <c r="BJ6" i="1"/>
  <c r="BJ7" i="1"/>
  <c r="BJ8" i="1"/>
  <c r="AX9" i="1"/>
  <c r="BJ9" i="1"/>
  <c r="AX10" i="1"/>
  <c r="BJ10" i="1"/>
  <c r="AX11" i="1"/>
  <c r="BJ11" i="1"/>
  <c r="BJ12" i="1"/>
  <c r="AX13" i="1"/>
  <c r="BJ13" i="1"/>
  <c r="AX14" i="1"/>
  <c r="BJ14" i="1"/>
  <c r="AX15" i="1"/>
  <c r="BJ15" i="1"/>
  <c r="BJ16" i="1"/>
  <c r="AX17" i="1"/>
  <c r="BJ17" i="1"/>
  <c r="AX18" i="1"/>
  <c r="BJ18" i="1"/>
  <c r="AX19" i="1"/>
  <c r="BJ19" i="1"/>
  <c r="BJ20" i="1"/>
  <c r="AX21" i="1"/>
  <c r="BJ21" i="1"/>
  <c r="AX22" i="1"/>
  <c r="BJ22" i="1"/>
  <c r="AX23" i="1"/>
  <c r="BJ23" i="1"/>
  <c r="BJ24" i="1"/>
  <c r="AX25" i="1"/>
  <c r="BJ25" i="1"/>
  <c r="BJ26" i="1"/>
  <c r="BJ27" i="1"/>
  <c r="BJ28" i="1"/>
  <c r="BJ29" i="1"/>
  <c r="AX30" i="1"/>
  <c r="BJ30" i="1"/>
  <c r="BJ31" i="1"/>
  <c r="BJ32" i="1"/>
  <c r="AX33" i="1"/>
  <c r="BJ33" i="1"/>
  <c r="AX34" i="1"/>
  <c r="BJ34" i="1"/>
  <c r="AX35" i="1"/>
  <c r="BJ35" i="1"/>
  <c r="BJ36" i="1"/>
  <c r="AX37" i="1"/>
  <c r="BJ37" i="1"/>
  <c r="AX38" i="1"/>
  <c r="BJ38" i="1"/>
  <c r="AX39" i="1"/>
  <c r="BJ39" i="1"/>
  <c r="BJ40" i="1"/>
  <c r="AX41" i="1"/>
  <c r="BJ41" i="1"/>
  <c r="AX42" i="1"/>
  <c r="BJ42" i="1"/>
  <c r="AX43" i="1"/>
  <c r="BJ43" i="1"/>
  <c r="BJ44" i="1"/>
  <c r="BJ45" i="1"/>
  <c r="AX46" i="1"/>
  <c r="BJ46" i="1"/>
  <c r="AX47" i="1"/>
  <c r="BJ47" i="1"/>
  <c r="BJ48" i="1"/>
  <c r="BJ49" i="1"/>
  <c r="AX50" i="1"/>
  <c r="BJ50" i="1"/>
  <c r="BJ51" i="1"/>
  <c r="BJ52" i="1"/>
  <c r="AX53" i="1"/>
  <c r="BJ53" i="1"/>
  <c r="AX54" i="1"/>
  <c r="BJ54" i="1"/>
  <c r="BJ55" i="1"/>
  <c r="BJ56" i="1"/>
  <c r="BJ57" i="1"/>
  <c r="BJ58" i="1"/>
  <c r="AX59" i="1"/>
  <c r="BJ59" i="1"/>
  <c r="BJ60" i="1"/>
  <c r="AX61" i="1"/>
  <c r="BJ61" i="1"/>
  <c r="BJ62" i="1"/>
  <c r="AX63" i="1"/>
  <c r="BJ63" i="1"/>
  <c r="BJ64" i="1"/>
  <c r="BJ65" i="1"/>
  <c r="AX66" i="1"/>
  <c r="BJ66" i="1"/>
  <c r="BJ67" i="1"/>
  <c r="BJ68" i="1"/>
  <c r="BJ69" i="1"/>
  <c r="BJ70" i="1"/>
  <c r="BJ71" i="1"/>
  <c r="BJ72" i="1"/>
  <c r="BJ73" i="1"/>
  <c r="AX74" i="1"/>
  <c r="BJ74" i="1"/>
  <c r="BJ75" i="1"/>
  <c r="BJ76" i="1"/>
  <c r="BJ77" i="1"/>
  <c r="BJ78" i="1"/>
  <c r="BJ79" i="1"/>
  <c r="BJ80" i="1"/>
  <c r="BJ81" i="1"/>
  <c r="AX82" i="1"/>
  <c r="BJ82" i="1"/>
  <c r="BJ83" i="1"/>
  <c r="BJ84" i="1"/>
  <c r="BJ85" i="1"/>
  <c r="BJ86" i="1"/>
  <c r="BJ87" i="1"/>
  <c r="BJ88" i="1"/>
  <c r="BJ89" i="1"/>
  <c r="BJ90" i="1"/>
  <c r="AX91" i="1"/>
  <c r="BJ91" i="1"/>
  <c r="BJ92" i="1"/>
  <c r="AX93" i="1"/>
  <c r="BJ93" i="1"/>
  <c r="BJ94" i="1"/>
  <c r="AX95" i="1"/>
  <c r="BJ95" i="1"/>
  <c r="AX96" i="1"/>
  <c r="BJ96" i="1"/>
  <c r="AX97" i="1"/>
  <c r="BJ97" i="1"/>
  <c r="BJ98" i="1"/>
  <c r="AX99" i="1"/>
  <c r="BJ99" i="1"/>
  <c r="AX100" i="1"/>
  <c r="BJ100" i="1"/>
  <c r="AX101" i="1"/>
  <c r="BJ101" i="1"/>
  <c r="BJ102" i="1"/>
  <c r="AX103" i="1"/>
  <c r="BJ103" i="1"/>
  <c r="AX104" i="1"/>
  <c r="BJ104" i="1"/>
  <c r="BJ105" i="1"/>
  <c r="BJ106" i="1"/>
  <c r="BJ107" i="1"/>
  <c r="BJ108" i="1"/>
  <c r="BJ109" i="1"/>
  <c r="BJ110" i="1"/>
  <c r="BJ111" i="1"/>
  <c r="AX112" i="1"/>
  <c r="BJ112" i="1"/>
  <c r="BJ113" i="1"/>
  <c r="AX114" i="1"/>
  <c r="BJ114" i="1"/>
  <c r="AX115" i="1"/>
  <c r="BJ115" i="1"/>
  <c r="BJ116" i="1"/>
  <c r="BJ117" i="1"/>
  <c r="BJ118" i="1"/>
  <c r="BJ119" i="1"/>
  <c r="BJ120" i="1"/>
  <c r="BJ121" i="1"/>
  <c r="BJ122" i="1"/>
  <c r="BJ123" i="1"/>
  <c r="BJ124" i="1"/>
  <c r="BJ125" i="1"/>
  <c r="BJ126" i="1"/>
  <c r="BJ127" i="1"/>
  <c r="BJ128" i="1"/>
  <c r="AX129" i="1"/>
  <c r="BJ129" i="1"/>
  <c r="BJ130" i="1"/>
  <c r="AX131" i="1"/>
  <c r="BJ131" i="1"/>
  <c r="BJ132" i="1"/>
  <c r="BJ133" i="1"/>
  <c r="BJ134" i="1"/>
  <c r="BJ135" i="1"/>
  <c r="S3" i="10"/>
  <c r="T3" i="10"/>
  <c r="J4" i="10"/>
  <c r="A4" i="2" s="1"/>
  <c r="J5" i="10"/>
  <c r="A5" i="9" s="1"/>
  <c r="S4" i="10"/>
  <c r="T4" i="10"/>
  <c r="S5" i="10"/>
  <c r="T5" i="10"/>
  <c r="S6" i="10"/>
  <c r="T6" i="10"/>
  <c r="S7" i="10"/>
  <c r="T7" i="10"/>
  <c r="S8" i="10"/>
  <c r="T8" i="10"/>
  <c r="S9" i="10"/>
  <c r="T9" i="10"/>
  <c r="S10" i="10"/>
  <c r="T10" i="10"/>
  <c r="S11" i="10"/>
  <c r="T11" i="10"/>
  <c r="S12" i="10"/>
  <c r="T12" i="10"/>
  <c r="S13" i="10"/>
  <c r="T13" i="10"/>
  <c r="S14" i="10"/>
  <c r="T14" i="10"/>
  <c r="S15" i="10"/>
  <c r="T15" i="10"/>
  <c r="S16" i="10"/>
  <c r="T16" i="10"/>
  <c r="S17" i="10"/>
  <c r="T17" i="10"/>
  <c r="S18" i="10"/>
  <c r="T18" i="10"/>
  <c r="S19" i="10"/>
  <c r="T19" i="10"/>
  <c r="S20" i="10"/>
  <c r="T20" i="10"/>
  <c r="S21" i="10"/>
  <c r="T21" i="10"/>
  <c r="S22" i="10"/>
  <c r="T22" i="10"/>
  <c r="S23" i="10"/>
  <c r="T23" i="10"/>
  <c r="S24" i="10"/>
  <c r="T24" i="10"/>
  <c r="S25" i="10"/>
  <c r="T25" i="10"/>
  <c r="S26" i="10"/>
  <c r="T26" i="10"/>
  <c r="S27" i="10"/>
  <c r="T27" i="10"/>
  <c r="S28" i="10"/>
  <c r="T28" i="10"/>
  <c r="S29" i="10"/>
  <c r="T29" i="10"/>
  <c r="S30" i="10"/>
  <c r="T30" i="10"/>
  <c r="S31" i="10"/>
  <c r="T31" i="10"/>
  <c r="S32" i="10"/>
  <c r="T32" i="10"/>
  <c r="S33" i="10"/>
  <c r="T33" i="10"/>
  <c r="S34" i="10"/>
  <c r="T34" i="10"/>
  <c r="S35" i="10"/>
  <c r="T35" i="10"/>
  <c r="S36" i="10"/>
  <c r="T36" i="10"/>
  <c r="S37" i="10"/>
  <c r="T37" i="10"/>
  <c r="S38" i="10"/>
  <c r="T38" i="10"/>
  <c r="S39" i="10"/>
  <c r="T39" i="10"/>
  <c r="S40" i="10"/>
  <c r="T40" i="10"/>
  <c r="S41" i="10"/>
  <c r="T41" i="10"/>
  <c r="S42" i="10"/>
  <c r="T42" i="10"/>
  <c r="S43" i="10"/>
  <c r="T43" i="10"/>
  <c r="S44" i="10"/>
  <c r="T44" i="10"/>
  <c r="S45" i="10"/>
  <c r="T45" i="10"/>
  <c r="S46" i="10"/>
  <c r="T46" i="10"/>
  <c r="S47" i="10"/>
  <c r="T47" i="10"/>
  <c r="S48" i="10"/>
  <c r="T48" i="10"/>
  <c r="S49" i="10"/>
  <c r="T49" i="10"/>
  <c r="S50" i="10"/>
  <c r="T50" i="10"/>
  <c r="S51" i="10"/>
  <c r="T51" i="10"/>
  <c r="S52" i="10"/>
  <c r="T52" i="10"/>
  <c r="S53" i="10"/>
  <c r="T53" i="10"/>
  <c r="S54" i="10"/>
  <c r="T54" i="10"/>
  <c r="S55" i="10"/>
  <c r="T55" i="10"/>
  <c r="S56" i="10"/>
  <c r="T56" i="10"/>
  <c r="S57" i="10"/>
  <c r="T57" i="10"/>
  <c r="S58" i="10"/>
  <c r="T58" i="10"/>
  <c r="S59" i="10"/>
  <c r="T59" i="10"/>
  <c r="S60" i="10"/>
  <c r="T60" i="10"/>
  <c r="S61" i="10"/>
  <c r="T61" i="10"/>
  <c r="S62" i="10"/>
  <c r="T62" i="10"/>
  <c r="S63" i="10"/>
  <c r="T63" i="10"/>
  <c r="S64" i="10"/>
  <c r="T64" i="10"/>
  <c r="S65" i="10"/>
  <c r="T65" i="10"/>
  <c r="S66" i="10"/>
  <c r="T66" i="10"/>
  <c r="S67" i="10"/>
  <c r="T67" i="10"/>
  <c r="S68" i="10"/>
  <c r="T68" i="10"/>
  <c r="S69" i="10"/>
  <c r="T69" i="10"/>
  <c r="S70" i="10"/>
  <c r="T70" i="10"/>
  <c r="S71" i="10"/>
  <c r="T71" i="10"/>
  <c r="S72" i="10"/>
  <c r="T72" i="10"/>
  <c r="S73" i="10"/>
  <c r="T73" i="10"/>
  <c r="S74" i="10"/>
  <c r="T74" i="10"/>
  <c r="S75" i="10"/>
  <c r="T75" i="10"/>
  <c r="S76" i="10"/>
  <c r="T76" i="10"/>
  <c r="S77" i="10"/>
  <c r="T77" i="10"/>
  <c r="S78" i="10"/>
  <c r="T78" i="10"/>
  <c r="S79" i="10"/>
  <c r="T79" i="10"/>
  <c r="S80" i="10"/>
  <c r="T80" i="10"/>
  <c r="S81" i="10"/>
  <c r="T81" i="10"/>
  <c r="S82" i="10"/>
  <c r="T82" i="10"/>
  <c r="S83" i="10"/>
  <c r="T83" i="10"/>
  <c r="S84" i="10"/>
  <c r="T84" i="10"/>
  <c r="S85" i="10"/>
  <c r="T85" i="10"/>
  <c r="S86" i="10"/>
  <c r="T86" i="10"/>
  <c r="S87" i="10"/>
  <c r="T87" i="10"/>
  <c r="S88" i="10"/>
  <c r="T88" i="10"/>
  <c r="S89" i="10"/>
  <c r="T89" i="10"/>
  <c r="S90" i="10"/>
  <c r="T90" i="10"/>
  <c r="S91" i="10"/>
  <c r="T91" i="10"/>
  <c r="S92" i="10"/>
  <c r="T92" i="10"/>
  <c r="S93" i="10"/>
  <c r="T93" i="10"/>
  <c r="S94" i="10"/>
  <c r="T94" i="10"/>
  <c r="S95" i="10"/>
  <c r="T95" i="10"/>
  <c r="S96" i="10"/>
  <c r="T96" i="10"/>
  <c r="S97" i="10"/>
  <c r="T97" i="10"/>
  <c r="S98" i="10"/>
  <c r="T98" i="10"/>
  <c r="S99" i="10"/>
  <c r="T99" i="10"/>
  <c r="S100" i="10"/>
  <c r="T100" i="10"/>
  <c r="S101" i="10"/>
  <c r="T101" i="10"/>
  <c r="S102" i="10"/>
  <c r="T102" i="10"/>
  <c r="S103" i="10"/>
  <c r="T103" i="10"/>
  <c r="S104" i="10"/>
  <c r="T104" i="10"/>
  <c r="S105" i="10"/>
  <c r="T105" i="10"/>
  <c r="S106" i="10"/>
  <c r="T106" i="10"/>
  <c r="S107" i="10"/>
  <c r="T107" i="10"/>
  <c r="S108" i="10"/>
  <c r="T108" i="10"/>
  <c r="S109" i="10"/>
  <c r="T109" i="10"/>
  <c r="S110" i="10"/>
  <c r="T110" i="10"/>
  <c r="S111" i="10"/>
  <c r="T111" i="10"/>
  <c r="S112" i="10"/>
  <c r="T112" i="10"/>
  <c r="S113" i="10"/>
  <c r="T113" i="10"/>
  <c r="S114" i="10"/>
  <c r="T114" i="10"/>
  <c r="S115" i="10"/>
  <c r="T115" i="10"/>
  <c r="S116" i="10"/>
  <c r="T116" i="10"/>
  <c r="S117" i="10"/>
  <c r="T117" i="10"/>
  <c r="S118" i="10"/>
  <c r="T118" i="10"/>
  <c r="S119" i="10"/>
  <c r="T119" i="10"/>
  <c r="S120" i="10"/>
  <c r="T120" i="10"/>
  <c r="S121" i="10"/>
  <c r="T121" i="10"/>
  <c r="S122" i="10"/>
  <c r="T122" i="10"/>
  <c r="S123" i="10"/>
  <c r="T123" i="10"/>
  <c r="S124" i="10"/>
  <c r="T124" i="10"/>
  <c r="S125" i="10"/>
  <c r="T125" i="10"/>
  <c r="S126" i="10"/>
  <c r="T126" i="10"/>
  <c r="S127" i="10"/>
  <c r="T127" i="10"/>
  <c r="S128" i="10"/>
  <c r="T128" i="10"/>
  <c r="S129" i="10"/>
  <c r="T129" i="10"/>
  <c r="S130" i="10"/>
  <c r="T130" i="10"/>
  <c r="S131" i="10"/>
  <c r="T131" i="10"/>
  <c r="S132" i="10"/>
  <c r="T132" i="10"/>
  <c r="S133" i="10"/>
  <c r="T133" i="10"/>
  <c r="S134" i="10"/>
  <c r="T134" i="10"/>
  <c r="S135" i="10"/>
  <c r="T135" i="10"/>
  <c r="H1" i="14"/>
  <c r="B3" i="14"/>
  <c r="W3" i="14"/>
  <c r="W4" i="14" s="1"/>
  <c r="W5" i="14" s="1"/>
  <c r="W6" i="14" s="1"/>
  <c r="W7" i="14" s="1"/>
  <c r="W8" i="14" s="1"/>
  <c r="W9" i="14" s="1"/>
  <c r="W10" i="14" s="1"/>
  <c r="W11" i="14" s="1"/>
  <c r="W12" i="14" s="1"/>
  <c r="W13" i="14" s="1"/>
  <c r="W14" i="14" s="1"/>
  <c r="W15" i="14" s="1"/>
  <c r="W16" i="14" s="1"/>
  <c r="W17" i="14" s="1"/>
  <c r="W18" i="14" s="1"/>
  <c r="W19" i="14" s="1"/>
  <c r="W20" i="14" s="1"/>
  <c r="W21" i="14" s="1"/>
  <c r="W22" i="14" s="1"/>
  <c r="W23" i="14" s="1"/>
  <c r="W24" i="14" s="1"/>
  <c r="W25" i="14" s="1"/>
  <c r="W26" i="14" s="1"/>
  <c r="W27" i="14" s="1"/>
  <c r="W28" i="14" s="1"/>
  <c r="W29" i="14" s="1"/>
  <c r="W30" i="14" s="1"/>
  <c r="W31" i="14" s="1"/>
  <c r="W32" i="14" s="1"/>
  <c r="W33" i="14" s="1"/>
  <c r="W34" i="14" s="1"/>
  <c r="W35" i="14" s="1"/>
  <c r="W36" i="14" s="1"/>
  <c r="W37" i="14" s="1"/>
  <c r="W38" i="14" s="1"/>
  <c r="W39" i="14" s="1"/>
  <c r="W40" i="14" s="1"/>
  <c r="W41" i="14" s="1"/>
  <c r="W42" i="14" s="1"/>
  <c r="W43" i="14" s="1"/>
  <c r="W44" i="14" s="1"/>
  <c r="W45" i="14" s="1"/>
  <c r="W46" i="14" s="1"/>
  <c r="W47" i="14" s="1"/>
  <c r="W48" i="14" s="1"/>
  <c r="W49" i="14" s="1"/>
  <c r="W50" i="14" s="1"/>
  <c r="W51" i="14" s="1"/>
  <c r="W52" i="14" s="1"/>
  <c r="W53" i="14" s="1"/>
  <c r="W54" i="14" s="1"/>
  <c r="W55" i="14" s="1"/>
  <c r="W56" i="14" s="1"/>
  <c r="W57" i="14" s="1"/>
  <c r="W58" i="14" s="1"/>
  <c r="W59" i="14" s="1"/>
  <c r="W60" i="14" s="1"/>
  <c r="W61" i="14" s="1"/>
  <c r="W62" i="14" s="1"/>
  <c r="W63" i="14" s="1"/>
  <c r="W64" i="14" s="1"/>
  <c r="W65" i="14" s="1"/>
  <c r="W66" i="14" s="1"/>
  <c r="W67" i="14" s="1"/>
  <c r="W68" i="14" s="1"/>
  <c r="W69" i="14" s="1"/>
  <c r="W70" i="14" s="1"/>
  <c r="W71" i="14" s="1"/>
  <c r="W72" i="14" s="1"/>
  <c r="W73" i="14" s="1"/>
  <c r="W74" i="14" s="1"/>
  <c r="W75" i="14" s="1"/>
  <c r="W76" i="14" s="1"/>
  <c r="W77" i="14" s="1"/>
  <c r="W78" i="14" s="1"/>
  <c r="W79" i="14" s="1"/>
  <c r="W80" i="14" s="1"/>
  <c r="W81" i="14" s="1"/>
  <c r="W82" i="14" s="1"/>
  <c r="W83" i="14" s="1"/>
  <c r="W84" i="14" s="1"/>
  <c r="W85" i="14" s="1"/>
  <c r="W86" i="14" s="1"/>
  <c r="W87" i="14" s="1"/>
  <c r="W88" i="14" s="1"/>
  <c r="W89" i="14" s="1"/>
  <c r="W90" i="14" s="1"/>
  <c r="W91" i="14" s="1"/>
  <c r="W92" i="14" s="1"/>
  <c r="W93" i="14" s="1"/>
  <c r="W94" i="14" s="1"/>
  <c r="W95" i="14" s="1"/>
  <c r="W96" i="14" s="1"/>
  <c r="W97" i="14" s="1"/>
  <c r="W98" i="14" s="1"/>
  <c r="W99" i="14" s="1"/>
  <c r="W100" i="14" s="1"/>
  <c r="W101" i="14" s="1"/>
  <c r="W102" i="14" s="1"/>
  <c r="W103" i="14" s="1"/>
  <c r="W104" i="14" s="1"/>
  <c r="W105" i="14" s="1"/>
  <c r="W106" i="14" s="1"/>
  <c r="W107" i="14" s="1"/>
  <c r="W108" i="14" s="1"/>
  <c r="W109" i="14" s="1"/>
  <c r="W110" i="14" s="1"/>
  <c r="W111" i="14" s="1"/>
  <c r="W112" i="14" s="1"/>
  <c r="W113" i="14" s="1"/>
  <c r="W114" i="14" s="1"/>
  <c r="W115" i="14" s="1"/>
  <c r="W116" i="14" s="1"/>
  <c r="W117" i="14" s="1"/>
  <c r="W118" i="14" s="1"/>
  <c r="W119" i="14" s="1"/>
  <c r="W120" i="14" s="1"/>
  <c r="W121" i="14" s="1"/>
  <c r="W122" i="14" s="1"/>
  <c r="W123" i="14" s="1"/>
  <c r="W124" i="14" s="1"/>
  <c r="W125" i="14" s="1"/>
  <c r="W126" i="14" s="1"/>
  <c r="W127" i="14" s="1"/>
  <c r="W128" i="14" s="1"/>
  <c r="W129" i="14" s="1"/>
  <c r="W130" i="14" s="1"/>
  <c r="W131" i="14" s="1"/>
  <c r="W132" i="14" s="1"/>
  <c r="W133" i="14" s="1"/>
  <c r="W134" i="14" s="1"/>
  <c r="W135" i="14" s="1"/>
  <c r="X3" i="14"/>
  <c r="X4" i="14" s="1"/>
  <c r="X5" i="14" s="1"/>
  <c r="X6" i="14" s="1"/>
  <c r="X7" i="14" s="1"/>
  <c r="X8" i="14" s="1"/>
  <c r="X9" i="14" s="1"/>
  <c r="X10" i="14" s="1"/>
  <c r="X11" i="14" s="1"/>
  <c r="X12" i="14" s="1"/>
  <c r="X13" i="14" s="1"/>
  <c r="X14" i="14" s="1"/>
  <c r="X15" i="14" s="1"/>
  <c r="X16" i="14" s="1"/>
  <c r="X17" i="14" s="1"/>
  <c r="X18" i="14" s="1"/>
  <c r="X19" i="14" s="1"/>
  <c r="X20" i="14" s="1"/>
  <c r="X21" i="14" s="1"/>
  <c r="X22" i="14" s="1"/>
  <c r="X23" i="14" s="1"/>
  <c r="X24" i="14" s="1"/>
  <c r="X25" i="14" s="1"/>
  <c r="X26" i="14" s="1"/>
  <c r="X27" i="14" s="1"/>
  <c r="X28" i="14" s="1"/>
  <c r="X29" i="14" s="1"/>
  <c r="X30" i="14" s="1"/>
  <c r="X31" i="14" s="1"/>
  <c r="X32" i="14" s="1"/>
  <c r="X33" i="14" s="1"/>
  <c r="X34" i="14" s="1"/>
  <c r="X35" i="14" s="1"/>
  <c r="X36" i="14" s="1"/>
  <c r="X37" i="14" s="1"/>
  <c r="X38" i="14" s="1"/>
  <c r="X39" i="14" s="1"/>
  <c r="X40" i="14" s="1"/>
  <c r="X41" i="14" s="1"/>
  <c r="X42" i="14" s="1"/>
  <c r="X43" i="14" s="1"/>
  <c r="X44" i="14" s="1"/>
  <c r="X45" i="14" s="1"/>
  <c r="X46" i="14" s="1"/>
  <c r="X47" i="14" s="1"/>
  <c r="X48" i="14" s="1"/>
  <c r="X49" i="14" s="1"/>
  <c r="X50" i="14" s="1"/>
  <c r="X51" i="14" s="1"/>
  <c r="X52" i="14" s="1"/>
  <c r="X53" i="14" s="1"/>
  <c r="X54" i="14" s="1"/>
  <c r="X55" i="14" s="1"/>
  <c r="X56" i="14" s="1"/>
  <c r="X57" i="14" s="1"/>
  <c r="X58" i="14" s="1"/>
  <c r="X59" i="14" s="1"/>
  <c r="X60" i="14" s="1"/>
  <c r="X61" i="14" s="1"/>
  <c r="X62" i="14" s="1"/>
  <c r="X63" i="14" s="1"/>
  <c r="X64" i="14" s="1"/>
  <c r="X65" i="14" s="1"/>
  <c r="X66" i="14" s="1"/>
  <c r="X67" i="14" s="1"/>
  <c r="X68" i="14" s="1"/>
  <c r="X69" i="14" s="1"/>
  <c r="X70" i="14" s="1"/>
  <c r="X71" i="14" s="1"/>
  <c r="X72" i="14" s="1"/>
  <c r="X73" i="14" s="1"/>
  <c r="X74" i="14" s="1"/>
  <c r="X75" i="14" s="1"/>
  <c r="X76" i="14" s="1"/>
  <c r="X77" i="14" s="1"/>
  <c r="X78" i="14" s="1"/>
  <c r="X79" i="14" s="1"/>
  <c r="X80" i="14" s="1"/>
  <c r="X81" i="14" s="1"/>
  <c r="X82" i="14" s="1"/>
  <c r="X83" i="14" s="1"/>
  <c r="X84" i="14" s="1"/>
  <c r="X85" i="14" s="1"/>
  <c r="X86" i="14" s="1"/>
  <c r="X87" i="14" s="1"/>
  <c r="X88" i="14" s="1"/>
  <c r="X89" i="14" s="1"/>
  <c r="X90" i="14" s="1"/>
  <c r="X91" i="14" s="1"/>
  <c r="X92" i="14" s="1"/>
  <c r="X93" i="14" s="1"/>
  <c r="X94" i="14" s="1"/>
  <c r="X95" i="14" s="1"/>
  <c r="X96" i="14" s="1"/>
  <c r="X97" i="14" s="1"/>
  <c r="X98" i="14" s="1"/>
  <c r="X99" i="14" s="1"/>
  <c r="X100" i="14" s="1"/>
  <c r="X101" i="14" s="1"/>
  <c r="X102" i="14" s="1"/>
  <c r="X103" i="14" s="1"/>
  <c r="X104" i="14" s="1"/>
  <c r="X105" i="14" s="1"/>
  <c r="X106" i="14" s="1"/>
  <c r="X107" i="14" s="1"/>
  <c r="X108" i="14" s="1"/>
  <c r="X109" i="14" s="1"/>
  <c r="X110" i="14" s="1"/>
  <c r="X111" i="14" s="1"/>
  <c r="X112" i="14" s="1"/>
  <c r="X113" i="14" s="1"/>
  <c r="X114" i="14" s="1"/>
  <c r="X115" i="14" s="1"/>
  <c r="X116" i="14" s="1"/>
  <c r="X117" i="14" s="1"/>
  <c r="X118" i="14" s="1"/>
  <c r="X119" i="14" s="1"/>
  <c r="X120" i="14" s="1"/>
  <c r="X121" i="14" s="1"/>
  <c r="X122" i="14" s="1"/>
  <c r="X123" i="14" s="1"/>
  <c r="X124" i="14" s="1"/>
  <c r="X125" i="14" s="1"/>
  <c r="X126" i="14" s="1"/>
  <c r="X127" i="14" s="1"/>
  <c r="X128" i="14" s="1"/>
  <c r="X129" i="14" s="1"/>
  <c r="X130" i="14" s="1"/>
  <c r="X131" i="14" s="1"/>
  <c r="X132" i="14" s="1"/>
  <c r="X133" i="14" s="1"/>
  <c r="X134" i="14" s="1"/>
  <c r="X135" i="14" s="1"/>
  <c r="Y3" i="14"/>
  <c r="Y4" i="14" s="1"/>
  <c r="Y5" i="14" s="1"/>
  <c r="Y6" i="14" s="1"/>
  <c r="Y7" i="14" s="1"/>
  <c r="Y8" i="14" s="1"/>
  <c r="Y9" i="14" s="1"/>
  <c r="Y10" i="14" s="1"/>
  <c r="Y11" i="14" s="1"/>
  <c r="Y12" i="14" s="1"/>
  <c r="Y13" i="14" s="1"/>
  <c r="Y14" i="14" s="1"/>
  <c r="Y15" i="14" s="1"/>
  <c r="Y16" i="14" s="1"/>
  <c r="Y17" i="14" s="1"/>
  <c r="Y18" i="14" s="1"/>
  <c r="Y19" i="14" s="1"/>
  <c r="Y20" i="14" s="1"/>
  <c r="Y21" i="14" s="1"/>
  <c r="Y22" i="14" s="1"/>
  <c r="Y23" i="14" s="1"/>
  <c r="Y24" i="14" s="1"/>
  <c r="Y25" i="14" s="1"/>
  <c r="Y26" i="14" s="1"/>
  <c r="Y27" i="14" s="1"/>
  <c r="Y28" i="14" s="1"/>
  <c r="Y29" i="14" s="1"/>
  <c r="Y30" i="14" s="1"/>
  <c r="Y31" i="14" s="1"/>
  <c r="Y32" i="14" s="1"/>
  <c r="Y33" i="14" s="1"/>
  <c r="Y34" i="14" s="1"/>
  <c r="Y35" i="14" s="1"/>
  <c r="Y36" i="14" s="1"/>
  <c r="Y37" i="14" s="1"/>
  <c r="Y38" i="14" s="1"/>
  <c r="Y39" i="14" s="1"/>
  <c r="Y40" i="14" s="1"/>
  <c r="Y41" i="14" s="1"/>
  <c r="Y42" i="14" s="1"/>
  <c r="Y43" i="14" s="1"/>
  <c r="Y44" i="14" s="1"/>
  <c r="Y45" i="14" s="1"/>
  <c r="Y46" i="14" s="1"/>
  <c r="Y47" i="14" s="1"/>
  <c r="Y48" i="14" s="1"/>
  <c r="Y49" i="14" s="1"/>
  <c r="Y50" i="14" s="1"/>
  <c r="Y51" i="14" s="1"/>
  <c r="Y52" i="14" s="1"/>
  <c r="Y53" i="14" s="1"/>
  <c r="Y54" i="14" s="1"/>
  <c r="Y55" i="14" s="1"/>
  <c r="Y56" i="14" s="1"/>
  <c r="Y57" i="14" s="1"/>
  <c r="Y58" i="14" s="1"/>
  <c r="Y59" i="14" s="1"/>
  <c r="Y60" i="14" s="1"/>
  <c r="Y61" i="14" s="1"/>
  <c r="Y62" i="14" s="1"/>
  <c r="Y63" i="14" s="1"/>
  <c r="Y64" i="14" s="1"/>
  <c r="Y65" i="14" s="1"/>
  <c r="Y66" i="14" s="1"/>
  <c r="Y67" i="14" s="1"/>
  <c r="Y68" i="14" s="1"/>
  <c r="Y69" i="14" s="1"/>
  <c r="Y70" i="14" s="1"/>
  <c r="Y71" i="14" s="1"/>
  <c r="Y72" i="14" s="1"/>
  <c r="Y73" i="14" s="1"/>
  <c r="Y74" i="14" s="1"/>
  <c r="Y75" i="14" s="1"/>
  <c r="Y76" i="14" s="1"/>
  <c r="Y77" i="14" s="1"/>
  <c r="Y78" i="14" s="1"/>
  <c r="Y79" i="14" s="1"/>
  <c r="Y80" i="14" s="1"/>
  <c r="Y81" i="14" s="1"/>
  <c r="Y82" i="14" s="1"/>
  <c r="Y83" i="14" s="1"/>
  <c r="Y84" i="14" s="1"/>
  <c r="Y85" i="14" s="1"/>
  <c r="Y86" i="14" s="1"/>
  <c r="Y87" i="14" s="1"/>
  <c r="Y88" i="14" s="1"/>
  <c r="Z3" i="14"/>
  <c r="Z4" i="14"/>
  <c r="Z5" i="14" s="1"/>
  <c r="Z6" i="14" s="1"/>
  <c r="Z7" i="14" s="1"/>
  <c r="Z8" i="14" s="1"/>
  <c r="Z9" i="14" s="1"/>
  <c r="Z10" i="14" s="1"/>
  <c r="Z11" i="14" s="1"/>
  <c r="Z12" i="14" s="1"/>
  <c r="Z13" i="14" s="1"/>
  <c r="Z14" i="14" s="1"/>
  <c r="Z15" i="14" s="1"/>
  <c r="Z16" i="14" s="1"/>
  <c r="Z17" i="14" s="1"/>
  <c r="Z18" i="14" s="1"/>
  <c r="Z19" i="14" s="1"/>
  <c r="Z20" i="14" s="1"/>
  <c r="Z21" i="14" s="1"/>
  <c r="Z22" i="14" s="1"/>
  <c r="Z23" i="14" s="1"/>
  <c r="Z24" i="14" s="1"/>
  <c r="Z25" i="14" s="1"/>
  <c r="Z26" i="14" s="1"/>
  <c r="Z27" i="14" s="1"/>
  <c r="Z28" i="14" s="1"/>
  <c r="Z29" i="14" s="1"/>
  <c r="Z30" i="14" s="1"/>
  <c r="Z31" i="14" s="1"/>
  <c r="Z32" i="14" s="1"/>
  <c r="Z33" i="14" s="1"/>
  <c r="Z34" i="14" s="1"/>
  <c r="Z35" i="14" s="1"/>
  <c r="Z36" i="14" s="1"/>
  <c r="Z37" i="14" s="1"/>
  <c r="Z38" i="14" s="1"/>
  <c r="Z39" i="14" s="1"/>
  <c r="Z40" i="14" s="1"/>
  <c r="Z41" i="14" s="1"/>
  <c r="Z42" i="14" s="1"/>
  <c r="Z43" i="14" s="1"/>
  <c r="Z44" i="14" s="1"/>
  <c r="Z45" i="14" s="1"/>
  <c r="Z46" i="14" s="1"/>
  <c r="Z47" i="14" s="1"/>
  <c r="Z48" i="14" s="1"/>
  <c r="Z49" i="14" s="1"/>
  <c r="Z50" i="14" s="1"/>
  <c r="Z51" i="14" s="1"/>
  <c r="Z52" i="14" s="1"/>
  <c r="Z53" i="14" s="1"/>
  <c r="Z54" i="14" s="1"/>
  <c r="Z55" i="14" s="1"/>
  <c r="Z56" i="14" s="1"/>
  <c r="Z57" i="14" s="1"/>
  <c r="Z58" i="14" s="1"/>
  <c r="Z59" i="14" s="1"/>
  <c r="Z60" i="14" s="1"/>
  <c r="Z61" i="14" s="1"/>
  <c r="Z62" i="14" s="1"/>
  <c r="Z63" i="14" s="1"/>
  <c r="Z64" i="14" s="1"/>
  <c r="Z65" i="14" s="1"/>
  <c r="Z66" i="14" s="1"/>
  <c r="Z67" i="14" s="1"/>
  <c r="Z68" i="14" s="1"/>
  <c r="Z69" i="14" s="1"/>
  <c r="Z70" i="14" s="1"/>
  <c r="Z71" i="14" s="1"/>
  <c r="Z72" i="14" s="1"/>
  <c r="Z73" i="14" s="1"/>
  <c r="Z74" i="14" s="1"/>
  <c r="Z75" i="14" s="1"/>
  <c r="Z76" i="14" s="1"/>
  <c r="Z77" i="14" s="1"/>
  <c r="Z78" i="14" s="1"/>
  <c r="Z79" i="14" s="1"/>
  <c r="Z80" i="14" s="1"/>
  <c r="Z81" i="14" s="1"/>
  <c r="Z82" i="14" s="1"/>
  <c r="Z83" i="14" s="1"/>
  <c r="Z84" i="14" s="1"/>
  <c r="Z85" i="14" s="1"/>
  <c r="Z86" i="14" s="1"/>
  <c r="Z87" i="14" s="1"/>
  <c r="Z88" i="14" s="1"/>
  <c r="Z89" i="14" s="1"/>
  <c r="Z90" i="14" s="1"/>
  <c r="Z91" i="14" s="1"/>
  <c r="Z92" i="14" s="1"/>
  <c r="Z93" i="14" s="1"/>
  <c r="Z94" i="14" s="1"/>
  <c r="Z95" i="14" s="1"/>
  <c r="Z96" i="14" s="1"/>
  <c r="Z97" i="14" s="1"/>
  <c r="Z98" i="14" s="1"/>
  <c r="Z99" i="14" s="1"/>
  <c r="Z100" i="14" s="1"/>
  <c r="Z101" i="14" s="1"/>
  <c r="Z102" i="14" s="1"/>
  <c r="Z103" i="14" s="1"/>
  <c r="Z104" i="14" s="1"/>
  <c r="Z105" i="14" s="1"/>
  <c r="Z106" i="14" s="1"/>
  <c r="Z107" i="14" s="1"/>
  <c r="Z108" i="14" s="1"/>
  <c r="Z109" i="14" s="1"/>
  <c r="Z110" i="14" s="1"/>
  <c r="Z111" i="14" s="1"/>
  <c r="Z112" i="14" s="1"/>
  <c r="Z113" i="14" s="1"/>
  <c r="Z114" i="14" s="1"/>
  <c r="Z115" i="14" s="1"/>
  <c r="Z116" i="14" s="1"/>
  <c r="Z117" i="14" s="1"/>
  <c r="Z118" i="14" s="1"/>
  <c r="Z119" i="14" s="1"/>
  <c r="Z120" i="14" s="1"/>
  <c r="Z121" i="14" s="1"/>
  <c r="Z122" i="14" s="1"/>
  <c r="Z123" i="14" s="1"/>
  <c r="Z124" i="14" s="1"/>
  <c r="Z125" i="14" s="1"/>
  <c r="Z126" i="14" s="1"/>
  <c r="Z127" i="14" s="1"/>
  <c r="Z128" i="14" s="1"/>
  <c r="Z129" i="14" s="1"/>
  <c r="Z130" i="14" s="1"/>
  <c r="Z131" i="14" s="1"/>
  <c r="Z132" i="14" s="1"/>
  <c r="Z133" i="14" s="1"/>
  <c r="Z134" i="14" s="1"/>
  <c r="Z135" i="14" s="1"/>
  <c r="AA3" i="14"/>
  <c r="AA4" i="14" s="1"/>
  <c r="AA5" i="14" s="1"/>
  <c r="AA6" i="14" s="1"/>
  <c r="AA7" i="14" s="1"/>
  <c r="AA8" i="14" s="1"/>
  <c r="AA9" i="14" s="1"/>
  <c r="AA10" i="14" s="1"/>
  <c r="AA11" i="14" s="1"/>
  <c r="AA12" i="14" s="1"/>
  <c r="AA13" i="14" s="1"/>
  <c r="AA14" i="14" s="1"/>
  <c r="AA15" i="14" s="1"/>
  <c r="AA16" i="14" s="1"/>
  <c r="AA17" i="14" s="1"/>
  <c r="AA18" i="14" s="1"/>
  <c r="AA19" i="14" s="1"/>
  <c r="AA20" i="14" s="1"/>
  <c r="AA21" i="14" s="1"/>
  <c r="AA22" i="14" s="1"/>
  <c r="AA23" i="14" s="1"/>
  <c r="AA24" i="14" s="1"/>
  <c r="AA25" i="14" s="1"/>
  <c r="AA26" i="14" s="1"/>
  <c r="AA27" i="14" s="1"/>
  <c r="AA28" i="14" s="1"/>
  <c r="AA29" i="14" s="1"/>
  <c r="AA30" i="14" s="1"/>
  <c r="AA31" i="14" s="1"/>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B3" i="14"/>
  <c r="AC3" i="14"/>
  <c r="AC4" i="14" s="1"/>
  <c r="AC5" i="14" s="1"/>
  <c r="AC6" i="14" s="1"/>
  <c r="AC7" i="14" s="1"/>
  <c r="AC8" i="14" s="1"/>
  <c r="AC9" i="14" s="1"/>
  <c r="AC10" i="14" s="1"/>
  <c r="AC11" i="14" s="1"/>
  <c r="AC12" i="14" s="1"/>
  <c r="AC13" i="14" s="1"/>
  <c r="AC14" i="14" s="1"/>
  <c r="AC15" i="14" s="1"/>
  <c r="AC16" i="14" s="1"/>
  <c r="AC17" i="14" s="1"/>
  <c r="AC18" i="14" s="1"/>
  <c r="AC19" i="14" s="1"/>
  <c r="AC20" i="14" s="1"/>
  <c r="AC21" i="14" s="1"/>
  <c r="AC22" i="14" s="1"/>
  <c r="AC23" i="14" s="1"/>
  <c r="AC24" i="14" s="1"/>
  <c r="AC25" i="14" s="1"/>
  <c r="AC26" i="14" s="1"/>
  <c r="AC27" i="14" s="1"/>
  <c r="AC28" i="14" s="1"/>
  <c r="AC29" i="14" s="1"/>
  <c r="AC30" i="14" s="1"/>
  <c r="AC31" i="14" s="1"/>
  <c r="AC32" i="14" s="1"/>
  <c r="AC33" i="14" s="1"/>
  <c r="AC34" i="14" s="1"/>
  <c r="AC35" i="14" s="1"/>
  <c r="AC36" i="14" s="1"/>
  <c r="AC37" i="14" s="1"/>
  <c r="AC38" i="14" s="1"/>
  <c r="AC39" i="14" s="1"/>
  <c r="AC40" i="14" s="1"/>
  <c r="AC41" i="14" s="1"/>
  <c r="AC42" i="14" s="1"/>
  <c r="AC43" i="14" s="1"/>
  <c r="AC44" i="14" s="1"/>
  <c r="AC45" i="14" s="1"/>
  <c r="AC46" i="14" s="1"/>
  <c r="AC47" i="14" s="1"/>
  <c r="AC48" i="14" s="1"/>
  <c r="AC49" i="14" s="1"/>
  <c r="AC50" i="14" s="1"/>
  <c r="AC51" i="14" s="1"/>
  <c r="AC52" i="14" s="1"/>
  <c r="AC53" i="14" s="1"/>
  <c r="AC54" i="14" s="1"/>
  <c r="AC55" i="14" s="1"/>
  <c r="AC56" i="14" s="1"/>
  <c r="AC57" i="14" s="1"/>
  <c r="AC58" i="14" s="1"/>
  <c r="AC59" i="14" s="1"/>
  <c r="AC60" i="14" s="1"/>
  <c r="AC61" i="14" s="1"/>
  <c r="AC62" i="14" s="1"/>
  <c r="AC63" i="14" s="1"/>
  <c r="AC64" i="14" s="1"/>
  <c r="AC65" i="14" s="1"/>
  <c r="AC66" i="14" s="1"/>
  <c r="AC67" i="14" s="1"/>
  <c r="AC68" i="14" s="1"/>
  <c r="AC69" i="14" s="1"/>
  <c r="AC70" i="14" s="1"/>
  <c r="AC71" i="14" s="1"/>
  <c r="AC72" i="14" s="1"/>
  <c r="AC73" i="14" s="1"/>
  <c r="AC74" i="14" s="1"/>
  <c r="AC75" i="14" s="1"/>
  <c r="AC76" i="14" s="1"/>
  <c r="AC77" i="14" s="1"/>
  <c r="AC78" i="14" s="1"/>
  <c r="AC79" i="14" s="1"/>
  <c r="AC80" i="14" s="1"/>
  <c r="AC81" i="14" s="1"/>
  <c r="AC82" i="14" s="1"/>
  <c r="AC83" i="14" s="1"/>
  <c r="AC84" i="14" s="1"/>
  <c r="AC85" i="14" s="1"/>
  <c r="AC86" i="14" s="1"/>
  <c r="AC87" i="14" s="1"/>
  <c r="AC88" i="14" s="1"/>
  <c r="AC89" i="14" s="1"/>
  <c r="AC90" i="14" s="1"/>
  <c r="AC91" i="14" s="1"/>
  <c r="AC92" i="14" s="1"/>
  <c r="AC93" i="14" s="1"/>
  <c r="AC94" i="14" s="1"/>
  <c r="AC95" i="14" s="1"/>
  <c r="AC96" i="14" s="1"/>
  <c r="AC97" i="14" s="1"/>
  <c r="AC98" i="14" s="1"/>
  <c r="AC99" i="14" s="1"/>
  <c r="AC100" i="14" s="1"/>
  <c r="AC101" i="14" s="1"/>
  <c r="AC102" i="14" s="1"/>
  <c r="AC103" i="14" s="1"/>
  <c r="AC104" i="14" s="1"/>
  <c r="AC105" i="14" s="1"/>
  <c r="AC106" i="14" s="1"/>
  <c r="AC107" i="14" s="1"/>
  <c r="AC108" i="14" s="1"/>
  <c r="AC109" i="14" s="1"/>
  <c r="AC110" i="14" s="1"/>
  <c r="AC111" i="14" s="1"/>
  <c r="AC112" i="14" s="1"/>
  <c r="AC113" i="14" s="1"/>
  <c r="AC114" i="14" s="1"/>
  <c r="AC115" i="14" s="1"/>
  <c r="AC116" i="14" s="1"/>
  <c r="AC117" i="14" s="1"/>
  <c r="AC118" i="14" s="1"/>
  <c r="AC119" i="14" s="1"/>
  <c r="AC120" i="14" s="1"/>
  <c r="AC121" i="14" s="1"/>
  <c r="AC122" i="14" s="1"/>
  <c r="AC123" i="14" s="1"/>
  <c r="AC124" i="14" s="1"/>
  <c r="AC125" i="14" s="1"/>
  <c r="AC126" i="14" s="1"/>
  <c r="AC127" i="14" s="1"/>
  <c r="AC128" i="14" s="1"/>
  <c r="AC129" i="14" s="1"/>
  <c r="AC130" i="14" s="1"/>
  <c r="AC131" i="14" s="1"/>
  <c r="AC132" i="14" s="1"/>
  <c r="AC133" i="14" s="1"/>
  <c r="AC134" i="14" s="1"/>
  <c r="AC135" i="14" s="1"/>
  <c r="AD3" i="14"/>
  <c r="AD4" i="14" s="1"/>
  <c r="AD5" i="14" s="1"/>
  <c r="AD6" i="14" s="1"/>
  <c r="AD7" i="14" s="1"/>
  <c r="AD8" i="14" s="1"/>
  <c r="AD9" i="14" s="1"/>
  <c r="AD10" i="14" s="1"/>
  <c r="AD11" i="14" s="1"/>
  <c r="AD12" i="14" s="1"/>
  <c r="AD13" i="14" s="1"/>
  <c r="AD14" i="14" s="1"/>
  <c r="AD15" i="14" s="1"/>
  <c r="AD16" i="14" s="1"/>
  <c r="AD17" i="14" s="1"/>
  <c r="AD18" i="14" s="1"/>
  <c r="AD19" i="14" s="1"/>
  <c r="AD20" i="14" s="1"/>
  <c r="AD21" i="14" s="1"/>
  <c r="AD22" i="14" s="1"/>
  <c r="AD23" i="14" s="1"/>
  <c r="AD24" i="14" s="1"/>
  <c r="AD25" i="14" s="1"/>
  <c r="AD26" i="14" s="1"/>
  <c r="AD27" i="14" s="1"/>
  <c r="AD28" i="14" s="1"/>
  <c r="AD29" i="14" s="1"/>
  <c r="AD30" i="14" s="1"/>
  <c r="AD31" i="14" s="1"/>
  <c r="AD32" i="14" s="1"/>
  <c r="AD33" i="14" s="1"/>
  <c r="AD34" i="14" s="1"/>
  <c r="AD35" i="14" s="1"/>
  <c r="AD36" i="14" s="1"/>
  <c r="AD37" i="14" s="1"/>
  <c r="AD38" i="14" s="1"/>
  <c r="AD39" i="14" s="1"/>
  <c r="AD40" i="14" s="1"/>
  <c r="AD41" i="14" s="1"/>
  <c r="AD42" i="14" s="1"/>
  <c r="AD43" i="14" s="1"/>
  <c r="AD44" i="14" s="1"/>
  <c r="AD45" i="14" s="1"/>
  <c r="AD46" i="14" s="1"/>
  <c r="AD47" i="14" s="1"/>
  <c r="AD48" i="14" s="1"/>
  <c r="AD49" i="14" s="1"/>
  <c r="AD50" i="14" s="1"/>
  <c r="AD51" i="14" s="1"/>
  <c r="AD52" i="14" s="1"/>
  <c r="AD53" i="14" s="1"/>
  <c r="AD54" i="14" s="1"/>
  <c r="AD55" i="14" s="1"/>
  <c r="AD56" i="14" s="1"/>
  <c r="AD57" i="14" s="1"/>
  <c r="AD58" i="14" s="1"/>
  <c r="AD59" i="14" s="1"/>
  <c r="AD60" i="14" s="1"/>
  <c r="AD61" i="14" s="1"/>
  <c r="AD62" i="14" s="1"/>
  <c r="AD63" i="14" s="1"/>
  <c r="AD64" i="14" s="1"/>
  <c r="AD65" i="14" s="1"/>
  <c r="AD66" i="14" s="1"/>
  <c r="AD67" i="14" s="1"/>
  <c r="AD68" i="14" s="1"/>
  <c r="AD69" i="14" s="1"/>
  <c r="AD70" i="14" s="1"/>
  <c r="AD71" i="14" s="1"/>
  <c r="AD72" i="14" s="1"/>
  <c r="AD73" i="14" s="1"/>
  <c r="AD74" i="14" s="1"/>
  <c r="AD75" i="14" s="1"/>
  <c r="AD76" i="14" s="1"/>
  <c r="AD77" i="14" s="1"/>
  <c r="AD78" i="14" s="1"/>
  <c r="AD79" i="14" s="1"/>
  <c r="AD80" i="14" s="1"/>
  <c r="AD81" i="14" s="1"/>
  <c r="AD82" i="14" s="1"/>
  <c r="AD83" i="14" s="1"/>
  <c r="AD84" i="14" s="1"/>
  <c r="AD85" i="14" s="1"/>
  <c r="AD86" i="14" s="1"/>
  <c r="AD87" i="14" s="1"/>
  <c r="AD88" i="14" s="1"/>
  <c r="AD89" i="14" s="1"/>
  <c r="AD90" i="14" s="1"/>
  <c r="AD91" i="14" s="1"/>
  <c r="AD92" i="14" s="1"/>
  <c r="AD93" i="14" s="1"/>
  <c r="AD94" i="14" s="1"/>
  <c r="AD95" i="14" s="1"/>
  <c r="AD96" i="14" s="1"/>
  <c r="AD97" i="14" s="1"/>
  <c r="AD98" i="14" s="1"/>
  <c r="AD99" i="14" s="1"/>
  <c r="AD100" i="14" s="1"/>
  <c r="AD101" i="14" s="1"/>
  <c r="AD102" i="14" s="1"/>
  <c r="AD103" i="14" s="1"/>
  <c r="AD104" i="14" s="1"/>
  <c r="AD105" i="14" s="1"/>
  <c r="AD106" i="14" s="1"/>
  <c r="AD107" i="14" s="1"/>
  <c r="AD108" i="14" s="1"/>
  <c r="AD109" i="14" s="1"/>
  <c r="AD110" i="14" s="1"/>
  <c r="AD111" i="14" s="1"/>
  <c r="AD112" i="14" s="1"/>
  <c r="AD113" i="14" s="1"/>
  <c r="AD114" i="14" s="1"/>
  <c r="AD115" i="14" s="1"/>
  <c r="AD116" i="14" s="1"/>
  <c r="AD117" i="14" s="1"/>
  <c r="AD118" i="14" s="1"/>
  <c r="AD119" i="14" s="1"/>
  <c r="AD120" i="14" s="1"/>
  <c r="AD121" i="14" s="1"/>
  <c r="AD122" i="14" s="1"/>
  <c r="AD123" i="14" s="1"/>
  <c r="AD124" i="14" s="1"/>
  <c r="AD125" i="14" s="1"/>
  <c r="AD126" i="14" s="1"/>
  <c r="AD127" i="14" s="1"/>
  <c r="AD128" i="14" s="1"/>
  <c r="AD129" i="14" s="1"/>
  <c r="AD130" i="14" s="1"/>
  <c r="AD131" i="14" s="1"/>
  <c r="AD132" i="14" s="1"/>
  <c r="AD133" i="14" s="1"/>
  <c r="AD134" i="14" s="1"/>
  <c r="AD135" i="14" s="1"/>
  <c r="AE3" i="14"/>
  <c r="AE4" i="14" s="1"/>
  <c r="AE5" i="14" s="1"/>
  <c r="AE6" i="14" s="1"/>
  <c r="AE7" i="14" s="1"/>
  <c r="AE8" i="14" s="1"/>
  <c r="AE9" i="14" s="1"/>
  <c r="AE10" i="14" s="1"/>
  <c r="AE11" i="14" s="1"/>
  <c r="AE12" i="14" s="1"/>
  <c r="AE13" i="14" s="1"/>
  <c r="AE14" i="14" s="1"/>
  <c r="AE15" i="14" s="1"/>
  <c r="AE16" i="14" s="1"/>
  <c r="AE17" i="14" s="1"/>
  <c r="AE18" i="14" s="1"/>
  <c r="AE19" i="14" s="1"/>
  <c r="AE20" i="14" s="1"/>
  <c r="AE21" i="14" s="1"/>
  <c r="AE22" i="14" s="1"/>
  <c r="AE23" i="14" s="1"/>
  <c r="AE24" i="14" s="1"/>
  <c r="AE25" i="14" s="1"/>
  <c r="AE26" i="14" s="1"/>
  <c r="AE27" i="14" s="1"/>
  <c r="AE28" i="14" s="1"/>
  <c r="AE29" i="14" s="1"/>
  <c r="AE30" i="14" s="1"/>
  <c r="AE31" i="14" s="1"/>
  <c r="AE32" i="14" s="1"/>
  <c r="AE33" i="14" s="1"/>
  <c r="AE34" i="14" s="1"/>
  <c r="AE35" i="14" s="1"/>
  <c r="AE36" i="14" s="1"/>
  <c r="AE37" i="14" s="1"/>
  <c r="AE38" i="14" s="1"/>
  <c r="AE39" i="14" s="1"/>
  <c r="AE40" i="14" s="1"/>
  <c r="AE41" i="14" s="1"/>
  <c r="AE42" i="14" s="1"/>
  <c r="AE43" i="14" s="1"/>
  <c r="AE44" i="14" s="1"/>
  <c r="AE45" i="14" s="1"/>
  <c r="AE46" i="14" s="1"/>
  <c r="AE47" i="14" s="1"/>
  <c r="AE48" i="14" s="1"/>
  <c r="AE49" i="14" s="1"/>
  <c r="AE50" i="14" s="1"/>
  <c r="AE51" i="14" s="1"/>
  <c r="AE52" i="14" s="1"/>
  <c r="AE53" i="14" s="1"/>
  <c r="AE54" i="14" s="1"/>
  <c r="AE55" i="14" s="1"/>
  <c r="AE56" i="14" s="1"/>
  <c r="AE57" i="14" s="1"/>
  <c r="AE58" i="14" s="1"/>
  <c r="AE59" i="14" s="1"/>
  <c r="AE60" i="14" s="1"/>
  <c r="AE61" i="14" s="1"/>
  <c r="AE62" i="14" s="1"/>
  <c r="AE63" i="14" s="1"/>
  <c r="AE64" i="14" s="1"/>
  <c r="AE65" i="14" s="1"/>
  <c r="AE66" i="14" s="1"/>
  <c r="AE67" i="14" s="1"/>
  <c r="AE68" i="14" s="1"/>
  <c r="AE69" i="14" s="1"/>
  <c r="AE70" i="14" s="1"/>
  <c r="AE71" i="14" s="1"/>
  <c r="AE72" i="14" s="1"/>
  <c r="AE73" i="14" s="1"/>
  <c r="AE74" i="14" s="1"/>
  <c r="AE75" i="14" s="1"/>
  <c r="AE76" i="14" s="1"/>
  <c r="AE77" i="14" s="1"/>
  <c r="AE78" i="14" s="1"/>
  <c r="AE79" i="14" s="1"/>
  <c r="AE80" i="14" s="1"/>
  <c r="AE81" i="14" s="1"/>
  <c r="AE82" i="14" s="1"/>
  <c r="AE83" i="14" s="1"/>
  <c r="AE84" i="14" s="1"/>
  <c r="AE85" i="14" s="1"/>
  <c r="AE86" i="14" s="1"/>
  <c r="AE87" i="14" s="1"/>
  <c r="AE88" i="14" s="1"/>
  <c r="AF3" i="14"/>
  <c r="AF4" i="14" s="1"/>
  <c r="AF5" i="14" s="1"/>
  <c r="AF6" i="14" s="1"/>
  <c r="AF7" i="14" s="1"/>
  <c r="AF8" i="14" s="1"/>
  <c r="AF9" i="14" s="1"/>
  <c r="AF10" i="14" s="1"/>
  <c r="AF11" i="14" s="1"/>
  <c r="AF12" i="14" s="1"/>
  <c r="AF13" i="14" s="1"/>
  <c r="AF14" i="14" s="1"/>
  <c r="AF15" i="14" s="1"/>
  <c r="AF16" i="14" s="1"/>
  <c r="AF17" i="14" s="1"/>
  <c r="AF18" i="14" s="1"/>
  <c r="AF19" i="14" s="1"/>
  <c r="AF20" i="14" s="1"/>
  <c r="AF21" i="14" s="1"/>
  <c r="AF22" i="14" s="1"/>
  <c r="AF23" i="14" s="1"/>
  <c r="AF24" i="14" s="1"/>
  <c r="AF25" i="14" s="1"/>
  <c r="AF26" i="14" s="1"/>
  <c r="AF27" i="14" s="1"/>
  <c r="AF28" i="14" s="1"/>
  <c r="AF29" i="14" s="1"/>
  <c r="AF30" i="14" s="1"/>
  <c r="AF31" i="14" s="1"/>
  <c r="AF32" i="14" s="1"/>
  <c r="AF33" i="14" s="1"/>
  <c r="AF34" i="14" s="1"/>
  <c r="AF35" i="14" s="1"/>
  <c r="AF36" i="14" s="1"/>
  <c r="AF37" i="14" s="1"/>
  <c r="AF38" i="14" s="1"/>
  <c r="AF39" i="14" s="1"/>
  <c r="AF40" i="14" s="1"/>
  <c r="AF41" i="14" s="1"/>
  <c r="AF42" i="14" s="1"/>
  <c r="AF43" i="14" s="1"/>
  <c r="AF44" i="14" s="1"/>
  <c r="AF45" i="14" s="1"/>
  <c r="AF46" i="14" s="1"/>
  <c r="AF47" i="14" s="1"/>
  <c r="AF48" i="14" s="1"/>
  <c r="AF49" i="14" s="1"/>
  <c r="AF50" i="14" s="1"/>
  <c r="AF51" i="14" s="1"/>
  <c r="AF52" i="14" s="1"/>
  <c r="AF53" i="14" s="1"/>
  <c r="AF54" i="14" s="1"/>
  <c r="AF55" i="14" s="1"/>
  <c r="AF56" i="14" s="1"/>
  <c r="AF57" i="14" s="1"/>
  <c r="AF58" i="14" s="1"/>
  <c r="AF59" i="14" s="1"/>
  <c r="AF60" i="14" s="1"/>
  <c r="AF61" i="14" s="1"/>
  <c r="AF62" i="14" s="1"/>
  <c r="AF63" i="14" s="1"/>
  <c r="AF64" i="14" s="1"/>
  <c r="AF65" i="14" s="1"/>
  <c r="AF66" i="14" s="1"/>
  <c r="AF67" i="14" s="1"/>
  <c r="AF68" i="14" s="1"/>
  <c r="AF69" i="14" s="1"/>
  <c r="AF70" i="14" s="1"/>
  <c r="AF71" i="14" s="1"/>
  <c r="AF72" i="14" s="1"/>
  <c r="AF73" i="14" s="1"/>
  <c r="AF74" i="14" s="1"/>
  <c r="AF75" i="14" s="1"/>
  <c r="AF76" i="14" s="1"/>
  <c r="AF77" i="14" s="1"/>
  <c r="AF78" i="14" s="1"/>
  <c r="AF79" i="14" s="1"/>
  <c r="AF80" i="14" s="1"/>
  <c r="AF81" i="14" s="1"/>
  <c r="AF82" i="14" s="1"/>
  <c r="AF83" i="14" s="1"/>
  <c r="AF84" i="14" s="1"/>
  <c r="AF85" i="14" s="1"/>
  <c r="AF86" i="14" s="1"/>
  <c r="AF87" i="14" s="1"/>
  <c r="AF88" i="14" s="1"/>
  <c r="AG3" i="14"/>
  <c r="AG4" i="14" s="1"/>
  <c r="AG5" i="14" s="1"/>
  <c r="AG6" i="14" s="1"/>
  <c r="AG7" i="14" s="1"/>
  <c r="AG8" i="14" s="1"/>
  <c r="AG9" i="14" s="1"/>
  <c r="AG10" i="14" s="1"/>
  <c r="AG11" i="14" s="1"/>
  <c r="AG12" i="14" s="1"/>
  <c r="AG13" i="14" s="1"/>
  <c r="AG14" i="14" s="1"/>
  <c r="AG15" i="14" s="1"/>
  <c r="AG16" i="14" s="1"/>
  <c r="AG17" i="14" s="1"/>
  <c r="AG18" i="14" s="1"/>
  <c r="AG19" i="14" s="1"/>
  <c r="AG20" i="14" s="1"/>
  <c r="AG21" i="14" s="1"/>
  <c r="AG22" i="14" s="1"/>
  <c r="AG23" i="14" s="1"/>
  <c r="AG24" i="14" s="1"/>
  <c r="AG25" i="14" s="1"/>
  <c r="AG26" i="14" s="1"/>
  <c r="AG27" i="14" s="1"/>
  <c r="AG28" i="14" s="1"/>
  <c r="AG29" i="14" s="1"/>
  <c r="AG30" i="14" s="1"/>
  <c r="AG31" i="14" s="1"/>
  <c r="AG32" i="14" s="1"/>
  <c r="AG33" i="14" s="1"/>
  <c r="AG34" i="14" s="1"/>
  <c r="AG35" i="14" s="1"/>
  <c r="AG36" i="14" s="1"/>
  <c r="AG37" i="14" s="1"/>
  <c r="AG38" i="14" s="1"/>
  <c r="AG39" i="14" s="1"/>
  <c r="AG40" i="14" s="1"/>
  <c r="AG41" i="14" s="1"/>
  <c r="AG42" i="14" s="1"/>
  <c r="AG43" i="14" s="1"/>
  <c r="AG44" i="14" s="1"/>
  <c r="AG45" i="14" s="1"/>
  <c r="AG46" i="14" s="1"/>
  <c r="AG47" i="14" s="1"/>
  <c r="AG48" i="14" s="1"/>
  <c r="AG49" i="14" s="1"/>
  <c r="AG50" i="14" s="1"/>
  <c r="AG51" i="14" s="1"/>
  <c r="AG52" i="14" s="1"/>
  <c r="AG53" i="14" s="1"/>
  <c r="AG54" i="14" s="1"/>
  <c r="AG55" i="14" s="1"/>
  <c r="AG56" i="14" s="1"/>
  <c r="AG57" i="14" s="1"/>
  <c r="AG58" i="14" s="1"/>
  <c r="AG59" i="14" s="1"/>
  <c r="AG60" i="14" s="1"/>
  <c r="AG61" i="14" s="1"/>
  <c r="AG62" i="14" s="1"/>
  <c r="AG63" i="14" s="1"/>
  <c r="AG64" i="14" s="1"/>
  <c r="AG65" i="14" s="1"/>
  <c r="AG66" i="14" s="1"/>
  <c r="AG67" i="14" s="1"/>
  <c r="AG68" i="14" s="1"/>
  <c r="AG69" i="14" s="1"/>
  <c r="AG70" i="14" s="1"/>
  <c r="AG71" i="14" s="1"/>
  <c r="AG72" i="14" s="1"/>
  <c r="AG73" i="14" s="1"/>
  <c r="AG74" i="14" s="1"/>
  <c r="AG75" i="14" s="1"/>
  <c r="AG76" i="14" s="1"/>
  <c r="AG77" i="14" s="1"/>
  <c r="AG78" i="14" s="1"/>
  <c r="AG79" i="14" s="1"/>
  <c r="AG80" i="14" s="1"/>
  <c r="AG81" i="14" s="1"/>
  <c r="AG82" i="14" s="1"/>
  <c r="AG83" i="14" s="1"/>
  <c r="AG84" i="14" s="1"/>
  <c r="AG85" i="14" s="1"/>
  <c r="AG86" i="14" s="1"/>
  <c r="AG87" i="14" s="1"/>
  <c r="AG88" i="14" s="1"/>
  <c r="AG89" i="14" s="1"/>
  <c r="AG90" i="14" s="1"/>
  <c r="AG91" i="14" s="1"/>
  <c r="AG92" i="14" s="1"/>
  <c r="AG93" i="14" s="1"/>
  <c r="AG94" i="14" s="1"/>
  <c r="AG95" i="14" s="1"/>
  <c r="AG96" i="14" s="1"/>
  <c r="AG97" i="14" s="1"/>
  <c r="AG98" i="14" s="1"/>
  <c r="AG99" i="14" s="1"/>
  <c r="AG100" i="14" s="1"/>
  <c r="AG101" i="14" s="1"/>
  <c r="AG102" i="14" s="1"/>
  <c r="AG103" i="14" s="1"/>
  <c r="AG104" i="14" s="1"/>
  <c r="AG105" i="14" s="1"/>
  <c r="AG106" i="14" s="1"/>
  <c r="AG107" i="14" s="1"/>
  <c r="AG108" i="14" s="1"/>
  <c r="AG109" i="14" s="1"/>
  <c r="AG110" i="14" s="1"/>
  <c r="AG111" i="14" s="1"/>
  <c r="AG112" i="14" s="1"/>
  <c r="AG113" i="14" s="1"/>
  <c r="AG114" i="14" s="1"/>
  <c r="AG115" i="14" s="1"/>
  <c r="AG116" i="14" s="1"/>
  <c r="AG117" i="14" s="1"/>
  <c r="AG118" i="14" s="1"/>
  <c r="AG119" i="14" s="1"/>
  <c r="AG120" i="14" s="1"/>
  <c r="AG121" i="14" s="1"/>
  <c r="AG122" i="14" s="1"/>
  <c r="AG123" i="14" s="1"/>
  <c r="AG124" i="14" s="1"/>
  <c r="AG125" i="14" s="1"/>
  <c r="AG126" i="14" s="1"/>
  <c r="AG127" i="14" s="1"/>
  <c r="AG128" i="14" s="1"/>
  <c r="AG129" i="14" s="1"/>
  <c r="AG130" i="14" s="1"/>
  <c r="AG131" i="14" s="1"/>
  <c r="AG132" i="14" s="1"/>
  <c r="AG133" i="14" s="1"/>
  <c r="AG134" i="14" s="1"/>
  <c r="AG135" i="14" s="1"/>
  <c r="AH3" i="14"/>
  <c r="AH4" i="14" s="1"/>
  <c r="AH5" i="14" s="1"/>
  <c r="AH6" i="14" s="1"/>
  <c r="AH7" i="14" s="1"/>
  <c r="AH8" i="14" s="1"/>
  <c r="AH9" i="14" s="1"/>
  <c r="AH10" i="14" s="1"/>
  <c r="AH11" i="14" s="1"/>
  <c r="AH12" i="14" s="1"/>
  <c r="AH13" i="14" s="1"/>
  <c r="AH14" i="14" s="1"/>
  <c r="AH15" i="14" s="1"/>
  <c r="AH16" i="14" s="1"/>
  <c r="AH17" i="14" s="1"/>
  <c r="AH18" i="14" s="1"/>
  <c r="AH19" i="14" s="1"/>
  <c r="AH20" i="14" s="1"/>
  <c r="AH21" i="14" s="1"/>
  <c r="AH22" i="14" s="1"/>
  <c r="AH23" i="14" s="1"/>
  <c r="AH24" i="14" s="1"/>
  <c r="AH25" i="14" s="1"/>
  <c r="AH26" i="14" s="1"/>
  <c r="AH27" i="14" s="1"/>
  <c r="AH28" i="14" s="1"/>
  <c r="AH29" i="14" s="1"/>
  <c r="AH30" i="14" s="1"/>
  <c r="AH31" i="14" s="1"/>
  <c r="AH32" i="14" s="1"/>
  <c r="AH33" i="14" s="1"/>
  <c r="AH34" i="14" s="1"/>
  <c r="AH35" i="14" s="1"/>
  <c r="AH36" i="14" s="1"/>
  <c r="AH37" i="14" s="1"/>
  <c r="AH38" i="14" s="1"/>
  <c r="AH39" i="14" s="1"/>
  <c r="AH40" i="14" s="1"/>
  <c r="AH41" i="14" s="1"/>
  <c r="AH42" i="14" s="1"/>
  <c r="AH43" i="14" s="1"/>
  <c r="AH44" i="14" s="1"/>
  <c r="AH45" i="14" s="1"/>
  <c r="AH46" i="14" s="1"/>
  <c r="AH47" i="14" s="1"/>
  <c r="AH48" i="14" s="1"/>
  <c r="AH49" i="14" s="1"/>
  <c r="AH50" i="14" s="1"/>
  <c r="AH51" i="14" s="1"/>
  <c r="AH52" i="14" s="1"/>
  <c r="AH53" i="14" s="1"/>
  <c r="AH54" i="14" s="1"/>
  <c r="AH55" i="14" s="1"/>
  <c r="AH56" i="14" s="1"/>
  <c r="AH57" i="14" s="1"/>
  <c r="AH58" i="14" s="1"/>
  <c r="AH59" i="14" s="1"/>
  <c r="AH60" i="14" s="1"/>
  <c r="AH61" i="14" s="1"/>
  <c r="AH62" i="14" s="1"/>
  <c r="AH63" i="14" s="1"/>
  <c r="AH64" i="14" s="1"/>
  <c r="AH65" i="14" s="1"/>
  <c r="AH66" i="14" s="1"/>
  <c r="AH67" i="14" s="1"/>
  <c r="AH68" i="14" s="1"/>
  <c r="AH69" i="14" s="1"/>
  <c r="AH70" i="14" s="1"/>
  <c r="AH71" i="14" s="1"/>
  <c r="AH72" i="14" s="1"/>
  <c r="AH73" i="14" s="1"/>
  <c r="AH74" i="14" s="1"/>
  <c r="AH75" i="14" s="1"/>
  <c r="AH76" i="14" s="1"/>
  <c r="AH77" i="14" s="1"/>
  <c r="AH78" i="14" s="1"/>
  <c r="AH79" i="14" s="1"/>
  <c r="AH80" i="14" s="1"/>
  <c r="AH81" i="14" s="1"/>
  <c r="AH82" i="14" s="1"/>
  <c r="AH83" i="14" s="1"/>
  <c r="AH84" i="14" s="1"/>
  <c r="AH85" i="14" s="1"/>
  <c r="AH86" i="14" s="1"/>
  <c r="AH87" i="14" s="1"/>
  <c r="AH88" i="14" s="1"/>
  <c r="AH89" i="14" s="1"/>
  <c r="AH90" i="14" s="1"/>
  <c r="AH91" i="14" s="1"/>
  <c r="AH92" i="14" s="1"/>
  <c r="AH93" i="14" s="1"/>
  <c r="AH94" i="14" s="1"/>
  <c r="AH95" i="14" s="1"/>
  <c r="AH96" i="14" s="1"/>
  <c r="AH97" i="14" s="1"/>
  <c r="AH98" i="14" s="1"/>
  <c r="AH99" i="14" s="1"/>
  <c r="AH100" i="14" s="1"/>
  <c r="AH101" i="14" s="1"/>
  <c r="AH102" i="14" s="1"/>
  <c r="AH103" i="14" s="1"/>
  <c r="AH104" i="14" s="1"/>
  <c r="AH105" i="14" s="1"/>
  <c r="AH106" i="14" s="1"/>
  <c r="AH107" i="14" s="1"/>
  <c r="AH108" i="14" s="1"/>
  <c r="AH109" i="14" s="1"/>
  <c r="AH110" i="14" s="1"/>
  <c r="AH111" i="14" s="1"/>
  <c r="AH112" i="14" s="1"/>
  <c r="AH113" i="14" s="1"/>
  <c r="AH114" i="14" s="1"/>
  <c r="AH115" i="14" s="1"/>
  <c r="AH116" i="14" s="1"/>
  <c r="AH117" i="14" s="1"/>
  <c r="AH118" i="14" s="1"/>
  <c r="AH119" i="14" s="1"/>
  <c r="AH120" i="14" s="1"/>
  <c r="AH121" i="14" s="1"/>
  <c r="AH122" i="14" s="1"/>
  <c r="AH123" i="14" s="1"/>
  <c r="AH124" i="14" s="1"/>
  <c r="AH125" i="14" s="1"/>
  <c r="AH126" i="14" s="1"/>
  <c r="AH127" i="14" s="1"/>
  <c r="AH128" i="14" s="1"/>
  <c r="AH129" i="14" s="1"/>
  <c r="AH130" i="14" s="1"/>
  <c r="AH131" i="14" s="1"/>
  <c r="AH132" i="14" s="1"/>
  <c r="AH133" i="14" s="1"/>
  <c r="AH134" i="14" s="1"/>
  <c r="AH135" i="14" s="1"/>
  <c r="AI3" i="14"/>
  <c r="AI4" i="14"/>
  <c r="AI5" i="14" s="1"/>
  <c r="AI6" i="14" s="1"/>
  <c r="AI7" i="14" s="1"/>
  <c r="AI8" i="14" s="1"/>
  <c r="AI9" i="14" s="1"/>
  <c r="AI10" i="14" s="1"/>
  <c r="AI11" i="14" s="1"/>
  <c r="AI12" i="14" s="1"/>
  <c r="AI13" i="14" s="1"/>
  <c r="AI14" i="14" s="1"/>
  <c r="AI15" i="14" s="1"/>
  <c r="AI16" i="14" s="1"/>
  <c r="AI17" i="14" s="1"/>
  <c r="AI18" i="14" s="1"/>
  <c r="AI19" i="14" s="1"/>
  <c r="AI20" i="14" s="1"/>
  <c r="AI21" i="14" s="1"/>
  <c r="AI22" i="14" s="1"/>
  <c r="AI23" i="14" s="1"/>
  <c r="AI24" i="14" s="1"/>
  <c r="AI25" i="14" s="1"/>
  <c r="AI26" i="14" s="1"/>
  <c r="AI27" i="14" s="1"/>
  <c r="AI28" i="14" s="1"/>
  <c r="AI29" i="14" s="1"/>
  <c r="AI30" i="14" s="1"/>
  <c r="AI31" i="14" s="1"/>
  <c r="AI32" i="14" s="1"/>
  <c r="AI33" i="14" s="1"/>
  <c r="AI34" i="14" s="1"/>
  <c r="AI35" i="14" s="1"/>
  <c r="AI36" i="14" s="1"/>
  <c r="AI37" i="14" s="1"/>
  <c r="AI38" i="14" s="1"/>
  <c r="AI39" i="14" s="1"/>
  <c r="AI40" i="14" s="1"/>
  <c r="AI41" i="14" s="1"/>
  <c r="AI42" i="14" s="1"/>
  <c r="AI43" i="14" s="1"/>
  <c r="AI44" i="14" s="1"/>
  <c r="AI45" i="14" s="1"/>
  <c r="AI46" i="14" s="1"/>
  <c r="AI47" i="14" s="1"/>
  <c r="AI48" i="14" s="1"/>
  <c r="AI49" i="14" s="1"/>
  <c r="AI50" i="14" s="1"/>
  <c r="AI51" i="14" s="1"/>
  <c r="AI52" i="14" s="1"/>
  <c r="AI53" i="14" s="1"/>
  <c r="AI54" i="14" s="1"/>
  <c r="AI55" i="14" s="1"/>
  <c r="AI56" i="14" s="1"/>
  <c r="AI57" i="14" s="1"/>
  <c r="AI58" i="14" s="1"/>
  <c r="AI59" i="14" s="1"/>
  <c r="AI60" i="14" s="1"/>
  <c r="AI61" i="14" s="1"/>
  <c r="AI62" i="14" s="1"/>
  <c r="AI63" i="14" s="1"/>
  <c r="AI64" i="14" s="1"/>
  <c r="AI65" i="14" s="1"/>
  <c r="AI66" i="14" s="1"/>
  <c r="AI67" i="14" s="1"/>
  <c r="AI68" i="14" s="1"/>
  <c r="AI69" i="14" s="1"/>
  <c r="AI70" i="14" s="1"/>
  <c r="AI71" i="14" s="1"/>
  <c r="AI72" i="14" s="1"/>
  <c r="AI73" i="14" s="1"/>
  <c r="AI74" i="14" s="1"/>
  <c r="AI75" i="14" s="1"/>
  <c r="AI76" i="14" s="1"/>
  <c r="AI77" i="14" s="1"/>
  <c r="AI78" i="14" s="1"/>
  <c r="AI79" i="14" s="1"/>
  <c r="AI80" i="14" s="1"/>
  <c r="AI81" i="14" s="1"/>
  <c r="AI82" i="14" s="1"/>
  <c r="AI83" i="14" s="1"/>
  <c r="AI84" i="14" s="1"/>
  <c r="AI85" i="14" s="1"/>
  <c r="AI86" i="14" s="1"/>
  <c r="AI87" i="14" s="1"/>
  <c r="AI88" i="14" s="1"/>
  <c r="AJ3" i="14"/>
  <c r="CM3" i="8"/>
  <c r="AK3" i="14"/>
  <c r="AK4" i="14" s="1"/>
  <c r="AK5" i="14" s="1"/>
  <c r="AK6" i="14" s="1"/>
  <c r="AK7" i="14" s="1"/>
  <c r="AK8" i="14" s="1"/>
  <c r="AK9" i="14" s="1"/>
  <c r="AK10" i="14" s="1"/>
  <c r="AK11" i="14" s="1"/>
  <c r="AK12" i="14" s="1"/>
  <c r="AK13" i="14" s="1"/>
  <c r="AK14" i="14" s="1"/>
  <c r="AK15" i="14" s="1"/>
  <c r="AK16" i="14" s="1"/>
  <c r="AK17" i="14" s="1"/>
  <c r="AK18" i="14" s="1"/>
  <c r="AK19" i="14" s="1"/>
  <c r="AK20" i="14" s="1"/>
  <c r="AK21" i="14" s="1"/>
  <c r="AK22" i="14" s="1"/>
  <c r="AK23" i="14" s="1"/>
  <c r="AK24" i="14" s="1"/>
  <c r="AK25" i="14" s="1"/>
  <c r="AK26" i="14" s="1"/>
  <c r="AK27" i="14" s="1"/>
  <c r="AK28" i="14" s="1"/>
  <c r="AK29" i="14" s="1"/>
  <c r="AK30" i="14" s="1"/>
  <c r="AK31" i="14" s="1"/>
  <c r="AK32" i="14" s="1"/>
  <c r="AK33" i="14" s="1"/>
  <c r="AK34" i="14" s="1"/>
  <c r="AK35" i="14" s="1"/>
  <c r="AK36" i="14" s="1"/>
  <c r="AK37" i="14" s="1"/>
  <c r="AK38" i="14" s="1"/>
  <c r="AK39" i="14" s="1"/>
  <c r="AK40" i="14" s="1"/>
  <c r="AK41" i="14" s="1"/>
  <c r="AK42" i="14" s="1"/>
  <c r="AK43" i="14" s="1"/>
  <c r="AK44" i="14" s="1"/>
  <c r="AK45" i="14" s="1"/>
  <c r="AK46" i="14" s="1"/>
  <c r="AK47" i="14" s="1"/>
  <c r="AK48" i="14" s="1"/>
  <c r="AK49" i="14" s="1"/>
  <c r="AK50" i="14" s="1"/>
  <c r="AK51" i="14" s="1"/>
  <c r="AK52" i="14" s="1"/>
  <c r="AK53" i="14" s="1"/>
  <c r="AK54" i="14" s="1"/>
  <c r="AK55" i="14" s="1"/>
  <c r="AK56" i="14" s="1"/>
  <c r="AK57" i="14" s="1"/>
  <c r="AK58" i="14" s="1"/>
  <c r="AK59" i="14" s="1"/>
  <c r="AK60" i="14" s="1"/>
  <c r="AK61" i="14" s="1"/>
  <c r="AK62" i="14" s="1"/>
  <c r="AK63" i="14" s="1"/>
  <c r="AK64" i="14" s="1"/>
  <c r="AK65" i="14" s="1"/>
  <c r="AK66" i="14" s="1"/>
  <c r="AK67" i="14" s="1"/>
  <c r="AK68" i="14" s="1"/>
  <c r="AK69" i="14" s="1"/>
  <c r="AK70" i="14" s="1"/>
  <c r="AK71" i="14" s="1"/>
  <c r="AK72" i="14" s="1"/>
  <c r="AK73" i="14" s="1"/>
  <c r="AK74" i="14" s="1"/>
  <c r="AK75" i="14" s="1"/>
  <c r="AK76" i="14" s="1"/>
  <c r="AK77" i="14" s="1"/>
  <c r="AK78" i="14" s="1"/>
  <c r="AK79" i="14" s="1"/>
  <c r="AK80" i="14" s="1"/>
  <c r="AK81" i="14" s="1"/>
  <c r="AK82" i="14" s="1"/>
  <c r="AK83" i="14" s="1"/>
  <c r="AK84" i="14" s="1"/>
  <c r="AK85" i="14" s="1"/>
  <c r="AK86" i="14" s="1"/>
  <c r="AK87" i="14" s="1"/>
  <c r="AK88" i="14" s="1"/>
  <c r="AL3" i="14"/>
  <c r="AL4" i="14" s="1"/>
  <c r="AL5" i="14" s="1"/>
  <c r="AL6" i="14" s="1"/>
  <c r="AL7" i="14" s="1"/>
  <c r="AL8" i="14" s="1"/>
  <c r="AL9" i="14" s="1"/>
  <c r="AL10" i="14" s="1"/>
  <c r="AL11" i="14" s="1"/>
  <c r="AL12" i="14" s="1"/>
  <c r="AL13" i="14" s="1"/>
  <c r="AL14" i="14" s="1"/>
  <c r="AL15" i="14" s="1"/>
  <c r="AL16" i="14" s="1"/>
  <c r="AL17" i="14" s="1"/>
  <c r="AL18" i="14" s="1"/>
  <c r="AL19" i="14" s="1"/>
  <c r="AL20" i="14" s="1"/>
  <c r="AL21" i="14" s="1"/>
  <c r="AL22" i="14" s="1"/>
  <c r="AL23" i="14" s="1"/>
  <c r="AL24" i="14" s="1"/>
  <c r="AL25" i="14" s="1"/>
  <c r="AL26" i="14" s="1"/>
  <c r="AL27" i="14" s="1"/>
  <c r="AL28" i="14" s="1"/>
  <c r="AL29" i="14" s="1"/>
  <c r="AL30" i="14" s="1"/>
  <c r="AL31" i="14" s="1"/>
  <c r="AL32" i="14" s="1"/>
  <c r="AL33" i="14" s="1"/>
  <c r="AL34" i="14" s="1"/>
  <c r="AL35" i="14" s="1"/>
  <c r="AL36" i="14" s="1"/>
  <c r="AL37" i="14" s="1"/>
  <c r="AL38" i="14" s="1"/>
  <c r="AL39" i="14" s="1"/>
  <c r="AL40" i="14" s="1"/>
  <c r="AL41" i="14" s="1"/>
  <c r="AL42" i="14" s="1"/>
  <c r="AL43" i="14" s="1"/>
  <c r="AL44" i="14" s="1"/>
  <c r="AL45" i="14" s="1"/>
  <c r="AL46" i="14" s="1"/>
  <c r="AL47" i="14" s="1"/>
  <c r="AL48" i="14" s="1"/>
  <c r="AL49" i="14" s="1"/>
  <c r="AL50" i="14" s="1"/>
  <c r="AL51" i="14" s="1"/>
  <c r="AL52" i="14" s="1"/>
  <c r="AL53" i="14" s="1"/>
  <c r="AL54" i="14" s="1"/>
  <c r="AL55" i="14" s="1"/>
  <c r="AL56" i="14" s="1"/>
  <c r="AL57" i="14" s="1"/>
  <c r="AL58" i="14" s="1"/>
  <c r="AL59" i="14" s="1"/>
  <c r="AL60" i="14" s="1"/>
  <c r="AL61" i="14" s="1"/>
  <c r="AL62" i="14" s="1"/>
  <c r="AL63" i="14" s="1"/>
  <c r="AL64" i="14" s="1"/>
  <c r="AL65" i="14" s="1"/>
  <c r="AL66" i="14" s="1"/>
  <c r="AL67" i="14" s="1"/>
  <c r="AL68" i="14" s="1"/>
  <c r="AL69" i="14" s="1"/>
  <c r="AL70" i="14" s="1"/>
  <c r="AL71" i="14" s="1"/>
  <c r="AL72" i="14" s="1"/>
  <c r="AL73" i="14" s="1"/>
  <c r="AL74" i="14" s="1"/>
  <c r="AL75" i="14" s="1"/>
  <c r="AL76" i="14" s="1"/>
  <c r="AL77" i="14" s="1"/>
  <c r="AL78" i="14" s="1"/>
  <c r="AL79" i="14" s="1"/>
  <c r="AL80" i="14" s="1"/>
  <c r="AL81" i="14" s="1"/>
  <c r="AL82" i="14" s="1"/>
  <c r="AL83" i="14" s="1"/>
  <c r="AL84" i="14" s="1"/>
  <c r="AL85" i="14" s="1"/>
  <c r="AL86" i="14" s="1"/>
  <c r="AL87" i="14" s="1"/>
  <c r="AL88" i="14" s="1"/>
  <c r="AM3" i="14"/>
  <c r="AM4" i="14" s="1"/>
  <c r="AM5" i="14" s="1"/>
  <c r="AM6" i="14" s="1"/>
  <c r="AM7" i="14" s="1"/>
  <c r="AM8" i="14" s="1"/>
  <c r="AM9" i="14" s="1"/>
  <c r="AM10" i="14" s="1"/>
  <c r="AM11" i="14" s="1"/>
  <c r="AM12" i="14" s="1"/>
  <c r="AM13" i="14" s="1"/>
  <c r="AM14" i="14" s="1"/>
  <c r="AM15" i="14" s="1"/>
  <c r="AM16" i="14" s="1"/>
  <c r="AM17" i="14" s="1"/>
  <c r="AM18" i="14" s="1"/>
  <c r="AM19" i="14" s="1"/>
  <c r="AM20" i="14" s="1"/>
  <c r="AM21" i="14" s="1"/>
  <c r="AM22" i="14" s="1"/>
  <c r="AM23" i="14" s="1"/>
  <c r="AM24" i="14" s="1"/>
  <c r="AM25" i="14" s="1"/>
  <c r="AM26" i="14" s="1"/>
  <c r="AM27" i="14" s="1"/>
  <c r="AM28" i="14" s="1"/>
  <c r="AM29" i="14" s="1"/>
  <c r="AM30" i="14" s="1"/>
  <c r="AM31" i="14" s="1"/>
  <c r="AM32" i="14" s="1"/>
  <c r="AM33" i="14" s="1"/>
  <c r="AM34" i="14" s="1"/>
  <c r="AM35" i="14" s="1"/>
  <c r="AM36" i="14" s="1"/>
  <c r="AM37" i="14" s="1"/>
  <c r="AM38" i="14" s="1"/>
  <c r="AM39" i="14" s="1"/>
  <c r="AM40" i="14" s="1"/>
  <c r="AM41" i="14" s="1"/>
  <c r="AM42" i="14" s="1"/>
  <c r="AM43" i="14" s="1"/>
  <c r="AM44" i="14" s="1"/>
  <c r="AM45" i="14" s="1"/>
  <c r="AM46" i="14" s="1"/>
  <c r="AM47" i="14" s="1"/>
  <c r="AM48" i="14" s="1"/>
  <c r="AM49" i="14" s="1"/>
  <c r="AM50" i="14" s="1"/>
  <c r="AM51" i="14" s="1"/>
  <c r="AM52" i="14" s="1"/>
  <c r="AM53" i="14" s="1"/>
  <c r="AM54" i="14" s="1"/>
  <c r="AM55" i="14" s="1"/>
  <c r="AM56" i="14" s="1"/>
  <c r="AM57" i="14" s="1"/>
  <c r="AM58" i="14" s="1"/>
  <c r="AM59" i="14" s="1"/>
  <c r="AM60" i="14" s="1"/>
  <c r="AM61" i="14" s="1"/>
  <c r="AM62" i="14" s="1"/>
  <c r="AM63" i="14" s="1"/>
  <c r="AM64" i="14" s="1"/>
  <c r="AM65" i="14" s="1"/>
  <c r="AM66" i="14" s="1"/>
  <c r="AM67" i="14" s="1"/>
  <c r="AM68" i="14" s="1"/>
  <c r="AM69" i="14" s="1"/>
  <c r="AM70" i="14" s="1"/>
  <c r="AM71" i="14" s="1"/>
  <c r="AM72" i="14" s="1"/>
  <c r="AM73" i="14" s="1"/>
  <c r="AM74" i="14" s="1"/>
  <c r="AM75" i="14" s="1"/>
  <c r="AM76" i="14" s="1"/>
  <c r="AM77" i="14" s="1"/>
  <c r="AM78" i="14" s="1"/>
  <c r="AM79" i="14" s="1"/>
  <c r="AM80" i="14" s="1"/>
  <c r="AM81" i="14" s="1"/>
  <c r="AM82" i="14" s="1"/>
  <c r="AM83" i="14" s="1"/>
  <c r="AM84" i="14" s="1"/>
  <c r="AM85" i="14" s="1"/>
  <c r="AM86" i="14" s="1"/>
  <c r="AM87" i="14" s="1"/>
  <c r="AM88" i="14" s="1"/>
  <c r="AN3" i="14"/>
  <c r="AN4" i="14" s="1"/>
  <c r="AN5" i="14" s="1"/>
  <c r="AN6" i="14" s="1"/>
  <c r="AN7" i="14" s="1"/>
  <c r="AN8" i="14" s="1"/>
  <c r="AN9" i="14" s="1"/>
  <c r="AN10" i="14" s="1"/>
  <c r="AN11" i="14" s="1"/>
  <c r="AN12" i="14" s="1"/>
  <c r="AN13" i="14" s="1"/>
  <c r="AN14" i="14" s="1"/>
  <c r="AN15" i="14" s="1"/>
  <c r="AN16" i="14" s="1"/>
  <c r="AN17" i="14" s="1"/>
  <c r="AN18" i="14" s="1"/>
  <c r="AN19" i="14" s="1"/>
  <c r="AN20" i="14" s="1"/>
  <c r="AN21" i="14" s="1"/>
  <c r="AN22" i="14" s="1"/>
  <c r="AN23" i="14" s="1"/>
  <c r="AN24" i="14" s="1"/>
  <c r="AN25" i="14" s="1"/>
  <c r="AN26" i="14" s="1"/>
  <c r="AN27" i="14" s="1"/>
  <c r="AN28" i="14" s="1"/>
  <c r="AN29" i="14" s="1"/>
  <c r="AN30" i="14" s="1"/>
  <c r="AN31" i="14" s="1"/>
  <c r="AN32" i="14" s="1"/>
  <c r="AN33" i="14" s="1"/>
  <c r="AN34" i="14" s="1"/>
  <c r="AN35" i="14" s="1"/>
  <c r="AN36" i="14" s="1"/>
  <c r="AN37" i="14" s="1"/>
  <c r="AN38" i="14" s="1"/>
  <c r="AN39" i="14" s="1"/>
  <c r="AN40" i="14" s="1"/>
  <c r="AN41" i="14" s="1"/>
  <c r="AN42" i="14" s="1"/>
  <c r="AN43" i="14" s="1"/>
  <c r="AN44" i="14" s="1"/>
  <c r="AN45" i="14" s="1"/>
  <c r="AN46" i="14" s="1"/>
  <c r="AN47" i="14" s="1"/>
  <c r="AN48" i="14" s="1"/>
  <c r="AN49" i="14" s="1"/>
  <c r="AN50" i="14" s="1"/>
  <c r="AN51" i="14" s="1"/>
  <c r="AN52" i="14" s="1"/>
  <c r="AN53" i="14" s="1"/>
  <c r="AN54" i="14" s="1"/>
  <c r="AN55" i="14" s="1"/>
  <c r="AN56" i="14" s="1"/>
  <c r="AN57" i="14" s="1"/>
  <c r="AN58" i="14" s="1"/>
  <c r="AN59" i="14" s="1"/>
  <c r="AN60" i="14" s="1"/>
  <c r="AN61" i="14" s="1"/>
  <c r="AN62" i="14" s="1"/>
  <c r="AN63" i="14" s="1"/>
  <c r="AN64" i="14" s="1"/>
  <c r="AN65" i="14" s="1"/>
  <c r="AN66" i="14" s="1"/>
  <c r="AN67" i="14" s="1"/>
  <c r="AN68" i="14" s="1"/>
  <c r="AN69" i="14" s="1"/>
  <c r="AN70" i="14" s="1"/>
  <c r="AN71" i="14" s="1"/>
  <c r="AN72" i="14" s="1"/>
  <c r="AN73" i="14" s="1"/>
  <c r="AN74" i="14" s="1"/>
  <c r="AN75" i="14" s="1"/>
  <c r="AN76" i="14" s="1"/>
  <c r="AN77" i="14" s="1"/>
  <c r="AN78" i="14" s="1"/>
  <c r="AN79" i="14" s="1"/>
  <c r="AN80" i="14" s="1"/>
  <c r="AN81" i="14" s="1"/>
  <c r="AN82" i="14" s="1"/>
  <c r="AN83" i="14" s="1"/>
  <c r="AN84" i="14" s="1"/>
  <c r="AN85" i="14" s="1"/>
  <c r="AN86" i="14" s="1"/>
  <c r="AN87" i="14" s="1"/>
  <c r="AN88" i="14" s="1"/>
  <c r="AO3" i="14"/>
  <c r="AO4" i="14"/>
  <c r="AO5" i="14" s="1"/>
  <c r="AO6" i="14" s="1"/>
  <c r="AO7" i="14" s="1"/>
  <c r="AO8" i="14" s="1"/>
  <c r="AO9" i="14" s="1"/>
  <c r="AO10" i="14" s="1"/>
  <c r="AO11" i="14" s="1"/>
  <c r="AO12" i="14" s="1"/>
  <c r="AO13" i="14" s="1"/>
  <c r="AO14" i="14" s="1"/>
  <c r="AO15" i="14" s="1"/>
  <c r="AO16" i="14" s="1"/>
  <c r="AO17" i="14" s="1"/>
  <c r="AO18" i="14" s="1"/>
  <c r="AO19" i="14" s="1"/>
  <c r="AO20" i="14" s="1"/>
  <c r="AO21" i="14" s="1"/>
  <c r="AO22" i="14" s="1"/>
  <c r="AO23" i="14" s="1"/>
  <c r="AO24" i="14" s="1"/>
  <c r="AO25" i="14" s="1"/>
  <c r="AO26" i="14" s="1"/>
  <c r="AO27" i="14" s="1"/>
  <c r="AO28" i="14" s="1"/>
  <c r="AO29" i="14" s="1"/>
  <c r="AO30" i="14" s="1"/>
  <c r="AO31" i="14" s="1"/>
  <c r="AO32" i="14" s="1"/>
  <c r="AO33" i="14" s="1"/>
  <c r="AO34" i="14" s="1"/>
  <c r="AO35" i="14" s="1"/>
  <c r="AO36" i="14" s="1"/>
  <c r="AO37" i="14" s="1"/>
  <c r="AO38" i="14" s="1"/>
  <c r="AO39" i="14" s="1"/>
  <c r="AO40" i="14" s="1"/>
  <c r="AO41" i="14" s="1"/>
  <c r="AO42" i="14" s="1"/>
  <c r="AO43" i="14" s="1"/>
  <c r="AO44" i="14" s="1"/>
  <c r="AO45" i="14" s="1"/>
  <c r="AO46" i="14" s="1"/>
  <c r="AO47" i="14" s="1"/>
  <c r="AO48" i="14" s="1"/>
  <c r="AO49" i="14" s="1"/>
  <c r="AO50" i="14" s="1"/>
  <c r="AO51" i="14" s="1"/>
  <c r="AO52" i="14" s="1"/>
  <c r="AO53" i="14" s="1"/>
  <c r="AO54" i="14" s="1"/>
  <c r="AO55" i="14" s="1"/>
  <c r="AO56" i="14" s="1"/>
  <c r="AO57" i="14" s="1"/>
  <c r="AO58" i="14" s="1"/>
  <c r="AO59" i="14" s="1"/>
  <c r="AO60" i="14" s="1"/>
  <c r="AO61" i="14" s="1"/>
  <c r="AO62" i="14" s="1"/>
  <c r="AO63" i="14" s="1"/>
  <c r="AO64" i="14" s="1"/>
  <c r="AO65" i="14" s="1"/>
  <c r="AO66" i="14" s="1"/>
  <c r="AO67" i="14" s="1"/>
  <c r="AO68" i="14" s="1"/>
  <c r="AO69" i="14" s="1"/>
  <c r="AO70" i="14" s="1"/>
  <c r="AO71" i="14" s="1"/>
  <c r="AO72" i="14" s="1"/>
  <c r="AO73" i="14" s="1"/>
  <c r="AO74" i="14" s="1"/>
  <c r="AO75" i="14" s="1"/>
  <c r="AO76" i="14" s="1"/>
  <c r="AO77" i="14" s="1"/>
  <c r="AO78" i="14" s="1"/>
  <c r="AO79" i="14" s="1"/>
  <c r="AO80" i="14" s="1"/>
  <c r="AO81" i="14" s="1"/>
  <c r="AO82" i="14" s="1"/>
  <c r="AO83" i="14" s="1"/>
  <c r="AO84" i="14" s="1"/>
  <c r="AO85" i="14" s="1"/>
  <c r="AO86" i="14" s="1"/>
  <c r="AO87" i="14" s="1"/>
  <c r="AO88" i="14" s="1"/>
  <c r="AP3" i="14"/>
  <c r="AP4" i="14" s="1"/>
  <c r="AP5" i="14" s="1"/>
  <c r="AP6" i="14" s="1"/>
  <c r="AP7" i="14" s="1"/>
  <c r="AP8" i="14" s="1"/>
  <c r="AP9" i="14" s="1"/>
  <c r="AP10" i="14" s="1"/>
  <c r="AP11" i="14" s="1"/>
  <c r="AP12" i="14" s="1"/>
  <c r="AP13" i="14" s="1"/>
  <c r="AP14" i="14" s="1"/>
  <c r="AP15" i="14" s="1"/>
  <c r="AP16" i="14" s="1"/>
  <c r="AP17" i="14" s="1"/>
  <c r="AP18" i="14" s="1"/>
  <c r="AP19" i="14" s="1"/>
  <c r="AP20" i="14" s="1"/>
  <c r="AP21" i="14" s="1"/>
  <c r="AP22" i="14" s="1"/>
  <c r="AP23" i="14" s="1"/>
  <c r="AP24" i="14" s="1"/>
  <c r="AP25" i="14" s="1"/>
  <c r="AP26" i="14" s="1"/>
  <c r="AP27" i="14" s="1"/>
  <c r="AP28" i="14" s="1"/>
  <c r="AP29" i="14" s="1"/>
  <c r="AP30" i="14" s="1"/>
  <c r="AP31" i="14" s="1"/>
  <c r="AP32" i="14" s="1"/>
  <c r="AP33" i="14" s="1"/>
  <c r="AP34" i="14" s="1"/>
  <c r="AP35" i="14" s="1"/>
  <c r="AP36" i="14" s="1"/>
  <c r="AP37" i="14" s="1"/>
  <c r="AP38" i="14" s="1"/>
  <c r="AP39" i="14" s="1"/>
  <c r="AP40" i="14" s="1"/>
  <c r="AP41" i="14" s="1"/>
  <c r="AP42" i="14" s="1"/>
  <c r="AP43" i="14" s="1"/>
  <c r="AP44" i="14" s="1"/>
  <c r="AP45" i="14" s="1"/>
  <c r="AP46" i="14" s="1"/>
  <c r="AP47" i="14" s="1"/>
  <c r="AP48" i="14" s="1"/>
  <c r="AP49" i="14" s="1"/>
  <c r="AP50" i="14" s="1"/>
  <c r="AP51" i="14" s="1"/>
  <c r="AP52" i="14" s="1"/>
  <c r="AP53" i="14" s="1"/>
  <c r="AP54" i="14" s="1"/>
  <c r="AP55" i="14" s="1"/>
  <c r="AP56" i="14" s="1"/>
  <c r="AP57" i="14" s="1"/>
  <c r="AP58" i="14" s="1"/>
  <c r="AP59" i="14" s="1"/>
  <c r="AP60" i="14" s="1"/>
  <c r="AP61" i="14" s="1"/>
  <c r="AP62" i="14" s="1"/>
  <c r="AP63" i="14" s="1"/>
  <c r="AP64" i="14" s="1"/>
  <c r="AP65" i="14" s="1"/>
  <c r="AP66" i="14" s="1"/>
  <c r="AP67" i="14" s="1"/>
  <c r="AP68" i="14" s="1"/>
  <c r="AP69" i="14" s="1"/>
  <c r="AP70" i="14" s="1"/>
  <c r="AP71" i="14" s="1"/>
  <c r="AP72" i="14" s="1"/>
  <c r="AP73" i="14" s="1"/>
  <c r="AP74" i="14" s="1"/>
  <c r="AP75" i="14" s="1"/>
  <c r="AP76" i="14" s="1"/>
  <c r="AP77" i="14" s="1"/>
  <c r="AP78" i="14" s="1"/>
  <c r="AP79" i="14" s="1"/>
  <c r="AP80" i="14" s="1"/>
  <c r="AP81" i="14" s="1"/>
  <c r="AP82" i="14" s="1"/>
  <c r="AP83" i="14" s="1"/>
  <c r="AP84" i="14" s="1"/>
  <c r="AP85" i="14" s="1"/>
  <c r="AP86" i="14" s="1"/>
  <c r="AP87" i="14" s="1"/>
  <c r="AP88" i="14" s="1"/>
  <c r="AQ3" i="14"/>
  <c r="AQ4" i="14"/>
  <c r="AQ5" i="14" s="1"/>
  <c r="AQ6" i="14" s="1"/>
  <c r="AQ7" i="14" s="1"/>
  <c r="AQ8" i="14" s="1"/>
  <c r="AQ9" i="14" s="1"/>
  <c r="AQ10" i="14" s="1"/>
  <c r="AQ11" i="14" s="1"/>
  <c r="AQ12" i="14" s="1"/>
  <c r="AQ13" i="14" s="1"/>
  <c r="AQ14" i="14" s="1"/>
  <c r="AQ15" i="14" s="1"/>
  <c r="AQ16" i="14" s="1"/>
  <c r="AQ17" i="14" s="1"/>
  <c r="AQ18" i="14" s="1"/>
  <c r="AQ19" i="14" s="1"/>
  <c r="AQ20" i="14" s="1"/>
  <c r="AQ21" i="14" s="1"/>
  <c r="AQ22" i="14" s="1"/>
  <c r="AQ23" i="14" s="1"/>
  <c r="AQ24" i="14" s="1"/>
  <c r="AQ25" i="14" s="1"/>
  <c r="AQ26" i="14" s="1"/>
  <c r="AQ27" i="14" s="1"/>
  <c r="AQ28" i="14" s="1"/>
  <c r="AQ29" i="14" s="1"/>
  <c r="AQ30" i="14" s="1"/>
  <c r="AQ31" i="14" s="1"/>
  <c r="AQ32" i="14" s="1"/>
  <c r="AQ33" i="14" s="1"/>
  <c r="AQ34" i="14" s="1"/>
  <c r="AQ35" i="14" s="1"/>
  <c r="AQ36" i="14" s="1"/>
  <c r="AQ37" i="14" s="1"/>
  <c r="AQ38" i="14" s="1"/>
  <c r="AQ39" i="14" s="1"/>
  <c r="AQ40" i="14" s="1"/>
  <c r="AQ41" i="14" s="1"/>
  <c r="AQ42" i="14" s="1"/>
  <c r="AQ43" i="14" s="1"/>
  <c r="AQ44" i="14" s="1"/>
  <c r="AQ45" i="14" s="1"/>
  <c r="AQ46" i="14" s="1"/>
  <c r="AQ47" i="14" s="1"/>
  <c r="AQ48" i="14" s="1"/>
  <c r="AQ49" i="14" s="1"/>
  <c r="AQ50" i="14" s="1"/>
  <c r="AQ51" i="14" s="1"/>
  <c r="AQ52" i="14" s="1"/>
  <c r="AQ53" i="14" s="1"/>
  <c r="AQ54" i="14" s="1"/>
  <c r="AQ55" i="14" s="1"/>
  <c r="AQ56" i="14" s="1"/>
  <c r="AQ57" i="14" s="1"/>
  <c r="AQ58" i="14" s="1"/>
  <c r="AQ59" i="14" s="1"/>
  <c r="AQ60" i="14" s="1"/>
  <c r="AQ61" i="14" s="1"/>
  <c r="AQ62" i="14" s="1"/>
  <c r="AQ63" i="14" s="1"/>
  <c r="AQ64" i="14" s="1"/>
  <c r="AQ65" i="14" s="1"/>
  <c r="AQ66" i="14" s="1"/>
  <c r="AQ67" i="14" s="1"/>
  <c r="AQ68" i="14" s="1"/>
  <c r="AQ69" i="14" s="1"/>
  <c r="AQ70" i="14" s="1"/>
  <c r="AQ71" i="14" s="1"/>
  <c r="AQ72" i="14" s="1"/>
  <c r="AQ73" i="14" s="1"/>
  <c r="AQ74" i="14" s="1"/>
  <c r="AQ75" i="14" s="1"/>
  <c r="AQ76" i="14" s="1"/>
  <c r="AQ77" i="14" s="1"/>
  <c r="AQ78" i="14" s="1"/>
  <c r="AQ79" i="14" s="1"/>
  <c r="AQ80" i="14" s="1"/>
  <c r="AQ81" i="14" s="1"/>
  <c r="AQ82" i="14" s="1"/>
  <c r="AQ83" i="14" s="1"/>
  <c r="AQ84" i="14" s="1"/>
  <c r="AQ85" i="14" s="1"/>
  <c r="AQ86" i="14" s="1"/>
  <c r="AQ87" i="14" s="1"/>
  <c r="AQ88" i="14" s="1"/>
  <c r="AR3" i="14"/>
  <c r="AR4" i="14" s="1"/>
  <c r="AR5" i="14" s="1"/>
  <c r="AR6" i="14" s="1"/>
  <c r="AR7" i="14" s="1"/>
  <c r="AR8" i="14" s="1"/>
  <c r="AR9" i="14" s="1"/>
  <c r="AR10" i="14" s="1"/>
  <c r="AR11" i="14" s="1"/>
  <c r="AR12" i="14" s="1"/>
  <c r="AR13" i="14" s="1"/>
  <c r="AR14" i="14" s="1"/>
  <c r="AR15" i="14" s="1"/>
  <c r="AR16" i="14" s="1"/>
  <c r="AR17" i="14" s="1"/>
  <c r="AR18" i="14" s="1"/>
  <c r="AR19" i="14" s="1"/>
  <c r="AR20" i="14" s="1"/>
  <c r="AR21" i="14" s="1"/>
  <c r="AR22" i="14" s="1"/>
  <c r="AR23" i="14" s="1"/>
  <c r="AR24" i="14" s="1"/>
  <c r="AR25" i="14" s="1"/>
  <c r="AR26" i="14" s="1"/>
  <c r="AR27" i="14" s="1"/>
  <c r="AR28" i="14" s="1"/>
  <c r="AR29" i="14" s="1"/>
  <c r="AR30" i="14" s="1"/>
  <c r="AR31" i="14" s="1"/>
  <c r="AR32" i="14" s="1"/>
  <c r="AR33" i="14" s="1"/>
  <c r="AR34" i="14" s="1"/>
  <c r="AR35" i="14" s="1"/>
  <c r="AR36" i="14" s="1"/>
  <c r="AR37" i="14" s="1"/>
  <c r="AR38" i="14" s="1"/>
  <c r="AR39" i="14" s="1"/>
  <c r="AR40" i="14" s="1"/>
  <c r="AR41" i="14" s="1"/>
  <c r="AR42" i="14" s="1"/>
  <c r="AR43" i="14" s="1"/>
  <c r="AR44" i="14" s="1"/>
  <c r="AR45" i="14" s="1"/>
  <c r="AR46" i="14" s="1"/>
  <c r="AR47" i="14" s="1"/>
  <c r="AR48" i="14" s="1"/>
  <c r="AR49" i="14" s="1"/>
  <c r="AR50" i="14" s="1"/>
  <c r="AR51" i="14" s="1"/>
  <c r="AR52" i="14" s="1"/>
  <c r="AR53" i="14" s="1"/>
  <c r="AR54" i="14" s="1"/>
  <c r="AR55" i="14" s="1"/>
  <c r="AR56" i="14" s="1"/>
  <c r="AR57" i="14" s="1"/>
  <c r="AR58" i="14" s="1"/>
  <c r="AR59" i="14" s="1"/>
  <c r="AR60" i="14" s="1"/>
  <c r="AR61" i="14" s="1"/>
  <c r="AR62" i="14" s="1"/>
  <c r="AR63" i="14" s="1"/>
  <c r="AR64" i="14" s="1"/>
  <c r="AR65" i="14" s="1"/>
  <c r="AR66" i="14" s="1"/>
  <c r="AR67" i="14" s="1"/>
  <c r="AR68" i="14" s="1"/>
  <c r="AR69" i="14" s="1"/>
  <c r="AR70" i="14" s="1"/>
  <c r="AR71" i="14" s="1"/>
  <c r="AR72" i="14" s="1"/>
  <c r="AR73" i="14" s="1"/>
  <c r="AR74" i="14" s="1"/>
  <c r="AR75" i="14" s="1"/>
  <c r="AR76" i="14" s="1"/>
  <c r="AR77" i="14" s="1"/>
  <c r="AR78" i="14" s="1"/>
  <c r="AR79" i="14" s="1"/>
  <c r="AR80" i="14" s="1"/>
  <c r="AR81" i="14" s="1"/>
  <c r="AR82" i="14" s="1"/>
  <c r="AR83" i="14" s="1"/>
  <c r="AR84" i="14" s="1"/>
  <c r="AR85" i="14" s="1"/>
  <c r="AR86" i="14" s="1"/>
  <c r="AR87" i="14" s="1"/>
  <c r="AR88" i="14" s="1"/>
  <c r="AS3" i="14"/>
  <c r="AS4" i="14"/>
  <c r="AS5" i="14" s="1"/>
  <c r="AS6" i="14" s="1"/>
  <c r="AS7" i="14" s="1"/>
  <c r="AS8" i="14" s="1"/>
  <c r="AS9" i="14" s="1"/>
  <c r="AS10" i="14" s="1"/>
  <c r="AS11" i="14" s="1"/>
  <c r="AS12" i="14" s="1"/>
  <c r="AS13" i="14" s="1"/>
  <c r="AS14" i="14" s="1"/>
  <c r="AS15" i="14" s="1"/>
  <c r="AS16" i="14" s="1"/>
  <c r="AS17" i="14" s="1"/>
  <c r="AS18" i="14" s="1"/>
  <c r="AS19" i="14" s="1"/>
  <c r="AS20" i="14" s="1"/>
  <c r="AS21" i="14" s="1"/>
  <c r="AS22" i="14" s="1"/>
  <c r="AS23" i="14" s="1"/>
  <c r="AS24" i="14" s="1"/>
  <c r="AS25" i="14" s="1"/>
  <c r="AS26" i="14" s="1"/>
  <c r="AS27" i="14" s="1"/>
  <c r="AS28" i="14" s="1"/>
  <c r="AS29" i="14" s="1"/>
  <c r="AS30" i="14" s="1"/>
  <c r="AS31" i="14" s="1"/>
  <c r="AS32" i="14" s="1"/>
  <c r="AS33" i="14" s="1"/>
  <c r="AS34" i="14" s="1"/>
  <c r="AS35" i="14" s="1"/>
  <c r="AS36" i="14" s="1"/>
  <c r="AS37" i="14" s="1"/>
  <c r="AS38" i="14" s="1"/>
  <c r="AS39" i="14" s="1"/>
  <c r="AS40" i="14" s="1"/>
  <c r="AS41" i="14" s="1"/>
  <c r="AS42" i="14" s="1"/>
  <c r="AS43" i="14" s="1"/>
  <c r="AS44" i="14" s="1"/>
  <c r="AS45" i="14" s="1"/>
  <c r="AS46" i="14" s="1"/>
  <c r="AS47" i="14" s="1"/>
  <c r="AS48" i="14" s="1"/>
  <c r="AS49" i="14" s="1"/>
  <c r="AS50" i="14" s="1"/>
  <c r="AS51" i="14" s="1"/>
  <c r="AS52" i="14" s="1"/>
  <c r="AS53" i="14" s="1"/>
  <c r="AS54" i="14" s="1"/>
  <c r="AS55" i="14" s="1"/>
  <c r="AS56" i="14" s="1"/>
  <c r="AS57" i="14" s="1"/>
  <c r="AS58" i="14" s="1"/>
  <c r="AS59" i="14" s="1"/>
  <c r="AS60" i="14" s="1"/>
  <c r="AS61" i="14" s="1"/>
  <c r="AS62" i="14" s="1"/>
  <c r="AS63" i="14" s="1"/>
  <c r="AS64" i="14" s="1"/>
  <c r="AS65" i="14" s="1"/>
  <c r="AS66" i="14" s="1"/>
  <c r="AS67" i="14" s="1"/>
  <c r="AS68" i="14" s="1"/>
  <c r="AS69" i="14" s="1"/>
  <c r="AS70" i="14" s="1"/>
  <c r="AS71" i="14" s="1"/>
  <c r="AS72" i="14" s="1"/>
  <c r="AS73" i="14" s="1"/>
  <c r="AS74" i="14" s="1"/>
  <c r="AS75" i="14" s="1"/>
  <c r="AS76" i="14" s="1"/>
  <c r="AS77" i="14" s="1"/>
  <c r="AS78" i="14" s="1"/>
  <c r="AS79" i="14" s="1"/>
  <c r="AS80" i="14" s="1"/>
  <c r="AS81" i="14" s="1"/>
  <c r="AS82" i="14" s="1"/>
  <c r="AS83" i="14" s="1"/>
  <c r="AS84" i="14" s="1"/>
  <c r="AS85" i="14" s="1"/>
  <c r="AS86" i="14" s="1"/>
  <c r="AS87" i="14" s="1"/>
  <c r="AS88" i="14" s="1"/>
  <c r="AT3" i="14"/>
  <c r="AT4" i="14"/>
  <c r="AT5" i="14" s="1"/>
  <c r="AT6" i="14" s="1"/>
  <c r="AT7" i="14" s="1"/>
  <c r="AT8" i="14" s="1"/>
  <c r="AT9" i="14" s="1"/>
  <c r="AT10" i="14" s="1"/>
  <c r="AT11" i="14" s="1"/>
  <c r="AT12" i="14" s="1"/>
  <c r="AT13" i="14" s="1"/>
  <c r="AT14" i="14" s="1"/>
  <c r="AT15" i="14" s="1"/>
  <c r="AT16" i="14" s="1"/>
  <c r="AT17" i="14" s="1"/>
  <c r="AT18" i="14" s="1"/>
  <c r="AT19" i="14" s="1"/>
  <c r="AT20" i="14" s="1"/>
  <c r="AT21" i="14" s="1"/>
  <c r="AT22" i="14" s="1"/>
  <c r="AT23" i="14" s="1"/>
  <c r="AT24" i="14" s="1"/>
  <c r="AT25" i="14" s="1"/>
  <c r="AT26" i="14" s="1"/>
  <c r="AT27" i="14" s="1"/>
  <c r="AT28" i="14" s="1"/>
  <c r="AT29" i="14" s="1"/>
  <c r="AT30" i="14" s="1"/>
  <c r="AT31" i="14" s="1"/>
  <c r="AT32" i="14" s="1"/>
  <c r="AT33" i="14" s="1"/>
  <c r="AT34" i="14" s="1"/>
  <c r="AT35" i="14" s="1"/>
  <c r="AT36" i="14" s="1"/>
  <c r="AT37" i="14" s="1"/>
  <c r="AT38" i="14" s="1"/>
  <c r="AT39" i="14" s="1"/>
  <c r="AT40" i="14" s="1"/>
  <c r="AT41" i="14" s="1"/>
  <c r="AT42" i="14" s="1"/>
  <c r="AT43" i="14" s="1"/>
  <c r="AT44" i="14" s="1"/>
  <c r="AT45" i="14" s="1"/>
  <c r="AT46" i="14" s="1"/>
  <c r="AT47" i="14" s="1"/>
  <c r="AT48" i="14" s="1"/>
  <c r="AT49" i="14" s="1"/>
  <c r="AT50" i="14" s="1"/>
  <c r="AT51" i="14" s="1"/>
  <c r="AT52" i="14" s="1"/>
  <c r="AT53" i="14" s="1"/>
  <c r="AT54" i="14" s="1"/>
  <c r="AT55" i="14" s="1"/>
  <c r="AT56" i="14" s="1"/>
  <c r="AT57" i="14" s="1"/>
  <c r="AT58" i="14" s="1"/>
  <c r="AT59" i="14" s="1"/>
  <c r="AT60" i="14" s="1"/>
  <c r="AT61" i="14" s="1"/>
  <c r="AT62" i="14" s="1"/>
  <c r="AT63" i="14" s="1"/>
  <c r="AT64" i="14" s="1"/>
  <c r="AT65" i="14" s="1"/>
  <c r="AT66" i="14" s="1"/>
  <c r="AT67" i="14" s="1"/>
  <c r="AT68" i="14" s="1"/>
  <c r="AT69" i="14" s="1"/>
  <c r="AT70" i="14" s="1"/>
  <c r="AT71" i="14" s="1"/>
  <c r="AT72" i="14" s="1"/>
  <c r="AT73" i="14" s="1"/>
  <c r="AT74" i="14" s="1"/>
  <c r="AT75" i="14" s="1"/>
  <c r="AT76" i="14" s="1"/>
  <c r="AT77" i="14" s="1"/>
  <c r="AT78" i="14" s="1"/>
  <c r="AT79" i="14" s="1"/>
  <c r="AT80" i="14" s="1"/>
  <c r="AT81" i="14" s="1"/>
  <c r="AT82" i="14" s="1"/>
  <c r="AT83" i="14" s="1"/>
  <c r="AT84" i="14" s="1"/>
  <c r="AT85" i="14" s="1"/>
  <c r="AT86" i="14" s="1"/>
  <c r="AT87" i="14" s="1"/>
  <c r="AT88" i="14" s="1"/>
  <c r="AU3" i="14"/>
  <c r="AU4" i="14"/>
  <c r="AU5" i="14" s="1"/>
  <c r="AU6" i="14" s="1"/>
  <c r="AU7" i="14" s="1"/>
  <c r="AU8" i="14" s="1"/>
  <c r="AU9" i="14" s="1"/>
  <c r="AU10" i="14" s="1"/>
  <c r="AU11" i="14" s="1"/>
  <c r="AU12" i="14" s="1"/>
  <c r="AU13" i="14" s="1"/>
  <c r="AU14" i="14" s="1"/>
  <c r="AU15" i="14" s="1"/>
  <c r="AU16" i="14" s="1"/>
  <c r="AU17" i="14" s="1"/>
  <c r="AU18" i="14" s="1"/>
  <c r="AU19" i="14" s="1"/>
  <c r="AU20" i="14" s="1"/>
  <c r="AU21" i="14" s="1"/>
  <c r="AU22" i="14" s="1"/>
  <c r="AU23" i="14" s="1"/>
  <c r="AU24" i="14" s="1"/>
  <c r="AU25" i="14" s="1"/>
  <c r="AU26" i="14" s="1"/>
  <c r="AU27" i="14" s="1"/>
  <c r="AU28" i="14" s="1"/>
  <c r="AU29" i="14" s="1"/>
  <c r="AU30" i="14" s="1"/>
  <c r="AU31" i="14" s="1"/>
  <c r="AU32" i="14" s="1"/>
  <c r="AU33" i="14" s="1"/>
  <c r="AU34" i="14" s="1"/>
  <c r="AU35" i="14" s="1"/>
  <c r="AU36" i="14" s="1"/>
  <c r="AU37" i="14" s="1"/>
  <c r="AU38" i="14" s="1"/>
  <c r="AU39" i="14" s="1"/>
  <c r="AU40" i="14" s="1"/>
  <c r="AU41" i="14" s="1"/>
  <c r="AU42" i="14" s="1"/>
  <c r="AU43" i="14" s="1"/>
  <c r="AU44" i="14" s="1"/>
  <c r="AU45" i="14" s="1"/>
  <c r="AU46" i="14" s="1"/>
  <c r="AU47" i="14" s="1"/>
  <c r="AU48" i="14" s="1"/>
  <c r="AU49" i="14" s="1"/>
  <c r="AU50" i="14" s="1"/>
  <c r="AU51" i="14" s="1"/>
  <c r="AU52" i="14" s="1"/>
  <c r="AU53" i="14" s="1"/>
  <c r="AU54" i="14" s="1"/>
  <c r="AU55" i="14" s="1"/>
  <c r="AU56" i="14" s="1"/>
  <c r="AU57" i="14" s="1"/>
  <c r="AU58" i="14" s="1"/>
  <c r="AU59" i="14" s="1"/>
  <c r="AU60" i="14" s="1"/>
  <c r="AU61" i="14" s="1"/>
  <c r="AU62" i="14" s="1"/>
  <c r="AU63" i="14" s="1"/>
  <c r="AU64" i="14" s="1"/>
  <c r="AU65" i="14" s="1"/>
  <c r="AU66" i="14" s="1"/>
  <c r="AU67" i="14" s="1"/>
  <c r="AU68" i="14" s="1"/>
  <c r="AU69" i="14" s="1"/>
  <c r="AU70" i="14" s="1"/>
  <c r="AU71" i="14" s="1"/>
  <c r="AU72" i="14" s="1"/>
  <c r="AU73" i="14" s="1"/>
  <c r="AU74" i="14" s="1"/>
  <c r="AU75" i="14" s="1"/>
  <c r="AU76" i="14" s="1"/>
  <c r="AU77" i="14" s="1"/>
  <c r="AU78" i="14" s="1"/>
  <c r="AU79" i="14" s="1"/>
  <c r="AU80" i="14" s="1"/>
  <c r="AU81" i="14" s="1"/>
  <c r="AU82" i="14" s="1"/>
  <c r="AU83" i="14" s="1"/>
  <c r="AU84" i="14" s="1"/>
  <c r="AU85" i="14" s="1"/>
  <c r="AU86" i="14" s="1"/>
  <c r="AU87" i="14" s="1"/>
  <c r="AU88" i="14" s="1"/>
  <c r="AV3" i="14"/>
  <c r="AW3" i="14"/>
  <c r="AW4" i="14" s="1"/>
  <c r="AW5" i="14" s="1"/>
  <c r="AW6" i="14" s="1"/>
  <c r="AW7" i="14" s="1"/>
  <c r="AW8" i="14" s="1"/>
  <c r="AW9" i="14" s="1"/>
  <c r="AW10" i="14" s="1"/>
  <c r="AW11" i="14" s="1"/>
  <c r="AW12" i="14" s="1"/>
  <c r="AW13" i="14" s="1"/>
  <c r="AW14" i="14" s="1"/>
  <c r="AW15" i="14" s="1"/>
  <c r="AW16" i="14" s="1"/>
  <c r="AW17" i="14" s="1"/>
  <c r="AW18" i="14" s="1"/>
  <c r="AW19" i="14" s="1"/>
  <c r="AW20" i="14" s="1"/>
  <c r="AW21" i="14" s="1"/>
  <c r="AW22" i="14" s="1"/>
  <c r="AW23" i="14" s="1"/>
  <c r="AW24" i="14" s="1"/>
  <c r="AW25" i="14" s="1"/>
  <c r="AW26" i="14" s="1"/>
  <c r="AW27" i="14" s="1"/>
  <c r="AW28" i="14" s="1"/>
  <c r="AW29" i="14" s="1"/>
  <c r="AW30" i="14" s="1"/>
  <c r="AW31" i="14" s="1"/>
  <c r="AW32" i="14" s="1"/>
  <c r="AW33" i="14" s="1"/>
  <c r="AW34" i="14" s="1"/>
  <c r="AW35" i="14" s="1"/>
  <c r="AW36" i="14" s="1"/>
  <c r="AW37" i="14" s="1"/>
  <c r="AW38" i="14" s="1"/>
  <c r="AW39" i="14" s="1"/>
  <c r="AW40" i="14" s="1"/>
  <c r="AW41" i="14" s="1"/>
  <c r="AW42" i="14" s="1"/>
  <c r="AW43" i="14" s="1"/>
  <c r="AW44" i="14" s="1"/>
  <c r="AW45" i="14" s="1"/>
  <c r="AW46" i="14" s="1"/>
  <c r="AW47" i="14" s="1"/>
  <c r="AW48" i="14" s="1"/>
  <c r="AW49" i="14" s="1"/>
  <c r="AW50" i="14" s="1"/>
  <c r="AW51" i="14" s="1"/>
  <c r="AW52" i="14" s="1"/>
  <c r="AW53" i="14" s="1"/>
  <c r="AW54" i="14" s="1"/>
  <c r="AW55" i="14" s="1"/>
  <c r="AW56" i="14" s="1"/>
  <c r="AW57" i="14" s="1"/>
  <c r="AW58" i="14" s="1"/>
  <c r="AW59" i="14" s="1"/>
  <c r="AW60" i="14" s="1"/>
  <c r="AW61" i="14" s="1"/>
  <c r="AW62" i="14" s="1"/>
  <c r="AW63" i="14" s="1"/>
  <c r="AW64" i="14" s="1"/>
  <c r="AW65" i="14" s="1"/>
  <c r="AW66" i="14" s="1"/>
  <c r="AW67" i="14" s="1"/>
  <c r="AW68" i="14" s="1"/>
  <c r="AW69" i="14" s="1"/>
  <c r="AW70" i="14" s="1"/>
  <c r="AW71" i="14" s="1"/>
  <c r="AW72" i="14" s="1"/>
  <c r="AW73" i="14" s="1"/>
  <c r="AW74" i="14" s="1"/>
  <c r="AW75" i="14" s="1"/>
  <c r="AW76" i="14" s="1"/>
  <c r="AW77" i="14" s="1"/>
  <c r="AW78" i="14" s="1"/>
  <c r="AW79" i="14" s="1"/>
  <c r="AW80" i="14" s="1"/>
  <c r="AW81" i="14" s="1"/>
  <c r="AW82" i="14" s="1"/>
  <c r="AW83" i="14" s="1"/>
  <c r="AW84" i="14" s="1"/>
  <c r="AW85" i="14" s="1"/>
  <c r="AW86" i="14" s="1"/>
  <c r="AW87" i="14" s="1"/>
  <c r="AW88" i="14" s="1"/>
  <c r="B4" i="14"/>
  <c r="F4" i="14"/>
  <c r="P4" i="14"/>
  <c r="AB4" i="14"/>
  <c r="AB5" i="14"/>
  <c r="AB6" i="14" s="1"/>
  <c r="AB7" i="14" s="1"/>
  <c r="AB8" i="14" s="1"/>
  <c r="AB9" i="14" s="1"/>
  <c r="AB10" i="14" s="1"/>
  <c r="AB11" i="14" s="1"/>
  <c r="AB12" i="14" s="1"/>
  <c r="AB13" i="14" s="1"/>
  <c r="AB14" i="14" s="1"/>
  <c r="AB15" i="14" s="1"/>
  <c r="AB16" i="14" s="1"/>
  <c r="AB17" i="14" s="1"/>
  <c r="AB18" i="14" s="1"/>
  <c r="AB19" i="14" s="1"/>
  <c r="AB20" i="14" s="1"/>
  <c r="AB21" i="14" s="1"/>
  <c r="AB22" i="14" s="1"/>
  <c r="AB23" i="14" s="1"/>
  <c r="AB24" i="14" s="1"/>
  <c r="AB25" i="14" s="1"/>
  <c r="AB26" i="14" s="1"/>
  <c r="AB27" i="14" s="1"/>
  <c r="AB28" i="14" s="1"/>
  <c r="AB29" i="14" s="1"/>
  <c r="AB30" i="14" s="1"/>
  <c r="AB31" i="14" s="1"/>
  <c r="AB32" i="14" s="1"/>
  <c r="AB33" i="14" s="1"/>
  <c r="AB34" i="14" s="1"/>
  <c r="AB35" i="14" s="1"/>
  <c r="AB36" i="14" s="1"/>
  <c r="AB37" i="14" s="1"/>
  <c r="AB38" i="14" s="1"/>
  <c r="AB39" i="14" s="1"/>
  <c r="AB40" i="14" s="1"/>
  <c r="AB41" i="14" s="1"/>
  <c r="AB42" i="14" s="1"/>
  <c r="AB43" i="14" s="1"/>
  <c r="AB44" i="14" s="1"/>
  <c r="AB45" i="14" s="1"/>
  <c r="AB46" i="14" s="1"/>
  <c r="AB47" i="14" s="1"/>
  <c r="AB48" i="14" s="1"/>
  <c r="AB49" i="14" s="1"/>
  <c r="AB50" i="14" s="1"/>
  <c r="AB51" i="14" s="1"/>
  <c r="AB52" i="14" s="1"/>
  <c r="AB53" i="14" s="1"/>
  <c r="AB54" i="14" s="1"/>
  <c r="AB55" i="14" s="1"/>
  <c r="AB56" i="14" s="1"/>
  <c r="AB57" i="14" s="1"/>
  <c r="AB58" i="14" s="1"/>
  <c r="AB59" i="14" s="1"/>
  <c r="AB60" i="14" s="1"/>
  <c r="AB61" i="14" s="1"/>
  <c r="AB62" i="14" s="1"/>
  <c r="AB63" i="14" s="1"/>
  <c r="AB64" i="14" s="1"/>
  <c r="AB65" i="14" s="1"/>
  <c r="AB66" i="14" s="1"/>
  <c r="AB67" i="14" s="1"/>
  <c r="AB68" i="14" s="1"/>
  <c r="AB69" i="14" s="1"/>
  <c r="AB70" i="14" s="1"/>
  <c r="AB71" i="14" s="1"/>
  <c r="AB72" i="14" s="1"/>
  <c r="AB73" i="14" s="1"/>
  <c r="AB74" i="14" s="1"/>
  <c r="AB75" i="14" s="1"/>
  <c r="AB76" i="14" s="1"/>
  <c r="AB77" i="14" s="1"/>
  <c r="AB78" i="14" s="1"/>
  <c r="AB79" i="14" s="1"/>
  <c r="AB80" i="14" s="1"/>
  <c r="AB81" i="14" s="1"/>
  <c r="AB82" i="14" s="1"/>
  <c r="AB83" i="14" s="1"/>
  <c r="AB84" i="14" s="1"/>
  <c r="AB85" i="14" s="1"/>
  <c r="AB86" i="14" s="1"/>
  <c r="AB87" i="14" s="1"/>
  <c r="AB88" i="14" s="1"/>
  <c r="AV4" i="14"/>
  <c r="AV5" i="14" s="1"/>
  <c r="AV6" i="14" s="1"/>
  <c r="AV7" i="14" s="1"/>
  <c r="AV8" i="14" s="1"/>
  <c r="AV9" i="14" s="1"/>
  <c r="AV10" i="14" s="1"/>
  <c r="AV11" i="14" s="1"/>
  <c r="AV12" i="14" s="1"/>
  <c r="AV13" i="14" s="1"/>
  <c r="AV14" i="14" s="1"/>
  <c r="AV15" i="14" s="1"/>
  <c r="AV16" i="14" s="1"/>
  <c r="AV17" i="14" s="1"/>
  <c r="AV18" i="14" s="1"/>
  <c r="AV19" i="14" s="1"/>
  <c r="AV20" i="14" s="1"/>
  <c r="AV21" i="14" s="1"/>
  <c r="AV22" i="14" s="1"/>
  <c r="AV23" i="14" s="1"/>
  <c r="AV24" i="14" s="1"/>
  <c r="AV25" i="14" s="1"/>
  <c r="AV26" i="14" s="1"/>
  <c r="AV27" i="14" s="1"/>
  <c r="AV28" i="14" s="1"/>
  <c r="AV29" i="14" s="1"/>
  <c r="AV30" i="14" s="1"/>
  <c r="AV31" i="14" s="1"/>
  <c r="AV32" i="14" s="1"/>
  <c r="AV33" i="14" s="1"/>
  <c r="AV34" i="14" s="1"/>
  <c r="AV35" i="14" s="1"/>
  <c r="AV36" i="14" s="1"/>
  <c r="AV37" i="14" s="1"/>
  <c r="AV38" i="14" s="1"/>
  <c r="AV39" i="14" s="1"/>
  <c r="AV40" i="14" s="1"/>
  <c r="AV41" i="14" s="1"/>
  <c r="AV42" i="14" s="1"/>
  <c r="AV43" i="14" s="1"/>
  <c r="AV44" i="14" s="1"/>
  <c r="AV45" i="14" s="1"/>
  <c r="AV46" i="14" s="1"/>
  <c r="AV47" i="14" s="1"/>
  <c r="AV48" i="14" s="1"/>
  <c r="AV49" i="14" s="1"/>
  <c r="AV50" i="14" s="1"/>
  <c r="AV51" i="14" s="1"/>
  <c r="AV52" i="14" s="1"/>
  <c r="AV53" i="14" s="1"/>
  <c r="AV54" i="14" s="1"/>
  <c r="AV55" i="14" s="1"/>
  <c r="AV56" i="14" s="1"/>
  <c r="AV57" i="14" s="1"/>
  <c r="AV58" i="14" s="1"/>
  <c r="AV59" i="14" s="1"/>
  <c r="AV60" i="14" s="1"/>
  <c r="AV61" i="14" s="1"/>
  <c r="AV62" i="14" s="1"/>
  <c r="AV63" i="14" s="1"/>
  <c r="AV64" i="14" s="1"/>
  <c r="AV65" i="14" s="1"/>
  <c r="AV66" i="14" s="1"/>
  <c r="AV67" i="14" s="1"/>
  <c r="AV68" i="14" s="1"/>
  <c r="AV69" i="14" s="1"/>
  <c r="AV70" i="14" s="1"/>
  <c r="AV71" i="14" s="1"/>
  <c r="AV72" i="14" s="1"/>
  <c r="AV73" i="14" s="1"/>
  <c r="AV74" i="14" s="1"/>
  <c r="AV75" i="14" s="1"/>
  <c r="AV76" i="14" s="1"/>
  <c r="AV77" i="14" s="1"/>
  <c r="AV78" i="14" s="1"/>
  <c r="AV79" i="14" s="1"/>
  <c r="AV80" i="14" s="1"/>
  <c r="AV81" i="14" s="1"/>
  <c r="AV82" i="14" s="1"/>
  <c r="AV83" i="14" s="1"/>
  <c r="AV84" i="14" s="1"/>
  <c r="AV85" i="14" s="1"/>
  <c r="AV86" i="14" s="1"/>
  <c r="AV87" i="14" s="1"/>
  <c r="AV88" i="14" s="1"/>
  <c r="B5" i="14"/>
  <c r="F5" i="14"/>
  <c r="P5" i="14"/>
  <c r="P6" i="14"/>
  <c r="M5" i="5"/>
  <c r="K5" i="11"/>
  <c r="A5" i="7"/>
  <c r="AD5" i="8"/>
  <c r="A5" i="8"/>
  <c r="M4" i="5"/>
  <c r="A4" i="7"/>
  <c r="A4" i="9"/>
  <c r="A4" i="8"/>
  <c r="K36" i="12"/>
  <c r="J36" i="12"/>
  <c r="N36" i="12" s="1"/>
  <c r="N39" i="12" s="1"/>
  <c r="K24" i="12"/>
  <c r="K25" i="12"/>
  <c r="D5" i="12"/>
  <c r="D6" i="12" s="1"/>
  <c r="K23" i="12"/>
  <c r="J23" i="12"/>
  <c r="M23" i="12" s="1"/>
  <c r="K35" i="12"/>
  <c r="J35" i="12" s="1"/>
  <c r="K34" i="12"/>
  <c r="J34" i="12"/>
  <c r="M34" i="12" s="1"/>
  <c r="M39" i="12" s="1"/>
  <c r="G4" i="8"/>
  <c r="G5" i="8" s="1"/>
  <c r="O5" i="2" s="1"/>
  <c r="CV102" i="5"/>
  <c r="CT88" i="5"/>
  <c r="CQ78" i="5"/>
  <c r="CU10" i="5"/>
  <c r="CT32" i="5"/>
  <c r="CU49" i="5"/>
  <c r="CQ5" i="5"/>
  <c r="CT20" i="5"/>
  <c r="CV33" i="5"/>
  <c r="CR63" i="5"/>
  <c r="CP100" i="5"/>
  <c r="CP52" i="5"/>
  <c r="CP10" i="5"/>
  <c r="CV16" i="5"/>
  <c r="CV30" i="5"/>
  <c r="CQ36" i="5"/>
  <c r="CT53" i="5"/>
  <c r="CU76" i="5"/>
  <c r="I4" i="8"/>
  <c r="R3" i="2"/>
  <c r="CV36" i="5"/>
  <c r="CQ127" i="5"/>
  <c r="CS102" i="5"/>
  <c r="CS126" i="5"/>
  <c r="CR104" i="5"/>
  <c r="CS128" i="5"/>
  <c r="CU104" i="5"/>
  <c r="CS135" i="5"/>
  <c r="CV73" i="5"/>
  <c r="CV52" i="5"/>
  <c r="CS81" i="5"/>
  <c r="CV27" i="5"/>
  <c r="CR115" i="5"/>
  <c r="CQ94" i="5"/>
  <c r="CS116" i="5"/>
  <c r="CR95" i="5"/>
  <c r="CS117" i="5"/>
  <c r="CU95" i="5"/>
  <c r="CR94" i="5"/>
  <c r="CT65" i="5"/>
  <c r="CS124" i="5"/>
  <c r="CT72" i="5"/>
  <c r="BN5" i="5"/>
  <c r="AF4" i="1" s="1"/>
  <c r="AJ4" i="14"/>
  <c r="AJ5" i="14" s="1"/>
  <c r="CQ67" i="5"/>
  <c r="CS23" i="5"/>
  <c r="CQ132" i="5"/>
  <c r="CS132" i="5"/>
  <c r="CV20" i="5"/>
  <c r="D65" i="4"/>
  <c r="CR126" i="5"/>
  <c r="CT126" i="5"/>
  <c r="CT46" i="5"/>
  <c r="CS5" i="5"/>
  <c r="CR133" i="5"/>
  <c r="CR134" i="5"/>
  <c r="CP131" i="5"/>
  <c r="CP113" i="5"/>
  <c r="CP95" i="5"/>
  <c r="CP69" i="5"/>
  <c r="CP29" i="5"/>
  <c r="CM4" i="8"/>
  <c r="AS17" i="5"/>
  <c r="AS27" i="5"/>
  <c r="CU129" i="5"/>
  <c r="CQ85" i="5"/>
  <c r="CR86" i="5"/>
  <c r="CU86" i="5"/>
  <c r="CQ56" i="5"/>
  <c r="CS67" i="5"/>
  <c r="CR46" i="5"/>
  <c r="CS77" i="5"/>
  <c r="CU55" i="5"/>
  <c r="CS16" i="5"/>
  <c r="CU103" i="5"/>
  <c r="CS105" i="5"/>
  <c r="CR75" i="5"/>
  <c r="CU82" i="5"/>
  <c r="CV55" i="5"/>
  <c r="CT95" i="5"/>
  <c r="CV44" i="5"/>
  <c r="CT16" i="5"/>
  <c r="CQ119" i="5"/>
  <c r="CV120" i="5"/>
  <c r="CR121" i="5"/>
  <c r="CT109" i="5"/>
  <c r="CS48" i="5"/>
  <c r="CT63" i="5"/>
  <c r="CU123" i="5"/>
  <c r="CT73" i="5"/>
  <c r="CS9" i="5"/>
  <c r="CK21" i="11"/>
  <c r="O21" i="4"/>
  <c r="O30" i="4"/>
  <c r="O27" i="4"/>
  <c r="O17" i="4"/>
  <c r="O18" i="4"/>
  <c r="O22" i="4"/>
  <c r="O20" i="4"/>
  <c r="O24" i="4"/>
  <c r="O26" i="4"/>
  <c r="O25" i="4"/>
  <c r="O15" i="4"/>
  <c r="O16" i="4"/>
  <c r="O23" i="4"/>
  <c r="O29" i="4"/>
  <c r="O19" i="4"/>
  <c r="O28" i="4"/>
  <c r="AO3" i="11" l="1"/>
  <c r="AN3" i="11"/>
  <c r="E17" i="4"/>
  <c r="C1269" i="2" s="1"/>
  <c r="L3" i="11"/>
  <c r="B3" i="1" s="1"/>
  <c r="BI3" i="1" s="1"/>
  <c r="CM4" i="11"/>
  <c r="CM5" i="11" s="1"/>
  <c r="CM6" i="11" s="1"/>
  <c r="CM7" i="11" s="1"/>
  <c r="CM8" i="11" s="1"/>
  <c r="CM9" i="11" s="1"/>
  <c r="CM10" i="11" s="1"/>
  <c r="CM11" i="11" s="1"/>
  <c r="CM12" i="11" s="1"/>
  <c r="CM13" i="11" s="1"/>
  <c r="CM14" i="11" s="1"/>
  <c r="CM15" i="11" s="1"/>
  <c r="CM16" i="11" s="1"/>
  <c r="CM17" i="11" s="1"/>
  <c r="CM18" i="11" s="1"/>
  <c r="CM19" i="11" s="1"/>
  <c r="CM20" i="11" s="1"/>
  <c r="CM21" i="11" s="1"/>
  <c r="CM22" i="11" s="1"/>
  <c r="CM23" i="11" s="1"/>
  <c r="CM24" i="11" s="1"/>
  <c r="CM25" i="11" s="1"/>
  <c r="CM26" i="11" s="1"/>
  <c r="CM27" i="11" s="1"/>
  <c r="CM28" i="11" s="1"/>
  <c r="CM29" i="11" s="1"/>
  <c r="CM30" i="11" s="1"/>
  <c r="CM31" i="11" s="1"/>
  <c r="CM32" i="11" s="1"/>
  <c r="CM33" i="11" s="1"/>
  <c r="CM34" i="11" s="1"/>
  <c r="CM35" i="11" s="1"/>
  <c r="CM36" i="11" s="1"/>
  <c r="CM37" i="11" s="1"/>
  <c r="CM38" i="11" s="1"/>
  <c r="CM39" i="11" s="1"/>
  <c r="CM40" i="11" s="1"/>
  <c r="CM41" i="11" s="1"/>
  <c r="CM42" i="11" s="1"/>
  <c r="CM43" i="11" s="1"/>
  <c r="CM44" i="11" s="1"/>
  <c r="CM45" i="11" s="1"/>
  <c r="CM46" i="11" s="1"/>
  <c r="CM47" i="11" s="1"/>
  <c r="CM48" i="11" s="1"/>
  <c r="CM49" i="11" s="1"/>
  <c r="CM50" i="11" s="1"/>
  <c r="CM51" i="11" s="1"/>
  <c r="CM52" i="11" s="1"/>
  <c r="CM53" i="11" s="1"/>
  <c r="CM54" i="11" s="1"/>
  <c r="CM55" i="11" s="1"/>
  <c r="CM56" i="11" s="1"/>
  <c r="CM57" i="11" s="1"/>
  <c r="CM58" i="11" s="1"/>
  <c r="CM59" i="11" s="1"/>
  <c r="CM60" i="11" s="1"/>
  <c r="CM61" i="11" s="1"/>
  <c r="CM62" i="11" s="1"/>
  <c r="CM63" i="11" s="1"/>
  <c r="CM64" i="11" s="1"/>
  <c r="CM65" i="11" s="1"/>
  <c r="CM66" i="11" s="1"/>
  <c r="CM67" i="11" s="1"/>
  <c r="CM68" i="11" s="1"/>
  <c r="CM69" i="11" s="1"/>
  <c r="CM70" i="11" s="1"/>
  <c r="CM71" i="11" s="1"/>
  <c r="CM72" i="11" s="1"/>
  <c r="CM73" i="11" s="1"/>
  <c r="CM74" i="11" s="1"/>
  <c r="CM75" i="11" s="1"/>
  <c r="CM76" i="11" s="1"/>
  <c r="CM77" i="11" s="1"/>
  <c r="CM78" i="11" s="1"/>
  <c r="CM79" i="11" s="1"/>
  <c r="CM80" i="11" s="1"/>
  <c r="CM81" i="11" s="1"/>
  <c r="CM82" i="11" s="1"/>
  <c r="CM83" i="11" s="1"/>
  <c r="CM84" i="11" s="1"/>
  <c r="CM85" i="11" s="1"/>
  <c r="CM86" i="11" s="1"/>
  <c r="CM87" i="11" s="1"/>
  <c r="CM88" i="11" s="1"/>
  <c r="CM89" i="11" s="1"/>
  <c r="CM90" i="11" s="1"/>
  <c r="CM91" i="11" s="1"/>
  <c r="CM92" i="11" s="1"/>
  <c r="CM93" i="11" s="1"/>
  <c r="CM94" i="11" s="1"/>
  <c r="CM95" i="11" s="1"/>
  <c r="CM96" i="11" s="1"/>
  <c r="CM97" i="11" s="1"/>
  <c r="CM98" i="11" s="1"/>
  <c r="CM99" i="11" s="1"/>
  <c r="CM100" i="11" s="1"/>
  <c r="CM101" i="11" s="1"/>
  <c r="CM102" i="11" s="1"/>
  <c r="CM103" i="11" s="1"/>
  <c r="CM104" i="11" s="1"/>
  <c r="CM105" i="11" s="1"/>
  <c r="CM106" i="11" s="1"/>
  <c r="CM107" i="11" s="1"/>
  <c r="CM108" i="11" s="1"/>
  <c r="CM109" i="11" s="1"/>
  <c r="CM110" i="11" s="1"/>
  <c r="CM111" i="11" s="1"/>
  <c r="CM112" i="11" s="1"/>
  <c r="CM113" i="11" s="1"/>
  <c r="CM114" i="11" s="1"/>
  <c r="CM115" i="11" s="1"/>
  <c r="CM116" i="11" s="1"/>
  <c r="CM117" i="11" s="1"/>
  <c r="CM118" i="11" s="1"/>
  <c r="CM119" i="11" s="1"/>
  <c r="CM120" i="11" s="1"/>
  <c r="CM121" i="11" s="1"/>
  <c r="CM122" i="11" s="1"/>
  <c r="CM123" i="11" s="1"/>
  <c r="CM124" i="11" s="1"/>
  <c r="CM125" i="11" s="1"/>
  <c r="CM126" i="11" s="1"/>
  <c r="CM127" i="11" s="1"/>
  <c r="CM128" i="11" s="1"/>
  <c r="CM129" i="11" s="1"/>
  <c r="CM130" i="11" s="1"/>
  <c r="CM131" i="11" s="1"/>
  <c r="CM132" i="11" s="1"/>
  <c r="CM133" i="11" s="1"/>
  <c r="CM134" i="11" s="1"/>
  <c r="CM135" i="11" s="1"/>
  <c r="J5" i="12"/>
  <c r="I6" i="12"/>
  <c r="D7" i="12"/>
  <c r="F7" i="12" s="1"/>
  <c r="E7" i="12" s="1"/>
  <c r="F6" i="12"/>
  <c r="E6" i="12" s="1"/>
  <c r="Y89" i="14"/>
  <c r="Y90" i="14" s="1"/>
  <c r="Y91" i="14" s="1"/>
  <c r="Y92" i="14" s="1"/>
  <c r="Y93" i="14" s="1"/>
  <c r="Y94" i="14" s="1"/>
  <c r="Y95" i="14" s="1"/>
  <c r="Y96" i="14" s="1"/>
  <c r="Y97" i="14" s="1"/>
  <c r="Y98" i="14" s="1"/>
  <c r="Y99" i="14" s="1"/>
  <c r="Y100" i="14" s="1"/>
  <c r="Y101" i="14" s="1"/>
  <c r="Y102" i="14" s="1"/>
  <c r="Y103" i="14" s="1"/>
  <c r="Y104" i="14" s="1"/>
  <c r="Y105" i="14" s="1"/>
  <c r="Y106" i="14" s="1"/>
  <c r="Y107" i="14" s="1"/>
  <c r="Y108" i="14" s="1"/>
  <c r="Y109" i="14" s="1"/>
  <c r="Y110" i="14" s="1"/>
  <c r="Y111" i="14" s="1"/>
  <c r="Y112" i="14" s="1"/>
  <c r="Y113" i="14" s="1"/>
  <c r="Y114" i="14" s="1"/>
  <c r="Y115" i="14" s="1"/>
  <c r="Y116" i="14" s="1"/>
  <c r="Y117" i="14" s="1"/>
  <c r="Y118" i="14" s="1"/>
  <c r="Y119" i="14" s="1"/>
  <c r="Y120" i="14" s="1"/>
  <c r="Y121" i="14" s="1"/>
  <c r="Y122" i="14" s="1"/>
  <c r="Y123" i="14" s="1"/>
  <c r="Y124" i="14" s="1"/>
  <c r="Y125" i="14" s="1"/>
  <c r="Y126" i="14" s="1"/>
  <c r="Y127" i="14" s="1"/>
  <c r="Y128" i="14" s="1"/>
  <c r="Y129" i="14" s="1"/>
  <c r="Y130" i="14" s="1"/>
  <c r="Y131" i="14" s="1"/>
  <c r="Y132" i="14" s="1"/>
  <c r="Y133" i="14" s="1"/>
  <c r="Y134" i="14" s="1"/>
  <c r="Y135" i="14" s="1"/>
  <c r="Y1268" i="14"/>
  <c r="Y1269" i="14" s="1"/>
  <c r="J24" i="12"/>
  <c r="M24" i="12" s="1"/>
  <c r="M27" i="12" s="1"/>
  <c r="F5" i="12"/>
  <c r="E5" i="12" s="1"/>
  <c r="AD4" i="8"/>
  <c r="K4" i="11"/>
  <c r="F6" i="14"/>
  <c r="N3" i="2"/>
  <c r="F4" i="8"/>
  <c r="N4" i="2" s="1"/>
  <c r="AZ4" i="5"/>
  <c r="AB3" i="1"/>
  <c r="BC4" i="5"/>
  <c r="AC3" i="1"/>
  <c r="DJ3" i="8"/>
  <c r="DK3" i="8"/>
  <c r="O4" i="1"/>
  <c r="DK4" i="8" s="1"/>
  <c r="DI3" i="8"/>
  <c r="J4" i="8"/>
  <c r="J5" i="8" s="1"/>
  <c r="Q3" i="2"/>
  <c r="Q4" i="2"/>
  <c r="AM3" i="11"/>
  <c r="AM4" i="11" s="1"/>
  <c r="AM5" i="11" s="1"/>
  <c r="AM6" i="11" s="1"/>
  <c r="AM7" i="11" s="1"/>
  <c r="AM8" i="11" s="1"/>
  <c r="AM9" i="11" s="1"/>
  <c r="AM10" i="11" s="1"/>
  <c r="AM11" i="11" s="1"/>
  <c r="AM12" i="11" s="1"/>
  <c r="AM13" i="11" s="1"/>
  <c r="AM14" i="11" s="1"/>
  <c r="AM15" i="11" s="1"/>
  <c r="AM16" i="11" s="1"/>
  <c r="AM17" i="11" s="1"/>
  <c r="AM18" i="11" s="1"/>
  <c r="AM19" i="11" s="1"/>
  <c r="AM20" i="11" s="1"/>
  <c r="AM21" i="11" s="1"/>
  <c r="AM22" i="11" s="1"/>
  <c r="AM23" i="11" s="1"/>
  <c r="AM24" i="11" s="1"/>
  <c r="AM25" i="11" s="1"/>
  <c r="AM26" i="11" s="1"/>
  <c r="AM27" i="11" s="1"/>
  <c r="AM28" i="11" s="1"/>
  <c r="AM29" i="11" s="1"/>
  <c r="AM30" i="11" s="1"/>
  <c r="AM31" i="11" s="1"/>
  <c r="AM32" i="11" s="1"/>
  <c r="AM33" i="11" s="1"/>
  <c r="AM34" i="11" s="1"/>
  <c r="AM35" i="11" s="1"/>
  <c r="AM36" i="11" s="1"/>
  <c r="AM37" i="11" s="1"/>
  <c r="AM38" i="11" s="1"/>
  <c r="AM39" i="11" s="1"/>
  <c r="AM40" i="11" s="1"/>
  <c r="AM41" i="11" s="1"/>
  <c r="AM42" i="11" s="1"/>
  <c r="AM43" i="11" s="1"/>
  <c r="AM44" i="11" s="1"/>
  <c r="AM45" i="11" s="1"/>
  <c r="AM46" i="11" s="1"/>
  <c r="AM47" i="11" s="1"/>
  <c r="AM48" i="11" s="1"/>
  <c r="AM49" i="11" s="1"/>
  <c r="AM50" i="11" s="1"/>
  <c r="AM51" i="11" s="1"/>
  <c r="AM52" i="11" s="1"/>
  <c r="AM53" i="11" s="1"/>
  <c r="AM54" i="11" s="1"/>
  <c r="AM55" i="11" s="1"/>
  <c r="AM56" i="11" s="1"/>
  <c r="AM57" i="11" s="1"/>
  <c r="AM58" i="11" s="1"/>
  <c r="AM59" i="11" s="1"/>
  <c r="AM60" i="11" s="1"/>
  <c r="AM61" i="11" s="1"/>
  <c r="AM62" i="11" s="1"/>
  <c r="AM63" i="11" s="1"/>
  <c r="AM64" i="11" s="1"/>
  <c r="AM65" i="11" s="1"/>
  <c r="AM66" i="11" s="1"/>
  <c r="AM67" i="11" s="1"/>
  <c r="AM68" i="11" s="1"/>
  <c r="AM69" i="11" s="1"/>
  <c r="AM70" i="11" s="1"/>
  <c r="AM71" i="11" s="1"/>
  <c r="AM72" i="11" s="1"/>
  <c r="AM73" i="11" s="1"/>
  <c r="AM74" i="11" s="1"/>
  <c r="AM75" i="11" s="1"/>
  <c r="AM76" i="11" s="1"/>
  <c r="AM77" i="11" s="1"/>
  <c r="AM78" i="11" s="1"/>
  <c r="AM79" i="11" s="1"/>
  <c r="AM80" i="11" s="1"/>
  <c r="AM81" i="11" s="1"/>
  <c r="AM82" i="11" s="1"/>
  <c r="AM83" i="11" s="1"/>
  <c r="AM84" i="11" s="1"/>
  <c r="AM85" i="11" s="1"/>
  <c r="AM86" i="11" s="1"/>
  <c r="AM87" i="11" s="1"/>
  <c r="AM88" i="11" s="1"/>
  <c r="AM89" i="11" s="1"/>
  <c r="AM90" i="11" s="1"/>
  <c r="AM91" i="11" s="1"/>
  <c r="AM92" i="11" s="1"/>
  <c r="AM93" i="11" s="1"/>
  <c r="AM94" i="11" s="1"/>
  <c r="AM95" i="11" s="1"/>
  <c r="AM96" i="11" s="1"/>
  <c r="AM97" i="11" s="1"/>
  <c r="AM98" i="11" s="1"/>
  <c r="AM99" i="11" s="1"/>
  <c r="AM100" i="11" s="1"/>
  <c r="AM101" i="11" s="1"/>
  <c r="AM102" i="11" s="1"/>
  <c r="AM103" i="11" s="1"/>
  <c r="AM104" i="11" s="1"/>
  <c r="AM105" i="11" s="1"/>
  <c r="AM106" i="11" s="1"/>
  <c r="AM107" i="11" s="1"/>
  <c r="AM108" i="11" s="1"/>
  <c r="AM109" i="11" s="1"/>
  <c r="AM110" i="11" s="1"/>
  <c r="AM111" i="11" s="1"/>
  <c r="AM112" i="11" s="1"/>
  <c r="AM113" i="11" s="1"/>
  <c r="AM114" i="11" s="1"/>
  <c r="AM115" i="11" s="1"/>
  <c r="AM116" i="11" s="1"/>
  <c r="AM117" i="11" s="1"/>
  <c r="AM118" i="11" s="1"/>
  <c r="AM119" i="11" s="1"/>
  <c r="AM120" i="11" s="1"/>
  <c r="AM121" i="11" s="1"/>
  <c r="AM122" i="11" s="1"/>
  <c r="AM123" i="11" s="1"/>
  <c r="AM124" i="11" s="1"/>
  <c r="AM125" i="11" s="1"/>
  <c r="AM126" i="11" s="1"/>
  <c r="AM127" i="11" s="1"/>
  <c r="AM128" i="11" s="1"/>
  <c r="AM129" i="11" s="1"/>
  <c r="AM130" i="11" s="1"/>
  <c r="AM131" i="11" s="1"/>
  <c r="AM132" i="11" s="1"/>
  <c r="AM133" i="11" s="1"/>
  <c r="AM134" i="11" s="1"/>
  <c r="AM135" i="11" s="1"/>
  <c r="AL3" i="11"/>
  <c r="AL4" i="11" s="1"/>
  <c r="AL5" i="11" s="1"/>
  <c r="AL6" i="11" s="1"/>
  <c r="AL7" i="11" s="1"/>
  <c r="AL8" i="11" s="1"/>
  <c r="AL9" i="11" s="1"/>
  <c r="AL10" i="11" s="1"/>
  <c r="AL11" i="11" s="1"/>
  <c r="AL12" i="11" s="1"/>
  <c r="AL13" i="11" s="1"/>
  <c r="AL14" i="11" s="1"/>
  <c r="AL15" i="11" s="1"/>
  <c r="AL16" i="11" s="1"/>
  <c r="AL17" i="11" s="1"/>
  <c r="AL18" i="11" s="1"/>
  <c r="AL19" i="11" s="1"/>
  <c r="AL20" i="11" s="1"/>
  <c r="AL21" i="11" s="1"/>
  <c r="AL22" i="11" s="1"/>
  <c r="AL23" i="11" s="1"/>
  <c r="AL24" i="11" s="1"/>
  <c r="AL25" i="11" s="1"/>
  <c r="AL26" i="11" s="1"/>
  <c r="AL27" i="11" s="1"/>
  <c r="AL28" i="11" s="1"/>
  <c r="AL29" i="11" s="1"/>
  <c r="AL30" i="11" s="1"/>
  <c r="AL31" i="11" s="1"/>
  <c r="AL32" i="11" s="1"/>
  <c r="AL33" i="11" s="1"/>
  <c r="AL34" i="11" s="1"/>
  <c r="AL35" i="11" s="1"/>
  <c r="AL36" i="11" s="1"/>
  <c r="AL37" i="11" s="1"/>
  <c r="AL38" i="11" s="1"/>
  <c r="AL39" i="11" s="1"/>
  <c r="AL40" i="11" s="1"/>
  <c r="AL41" i="11" s="1"/>
  <c r="AL42" i="11" s="1"/>
  <c r="AL43" i="11" s="1"/>
  <c r="AL44" i="11" s="1"/>
  <c r="AL45" i="11" s="1"/>
  <c r="AL46" i="11" s="1"/>
  <c r="AL47" i="11" s="1"/>
  <c r="AL48" i="11" s="1"/>
  <c r="AL49" i="11" s="1"/>
  <c r="AL50" i="11" s="1"/>
  <c r="AL51" i="11" s="1"/>
  <c r="AL52" i="11" s="1"/>
  <c r="AL53" i="11" s="1"/>
  <c r="AL54" i="11" s="1"/>
  <c r="AL55" i="11" s="1"/>
  <c r="AL56" i="11" s="1"/>
  <c r="AL57" i="11" s="1"/>
  <c r="AL58" i="11" s="1"/>
  <c r="AL59" i="11" s="1"/>
  <c r="AL60" i="11" s="1"/>
  <c r="AL61" i="11" s="1"/>
  <c r="AL62" i="11" s="1"/>
  <c r="AL63" i="11" s="1"/>
  <c r="AL64" i="11" s="1"/>
  <c r="AL65" i="11" s="1"/>
  <c r="AL66" i="11" s="1"/>
  <c r="AL67" i="11" s="1"/>
  <c r="AL68" i="11" s="1"/>
  <c r="AL69" i="11" s="1"/>
  <c r="AL70" i="11" s="1"/>
  <c r="AL71" i="11" s="1"/>
  <c r="AL72" i="11" s="1"/>
  <c r="AL73" i="11" s="1"/>
  <c r="AL74" i="11" s="1"/>
  <c r="AL75" i="11" s="1"/>
  <c r="AL76" i="11" s="1"/>
  <c r="AL77" i="11" s="1"/>
  <c r="AL78" i="11" s="1"/>
  <c r="AL79" i="11" s="1"/>
  <c r="AL80" i="11" s="1"/>
  <c r="AL81" i="11" s="1"/>
  <c r="AL82" i="11" s="1"/>
  <c r="AL83" i="11" s="1"/>
  <c r="AL84" i="11" s="1"/>
  <c r="AL85" i="11" s="1"/>
  <c r="AL86" i="11" s="1"/>
  <c r="AL87" i="11" s="1"/>
  <c r="AL88" i="11" s="1"/>
  <c r="AL89" i="11" s="1"/>
  <c r="AL90" i="11" s="1"/>
  <c r="AL91" i="11" s="1"/>
  <c r="AL92" i="11" s="1"/>
  <c r="AL93" i="11" s="1"/>
  <c r="AL94" i="11" s="1"/>
  <c r="AL95" i="11" s="1"/>
  <c r="AL96" i="11" s="1"/>
  <c r="AL97" i="11" s="1"/>
  <c r="AL98" i="11" s="1"/>
  <c r="AL99" i="11" s="1"/>
  <c r="AL100" i="11" s="1"/>
  <c r="AL101" i="11" s="1"/>
  <c r="AL102" i="11" s="1"/>
  <c r="AL103" i="11" s="1"/>
  <c r="AL104" i="11" s="1"/>
  <c r="AL105" i="11" s="1"/>
  <c r="AL106" i="11" s="1"/>
  <c r="AL107" i="11" s="1"/>
  <c r="AL108" i="11" s="1"/>
  <c r="AL109" i="11" s="1"/>
  <c r="AL110" i="11" s="1"/>
  <c r="AL111" i="11" s="1"/>
  <c r="AL112" i="11" s="1"/>
  <c r="AL113" i="11" s="1"/>
  <c r="AL114" i="11" s="1"/>
  <c r="AL115" i="11" s="1"/>
  <c r="AL116" i="11" s="1"/>
  <c r="AL117" i="11" s="1"/>
  <c r="AL118" i="11" s="1"/>
  <c r="AL119" i="11" s="1"/>
  <c r="AL120" i="11" s="1"/>
  <c r="AL121" i="11" s="1"/>
  <c r="AL122" i="11" s="1"/>
  <c r="AL123" i="11" s="1"/>
  <c r="AL124" i="11" s="1"/>
  <c r="AL125" i="11" s="1"/>
  <c r="AL126" i="11" s="1"/>
  <c r="AL127" i="11" s="1"/>
  <c r="AL128" i="11" s="1"/>
  <c r="AL129" i="11" s="1"/>
  <c r="AL130" i="11" s="1"/>
  <c r="AL131" i="11" s="1"/>
  <c r="AL132" i="11" s="1"/>
  <c r="AL133" i="11" s="1"/>
  <c r="AL134" i="11" s="1"/>
  <c r="AL135" i="11" s="1"/>
  <c r="AK3" i="11"/>
  <c r="AK4" i="11" s="1"/>
  <c r="AK5" i="11" s="1"/>
  <c r="AK6" i="11" s="1"/>
  <c r="AK7" i="11" s="1"/>
  <c r="AK8" i="11" s="1"/>
  <c r="AK9" i="11" s="1"/>
  <c r="AK10" i="11" s="1"/>
  <c r="AK11" i="11" s="1"/>
  <c r="AK12" i="11" s="1"/>
  <c r="AK13" i="11" s="1"/>
  <c r="AK14" i="11" s="1"/>
  <c r="AK15" i="11" s="1"/>
  <c r="AK16" i="11" s="1"/>
  <c r="AK17" i="11" s="1"/>
  <c r="AK18" i="11" s="1"/>
  <c r="AK19" i="11" s="1"/>
  <c r="AK20" i="11" s="1"/>
  <c r="AK21" i="11" s="1"/>
  <c r="AK22" i="11" s="1"/>
  <c r="AK23" i="11" s="1"/>
  <c r="AK24" i="11" s="1"/>
  <c r="AK25" i="11" s="1"/>
  <c r="AK26" i="11" s="1"/>
  <c r="AK27" i="11" s="1"/>
  <c r="AK28" i="11" s="1"/>
  <c r="AK29" i="11" s="1"/>
  <c r="AK30" i="11" s="1"/>
  <c r="AK31" i="11" s="1"/>
  <c r="AK32" i="11" s="1"/>
  <c r="AK33" i="11" s="1"/>
  <c r="AK34" i="11" s="1"/>
  <c r="AK35" i="11" s="1"/>
  <c r="AK36" i="11" s="1"/>
  <c r="AK37" i="11" s="1"/>
  <c r="AK38" i="11" s="1"/>
  <c r="AK39" i="11" s="1"/>
  <c r="AK40" i="11" s="1"/>
  <c r="AK41" i="11" s="1"/>
  <c r="AK42" i="11" s="1"/>
  <c r="AK43" i="11" s="1"/>
  <c r="AK44" i="11" s="1"/>
  <c r="AK45" i="11" s="1"/>
  <c r="AK46" i="11" s="1"/>
  <c r="AK47" i="11" s="1"/>
  <c r="AK48" i="11" s="1"/>
  <c r="AK49" i="11" s="1"/>
  <c r="AK50" i="11" s="1"/>
  <c r="AK51" i="11" s="1"/>
  <c r="AK52" i="11" s="1"/>
  <c r="AK53" i="11" s="1"/>
  <c r="AK54" i="11" s="1"/>
  <c r="AK55" i="11" s="1"/>
  <c r="AK56" i="11" s="1"/>
  <c r="AK57" i="11" s="1"/>
  <c r="AK58" i="11" s="1"/>
  <c r="AK59" i="11" s="1"/>
  <c r="AK60" i="11" s="1"/>
  <c r="AK61" i="11" s="1"/>
  <c r="AK62" i="11" s="1"/>
  <c r="AK63" i="11" s="1"/>
  <c r="AK64" i="11" s="1"/>
  <c r="AK65" i="11" s="1"/>
  <c r="AK66" i="11" s="1"/>
  <c r="AK67" i="11" s="1"/>
  <c r="AK68" i="11" s="1"/>
  <c r="AK69" i="11" s="1"/>
  <c r="AK70" i="11" s="1"/>
  <c r="AK71" i="11" s="1"/>
  <c r="AK72" i="11" s="1"/>
  <c r="AK73" i="11" s="1"/>
  <c r="AK74" i="11" s="1"/>
  <c r="AK75" i="11" s="1"/>
  <c r="AK76" i="11" s="1"/>
  <c r="AK77" i="11" s="1"/>
  <c r="AK78" i="11" s="1"/>
  <c r="AK79" i="11" s="1"/>
  <c r="AK80" i="11" s="1"/>
  <c r="AK81" i="11" s="1"/>
  <c r="AK82" i="11" s="1"/>
  <c r="AK83" i="11" s="1"/>
  <c r="AK84" i="11" s="1"/>
  <c r="AK85" i="11" s="1"/>
  <c r="AK86" i="11" s="1"/>
  <c r="AK87" i="11" s="1"/>
  <c r="AK88" i="11" s="1"/>
  <c r="AK89" i="11" s="1"/>
  <c r="AK90" i="11" s="1"/>
  <c r="AK91" i="11" s="1"/>
  <c r="AK92" i="11" s="1"/>
  <c r="AK93" i="11" s="1"/>
  <c r="AK94" i="11" s="1"/>
  <c r="AK95" i="11" s="1"/>
  <c r="AK96" i="11" s="1"/>
  <c r="AK97" i="11" s="1"/>
  <c r="AK98" i="11" s="1"/>
  <c r="AK99" i="11" s="1"/>
  <c r="AK100" i="11" s="1"/>
  <c r="AK101" i="11" s="1"/>
  <c r="AK102" i="11" s="1"/>
  <c r="AK103" i="11" s="1"/>
  <c r="AK104" i="11" s="1"/>
  <c r="AK105" i="11" s="1"/>
  <c r="AK106" i="11" s="1"/>
  <c r="AK107" i="11" s="1"/>
  <c r="AK108" i="11" s="1"/>
  <c r="AK109" i="11" s="1"/>
  <c r="AK110" i="11" s="1"/>
  <c r="AK111" i="11" s="1"/>
  <c r="AK112" i="11" s="1"/>
  <c r="AK113" i="11" s="1"/>
  <c r="AK114" i="11" s="1"/>
  <c r="AK115" i="11" s="1"/>
  <c r="AK116" i="11" s="1"/>
  <c r="AK117" i="11" s="1"/>
  <c r="AK118" i="11" s="1"/>
  <c r="AK119" i="11" s="1"/>
  <c r="AK120" i="11" s="1"/>
  <c r="AK121" i="11" s="1"/>
  <c r="AK122" i="11" s="1"/>
  <c r="AK123" i="11" s="1"/>
  <c r="AK124" i="11" s="1"/>
  <c r="AK125" i="11" s="1"/>
  <c r="AK126" i="11" s="1"/>
  <c r="AK127" i="11" s="1"/>
  <c r="AK128" i="11" s="1"/>
  <c r="AK129" i="11" s="1"/>
  <c r="AK130" i="11" s="1"/>
  <c r="AK131" i="11" s="1"/>
  <c r="AK132" i="11" s="1"/>
  <c r="AK133" i="11" s="1"/>
  <c r="AK134" i="11" s="1"/>
  <c r="AK135" i="11" s="1"/>
  <c r="AJ3" i="11"/>
  <c r="AJ4" i="11" s="1"/>
  <c r="AJ5" i="11" s="1"/>
  <c r="AJ6" i="11" s="1"/>
  <c r="AJ7" i="11" s="1"/>
  <c r="AJ8" i="11" s="1"/>
  <c r="AJ9" i="11" s="1"/>
  <c r="AJ10" i="11" s="1"/>
  <c r="AJ11" i="11" s="1"/>
  <c r="AJ12" i="11" s="1"/>
  <c r="AJ13" i="11" s="1"/>
  <c r="AJ14" i="11" s="1"/>
  <c r="AJ15" i="11" s="1"/>
  <c r="AJ16" i="11" s="1"/>
  <c r="AJ17" i="11" s="1"/>
  <c r="AJ18" i="11" s="1"/>
  <c r="AJ19" i="11" s="1"/>
  <c r="AJ20" i="11" s="1"/>
  <c r="AJ21" i="11" s="1"/>
  <c r="AJ22" i="11" s="1"/>
  <c r="AJ23" i="11" s="1"/>
  <c r="AJ24" i="11" s="1"/>
  <c r="AJ25" i="11" s="1"/>
  <c r="AJ26" i="11" s="1"/>
  <c r="AJ27" i="11" s="1"/>
  <c r="AJ28" i="11" s="1"/>
  <c r="AJ29" i="11" s="1"/>
  <c r="AJ30" i="11" s="1"/>
  <c r="AJ31" i="11" s="1"/>
  <c r="AJ32" i="11" s="1"/>
  <c r="AJ33" i="11" s="1"/>
  <c r="AJ34" i="11" s="1"/>
  <c r="AJ35" i="11" s="1"/>
  <c r="AJ36" i="11" s="1"/>
  <c r="AJ37" i="11" s="1"/>
  <c r="AJ38" i="11" s="1"/>
  <c r="AJ39" i="11" s="1"/>
  <c r="AJ40" i="11" s="1"/>
  <c r="AJ41" i="11" s="1"/>
  <c r="AJ42" i="11" s="1"/>
  <c r="AJ43" i="11" s="1"/>
  <c r="AJ44" i="11" s="1"/>
  <c r="AJ45" i="11" s="1"/>
  <c r="AJ46" i="11" s="1"/>
  <c r="AJ47" i="11" s="1"/>
  <c r="AJ48" i="11" s="1"/>
  <c r="AJ49" i="11" s="1"/>
  <c r="AJ50" i="11" s="1"/>
  <c r="AJ51" i="11" s="1"/>
  <c r="AJ52" i="11" s="1"/>
  <c r="AJ53" i="11" s="1"/>
  <c r="AJ54" i="11" s="1"/>
  <c r="AJ55" i="11" s="1"/>
  <c r="AJ56" i="11" s="1"/>
  <c r="AJ57" i="11" s="1"/>
  <c r="AJ58" i="11" s="1"/>
  <c r="AJ59" i="11" s="1"/>
  <c r="AJ60" i="11" s="1"/>
  <c r="AJ61" i="11" s="1"/>
  <c r="AJ62" i="11" s="1"/>
  <c r="AJ63" i="11" s="1"/>
  <c r="AJ64" i="11" s="1"/>
  <c r="AJ65" i="11" s="1"/>
  <c r="AJ66" i="11" s="1"/>
  <c r="AJ67" i="11" s="1"/>
  <c r="AJ68" i="11" s="1"/>
  <c r="AJ69" i="11" s="1"/>
  <c r="AJ70" i="11" s="1"/>
  <c r="AJ71" i="11" s="1"/>
  <c r="AJ72" i="11" s="1"/>
  <c r="AJ73" i="11" s="1"/>
  <c r="AJ74" i="11" s="1"/>
  <c r="AJ75" i="11" s="1"/>
  <c r="AJ76" i="11" s="1"/>
  <c r="AJ77" i="11" s="1"/>
  <c r="AJ78" i="11" s="1"/>
  <c r="AJ79" i="11" s="1"/>
  <c r="AJ80" i="11" s="1"/>
  <c r="AJ81" i="11" s="1"/>
  <c r="AJ82" i="11" s="1"/>
  <c r="AJ83" i="11" s="1"/>
  <c r="AJ84" i="11" s="1"/>
  <c r="AJ85" i="11" s="1"/>
  <c r="AJ86" i="11" s="1"/>
  <c r="AJ87" i="11" s="1"/>
  <c r="AJ88" i="11" s="1"/>
  <c r="AJ89" i="11" s="1"/>
  <c r="AJ90" i="11" s="1"/>
  <c r="AJ91" i="11" s="1"/>
  <c r="AJ92" i="11" s="1"/>
  <c r="AJ93" i="11" s="1"/>
  <c r="AJ94" i="11" s="1"/>
  <c r="AJ95" i="11" s="1"/>
  <c r="AJ96" i="11" s="1"/>
  <c r="AJ97" i="11" s="1"/>
  <c r="AJ98" i="11" s="1"/>
  <c r="AJ99" i="11" s="1"/>
  <c r="AJ100" i="11" s="1"/>
  <c r="AJ101" i="11" s="1"/>
  <c r="AJ102" i="11" s="1"/>
  <c r="AJ103" i="11" s="1"/>
  <c r="AJ104" i="11" s="1"/>
  <c r="AJ105" i="11" s="1"/>
  <c r="AJ106" i="11" s="1"/>
  <c r="AJ107" i="11" s="1"/>
  <c r="AJ108" i="11" s="1"/>
  <c r="AJ109" i="11" s="1"/>
  <c r="AJ110" i="11" s="1"/>
  <c r="AJ111" i="11" s="1"/>
  <c r="AJ112" i="11" s="1"/>
  <c r="AJ113" i="11" s="1"/>
  <c r="AJ114" i="11" s="1"/>
  <c r="AJ115" i="11" s="1"/>
  <c r="AJ116" i="11" s="1"/>
  <c r="AJ117" i="11" s="1"/>
  <c r="AJ118" i="11" s="1"/>
  <c r="AJ119" i="11" s="1"/>
  <c r="AJ120" i="11" s="1"/>
  <c r="AJ121" i="11" s="1"/>
  <c r="AJ122" i="11" s="1"/>
  <c r="AJ123" i="11" s="1"/>
  <c r="AJ124" i="11" s="1"/>
  <c r="AJ125" i="11" s="1"/>
  <c r="AJ126" i="11" s="1"/>
  <c r="AJ127" i="11" s="1"/>
  <c r="AJ128" i="11" s="1"/>
  <c r="AJ129" i="11" s="1"/>
  <c r="AJ130" i="11" s="1"/>
  <c r="AJ131" i="11" s="1"/>
  <c r="AJ132" i="11" s="1"/>
  <c r="AJ133" i="11" s="1"/>
  <c r="AJ134" i="11" s="1"/>
  <c r="AJ135" i="11" s="1"/>
  <c r="AI3" i="11"/>
  <c r="AI4" i="11" s="1"/>
  <c r="AI5" i="11" s="1"/>
  <c r="AI6" i="11" s="1"/>
  <c r="AI7" i="11" s="1"/>
  <c r="AI8" i="11" s="1"/>
  <c r="AI9" i="11" s="1"/>
  <c r="AI10" i="11" s="1"/>
  <c r="AI11" i="11" s="1"/>
  <c r="AI12" i="11" s="1"/>
  <c r="AI13" i="11" s="1"/>
  <c r="AI14" i="11" s="1"/>
  <c r="AI15" i="11" s="1"/>
  <c r="AI16" i="11" s="1"/>
  <c r="AI17" i="11" s="1"/>
  <c r="AI18" i="11" s="1"/>
  <c r="AI19" i="11" s="1"/>
  <c r="AI20" i="11" s="1"/>
  <c r="AI21" i="11" s="1"/>
  <c r="AI22" i="11" s="1"/>
  <c r="AI23" i="11" s="1"/>
  <c r="AI24" i="11" s="1"/>
  <c r="AI25" i="11" s="1"/>
  <c r="AI26" i="11" s="1"/>
  <c r="AI27" i="11" s="1"/>
  <c r="AI28" i="11" s="1"/>
  <c r="AI29" i="11" s="1"/>
  <c r="AI30" i="11" s="1"/>
  <c r="AI31" i="11" s="1"/>
  <c r="AI32" i="11" s="1"/>
  <c r="AI33" i="11" s="1"/>
  <c r="AI34" i="11" s="1"/>
  <c r="AI35" i="11" s="1"/>
  <c r="AI36" i="11" s="1"/>
  <c r="AI37" i="11" s="1"/>
  <c r="AI38" i="11" s="1"/>
  <c r="AI39" i="11" s="1"/>
  <c r="AI40" i="11" s="1"/>
  <c r="AI41" i="11" s="1"/>
  <c r="AI42" i="11" s="1"/>
  <c r="AI43" i="11" s="1"/>
  <c r="AI44" i="11" s="1"/>
  <c r="AI45" i="11" s="1"/>
  <c r="AI46" i="11" s="1"/>
  <c r="AI47" i="11" s="1"/>
  <c r="AI48" i="11" s="1"/>
  <c r="AI49" i="11" s="1"/>
  <c r="AI50" i="11" s="1"/>
  <c r="AI51" i="11" s="1"/>
  <c r="AI52" i="11" s="1"/>
  <c r="AI53" i="11" s="1"/>
  <c r="AI54" i="11" s="1"/>
  <c r="AI55" i="11" s="1"/>
  <c r="AI56" i="11" s="1"/>
  <c r="AI57" i="11" s="1"/>
  <c r="AI58" i="11" s="1"/>
  <c r="AI59" i="11" s="1"/>
  <c r="AI60" i="11" s="1"/>
  <c r="AI61" i="11" s="1"/>
  <c r="AI62" i="11" s="1"/>
  <c r="AI63" i="11" s="1"/>
  <c r="AI64" i="11" s="1"/>
  <c r="AI65" i="11" s="1"/>
  <c r="AI66" i="11" s="1"/>
  <c r="AI67" i="11" s="1"/>
  <c r="AI68" i="11" s="1"/>
  <c r="AI69" i="11" s="1"/>
  <c r="AI70" i="11" s="1"/>
  <c r="AI71" i="11" s="1"/>
  <c r="AI72" i="11" s="1"/>
  <c r="AI73" i="11" s="1"/>
  <c r="AI74" i="11" s="1"/>
  <c r="AI75" i="11" s="1"/>
  <c r="AI76" i="11" s="1"/>
  <c r="AI77" i="11" s="1"/>
  <c r="AI78" i="11" s="1"/>
  <c r="AI79" i="11" s="1"/>
  <c r="AI80" i="11" s="1"/>
  <c r="AI81" i="11" s="1"/>
  <c r="AI82" i="11" s="1"/>
  <c r="AI83" i="11" s="1"/>
  <c r="AI84" i="11" s="1"/>
  <c r="AI85" i="11" s="1"/>
  <c r="AI86" i="11" s="1"/>
  <c r="AI87" i="11" s="1"/>
  <c r="AI88" i="11" s="1"/>
  <c r="AI89" i="11" s="1"/>
  <c r="AI90" i="11" s="1"/>
  <c r="AI91" i="11" s="1"/>
  <c r="AI92" i="11" s="1"/>
  <c r="AI93" i="11" s="1"/>
  <c r="AI94" i="11" s="1"/>
  <c r="AI95" i="11" s="1"/>
  <c r="AI96" i="11" s="1"/>
  <c r="AI97" i="11" s="1"/>
  <c r="AI98" i="11" s="1"/>
  <c r="AI99" i="11" s="1"/>
  <c r="AI100" i="11" s="1"/>
  <c r="AI101" i="11" s="1"/>
  <c r="AI102" i="11" s="1"/>
  <c r="AI103" i="11" s="1"/>
  <c r="AI104" i="11" s="1"/>
  <c r="AI105" i="11" s="1"/>
  <c r="AI106" i="11" s="1"/>
  <c r="AI107" i="11" s="1"/>
  <c r="AI108" i="11" s="1"/>
  <c r="AI109" i="11" s="1"/>
  <c r="AI110" i="11" s="1"/>
  <c r="AI111" i="11" s="1"/>
  <c r="AI112" i="11" s="1"/>
  <c r="AI113" i="11" s="1"/>
  <c r="AI114" i="11" s="1"/>
  <c r="AI115" i="11" s="1"/>
  <c r="AI116" i="11" s="1"/>
  <c r="AI117" i="11" s="1"/>
  <c r="AI118" i="11" s="1"/>
  <c r="AI119" i="11" s="1"/>
  <c r="AI120" i="11" s="1"/>
  <c r="AI121" i="11" s="1"/>
  <c r="AI122" i="11" s="1"/>
  <c r="AI123" i="11" s="1"/>
  <c r="AI124" i="11" s="1"/>
  <c r="AI125" i="11" s="1"/>
  <c r="AI126" i="11" s="1"/>
  <c r="AI127" i="11" s="1"/>
  <c r="AI128" i="11" s="1"/>
  <c r="AI129" i="11" s="1"/>
  <c r="AI130" i="11" s="1"/>
  <c r="AI131" i="11" s="1"/>
  <c r="AI132" i="11" s="1"/>
  <c r="AI133" i="11" s="1"/>
  <c r="AI134" i="11" s="1"/>
  <c r="AI135" i="11" s="1"/>
  <c r="AH3" i="11"/>
  <c r="AH4" i="11" s="1"/>
  <c r="AH5" i="11" s="1"/>
  <c r="AH6" i="11" s="1"/>
  <c r="AH7" i="11" s="1"/>
  <c r="AH8" i="11" s="1"/>
  <c r="AH9" i="11" s="1"/>
  <c r="AH10" i="11" s="1"/>
  <c r="AH11" i="11" s="1"/>
  <c r="AH12" i="11" s="1"/>
  <c r="AH13" i="11" s="1"/>
  <c r="AH14" i="11" s="1"/>
  <c r="AH15" i="11" s="1"/>
  <c r="AH16" i="11" s="1"/>
  <c r="AH17" i="11" s="1"/>
  <c r="AH18" i="11" s="1"/>
  <c r="AH19" i="11" s="1"/>
  <c r="AH20" i="11" s="1"/>
  <c r="AH21" i="11" s="1"/>
  <c r="AH22" i="11" s="1"/>
  <c r="AH23" i="11" s="1"/>
  <c r="AH24" i="11" s="1"/>
  <c r="AH25" i="11" s="1"/>
  <c r="AH26" i="11" s="1"/>
  <c r="AH27" i="11" s="1"/>
  <c r="AH28" i="11" s="1"/>
  <c r="AH29" i="11" s="1"/>
  <c r="AH30" i="11" s="1"/>
  <c r="AH31" i="11" s="1"/>
  <c r="AH32" i="11" s="1"/>
  <c r="AH33" i="11" s="1"/>
  <c r="AH34" i="11" s="1"/>
  <c r="AH35" i="11" s="1"/>
  <c r="AH36" i="11" s="1"/>
  <c r="AH37" i="11" s="1"/>
  <c r="AH38" i="11" s="1"/>
  <c r="AH39" i="11" s="1"/>
  <c r="AH40" i="11" s="1"/>
  <c r="AH41" i="11" s="1"/>
  <c r="AH42" i="11" s="1"/>
  <c r="AH43" i="11" s="1"/>
  <c r="AH44" i="11" s="1"/>
  <c r="AH45" i="11" s="1"/>
  <c r="AH46" i="11" s="1"/>
  <c r="AH47" i="11" s="1"/>
  <c r="AH48" i="11" s="1"/>
  <c r="AH49" i="11" s="1"/>
  <c r="AH50" i="11" s="1"/>
  <c r="AH51" i="11" s="1"/>
  <c r="AH52" i="11" s="1"/>
  <c r="AH53" i="11" s="1"/>
  <c r="AH54" i="11" s="1"/>
  <c r="AH55" i="11" s="1"/>
  <c r="AH56" i="11" s="1"/>
  <c r="AH57" i="11" s="1"/>
  <c r="AH58" i="11" s="1"/>
  <c r="AH59" i="11" s="1"/>
  <c r="AH60" i="11" s="1"/>
  <c r="AH61" i="11" s="1"/>
  <c r="AH62" i="11" s="1"/>
  <c r="AH63" i="11" s="1"/>
  <c r="AH64" i="11" s="1"/>
  <c r="AH65" i="11" s="1"/>
  <c r="AH66" i="11" s="1"/>
  <c r="AH67" i="11" s="1"/>
  <c r="AH68" i="11" s="1"/>
  <c r="AH69" i="11" s="1"/>
  <c r="AH70" i="11" s="1"/>
  <c r="AH71" i="11" s="1"/>
  <c r="AH72" i="11" s="1"/>
  <c r="AH73" i="11" s="1"/>
  <c r="AH74" i="11" s="1"/>
  <c r="AH75" i="11" s="1"/>
  <c r="AH76" i="11" s="1"/>
  <c r="AH77" i="11" s="1"/>
  <c r="AH78" i="11" s="1"/>
  <c r="AH79" i="11" s="1"/>
  <c r="AH80" i="11" s="1"/>
  <c r="AH81" i="11" s="1"/>
  <c r="AH82" i="11" s="1"/>
  <c r="AH83" i="11" s="1"/>
  <c r="AH84" i="11" s="1"/>
  <c r="AH85" i="11" s="1"/>
  <c r="AH86" i="11" s="1"/>
  <c r="AH87" i="11" s="1"/>
  <c r="AH88" i="11" s="1"/>
  <c r="AH89" i="11" s="1"/>
  <c r="AH90" i="11" s="1"/>
  <c r="AH91" i="11" s="1"/>
  <c r="AH92" i="11" s="1"/>
  <c r="AH93" i="11" s="1"/>
  <c r="AH94" i="11" s="1"/>
  <c r="AH95" i="11" s="1"/>
  <c r="AH96" i="11" s="1"/>
  <c r="AH97" i="11" s="1"/>
  <c r="AH98" i="11" s="1"/>
  <c r="AH99" i="11" s="1"/>
  <c r="AH100" i="11" s="1"/>
  <c r="AH101" i="11" s="1"/>
  <c r="AH102" i="11" s="1"/>
  <c r="AH103" i="11" s="1"/>
  <c r="AH104" i="11" s="1"/>
  <c r="AH105" i="11" s="1"/>
  <c r="AH106" i="11" s="1"/>
  <c r="AH107" i="11" s="1"/>
  <c r="AH108" i="11" s="1"/>
  <c r="AH109" i="11" s="1"/>
  <c r="AH110" i="11" s="1"/>
  <c r="AH111" i="11" s="1"/>
  <c r="AH112" i="11" s="1"/>
  <c r="AH113" i="11" s="1"/>
  <c r="AH114" i="11" s="1"/>
  <c r="AH115" i="11" s="1"/>
  <c r="AH116" i="11" s="1"/>
  <c r="AH117" i="11" s="1"/>
  <c r="AH118" i="11" s="1"/>
  <c r="AH119" i="11" s="1"/>
  <c r="AH120" i="11" s="1"/>
  <c r="AH121" i="11" s="1"/>
  <c r="AH122" i="11" s="1"/>
  <c r="AH123" i="11" s="1"/>
  <c r="AH124" i="11" s="1"/>
  <c r="AH125" i="11" s="1"/>
  <c r="AH126" i="11" s="1"/>
  <c r="AH127" i="11" s="1"/>
  <c r="AH128" i="11" s="1"/>
  <c r="AH129" i="11" s="1"/>
  <c r="AH130" i="11" s="1"/>
  <c r="AH131" i="11" s="1"/>
  <c r="AH132" i="11" s="1"/>
  <c r="AH133" i="11" s="1"/>
  <c r="AH134" i="11" s="1"/>
  <c r="AH135" i="11" s="1"/>
  <c r="C81" i="6"/>
  <c r="C93" i="6"/>
  <c r="BM4" i="5"/>
  <c r="S3" i="2"/>
  <c r="AA3" i="7"/>
  <c r="AE3" i="8" s="1"/>
  <c r="BC3" i="8" s="1"/>
  <c r="DG3" i="5"/>
  <c r="E4" i="8"/>
  <c r="E5" i="8" s="1"/>
  <c r="DF5" i="8" s="1"/>
  <c r="DG4" i="5"/>
  <c r="AX5" i="5"/>
  <c r="X1268" i="14"/>
  <c r="X1269" i="14" s="1"/>
  <c r="AG1268" i="14"/>
  <c r="AG1269" i="14" s="1"/>
  <c r="B22" i="4"/>
  <c r="H22" i="4"/>
  <c r="I22" i="4"/>
  <c r="F22" i="4"/>
  <c r="J22" i="4"/>
  <c r="G22" i="4"/>
  <c r="J23" i="4"/>
  <c r="I23" i="4"/>
  <c r="H23" i="4"/>
  <c r="G23" i="4"/>
  <c r="F23" i="4"/>
  <c r="AT89" i="14"/>
  <c r="AT90" i="14" s="1"/>
  <c r="AT91" i="14" s="1"/>
  <c r="AT92" i="14" s="1"/>
  <c r="AT93" i="14" s="1"/>
  <c r="AT94" i="14" s="1"/>
  <c r="AT95" i="14" s="1"/>
  <c r="AT96" i="14" s="1"/>
  <c r="AT97" i="14" s="1"/>
  <c r="AT98" i="14" s="1"/>
  <c r="AT99" i="14" s="1"/>
  <c r="AT100" i="14" s="1"/>
  <c r="AT101" i="14" s="1"/>
  <c r="AT102" i="14" s="1"/>
  <c r="AT103" i="14" s="1"/>
  <c r="AT104" i="14" s="1"/>
  <c r="AT105" i="14" s="1"/>
  <c r="AT106" i="14" s="1"/>
  <c r="AT107" i="14" s="1"/>
  <c r="AT108" i="14" s="1"/>
  <c r="AT109" i="14" s="1"/>
  <c r="AT110" i="14" s="1"/>
  <c r="AT111" i="14" s="1"/>
  <c r="AT112" i="14" s="1"/>
  <c r="AT113" i="14" s="1"/>
  <c r="AT114" i="14" s="1"/>
  <c r="AT115" i="14" s="1"/>
  <c r="AT116" i="14" s="1"/>
  <c r="AT117" i="14" s="1"/>
  <c r="AT118" i="14" s="1"/>
  <c r="AT119" i="14" s="1"/>
  <c r="AT120" i="14" s="1"/>
  <c r="AT121" i="14" s="1"/>
  <c r="AT122" i="14" s="1"/>
  <c r="AT123" i="14" s="1"/>
  <c r="AT124" i="14" s="1"/>
  <c r="AT125" i="14" s="1"/>
  <c r="AT126" i="14" s="1"/>
  <c r="AT127" i="14" s="1"/>
  <c r="AT128" i="14" s="1"/>
  <c r="AT129" i="14" s="1"/>
  <c r="AT130" i="14" s="1"/>
  <c r="AT131" i="14" s="1"/>
  <c r="AT132" i="14" s="1"/>
  <c r="AT133" i="14" s="1"/>
  <c r="AT134" i="14" s="1"/>
  <c r="AT135" i="14" s="1"/>
  <c r="AK135" i="1" s="1"/>
  <c r="AT1268" i="14"/>
  <c r="AT1269" i="14" s="1"/>
  <c r="AN89" i="14"/>
  <c r="AN90" i="14" s="1"/>
  <c r="AN91" i="14" s="1"/>
  <c r="AN92" i="14" s="1"/>
  <c r="AN93" i="14" s="1"/>
  <c r="AN94" i="14" s="1"/>
  <c r="AN95" i="14" s="1"/>
  <c r="AN96" i="14" s="1"/>
  <c r="AN97" i="14" s="1"/>
  <c r="AN98" i="14" s="1"/>
  <c r="AN99" i="14" s="1"/>
  <c r="AN100" i="14" s="1"/>
  <c r="AN101" i="14" s="1"/>
  <c r="AN102" i="14" s="1"/>
  <c r="AN103" i="14" s="1"/>
  <c r="AN104" i="14" s="1"/>
  <c r="AN105" i="14" s="1"/>
  <c r="AN106" i="14" s="1"/>
  <c r="AN107" i="14" s="1"/>
  <c r="AN108" i="14" s="1"/>
  <c r="AN109" i="14" s="1"/>
  <c r="AN110" i="14" s="1"/>
  <c r="AN111" i="14" s="1"/>
  <c r="AN112" i="14" s="1"/>
  <c r="AN113" i="14" s="1"/>
  <c r="AN114" i="14" s="1"/>
  <c r="AN115" i="14" s="1"/>
  <c r="AN116" i="14" s="1"/>
  <c r="AN117" i="14" s="1"/>
  <c r="AN118" i="14" s="1"/>
  <c r="AN119" i="14" s="1"/>
  <c r="AN120" i="14" s="1"/>
  <c r="AN121" i="14" s="1"/>
  <c r="AN122" i="14" s="1"/>
  <c r="AN123" i="14" s="1"/>
  <c r="AN124" i="14" s="1"/>
  <c r="AN125" i="14" s="1"/>
  <c r="AN126" i="14" s="1"/>
  <c r="AN127" i="14" s="1"/>
  <c r="AN128" i="14" s="1"/>
  <c r="AN129" i="14" s="1"/>
  <c r="AN130" i="14" s="1"/>
  <c r="AN131" i="14" s="1"/>
  <c r="AN132" i="14" s="1"/>
  <c r="AN133" i="14" s="1"/>
  <c r="AN134" i="14" s="1"/>
  <c r="AN135" i="14" s="1"/>
  <c r="AN1268" i="14"/>
  <c r="AN1269" i="14" s="1"/>
  <c r="AK89" i="14"/>
  <c r="AK90" i="14" s="1"/>
  <c r="AK91" i="14" s="1"/>
  <c r="AK92" i="14" s="1"/>
  <c r="AK93" i="14" s="1"/>
  <c r="AK94" i="14" s="1"/>
  <c r="AK95" i="14" s="1"/>
  <c r="AK96" i="14" s="1"/>
  <c r="AK97" i="14" s="1"/>
  <c r="AK98" i="14" s="1"/>
  <c r="AK99" i="14" s="1"/>
  <c r="AK100" i="14" s="1"/>
  <c r="AK101" i="14" s="1"/>
  <c r="AK102" i="14" s="1"/>
  <c r="AK103" i="14" s="1"/>
  <c r="AK104" i="14" s="1"/>
  <c r="AK105" i="14" s="1"/>
  <c r="AK106" i="14" s="1"/>
  <c r="AK107" i="14" s="1"/>
  <c r="AK108" i="14" s="1"/>
  <c r="AK109" i="14" s="1"/>
  <c r="AK110" i="14" s="1"/>
  <c r="AK111" i="14" s="1"/>
  <c r="AK112" i="14" s="1"/>
  <c r="AK113" i="14" s="1"/>
  <c r="AK114" i="14" s="1"/>
  <c r="AK115" i="14" s="1"/>
  <c r="AK116" i="14" s="1"/>
  <c r="AK117" i="14" s="1"/>
  <c r="AK118" i="14" s="1"/>
  <c r="AK119" i="14" s="1"/>
  <c r="AK120" i="14" s="1"/>
  <c r="AK121" i="14" s="1"/>
  <c r="AK122" i="14" s="1"/>
  <c r="AK123" i="14" s="1"/>
  <c r="AK124" i="14" s="1"/>
  <c r="AK125" i="14" s="1"/>
  <c r="AK126" i="14" s="1"/>
  <c r="AK127" i="14" s="1"/>
  <c r="AK128" i="14" s="1"/>
  <c r="AK129" i="14" s="1"/>
  <c r="AK130" i="14" s="1"/>
  <c r="AK131" i="14" s="1"/>
  <c r="AK132" i="14" s="1"/>
  <c r="AK133" i="14" s="1"/>
  <c r="AK134" i="14" s="1"/>
  <c r="AK135" i="14" s="1"/>
  <c r="AK1268" i="14"/>
  <c r="AK1269" i="14" s="1"/>
  <c r="AJ6" i="14"/>
  <c r="CM5" i="8"/>
  <c r="AQ89" i="14"/>
  <c r="AQ90" i="14" s="1"/>
  <c r="AQ91" i="14" s="1"/>
  <c r="AQ92" i="14" s="1"/>
  <c r="AQ93" i="14" s="1"/>
  <c r="AQ94" i="14" s="1"/>
  <c r="AQ95" i="14" s="1"/>
  <c r="AQ96" i="14" s="1"/>
  <c r="AQ97" i="14" s="1"/>
  <c r="AQ98" i="14" s="1"/>
  <c r="AQ99" i="14" s="1"/>
  <c r="AQ100" i="14" s="1"/>
  <c r="AQ101" i="14" s="1"/>
  <c r="AQ102" i="14" s="1"/>
  <c r="AQ103" i="14" s="1"/>
  <c r="AQ104" i="14" s="1"/>
  <c r="AQ105" i="14" s="1"/>
  <c r="AQ106" i="14" s="1"/>
  <c r="AQ107" i="14" s="1"/>
  <c r="AQ108" i="14" s="1"/>
  <c r="AQ109" i="14" s="1"/>
  <c r="AQ110" i="14" s="1"/>
  <c r="AQ111" i="14" s="1"/>
  <c r="AQ112" i="14" s="1"/>
  <c r="AQ113" i="14" s="1"/>
  <c r="AQ114" i="14" s="1"/>
  <c r="AQ115" i="14" s="1"/>
  <c r="AQ116" i="14" s="1"/>
  <c r="AQ117" i="14" s="1"/>
  <c r="AQ118" i="14" s="1"/>
  <c r="AQ119" i="14" s="1"/>
  <c r="AQ120" i="14" s="1"/>
  <c r="AQ121" i="14" s="1"/>
  <c r="AQ122" i="14" s="1"/>
  <c r="AQ123" i="14" s="1"/>
  <c r="AQ124" i="14" s="1"/>
  <c r="AQ125" i="14" s="1"/>
  <c r="AQ126" i="14" s="1"/>
  <c r="AQ127" i="14" s="1"/>
  <c r="AQ128" i="14" s="1"/>
  <c r="AQ129" i="14" s="1"/>
  <c r="AQ130" i="14" s="1"/>
  <c r="AQ131" i="14" s="1"/>
  <c r="AQ132" i="14" s="1"/>
  <c r="AQ133" i="14" s="1"/>
  <c r="AQ134" i="14" s="1"/>
  <c r="AQ135" i="14" s="1"/>
  <c r="AQ1268" i="14"/>
  <c r="AQ1269" i="14" s="1"/>
  <c r="AE89" i="14"/>
  <c r="AE90" i="14" s="1"/>
  <c r="AE91" i="14" s="1"/>
  <c r="AE92" i="14" s="1"/>
  <c r="AE93" i="14" s="1"/>
  <c r="AE94" i="14" s="1"/>
  <c r="AE95" i="14" s="1"/>
  <c r="AE96" i="14" s="1"/>
  <c r="AE97" i="14" s="1"/>
  <c r="AE98" i="14" s="1"/>
  <c r="AE99" i="14" s="1"/>
  <c r="AE100" i="14" s="1"/>
  <c r="AE101" i="14" s="1"/>
  <c r="AE102" i="14" s="1"/>
  <c r="AE103" i="14" s="1"/>
  <c r="AE104" i="14" s="1"/>
  <c r="AE105" i="14" s="1"/>
  <c r="AE106" i="14" s="1"/>
  <c r="AE107" i="14" s="1"/>
  <c r="AE108" i="14" s="1"/>
  <c r="AE109" i="14" s="1"/>
  <c r="AE110" i="14" s="1"/>
  <c r="AE111" i="14" s="1"/>
  <c r="AE112" i="14" s="1"/>
  <c r="AE113" i="14" s="1"/>
  <c r="AE114" i="14" s="1"/>
  <c r="AE115" i="14" s="1"/>
  <c r="AE116" i="14" s="1"/>
  <c r="AE117" i="14" s="1"/>
  <c r="AE118" i="14" s="1"/>
  <c r="AE119" i="14" s="1"/>
  <c r="AE120" i="14" s="1"/>
  <c r="AE121" i="14" s="1"/>
  <c r="AE122" i="14" s="1"/>
  <c r="AE123" i="14" s="1"/>
  <c r="AE124" i="14" s="1"/>
  <c r="AE125" i="14" s="1"/>
  <c r="AE126" i="14" s="1"/>
  <c r="AE127" i="14" s="1"/>
  <c r="AE128" i="14" s="1"/>
  <c r="AE129" i="14" s="1"/>
  <c r="AE130" i="14" s="1"/>
  <c r="AE131" i="14" s="1"/>
  <c r="AE132" i="14" s="1"/>
  <c r="AE133" i="14" s="1"/>
  <c r="AE134" i="14" s="1"/>
  <c r="AE135" i="14" s="1"/>
  <c r="AE1268" i="14"/>
  <c r="AE1269" i="14" s="1"/>
  <c r="AV89" i="14"/>
  <c r="AV90" i="14" s="1"/>
  <c r="AV91" i="14" s="1"/>
  <c r="AV92" i="14" s="1"/>
  <c r="AV93" i="14" s="1"/>
  <c r="AV94" i="14" s="1"/>
  <c r="AV95" i="14" s="1"/>
  <c r="AV96" i="14" s="1"/>
  <c r="AV97" i="14" s="1"/>
  <c r="AV98" i="14" s="1"/>
  <c r="AV99" i="14" s="1"/>
  <c r="AV100" i="14" s="1"/>
  <c r="AV101" i="14" s="1"/>
  <c r="AV102" i="14" s="1"/>
  <c r="AV103" i="14" s="1"/>
  <c r="AV104" i="14" s="1"/>
  <c r="AV105" i="14" s="1"/>
  <c r="AV106" i="14" s="1"/>
  <c r="AV107" i="14" s="1"/>
  <c r="AV108" i="14" s="1"/>
  <c r="AV109" i="14" s="1"/>
  <c r="AV110" i="14" s="1"/>
  <c r="AV111" i="14" s="1"/>
  <c r="AV112" i="14" s="1"/>
  <c r="AV113" i="14" s="1"/>
  <c r="AV114" i="14" s="1"/>
  <c r="AV115" i="14" s="1"/>
  <c r="AV116" i="14" s="1"/>
  <c r="AV117" i="14" s="1"/>
  <c r="AV118" i="14" s="1"/>
  <c r="AV119" i="14" s="1"/>
  <c r="AV120" i="14" s="1"/>
  <c r="AV121" i="14" s="1"/>
  <c r="AV122" i="14" s="1"/>
  <c r="AV123" i="14" s="1"/>
  <c r="AV124" i="14" s="1"/>
  <c r="AV125" i="14" s="1"/>
  <c r="AV126" i="14" s="1"/>
  <c r="AV127" i="14" s="1"/>
  <c r="AV128" i="14" s="1"/>
  <c r="AV129" i="14" s="1"/>
  <c r="AV130" i="14" s="1"/>
  <c r="AV131" i="14" s="1"/>
  <c r="AV132" i="14" s="1"/>
  <c r="AV133" i="14" s="1"/>
  <c r="AV134" i="14" s="1"/>
  <c r="AV135" i="14" s="1"/>
  <c r="AV1268" i="14"/>
  <c r="AV1269" i="14" s="1"/>
  <c r="AU89" i="14"/>
  <c r="AU90" i="14" s="1"/>
  <c r="AU91" i="14" s="1"/>
  <c r="AU92" i="14" s="1"/>
  <c r="AU93" i="14" s="1"/>
  <c r="AU94" i="14" s="1"/>
  <c r="AU95" i="14" s="1"/>
  <c r="AU96" i="14" s="1"/>
  <c r="AU97" i="14" s="1"/>
  <c r="AU98" i="14" s="1"/>
  <c r="AU99" i="14" s="1"/>
  <c r="AU100" i="14" s="1"/>
  <c r="AU101" i="14" s="1"/>
  <c r="AU102" i="14" s="1"/>
  <c r="AU103" i="14" s="1"/>
  <c r="AU104" i="14" s="1"/>
  <c r="AU105" i="14" s="1"/>
  <c r="AU106" i="14" s="1"/>
  <c r="AU107" i="14" s="1"/>
  <c r="AU108" i="14" s="1"/>
  <c r="AU109" i="14" s="1"/>
  <c r="AU110" i="14" s="1"/>
  <c r="AU111" i="14" s="1"/>
  <c r="AU112" i="14" s="1"/>
  <c r="AU113" i="14" s="1"/>
  <c r="AU114" i="14" s="1"/>
  <c r="AU115" i="14" s="1"/>
  <c r="AU116" i="14" s="1"/>
  <c r="AU117" i="14" s="1"/>
  <c r="AU118" i="14" s="1"/>
  <c r="AU119" i="14" s="1"/>
  <c r="AU120" i="14" s="1"/>
  <c r="AU121" i="14" s="1"/>
  <c r="AU122" i="14" s="1"/>
  <c r="AU123" i="14" s="1"/>
  <c r="AU124" i="14" s="1"/>
  <c r="AU125" i="14" s="1"/>
  <c r="AU126" i="14" s="1"/>
  <c r="AU127" i="14" s="1"/>
  <c r="AU128" i="14" s="1"/>
  <c r="AU129" i="14" s="1"/>
  <c r="AU130" i="14" s="1"/>
  <c r="AU131" i="14" s="1"/>
  <c r="AU132" i="14" s="1"/>
  <c r="AU133" i="14" s="1"/>
  <c r="AU134" i="14" s="1"/>
  <c r="AU135" i="14" s="1"/>
  <c r="AU1268" i="14"/>
  <c r="AU1269" i="14" s="1"/>
  <c r="AL89" i="14"/>
  <c r="AL90" i="14" s="1"/>
  <c r="AL91" i="14" s="1"/>
  <c r="AL92" i="14" s="1"/>
  <c r="AL93" i="14" s="1"/>
  <c r="AL94" i="14" s="1"/>
  <c r="AL95" i="14" s="1"/>
  <c r="AL96" i="14" s="1"/>
  <c r="AL97" i="14" s="1"/>
  <c r="AL98" i="14" s="1"/>
  <c r="AL99" i="14" s="1"/>
  <c r="AL100" i="14" s="1"/>
  <c r="AL101" i="14" s="1"/>
  <c r="AL102" i="14" s="1"/>
  <c r="AL103" i="14" s="1"/>
  <c r="AL104" i="14" s="1"/>
  <c r="AL105" i="14" s="1"/>
  <c r="AL106" i="14" s="1"/>
  <c r="AL107" i="14" s="1"/>
  <c r="AL108" i="14" s="1"/>
  <c r="AL109" i="14" s="1"/>
  <c r="AL110" i="14" s="1"/>
  <c r="AL111" i="14" s="1"/>
  <c r="AL112" i="14" s="1"/>
  <c r="AL113" i="14" s="1"/>
  <c r="AL114" i="14" s="1"/>
  <c r="AL115" i="14" s="1"/>
  <c r="AL116" i="14" s="1"/>
  <c r="AL117" i="14" s="1"/>
  <c r="AL118" i="14" s="1"/>
  <c r="AL119" i="14" s="1"/>
  <c r="AL120" i="14" s="1"/>
  <c r="AL121" i="14" s="1"/>
  <c r="AL122" i="14" s="1"/>
  <c r="AL123" i="14" s="1"/>
  <c r="AL124" i="14" s="1"/>
  <c r="AL125" i="14" s="1"/>
  <c r="AL126" i="14" s="1"/>
  <c r="AL127" i="14" s="1"/>
  <c r="AL128" i="14" s="1"/>
  <c r="AL129" i="14" s="1"/>
  <c r="AL130" i="14" s="1"/>
  <c r="AL131" i="14" s="1"/>
  <c r="AL132" i="14" s="1"/>
  <c r="AL133" i="14" s="1"/>
  <c r="AL134" i="14" s="1"/>
  <c r="AL135" i="14" s="1"/>
  <c r="AL1268" i="14"/>
  <c r="AL1269" i="14" s="1"/>
  <c r="AA1268" i="14"/>
  <c r="AA1269" i="14" s="1"/>
  <c r="AA89" i="14"/>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M1268" i="14"/>
  <c r="AM1269" i="14" s="1"/>
  <c r="AM89" i="14"/>
  <c r="AM90" i="14" s="1"/>
  <c r="AM91" i="14" s="1"/>
  <c r="AM92" i="14" s="1"/>
  <c r="AM93" i="14" s="1"/>
  <c r="AM94" i="14" s="1"/>
  <c r="AM95" i="14" s="1"/>
  <c r="AM96" i="14" s="1"/>
  <c r="AM97" i="14" s="1"/>
  <c r="AM98" i="14" s="1"/>
  <c r="AM99" i="14" s="1"/>
  <c r="AM100" i="14" s="1"/>
  <c r="AM101" i="14" s="1"/>
  <c r="AM102" i="14" s="1"/>
  <c r="AM103" i="14" s="1"/>
  <c r="AM104" i="14" s="1"/>
  <c r="AM105" i="14" s="1"/>
  <c r="AM106" i="14" s="1"/>
  <c r="AM107" i="14" s="1"/>
  <c r="AM108" i="14" s="1"/>
  <c r="AM109" i="14" s="1"/>
  <c r="AM110" i="14" s="1"/>
  <c r="AM111" i="14" s="1"/>
  <c r="AM112" i="14" s="1"/>
  <c r="AM113" i="14" s="1"/>
  <c r="AM114" i="14" s="1"/>
  <c r="AM115" i="14" s="1"/>
  <c r="AM116" i="14" s="1"/>
  <c r="AM117" i="14" s="1"/>
  <c r="AM118" i="14" s="1"/>
  <c r="AM119" i="14" s="1"/>
  <c r="AM120" i="14" s="1"/>
  <c r="AM121" i="14" s="1"/>
  <c r="AM122" i="14" s="1"/>
  <c r="AM123" i="14" s="1"/>
  <c r="AM124" i="14" s="1"/>
  <c r="AM125" i="14" s="1"/>
  <c r="AM126" i="14" s="1"/>
  <c r="AM127" i="14" s="1"/>
  <c r="AM128" i="14" s="1"/>
  <c r="AM129" i="14" s="1"/>
  <c r="AM130" i="14" s="1"/>
  <c r="AM131" i="14" s="1"/>
  <c r="AM132" i="14" s="1"/>
  <c r="AM133" i="14" s="1"/>
  <c r="AM134" i="14" s="1"/>
  <c r="AM135" i="14" s="1"/>
  <c r="AO89" i="14"/>
  <c r="AO90" i="14" s="1"/>
  <c r="AO91" i="14" s="1"/>
  <c r="AO92" i="14" s="1"/>
  <c r="AO93" i="14" s="1"/>
  <c r="AO94" i="14" s="1"/>
  <c r="AO95" i="14" s="1"/>
  <c r="AO96" i="14" s="1"/>
  <c r="AO97" i="14" s="1"/>
  <c r="AO98" i="14" s="1"/>
  <c r="AO99" i="14" s="1"/>
  <c r="AO100" i="14" s="1"/>
  <c r="AO101" i="14" s="1"/>
  <c r="AO102" i="14" s="1"/>
  <c r="AO103" i="14" s="1"/>
  <c r="AO104" i="14" s="1"/>
  <c r="AO105" i="14" s="1"/>
  <c r="AO106" i="14" s="1"/>
  <c r="AO107" i="14" s="1"/>
  <c r="AO108" i="14" s="1"/>
  <c r="AO109" i="14" s="1"/>
  <c r="AO110" i="14" s="1"/>
  <c r="AO111" i="14" s="1"/>
  <c r="AO112" i="14" s="1"/>
  <c r="AO113" i="14" s="1"/>
  <c r="AO114" i="14" s="1"/>
  <c r="AO115" i="14" s="1"/>
  <c r="AO116" i="14" s="1"/>
  <c r="AO117" i="14" s="1"/>
  <c r="AO118" i="14" s="1"/>
  <c r="AO119" i="14" s="1"/>
  <c r="AO120" i="14" s="1"/>
  <c r="AO121" i="14" s="1"/>
  <c r="AO122" i="14" s="1"/>
  <c r="AO123" i="14" s="1"/>
  <c r="AO124" i="14" s="1"/>
  <c r="AO125" i="14" s="1"/>
  <c r="AO126" i="14" s="1"/>
  <c r="AO127" i="14" s="1"/>
  <c r="AO128" i="14" s="1"/>
  <c r="AO129" i="14" s="1"/>
  <c r="AO130" i="14" s="1"/>
  <c r="AO131" i="14" s="1"/>
  <c r="AO132" i="14" s="1"/>
  <c r="AO133" i="14" s="1"/>
  <c r="AO134" i="14" s="1"/>
  <c r="AO135" i="14" s="1"/>
  <c r="AO1268" i="14"/>
  <c r="AO1269" i="14" s="1"/>
  <c r="AB89" i="14"/>
  <c r="AB90" i="14" s="1"/>
  <c r="AB91" i="14" s="1"/>
  <c r="AB92" i="14" s="1"/>
  <c r="AB93" i="14" s="1"/>
  <c r="AB94" i="14" s="1"/>
  <c r="AB95" i="14" s="1"/>
  <c r="AB96" i="14" s="1"/>
  <c r="AB97" i="14" s="1"/>
  <c r="AB98" i="14" s="1"/>
  <c r="AB99" i="14" s="1"/>
  <c r="AB100" i="14" s="1"/>
  <c r="AB101" i="14" s="1"/>
  <c r="AB102" i="14" s="1"/>
  <c r="AB103" i="14" s="1"/>
  <c r="AB104" i="14" s="1"/>
  <c r="AB105" i="14" s="1"/>
  <c r="AB106" i="14" s="1"/>
  <c r="AB107" i="14" s="1"/>
  <c r="AB108" i="14" s="1"/>
  <c r="AB109" i="14" s="1"/>
  <c r="AB110" i="14" s="1"/>
  <c r="AB111" i="14" s="1"/>
  <c r="AB112" i="14" s="1"/>
  <c r="AB113" i="14" s="1"/>
  <c r="AB114" i="14" s="1"/>
  <c r="AB115" i="14" s="1"/>
  <c r="AB116" i="14" s="1"/>
  <c r="AB117" i="14" s="1"/>
  <c r="AB118" i="14" s="1"/>
  <c r="AB119" i="14" s="1"/>
  <c r="AB120" i="14" s="1"/>
  <c r="AB121" i="14" s="1"/>
  <c r="AB122" i="14" s="1"/>
  <c r="AB123" i="14" s="1"/>
  <c r="AB124" i="14" s="1"/>
  <c r="AB125" i="14" s="1"/>
  <c r="AB126" i="14" s="1"/>
  <c r="AB127" i="14" s="1"/>
  <c r="AB128" i="14" s="1"/>
  <c r="AB129" i="14" s="1"/>
  <c r="AB130" i="14" s="1"/>
  <c r="AB131" i="14" s="1"/>
  <c r="AB132" i="14" s="1"/>
  <c r="AB133" i="14" s="1"/>
  <c r="AB134" i="14" s="1"/>
  <c r="AB135" i="14" s="1"/>
  <c r="AB1268" i="14"/>
  <c r="AB1269" i="14" s="1"/>
  <c r="AI1268" i="14"/>
  <c r="AI1269" i="14" s="1"/>
  <c r="AI89" i="14"/>
  <c r="AI90" i="14" s="1"/>
  <c r="AI91" i="14" s="1"/>
  <c r="AI92" i="14" s="1"/>
  <c r="AI93" i="14" s="1"/>
  <c r="AI94" i="14" s="1"/>
  <c r="AI95" i="14" s="1"/>
  <c r="AI96" i="14" s="1"/>
  <c r="AI97" i="14" s="1"/>
  <c r="AI98" i="14" s="1"/>
  <c r="AI99" i="14" s="1"/>
  <c r="AI100" i="14" s="1"/>
  <c r="AI101" i="14" s="1"/>
  <c r="AI102" i="14" s="1"/>
  <c r="AI103" i="14" s="1"/>
  <c r="AI104" i="14" s="1"/>
  <c r="AI105" i="14" s="1"/>
  <c r="AI106" i="14" s="1"/>
  <c r="AI107" i="14" s="1"/>
  <c r="AI108" i="14" s="1"/>
  <c r="AI109" i="14" s="1"/>
  <c r="AI110" i="14" s="1"/>
  <c r="AI111" i="14" s="1"/>
  <c r="AI112" i="14" s="1"/>
  <c r="AI113" i="14" s="1"/>
  <c r="AI114" i="14" s="1"/>
  <c r="AI115" i="14" s="1"/>
  <c r="AI116" i="14" s="1"/>
  <c r="AI117" i="14" s="1"/>
  <c r="AI118" i="14" s="1"/>
  <c r="AI119" i="14" s="1"/>
  <c r="AI120" i="14" s="1"/>
  <c r="AI121" i="14" s="1"/>
  <c r="AI122" i="14" s="1"/>
  <c r="AI123" i="14" s="1"/>
  <c r="AI124" i="14" s="1"/>
  <c r="AI125" i="14" s="1"/>
  <c r="AI126" i="14" s="1"/>
  <c r="AI127" i="14" s="1"/>
  <c r="AI128" i="14" s="1"/>
  <c r="AI129" i="14" s="1"/>
  <c r="AI130" i="14" s="1"/>
  <c r="AI131" i="14" s="1"/>
  <c r="AI132" i="14" s="1"/>
  <c r="AI133" i="14" s="1"/>
  <c r="AI134" i="14" s="1"/>
  <c r="AI135" i="14" s="1"/>
  <c r="AF89" i="14"/>
  <c r="AF90" i="14" s="1"/>
  <c r="AF91" i="14" s="1"/>
  <c r="AF92" i="14" s="1"/>
  <c r="AF93" i="14" s="1"/>
  <c r="AF94" i="14" s="1"/>
  <c r="AF95" i="14" s="1"/>
  <c r="AF96" i="14" s="1"/>
  <c r="AF97" i="14" s="1"/>
  <c r="AF98" i="14" s="1"/>
  <c r="AF99" i="14" s="1"/>
  <c r="AF100" i="14" s="1"/>
  <c r="AF101" i="14" s="1"/>
  <c r="AF102" i="14" s="1"/>
  <c r="AF103" i="14" s="1"/>
  <c r="AF104" i="14" s="1"/>
  <c r="AF105" i="14" s="1"/>
  <c r="AF106" i="14" s="1"/>
  <c r="AF107" i="14" s="1"/>
  <c r="AF108" i="14" s="1"/>
  <c r="AF109" i="14" s="1"/>
  <c r="AF110" i="14" s="1"/>
  <c r="AF111" i="14" s="1"/>
  <c r="AF112" i="14" s="1"/>
  <c r="AF113" i="14" s="1"/>
  <c r="AF114" i="14" s="1"/>
  <c r="AF115" i="14" s="1"/>
  <c r="AF116" i="14" s="1"/>
  <c r="AF117" i="14" s="1"/>
  <c r="AF118" i="14" s="1"/>
  <c r="AF119" i="14" s="1"/>
  <c r="AF120" i="14" s="1"/>
  <c r="AF121" i="14" s="1"/>
  <c r="AF122" i="14" s="1"/>
  <c r="AF123" i="14" s="1"/>
  <c r="AF124" i="14" s="1"/>
  <c r="AF125" i="14" s="1"/>
  <c r="AF126" i="14" s="1"/>
  <c r="AF127" i="14" s="1"/>
  <c r="AF128" i="14" s="1"/>
  <c r="AF129" i="14" s="1"/>
  <c r="AF130" i="14" s="1"/>
  <c r="AF131" i="14" s="1"/>
  <c r="AF132" i="14" s="1"/>
  <c r="AF133" i="14" s="1"/>
  <c r="AF134" i="14" s="1"/>
  <c r="AF135" i="14" s="1"/>
  <c r="AF1268" i="14"/>
  <c r="AF1269" i="14" s="1"/>
  <c r="AW1268" i="14"/>
  <c r="AW1269" i="14" s="1"/>
  <c r="AW89" i="14"/>
  <c r="AW90" i="14" s="1"/>
  <c r="AW91" i="14" s="1"/>
  <c r="AW92" i="14" s="1"/>
  <c r="AW93" i="14" s="1"/>
  <c r="AW94" i="14" s="1"/>
  <c r="AW95" i="14" s="1"/>
  <c r="AW96" i="14" s="1"/>
  <c r="AW97" i="14" s="1"/>
  <c r="AW98" i="14" s="1"/>
  <c r="AW99" i="14" s="1"/>
  <c r="AW100" i="14" s="1"/>
  <c r="AW101" i="14" s="1"/>
  <c r="AW102" i="14" s="1"/>
  <c r="AW103" i="14" s="1"/>
  <c r="AW104" i="14" s="1"/>
  <c r="AW105" i="14" s="1"/>
  <c r="AW106" i="14" s="1"/>
  <c r="AW107" i="14" s="1"/>
  <c r="AW108" i="14" s="1"/>
  <c r="AW109" i="14" s="1"/>
  <c r="AW110" i="14" s="1"/>
  <c r="AW111" i="14" s="1"/>
  <c r="AW112" i="14" s="1"/>
  <c r="AW113" i="14" s="1"/>
  <c r="AW114" i="14" s="1"/>
  <c r="AW115" i="14" s="1"/>
  <c r="AW116" i="14" s="1"/>
  <c r="AW117" i="14" s="1"/>
  <c r="AW118" i="14" s="1"/>
  <c r="AW119" i="14" s="1"/>
  <c r="AW120" i="14" s="1"/>
  <c r="AW121" i="14" s="1"/>
  <c r="AW122" i="14" s="1"/>
  <c r="AW123" i="14" s="1"/>
  <c r="AW124" i="14" s="1"/>
  <c r="AW125" i="14" s="1"/>
  <c r="AW126" i="14" s="1"/>
  <c r="AW127" i="14" s="1"/>
  <c r="AW128" i="14" s="1"/>
  <c r="AW129" i="14" s="1"/>
  <c r="AW130" i="14" s="1"/>
  <c r="AW131" i="14" s="1"/>
  <c r="AW132" i="14" s="1"/>
  <c r="AW133" i="14" s="1"/>
  <c r="AW134" i="14" s="1"/>
  <c r="AW135" i="14" s="1"/>
  <c r="AR89" i="14"/>
  <c r="AR90" i="14" s="1"/>
  <c r="AR91" i="14" s="1"/>
  <c r="AR92" i="14" s="1"/>
  <c r="AR93" i="14" s="1"/>
  <c r="AR94" i="14" s="1"/>
  <c r="AR95" i="14" s="1"/>
  <c r="AR96" i="14" s="1"/>
  <c r="AR97" i="14" s="1"/>
  <c r="AR98" i="14" s="1"/>
  <c r="AR99" i="14" s="1"/>
  <c r="AR100" i="14" s="1"/>
  <c r="AR101" i="14" s="1"/>
  <c r="AR102" i="14" s="1"/>
  <c r="AR103" i="14" s="1"/>
  <c r="AR104" i="14" s="1"/>
  <c r="AR105" i="14" s="1"/>
  <c r="AR106" i="14" s="1"/>
  <c r="AR107" i="14" s="1"/>
  <c r="AR108" i="14" s="1"/>
  <c r="AR109" i="14" s="1"/>
  <c r="AR110" i="14" s="1"/>
  <c r="AR111" i="14" s="1"/>
  <c r="AR112" i="14" s="1"/>
  <c r="AR113" i="14" s="1"/>
  <c r="AR114" i="14" s="1"/>
  <c r="AR115" i="14" s="1"/>
  <c r="AR116" i="14" s="1"/>
  <c r="AR117" i="14" s="1"/>
  <c r="AR118" i="14" s="1"/>
  <c r="AR119" i="14" s="1"/>
  <c r="AR120" i="14" s="1"/>
  <c r="AR121" i="14" s="1"/>
  <c r="AR122" i="14" s="1"/>
  <c r="AR123" i="14" s="1"/>
  <c r="AR124" i="14" s="1"/>
  <c r="AR125" i="14" s="1"/>
  <c r="AR126" i="14" s="1"/>
  <c r="AR127" i="14" s="1"/>
  <c r="AR128" i="14" s="1"/>
  <c r="AR129" i="14" s="1"/>
  <c r="AR130" i="14" s="1"/>
  <c r="AR131" i="14" s="1"/>
  <c r="AR132" i="14" s="1"/>
  <c r="AR133" i="14" s="1"/>
  <c r="AR134" i="14" s="1"/>
  <c r="AR135" i="14" s="1"/>
  <c r="AR1268" i="14"/>
  <c r="AR1269" i="14" s="1"/>
  <c r="AS1268" i="14"/>
  <c r="AS1269" i="14" s="1"/>
  <c r="AS89" i="14"/>
  <c r="AS90" i="14" s="1"/>
  <c r="AS91" i="14" s="1"/>
  <c r="AS92" i="14" s="1"/>
  <c r="AS93" i="14" s="1"/>
  <c r="AS94" i="14" s="1"/>
  <c r="AS95" i="14" s="1"/>
  <c r="AS96" i="14" s="1"/>
  <c r="AS97" i="14" s="1"/>
  <c r="AS98" i="14" s="1"/>
  <c r="AS99" i="14" s="1"/>
  <c r="AS100" i="14" s="1"/>
  <c r="AS101" i="14" s="1"/>
  <c r="AS102" i="14" s="1"/>
  <c r="AS103" i="14" s="1"/>
  <c r="AS104" i="14" s="1"/>
  <c r="AS105" i="14" s="1"/>
  <c r="AS106" i="14" s="1"/>
  <c r="AS107" i="14" s="1"/>
  <c r="AS108" i="14" s="1"/>
  <c r="AS109" i="14" s="1"/>
  <c r="AS110" i="14" s="1"/>
  <c r="AS111" i="14" s="1"/>
  <c r="AS112" i="14" s="1"/>
  <c r="AS113" i="14" s="1"/>
  <c r="AS114" i="14" s="1"/>
  <c r="AS115" i="14" s="1"/>
  <c r="AS116" i="14" s="1"/>
  <c r="AS117" i="14" s="1"/>
  <c r="AS118" i="14" s="1"/>
  <c r="AS119" i="14" s="1"/>
  <c r="AS120" i="14" s="1"/>
  <c r="AS121" i="14" s="1"/>
  <c r="AS122" i="14" s="1"/>
  <c r="AS123" i="14" s="1"/>
  <c r="AS124" i="14" s="1"/>
  <c r="AS125" i="14" s="1"/>
  <c r="AS126" i="14" s="1"/>
  <c r="AS127" i="14" s="1"/>
  <c r="AS128" i="14" s="1"/>
  <c r="AS129" i="14" s="1"/>
  <c r="AS130" i="14" s="1"/>
  <c r="AS131" i="14" s="1"/>
  <c r="AS132" i="14" s="1"/>
  <c r="AS133" i="14" s="1"/>
  <c r="AS134" i="14" s="1"/>
  <c r="AS135" i="14" s="1"/>
  <c r="AP89" i="14"/>
  <c r="AP90" i="14" s="1"/>
  <c r="AP91" i="14" s="1"/>
  <c r="AP92" i="14" s="1"/>
  <c r="AP93" i="14" s="1"/>
  <c r="AP94" i="14" s="1"/>
  <c r="AP95" i="14" s="1"/>
  <c r="AP96" i="14" s="1"/>
  <c r="AP97" i="14" s="1"/>
  <c r="AP98" i="14" s="1"/>
  <c r="AP99" i="14" s="1"/>
  <c r="AP100" i="14" s="1"/>
  <c r="AP101" i="14" s="1"/>
  <c r="AP102" i="14" s="1"/>
  <c r="AP103" i="14" s="1"/>
  <c r="AP104" i="14" s="1"/>
  <c r="AP105" i="14" s="1"/>
  <c r="AP106" i="14" s="1"/>
  <c r="AP107" i="14" s="1"/>
  <c r="AP108" i="14" s="1"/>
  <c r="AP109" i="14" s="1"/>
  <c r="AP110" i="14" s="1"/>
  <c r="AP111" i="14" s="1"/>
  <c r="AP112" i="14" s="1"/>
  <c r="AP113" i="14" s="1"/>
  <c r="AP114" i="14" s="1"/>
  <c r="AP115" i="14" s="1"/>
  <c r="AP116" i="14" s="1"/>
  <c r="AP117" i="14" s="1"/>
  <c r="AP118" i="14" s="1"/>
  <c r="AP119" i="14" s="1"/>
  <c r="AP120" i="14" s="1"/>
  <c r="AP121" i="14" s="1"/>
  <c r="AP122" i="14" s="1"/>
  <c r="AP123" i="14" s="1"/>
  <c r="AP124" i="14" s="1"/>
  <c r="AP125" i="14" s="1"/>
  <c r="AP126" i="14" s="1"/>
  <c r="AP127" i="14" s="1"/>
  <c r="AP128" i="14" s="1"/>
  <c r="AP129" i="14" s="1"/>
  <c r="AP130" i="14" s="1"/>
  <c r="AP131" i="14" s="1"/>
  <c r="AP132" i="14" s="1"/>
  <c r="AP133" i="14" s="1"/>
  <c r="AP134" i="14" s="1"/>
  <c r="AP135" i="14" s="1"/>
  <c r="AL135" i="1" s="1"/>
  <c r="W135" i="1" s="1"/>
  <c r="AP1268" i="14"/>
  <c r="AP1269" i="14" s="1"/>
  <c r="AC1268" i="14"/>
  <c r="AC1269" i="14" s="1"/>
  <c r="AD1268" i="14"/>
  <c r="AD1269" i="14" s="1"/>
  <c r="AH1268" i="14"/>
  <c r="AH1269" i="14" s="1"/>
  <c r="W1268" i="14"/>
  <c r="W1269" i="14" s="1"/>
  <c r="Z1268" i="14"/>
  <c r="Z1269" i="14" s="1"/>
  <c r="D8" i="12"/>
  <c r="A5" i="2"/>
  <c r="J6" i="10"/>
  <c r="CN3" i="11"/>
  <c r="CN4" i="11" s="1"/>
  <c r="CN5" i="11" s="1"/>
  <c r="CN6" i="11" s="1"/>
  <c r="CN7" i="11" s="1"/>
  <c r="CN8" i="11" s="1"/>
  <c r="CN9" i="11" s="1"/>
  <c r="CN10" i="11" s="1"/>
  <c r="CN11" i="11" s="1"/>
  <c r="CN12" i="11" s="1"/>
  <c r="CN13" i="11" s="1"/>
  <c r="CN14" i="11" s="1"/>
  <c r="CN15" i="11" s="1"/>
  <c r="CN16" i="11" s="1"/>
  <c r="CN17" i="11" s="1"/>
  <c r="CN18" i="11" s="1"/>
  <c r="CN19" i="11" s="1"/>
  <c r="CN20" i="11" s="1"/>
  <c r="CN21" i="11" s="1"/>
  <c r="CN22" i="11" s="1"/>
  <c r="CN23" i="11" s="1"/>
  <c r="CN24" i="11" s="1"/>
  <c r="CN25" i="11" s="1"/>
  <c r="CN26" i="11" s="1"/>
  <c r="CN27" i="11" s="1"/>
  <c r="CN28" i="11" s="1"/>
  <c r="CN29" i="11" s="1"/>
  <c r="CN30" i="11" s="1"/>
  <c r="CN31" i="11" s="1"/>
  <c r="CN32" i="11" s="1"/>
  <c r="CN33" i="11" s="1"/>
  <c r="CN34" i="11" s="1"/>
  <c r="CN35" i="11" s="1"/>
  <c r="CN36" i="11" s="1"/>
  <c r="CN37" i="11" s="1"/>
  <c r="CN38" i="11" s="1"/>
  <c r="CN39" i="11" s="1"/>
  <c r="CN40" i="11" s="1"/>
  <c r="CN41" i="11" s="1"/>
  <c r="CN42" i="11" s="1"/>
  <c r="CN43" i="11" s="1"/>
  <c r="CN44" i="11" s="1"/>
  <c r="CN45" i="11" s="1"/>
  <c r="CN46" i="11" s="1"/>
  <c r="CN47" i="11" s="1"/>
  <c r="CN48" i="11" s="1"/>
  <c r="CN49" i="11" s="1"/>
  <c r="CN50" i="11" s="1"/>
  <c r="CN51" i="11" s="1"/>
  <c r="CN52" i="11" s="1"/>
  <c r="CN53" i="11" s="1"/>
  <c r="CN54" i="11" s="1"/>
  <c r="CN55" i="11" s="1"/>
  <c r="CN56" i="11" s="1"/>
  <c r="CN57" i="11" s="1"/>
  <c r="CN58" i="11" s="1"/>
  <c r="CN59" i="11" s="1"/>
  <c r="CN60" i="11" s="1"/>
  <c r="CN61" i="11" s="1"/>
  <c r="CN62" i="11" s="1"/>
  <c r="CN63" i="11" s="1"/>
  <c r="CN64" i="11" s="1"/>
  <c r="CN65" i="11" s="1"/>
  <c r="CN66" i="11" s="1"/>
  <c r="CN67" i="11" s="1"/>
  <c r="CN68" i="11" s="1"/>
  <c r="CN69" i="11" s="1"/>
  <c r="CN70" i="11" s="1"/>
  <c r="CN71" i="11" s="1"/>
  <c r="CN72" i="11" s="1"/>
  <c r="CN73" i="11" s="1"/>
  <c r="CN74" i="11" s="1"/>
  <c r="CN75" i="11" s="1"/>
  <c r="CN76" i="11" s="1"/>
  <c r="CN77" i="11" s="1"/>
  <c r="CN78" i="11" s="1"/>
  <c r="CN79" i="11" s="1"/>
  <c r="CN80" i="11" s="1"/>
  <c r="CN81" i="11" s="1"/>
  <c r="CN82" i="11" s="1"/>
  <c r="CN83" i="11" s="1"/>
  <c r="CN84" i="11" s="1"/>
  <c r="CN85" i="11" s="1"/>
  <c r="CN86" i="11" s="1"/>
  <c r="CN87" i="11" s="1"/>
  <c r="CN88" i="11" s="1"/>
  <c r="CN89" i="11" s="1"/>
  <c r="CN90" i="11" s="1"/>
  <c r="CN91" i="11" s="1"/>
  <c r="CN92" i="11" s="1"/>
  <c r="CN93" i="11" s="1"/>
  <c r="CN94" i="11" s="1"/>
  <c r="CN95" i="11" s="1"/>
  <c r="CN96" i="11" s="1"/>
  <c r="CN97" i="11" s="1"/>
  <c r="CN98" i="11" s="1"/>
  <c r="CN99" i="11" s="1"/>
  <c r="CN100" i="11" s="1"/>
  <c r="CN101" i="11" s="1"/>
  <c r="CN102" i="11" s="1"/>
  <c r="CN103" i="11" s="1"/>
  <c r="CN104" i="11" s="1"/>
  <c r="CN105" i="11" s="1"/>
  <c r="CN106" i="11" s="1"/>
  <c r="CN107" i="11" s="1"/>
  <c r="CN108" i="11" s="1"/>
  <c r="CN109" i="11" s="1"/>
  <c r="CN110" i="11" s="1"/>
  <c r="CN111" i="11" s="1"/>
  <c r="CN112" i="11" s="1"/>
  <c r="CN113" i="11" s="1"/>
  <c r="CN114" i="11" s="1"/>
  <c r="CN115" i="11" s="1"/>
  <c r="CN116" i="11" s="1"/>
  <c r="CN117" i="11" s="1"/>
  <c r="CN118" i="11" s="1"/>
  <c r="CN119" i="11" s="1"/>
  <c r="CN120" i="11" s="1"/>
  <c r="CN121" i="11" s="1"/>
  <c r="CN122" i="11" s="1"/>
  <c r="CN123" i="11" s="1"/>
  <c r="CN124" i="11" s="1"/>
  <c r="CN125" i="11" s="1"/>
  <c r="CN126" i="11" s="1"/>
  <c r="CN127" i="11" s="1"/>
  <c r="CN128" i="11" s="1"/>
  <c r="CN129" i="11" s="1"/>
  <c r="CN130" i="11" s="1"/>
  <c r="CN131" i="11" s="1"/>
  <c r="CN132" i="11" s="1"/>
  <c r="CN133" i="11" s="1"/>
  <c r="CN134" i="11" s="1"/>
  <c r="CN135" i="11" s="1"/>
  <c r="K3" i="10"/>
  <c r="O4" i="2"/>
  <c r="DF3" i="8"/>
  <c r="P3" i="2"/>
  <c r="S4" i="2"/>
  <c r="DE3" i="8"/>
  <c r="CQ108" i="5"/>
  <c r="P4" i="2"/>
  <c r="DE4" i="8"/>
  <c r="I5" i="8"/>
  <c r="CK10" i="11"/>
  <c r="B48" i="4"/>
  <c r="BP5" i="5"/>
  <c r="H6" i="8"/>
  <c r="H7" i="8" s="1"/>
  <c r="P5" i="2"/>
  <c r="AR3" i="5"/>
  <c r="CQ12" i="5"/>
  <c r="CS70" i="5"/>
  <c r="CS113" i="5"/>
  <c r="CS60" i="5"/>
  <c r="CR119" i="5"/>
  <c r="CQ89" i="5"/>
  <c r="CR116" i="5"/>
  <c r="CQ115" i="5"/>
  <c r="CV113" i="5"/>
  <c r="CQ19" i="5"/>
  <c r="CP123" i="5"/>
  <c r="CS63" i="5"/>
  <c r="CR85" i="5"/>
  <c r="CR53" i="5"/>
  <c r="CT77" i="5"/>
  <c r="CQ70" i="5"/>
  <c r="CV100" i="5"/>
  <c r="CU99" i="5"/>
  <c r="CT98" i="5"/>
  <c r="CU29" i="5"/>
  <c r="CQ53" i="5"/>
  <c r="CV74" i="5"/>
  <c r="CU43" i="5"/>
  <c r="CV64" i="5"/>
  <c r="CV50" i="5"/>
  <c r="CV119" i="5"/>
  <c r="CV123" i="5"/>
  <c r="CS123" i="5"/>
  <c r="CR122" i="5"/>
  <c r="CP25" i="5"/>
  <c r="CP67" i="5"/>
  <c r="CP87" i="5"/>
  <c r="CP111" i="5"/>
  <c r="CP129" i="5"/>
  <c r="CQ131" i="5"/>
  <c r="CU130" i="5"/>
  <c r="CU38" i="5"/>
  <c r="CS97" i="5"/>
  <c r="CR132" i="5"/>
  <c r="CS134" i="5"/>
  <c r="CT12" i="5"/>
  <c r="CT64" i="5"/>
  <c r="CR18" i="5"/>
  <c r="CS129" i="5"/>
  <c r="CU74" i="5"/>
  <c r="CQ13" i="5"/>
  <c r="CV117" i="5"/>
  <c r="CQ114" i="5"/>
  <c r="CS62" i="5"/>
  <c r="CU84" i="5"/>
  <c r="CQ93" i="5"/>
  <c r="CV114" i="5"/>
  <c r="CU92" i="5"/>
  <c r="CU113" i="5"/>
  <c r="CT91" i="5"/>
  <c r="CU112" i="5"/>
  <c r="CU132" i="5"/>
  <c r="CV78" i="5"/>
  <c r="CR50" i="5"/>
  <c r="CS71" i="5"/>
  <c r="CR117" i="5"/>
  <c r="CQ102" i="5"/>
  <c r="CR123" i="5"/>
  <c r="CT101" i="5"/>
  <c r="CU122" i="5"/>
  <c r="CV99" i="5"/>
  <c r="CT121" i="5"/>
  <c r="CU6" i="5"/>
  <c r="CR79" i="5"/>
  <c r="CR56" i="5"/>
  <c r="CU41" i="5"/>
  <c r="CU36" i="5"/>
  <c r="CT31" i="5"/>
  <c r="CU25" i="5"/>
  <c r="CS17" i="5"/>
  <c r="CP3" i="5"/>
  <c r="F3" i="5" s="1"/>
  <c r="CY3" i="5" s="1"/>
  <c r="CP44" i="5"/>
  <c r="CP98" i="5"/>
  <c r="CV70" i="5"/>
  <c r="CT36" i="5"/>
  <c r="CQ21" i="5"/>
  <c r="CQ7" i="5"/>
  <c r="CQ60" i="5"/>
  <c r="CQ33" i="5"/>
  <c r="CR15" i="5"/>
  <c r="CR67" i="5"/>
  <c r="CR80" i="5"/>
  <c r="CV86" i="5"/>
  <c r="CR49" i="5"/>
  <c r="CT14" i="5"/>
  <c r="CU46" i="5"/>
  <c r="CV67" i="5"/>
  <c r="CR103" i="5"/>
  <c r="CU57" i="5"/>
  <c r="CR96" i="5"/>
  <c r="CU79" i="5"/>
  <c r="CS110" i="5"/>
  <c r="CV109" i="5"/>
  <c r="CV108" i="5"/>
  <c r="CR22" i="5"/>
  <c r="CP59" i="5"/>
  <c r="CV60" i="5"/>
  <c r="CV81" i="5"/>
  <c r="CU50" i="5"/>
  <c r="CV71" i="5"/>
  <c r="CS64" i="5"/>
  <c r="CQ95" i="5"/>
  <c r="CT94" i="5"/>
  <c r="CS93" i="5"/>
  <c r="CU40" i="5"/>
  <c r="CT50" i="5"/>
  <c r="CU71" i="5"/>
  <c r="CT118" i="5"/>
  <c r="CR62" i="5"/>
  <c r="CU45" i="5"/>
  <c r="CS99" i="5"/>
  <c r="CU118" i="5"/>
  <c r="CR118" i="5"/>
  <c r="CT116" i="5"/>
  <c r="CP21" i="5"/>
  <c r="CP65" i="5"/>
  <c r="CP85" i="5"/>
  <c r="CP109" i="5"/>
  <c r="CP127" i="5"/>
  <c r="CT128" i="5"/>
  <c r="CR128" i="5"/>
  <c r="CU4" i="5"/>
  <c r="CT28" i="5"/>
  <c r="CR124" i="5"/>
  <c r="CV131" i="5"/>
  <c r="CU22" i="5"/>
  <c r="CV11" i="5"/>
  <c r="CR87" i="5"/>
  <c r="CV126" i="5"/>
  <c r="CV9" i="5"/>
  <c r="CR54" i="5"/>
  <c r="CQ8" i="5"/>
  <c r="CR101" i="5"/>
  <c r="CV59" i="5"/>
  <c r="CT81" i="5"/>
  <c r="CT90" i="5"/>
  <c r="CU111" i="5"/>
  <c r="CQ90" i="5"/>
  <c r="CR111" i="5"/>
  <c r="CP89" i="5"/>
  <c r="CQ110" i="5"/>
  <c r="CQ133" i="5"/>
  <c r="CU75" i="5"/>
  <c r="CU47" i="5"/>
  <c r="CV68" i="5"/>
  <c r="CQ107" i="5"/>
  <c r="CT99" i="5"/>
  <c r="CU120" i="5"/>
  <c r="CS98" i="5"/>
  <c r="CR120" i="5"/>
  <c r="CR97" i="5"/>
  <c r="CS118" i="5"/>
  <c r="CT69" i="5"/>
  <c r="CU81" i="5"/>
  <c r="CU58" i="5"/>
  <c r="CS42" i="5"/>
  <c r="CR37" i="5"/>
  <c r="CR32" i="5"/>
  <c r="CS26" i="5"/>
  <c r="CS19" i="5"/>
  <c r="CV5" i="5"/>
  <c r="CP42" i="5"/>
  <c r="CP88" i="5"/>
  <c r="CQ81" i="5"/>
  <c r="CQ37" i="5"/>
  <c r="CQ23" i="5"/>
  <c r="CR10" i="5"/>
  <c r="CT62" i="5"/>
  <c r="CQ35" i="5"/>
  <c r="CS20" i="5"/>
  <c r="CU64" i="5"/>
  <c r="CQ68" i="5"/>
  <c r="CT108" i="5"/>
  <c r="CT10" i="5"/>
  <c r="CQ17" i="5"/>
  <c r="CR44" i="5"/>
  <c r="CR65" i="5"/>
  <c r="CP93" i="5"/>
  <c r="CR55" i="5"/>
  <c r="CQ82" i="5"/>
  <c r="CT74" i="5"/>
  <c r="CR105" i="5"/>
  <c r="CV104" i="5"/>
  <c r="CQ103" i="5"/>
  <c r="CT26" i="5"/>
  <c r="CQ3" i="5"/>
  <c r="G3" i="5" s="1"/>
  <c r="E3" i="7" s="1"/>
  <c r="CR58" i="5"/>
  <c r="CS79" i="5"/>
  <c r="CR48" i="5"/>
  <c r="CR69" i="5"/>
  <c r="CR59" i="5"/>
  <c r="CV89" i="5"/>
  <c r="CS89" i="5"/>
  <c r="CS88" i="5"/>
  <c r="CT130" i="5"/>
  <c r="CQ48" i="5"/>
  <c r="CQ69" i="5"/>
  <c r="CS108" i="5"/>
  <c r="CQ59" i="5"/>
  <c r="CS106" i="5"/>
  <c r="CV82" i="5"/>
  <c r="CT113" i="5"/>
  <c r="CT112" i="5"/>
  <c r="CS111" i="5"/>
  <c r="CP17" i="5"/>
  <c r="CP61" i="5"/>
  <c r="CP83" i="5"/>
  <c r="CP105" i="5"/>
  <c r="CP125" i="5"/>
  <c r="CV125" i="5"/>
  <c r="CT125" i="5"/>
  <c r="CQ15" i="5"/>
  <c r="CQ4" i="5"/>
  <c r="CV25" i="5"/>
  <c r="CR129" i="5"/>
  <c r="CT35" i="5"/>
  <c r="CU24" i="5"/>
  <c r="CR11" i="5"/>
  <c r="CQ135" i="5"/>
  <c r="CR20" i="5"/>
  <c r="CR9" i="5"/>
  <c r="CR41" i="5"/>
  <c r="CQ91" i="5"/>
  <c r="CR57" i="5"/>
  <c r="CS78" i="5"/>
  <c r="CQ88" i="5"/>
  <c r="CQ109" i="5"/>
  <c r="CT87" i="5"/>
  <c r="CU108" i="5"/>
  <c r="CS86" i="5"/>
  <c r="CT107" i="5"/>
  <c r="CT133" i="5"/>
  <c r="CQ73" i="5"/>
  <c r="CV132" i="5"/>
  <c r="CR66" i="5"/>
  <c r="CV96" i="5"/>
  <c r="CS96" i="5"/>
  <c r="CQ118" i="5"/>
  <c r="CV95" i="5"/>
  <c r="CT117" i="5"/>
  <c r="CU94" i="5"/>
  <c r="CV115" i="5"/>
  <c r="CT17" i="5"/>
  <c r="CV94" i="5"/>
  <c r="CR61" i="5"/>
  <c r="CR43" i="5"/>
  <c r="CV37" i="5"/>
  <c r="CV32" i="5"/>
  <c r="CQ27" i="5"/>
  <c r="CR21" i="5"/>
  <c r="CT6" i="5"/>
  <c r="CP36" i="5"/>
  <c r="CP76" i="5"/>
  <c r="CU83" i="5"/>
  <c r="CQ39" i="5"/>
  <c r="CR26" i="5"/>
  <c r="CV10" i="5"/>
  <c r="CR70" i="5"/>
  <c r="CT37" i="5"/>
  <c r="CT21" i="5"/>
  <c r="CS56" i="5"/>
  <c r="CQ57" i="5"/>
  <c r="CS103" i="5"/>
  <c r="CS130" i="5"/>
  <c r="CQ40" i="5"/>
  <c r="CT56" i="5"/>
  <c r="CP57" i="5"/>
  <c r="CP81" i="5"/>
  <c r="CP103" i="5"/>
  <c r="CP121" i="5"/>
  <c r="CT129" i="5"/>
  <c r="CU133" i="5"/>
  <c r="CR25" i="5"/>
  <c r="CS14" i="5"/>
  <c r="CT3" i="5"/>
  <c r="J3" i="5" s="1"/>
  <c r="F3" i="10" s="1"/>
  <c r="CU126" i="5"/>
  <c r="CU51" i="5"/>
  <c r="CV34" i="5"/>
  <c r="CS21" i="5"/>
  <c r="CT132" i="5"/>
  <c r="CS30" i="5"/>
  <c r="CQ22" i="5"/>
  <c r="CU8" i="5"/>
  <c r="CS83" i="5"/>
  <c r="CU54" i="5"/>
  <c r="CV75" i="5"/>
  <c r="CS85" i="5"/>
  <c r="CT106" i="5"/>
  <c r="DF2" i="5"/>
  <c r="CQ2" i="8" s="1"/>
  <c r="CQ106" i="5"/>
  <c r="CV83" i="5"/>
  <c r="CS104" i="5"/>
  <c r="CR127" i="5"/>
  <c r="CQ6" i="5"/>
  <c r="CU116" i="5"/>
  <c r="CQ63" i="5"/>
  <c r="CT86" i="5"/>
  <c r="CU93" i="5"/>
  <c r="CT115" i="5"/>
  <c r="CR93" i="5"/>
  <c r="CS114" i="5"/>
  <c r="CR92" i="5"/>
  <c r="CR113" i="5"/>
  <c r="CR135" i="5"/>
  <c r="CQ105" i="5"/>
  <c r="CV63" i="5"/>
  <c r="CT44" i="5"/>
  <c r="CT38" i="5"/>
  <c r="CS33" i="5"/>
  <c r="CU27" i="5"/>
  <c r="CV21" i="5"/>
  <c r="CT8" i="5"/>
  <c r="CP28" i="5"/>
  <c r="CP74" i="5"/>
  <c r="CV112" i="5"/>
  <c r="CR42" i="5"/>
  <c r="CV26" i="5"/>
  <c r="CV12" i="5"/>
  <c r="CT80" i="5"/>
  <c r="CR38" i="5"/>
  <c r="CV24" i="5"/>
  <c r="CQ46" i="5"/>
  <c r="CT54" i="5"/>
  <c r="CS87" i="5"/>
  <c r="CV106" i="5"/>
  <c r="CP107" i="5"/>
  <c r="CU52" i="5"/>
  <c r="CR100" i="5"/>
  <c r="CR6" i="5"/>
  <c r="CU66" i="5"/>
  <c r="CV84" i="5"/>
  <c r="CR125" i="5"/>
  <c r="CT66" i="5"/>
  <c r="CV85" i="5"/>
  <c r="CV107" i="5"/>
  <c r="CV22" i="5"/>
  <c r="CP43" i="5"/>
  <c r="CR60" i="5"/>
  <c r="CR81" i="5"/>
  <c r="CQ50" i="5"/>
  <c r="CR71" i="5"/>
  <c r="CU63" i="5"/>
  <c r="CS94" i="5"/>
  <c r="CV93" i="5"/>
  <c r="CV92" i="5"/>
  <c r="CR72" i="5"/>
  <c r="CV8" i="5"/>
  <c r="CT52" i="5"/>
  <c r="CR74" i="5"/>
  <c r="CR130" i="5"/>
  <c r="CR64" i="5"/>
  <c r="CP49" i="5"/>
  <c r="CR112" i="5"/>
  <c r="CV121" i="5"/>
  <c r="CS121" i="5"/>
  <c r="CU119" i="5"/>
  <c r="CV42" i="5"/>
  <c r="CQ64" i="5"/>
  <c r="CV87" i="5"/>
  <c r="CV53" i="5"/>
  <c r="CT79" i="5"/>
  <c r="CQ72" i="5"/>
  <c r="CU102" i="5"/>
  <c r="CR102" i="5"/>
  <c r="CT100" i="5"/>
  <c r="CR36" i="5"/>
  <c r="CP9" i="5"/>
  <c r="CP53" i="5"/>
  <c r="CP79" i="5"/>
  <c r="CP101" i="5"/>
  <c r="CP119" i="5"/>
  <c r="CT123" i="5"/>
  <c r="CR131" i="5"/>
  <c r="CQ38" i="5"/>
  <c r="CR27" i="5"/>
  <c r="CU13" i="5"/>
  <c r="CV134" i="5"/>
  <c r="CV133" i="5"/>
  <c r="CQ49" i="5"/>
  <c r="CU31" i="5"/>
  <c r="CV129" i="5"/>
  <c r="CS43" i="5"/>
  <c r="CS32" i="5"/>
  <c r="CV18" i="5"/>
  <c r="CV80" i="5"/>
  <c r="CR52" i="5"/>
  <c r="CR73" i="5"/>
  <c r="CQ125" i="5"/>
  <c r="CQ104" i="5"/>
  <c r="CU125" i="5"/>
  <c r="CT103" i="5"/>
  <c r="CU124" i="5"/>
  <c r="CU101" i="5"/>
  <c r="CV124" i="5"/>
  <c r="CV56" i="5"/>
  <c r="CV103" i="5"/>
  <c r="CT60" i="5"/>
  <c r="CR82" i="5"/>
  <c r="CR91" i="5"/>
  <c r="CS112" i="5"/>
  <c r="CU90" i="5"/>
  <c r="CV111" i="5"/>
  <c r="CT89" i="5"/>
  <c r="CU110" i="5"/>
  <c r="CU135" i="5"/>
  <c r="CS115" i="5"/>
  <c r="CS66" i="5"/>
  <c r="CV45" i="5"/>
  <c r="CR39" i="5"/>
  <c r="CQ34" i="5"/>
  <c r="CS28" i="5"/>
  <c r="CT22" i="5"/>
  <c r="CQ11" i="5"/>
  <c r="CP26" i="5"/>
  <c r="CP68" i="5"/>
  <c r="CP128" i="5"/>
  <c r="CQ43" i="5"/>
  <c r="CV28" i="5"/>
  <c r="CS15" i="5"/>
  <c r="CQ83" i="5"/>
  <c r="CR40" i="5"/>
  <c r="CS27" i="5"/>
  <c r="CT43" i="5"/>
  <c r="CV46" i="5"/>
  <c r="CU77" i="5"/>
  <c r="CQ101" i="5"/>
  <c r="CQ112" i="5"/>
  <c r="CU62" i="5"/>
  <c r="CS69" i="5"/>
  <c r="CV97" i="5"/>
  <c r="CT45" i="5"/>
  <c r="CS133" i="5"/>
  <c r="CQ98" i="5"/>
  <c r="CS107" i="5"/>
  <c r="CR4" i="5"/>
  <c r="CT57" i="5"/>
  <c r="CU78" i="5"/>
  <c r="CT47" i="5"/>
  <c r="CU68" i="5"/>
  <c r="CT58" i="5"/>
  <c r="CR89" i="5"/>
  <c r="CV88" i="5"/>
  <c r="CU87" i="5"/>
  <c r="CQ128" i="5"/>
  <c r="CS11" i="5"/>
  <c r="CV49" i="5"/>
  <c r="CQ71" i="5"/>
  <c r="CQ116" i="5"/>
  <c r="CT61" i="5"/>
  <c r="CU121" i="5"/>
  <c r="CU91" i="5"/>
  <c r="CV116" i="5"/>
  <c r="CU115" i="5"/>
  <c r="CT114" i="5"/>
  <c r="CP75" i="5"/>
  <c r="CS61" i="5"/>
  <c r="CT82" i="5"/>
  <c r="CS51" i="5"/>
  <c r="CU73" i="5"/>
  <c r="CV66" i="5"/>
  <c r="CT97" i="5"/>
  <c r="CT96" i="5"/>
  <c r="CS95" i="5"/>
  <c r="CS7" i="5"/>
  <c r="CP4" i="5"/>
  <c r="CP41" i="5"/>
  <c r="CP77" i="5"/>
  <c r="CP99" i="5"/>
  <c r="CP117" i="5"/>
  <c r="CP135" i="5"/>
  <c r="CU128" i="5"/>
  <c r="CV61" i="5"/>
  <c r="CS37" i="5"/>
  <c r="CQ24" i="5"/>
  <c r="CU131" i="5"/>
  <c r="CS131" i="5"/>
  <c r="CU107" i="5"/>
  <c r="CV41" i="5"/>
  <c r="CS127" i="5"/>
  <c r="CS82" i="5"/>
  <c r="CT42" i="5"/>
  <c r="CQ29" i="5"/>
  <c r="CR78" i="5"/>
  <c r="CT49" i="5"/>
  <c r="CU70" i="5"/>
  <c r="CU114" i="5"/>
  <c r="CS101" i="5"/>
  <c r="CT122" i="5"/>
  <c r="CS100" i="5"/>
  <c r="CQ122" i="5"/>
  <c r="CR99" i="5"/>
  <c r="CS120" i="5"/>
  <c r="CT19" i="5"/>
  <c r="CT93" i="5"/>
  <c r="CV57" i="5"/>
  <c r="CQ79" i="5"/>
  <c r="CU88" i="5"/>
  <c r="CU109" i="5"/>
  <c r="CR88" i="5"/>
  <c r="CR109" i="5"/>
  <c r="CQ87" i="5"/>
  <c r="CR108" i="5"/>
  <c r="CS125" i="5"/>
  <c r="CU127" i="5"/>
  <c r="CT71" i="5"/>
  <c r="CT48" i="5"/>
  <c r="CV39" i="5"/>
  <c r="CU34" i="5"/>
  <c r="CT29" i="5"/>
  <c r="CV23" i="5"/>
  <c r="CU11" i="5"/>
  <c r="CP20" i="5"/>
  <c r="CP60" i="5"/>
  <c r="CP124" i="5"/>
  <c r="CV47" i="5"/>
  <c r="CS31" i="5"/>
  <c r="CQ16" i="5"/>
  <c r="CR110" i="5"/>
  <c r="CU42" i="5"/>
  <c r="CQ28" i="5"/>
  <c r="CV4" i="5"/>
  <c r="CU100" i="5"/>
  <c r="CU72" i="5"/>
  <c r="CU85" i="5"/>
  <c r="CU19" i="5"/>
  <c r="CQ84" i="5"/>
  <c r="CS76" i="5"/>
  <c r="CQ99" i="5"/>
  <c r="CQ55" i="5"/>
  <c r="CV76" i="5"/>
  <c r="CQ54" i="5"/>
  <c r="CQ134" i="5"/>
  <c r="CS45" i="5"/>
  <c r="CQ77" i="5"/>
  <c r="CR106" i="5"/>
  <c r="CP13" i="5"/>
  <c r="CV6" i="5"/>
  <c r="CS54" i="5"/>
  <c r="CR76" i="5"/>
  <c r="CP45" i="5"/>
  <c r="CQ66" i="5"/>
  <c r="CS53" i="5"/>
  <c r="CR84" i="5"/>
  <c r="CV130" i="5"/>
  <c r="CT131" i="5"/>
  <c r="CU134" i="5"/>
  <c r="CV13" i="5"/>
  <c r="CS47" i="5"/>
  <c r="CT68" i="5"/>
  <c r="CU105" i="5"/>
  <c r="CS58" i="5"/>
  <c r="CU98" i="5"/>
  <c r="CS80" i="5"/>
  <c r="CQ111" i="5"/>
  <c r="CT110" i="5"/>
  <c r="CS109" i="5"/>
  <c r="CP5" i="5"/>
  <c r="CV58" i="5"/>
  <c r="CQ80" i="5"/>
  <c r="CV48" i="5"/>
  <c r="CV69" i="5"/>
  <c r="CQ61" i="5"/>
  <c r="CV91" i="5"/>
  <c r="CS91" i="5"/>
  <c r="CR90" i="5"/>
  <c r="CT127" i="5"/>
  <c r="CP33" i="5"/>
  <c r="CP73" i="5"/>
  <c r="CP97" i="5"/>
  <c r="CP115" i="5"/>
  <c r="CP133" i="5"/>
  <c r="CQ126" i="5"/>
  <c r="CV135" i="5"/>
  <c r="CS59" i="5"/>
  <c r="CR34" i="5"/>
  <c r="CQ129" i="5"/>
  <c r="CV128" i="5"/>
  <c r="CQ31" i="5"/>
  <c r="CR77" i="5"/>
  <c r="CT135" i="5"/>
  <c r="CT134" i="5"/>
  <c r="CV79" i="5"/>
  <c r="CS39" i="5"/>
  <c r="CQ75" i="5"/>
  <c r="CQ47" i="5"/>
  <c r="CR68" i="5"/>
  <c r="CT104" i="5"/>
  <c r="CV98" i="5"/>
  <c r="CQ120" i="5"/>
  <c r="CU97" i="5"/>
  <c r="CT119" i="5"/>
  <c r="CU96" i="5"/>
  <c r="CU117" i="5"/>
  <c r="CU15" i="5"/>
  <c r="CS84" i="5"/>
  <c r="CS55" i="5"/>
  <c r="CT76" i="5"/>
  <c r="CQ86" i="5"/>
  <c r="CR107" i="5"/>
  <c r="CT85" i="5"/>
  <c r="CU106" i="5"/>
  <c r="CT84" i="5"/>
  <c r="CT105" i="5"/>
  <c r="CV127" i="5"/>
  <c r="CT33" i="5"/>
  <c r="CQ74" i="5"/>
  <c r="CQ51" i="5"/>
  <c r="CT40" i="5"/>
  <c r="CS35" i="5"/>
  <c r="CR30" i="5"/>
  <c r="CT24" i="5"/>
  <c r="CR14" i="5"/>
  <c r="CP12" i="5"/>
  <c r="CP58" i="5"/>
  <c r="CP114" i="5"/>
  <c r="CU60" i="5"/>
  <c r="CQ32" i="5"/>
  <c r="CV17" i="5"/>
  <c r="CS4" i="5"/>
  <c r="CV43" i="5"/>
  <c r="CV29" i="5"/>
  <c r="CQ10" i="5"/>
  <c r="CS90" i="5"/>
  <c r="CU56" i="5"/>
  <c r="E22" i="4"/>
  <c r="D22" i="4"/>
  <c r="C22" i="4"/>
  <c r="E23" i="4"/>
  <c r="D23" i="4"/>
  <c r="A32" i="6"/>
  <c r="DI3" i="5"/>
  <c r="DI4" i="5" s="1"/>
  <c r="E2" i="8"/>
  <c r="CR23" i="5"/>
  <c r="CQ18" i="5"/>
  <c r="CS12" i="5"/>
  <c r="CR7" i="5"/>
  <c r="CP8" i="5"/>
  <c r="CP24" i="5"/>
  <c r="CP40" i="5"/>
  <c r="CP56" i="5"/>
  <c r="CP72" i="5"/>
  <c r="CP96" i="5"/>
  <c r="CP120" i="5"/>
  <c r="CS92" i="5"/>
  <c r="CU65" i="5"/>
  <c r="CQ44" i="5"/>
  <c r="CU37" i="5"/>
  <c r="CU32" i="5"/>
  <c r="CT27" i="5"/>
  <c r="CU21" i="5"/>
  <c r="CU16" i="5"/>
  <c r="CT11" i="5"/>
  <c r="CU5" i="5"/>
  <c r="CU89" i="5"/>
  <c r="CQ65" i="5"/>
  <c r="CQ45" i="5"/>
  <c r="CV38" i="5"/>
  <c r="CU33" i="5"/>
  <c r="CU28" i="5"/>
  <c r="CT23" i="5"/>
  <c r="CU12" i="5"/>
  <c r="CP91" i="5"/>
  <c r="CQ62" i="5"/>
  <c r="CR83" i="5"/>
  <c r="CQ52" i="5"/>
  <c r="CS74" i="5"/>
  <c r="CT67" i="5"/>
  <c r="CR98" i="5"/>
  <c r="CQ97" i="5"/>
  <c r="CQ96" i="5"/>
  <c r="CU44" i="5"/>
  <c r="A34" i="4"/>
  <c r="I34" i="4" s="1"/>
  <c r="AF2" i="8"/>
  <c r="CU18" i="5"/>
  <c r="CT13" i="5"/>
  <c r="CV7" i="5"/>
  <c r="CP6" i="5"/>
  <c r="CP22" i="5"/>
  <c r="CP38" i="5"/>
  <c r="CP54" i="5"/>
  <c r="CP70" i="5"/>
  <c r="CP92" i="5"/>
  <c r="CP116" i="5"/>
  <c r="CT102" i="5"/>
  <c r="CS68" i="5"/>
  <c r="CR45" i="5"/>
  <c r="CS38" i="5"/>
  <c r="CR33" i="5"/>
  <c r="CR28" i="5"/>
  <c r="CS22" i="5"/>
  <c r="CR17" i="5"/>
  <c r="CR12" i="5"/>
  <c r="CS6" i="5"/>
  <c r="CQ100" i="5"/>
  <c r="CU67" i="5"/>
  <c r="CR47" i="5"/>
  <c r="CT39" i="5"/>
  <c r="CS34" i="5"/>
  <c r="CR29" i="5"/>
  <c r="CR24" i="5"/>
  <c r="CR13" i="5"/>
  <c r="CU3" i="5"/>
  <c r="K3" i="5" s="1"/>
  <c r="CT59" i="5"/>
  <c r="CU80" i="5"/>
  <c r="CS49" i="5"/>
  <c r="CT70" i="5"/>
  <c r="CU61" i="5"/>
  <c r="CT92" i="5"/>
  <c r="CQ92" i="5"/>
  <c r="CV90" i="5"/>
  <c r="CQ130" i="5"/>
  <c r="CQ20" i="5"/>
  <c r="CV14" i="5"/>
  <c r="CQ9" i="5"/>
  <c r="CS3" i="5"/>
  <c r="I3" i="5" s="1"/>
  <c r="CP18" i="5"/>
  <c r="CP34" i="5"/>
  <c r="CP50" i="5"/>
  <c r="CP66" i="5"/>
  <c r="CP84" i="5"/>
  <c r="CP112" i="5"/>
  <c r="CQ123" i="5"/>
  <c r="CS73" i="5"/>
  <c r="CS50" i="5"/>
  <c r="CU39" i="5"/>
  <c r="CT34" i="5"/>
  <c r="CS29" i="5"/>
  <c r="CU23" i="5"/>
  <c r="CT18" i="5"/>
  <c r="CS13" i="5"/>
  <c r="CU7" i="5"/>
  <c r="CT120" i="5"/>
  <c r="CV72" i="5"/>
  <c r="CS52" i="5"/>
  <c r="CV40" i="5"/>
  <c r="CU35" i="5"/>
  <c r="CT30" i="5"/>
  <c r="CS25" i="5"/>
  <c r="CV15" i="5"/>
  <c r="CT5" i="5"/>
  <c r="CU53" i="5"/>
  <c r="CT75" i="5"/>
  <c r="CS44" i="5"/>
  <c r="CS65" i="5"/>
  <c r="CT51" i="5"/>
  <c r="CS122" i="5"/>
  <c r="CT124" i="5"/>
  <c r="CQ124" i="5"/>
  <c r="CV122" i="5"/>
  <c r="BF2" i="8"/>
  <c r="M2" i="2"/>
  <c r="CU20" i="5"/>
  <c r="CT15" i="5"/>
  <c r="CU9" i="5"/>
  <c r="CT4" i="5"/>
  <c r="CP16" i="5"/>
  <c r="CP32" i="5"/>
  <c r="CP48" i="5"/>
  <c r="CP64" i="5"/>
  <c r="CP82" i="5"/>
  <c r="CP108" i="5"/>
  <c r="CP132" i="5"/>
  <c r="CQ76" i="5"/>
  <c r="CT55" i="5"/>
  <c r="CS40" i="5"/>
  <c r="CR35" i="5"/>
  <c r="CQ30" i="5"/>
  <c r="CS24" i="5"/>
  <c r="CR19" i="5"/>
  <c r="CQ14" i="5"/>
  <c r="CS8" i="5"/>
  <c r="CR3" i="5"/>
  <c r="H3" i="5" s="1"/>
  <c r="CS75" i="5"/>
  <c r="CV54" i="5"/>
  <c r="CS41" i="5"/>
  <c r="CS36" i="5"/>
  <c r="CR31" i="5"/>
  <c r="CQ26" i="5"/>
  <c r="CU17" i="5"/>
  <c r="CT7" i="5"/>
  <c r="CR51" i="5"/>
  <c r="CS72" i="5"/>
  <c r="CQ121" i="5"/>
  <c r="CV62" i="5"/>
  <c r="CS46" i="5"/>
  <c r="CV101" i="5"/>
  <c r="CS119" i="5"/>
  <c r="CV118" i="5"/>
  <c r="CQ117" i="5"/>
  <c r="CR16" i="5"/>
  <c r="CS10" i="5"/>
  <c r="CR5" i="5"/>
  <c r="CP14" i="5"/>
  <c r="CP30" i="5"/>
  <c r="CP46" i="5"/>
  <c r="CP62" i="5"/>
  <c r="CP80" i="5"/>
  <c r="CP104" i="5"/>
  <c r="CP130" i="5"/>
  <c r="CT78" i="5"/>
  <c r="CQ58" i="5"/>
  <c r="CT41" i="5"/>
  <c r="CV35" i="5"/>
  <c r="CU30" i="5"/>
  <c r="CT25" i="5"/>
  <c r="CV19" i="5"/>
  <c r="CU14" i="5"/>
  <c r="CT9" i="5"/>
  <c r="CV3" i="5"/>
  <c r="L3" i="5" s="1"/>
  <c r="CV77" i="5"/>
  <c r="CS57" i="5"/>
  <c r="CQ42" i="5"/>
  <c r="CP37" i="5"/>
  <c r="CV31" i="5"/>
  <c r="CU26" i="5"/>
  <c r="CS18" i="5"/>
  <c r="CR8" i="5"/>
  <c r="CU48" i="5"/>
  <c r="CU69" i="5"/>
  <c r="CV110" i="5"/>
  <c r="CU59" i="5"/>
  <c r="CT111" i="5"/>
  <c r="CT83" i="5"/>
  <c r="CR114" i="5"/>
  <c r="CQ113" i="5"/>
  <c r="CP134" i="5"/>
  <c r="CP126" i="5"/>
  <c r="CP122" i="5"/>
  <c r="CP118" i="5"/>
  <c r="CP110" i="5"/>
  <c r="CP106" i="5"/>
  <c r="CP102" i="5"/>
  <c r="CP94" i="5"/>
  <c r="CP90" i="5"/>
  <c r="CP86" i="5"/>
  <c r="CP78" i="5"/>
  <c r="CP71" i="5"/>
  <c r="CP63" i="5"/>
  <c r="CP55" i="5"/>
  <c r="CP51" i="5"/>
  <c r="CP47" i="5"/>
  <c r="CP39" i="5"/>
  <c r="CP35" i="5"/>
  <c r="CP31" i="5"/>
  <c r="CP27" i="5"/>
  <c r="CP23" i="5"/>
  <c r="CP19" i="5"/>
  <c r="CP15" i="5"/>
  <c r="CP11" i="5"/>
  <c r="CP7" i="5"/>
  <c r="BJ4" i="5"/>
  <c r="BJ5" i="5" s="1"/>
  <c r="BJ6" i="5" s="1"/>
  <c r="BJ7" i="5" s="1"/>
  <c r="BJ8" i="5" s="1"/>
  <c r="BJ9" i="5" s="1"/>
  <c r="BJ10" i="5" s="1"/>
  <c r="BJ11" i="5" s="1"/>
  <c r="BJ12" i="5" s="1"/>
  <c r="BJ13" i="5" s="1"/>
  <c r="BJ14" i="5" s="1"/>
  <c r="BJ15" i="5" s="1"/>
  <c r="BJ16" i="5" s="1"/>
  <c r="BJ17" i="5" s="1"/>
  <c r="BJ18" i="5" s="1"/>
  <c r="BJ19" i="5" s="1"/>
  <c r="BJ20" i="5" s="1"/>
  <c r="BJ21" i="5" s="1"/>
  <c r="BJ22" i="5" s="1"/>
  <c r="BJ23" i="5" s="1"/>
  <c r="BJ24" i="5" s="1"/>
  <c r="BJ25" i="5" s="1"/>
  <c r="BJ26" i="5" s="1"/>
  <c r="BJ27" i="5" s="1"/>
  <c r="BJ28" i="5" s="1"/>
  <c r="BJ29" i="5" s="1"/>
  <c r="BJ30" i="5" s="1"/>
  <c r="BJ31" i="5" s="1"/>
  <c r="BJ32" i="5" s="1"/>
  <c r="BJ33" i="5" s="1"/>
  <c r="BJ34" i="5" s="1"/>
  <c r="BJ35" i="5" s="1"/>
  <c r="BJ36" i="5" s="1"/>
  <c r="BJ37" i="5" s="1"/>
  <c r="BJ38" i="5" s="1"/>
  <c r="BJ39" i="5" s="1"/>
  <c r="BJ40" i="5" s="1"/>
  <c r="BJ41" i="5" s="1"/>
  <c r="BJ42" i="5" s="1"/>
  <c r="BJ43" i="5" s="1"/>
  <c r="BJ44" i="5" s="1"/>
  <c r="BJ45" i="5" s="1"/>
  <c r="BJ46" i="5" s="1"/>
  <c r="BJ47" i="5" s="1"/>
  <c r="BJ48" i="5" s="1"/>
  <c r="BJ49" i="5" s="1"/>
  <c r="BJ50" i="5" s="1"/>
  <c r="BJ51" i="5" s="1"/>
  <c r="BJ52" i="5" s="1"/>
  <c r="BJ53" i="5" s="1"/>
  <c r="BJ54" i="5" s="1"/>
  <c r="BJ55" i="5" s="1"/>
  <c r="BJ56" i="5" s="1"/>
  <c r="BJ57" i="5" s="1"/>
  <c r="BJ58" i="5" s="1"/>
  <c r="BJ59" i="5" s="1"/>
  <c r="BJ60" i="5" s="1"/>
  <c r="BJ61" i="5" s="1"/>
  <c r="BJ62" i="5" s="1"/>
  <c r="BJ63" i="5" s="1"/>
  <c r="BJ64" i="5" s="1"/>
  <c r="BJ65" i="5" s="1"/>
  <c r="BJ66" i="5" s="1"/>
  <c r="BJ67" i="5" s="1"/>
  <c r="BJ68" i="5" s="1"/>
  <c r="BJ69" i="5" s="1"/>
  <c r="BJ70" i="5" s="1"/>
  <c r="BJ71" i="5" s="1"/>
  <c r="BJ72" i="5" s="1"/>
  <c r="BJ73" i="5" s="1"/>
  <c r="BJ74" i="5" s="1"/>
  <c r="BJ75" i="5" s="1"/>
  <c r="BJ76" i="5" s="1"/>
  <c r="BJ77" i="5" s="1"/>
  <c r="BJ78" i="5" s="1"/>
  <c r="BJ79" i="5" s="1"/>
  <c r="BJ80" i="5" s="1"/>
  <c r="BJ81" i="5" s="1"/>
  <c r="BJ82" i="5" s="1"/>
  <c r="BJ83" i="5" s="1"/>
  <c r="BJ84" i="5" s="1"/>
  <c r="BJ85" i="5" s="1"/>
  <c r="BJ86" i="5" s="1"/>
  <c r="BJ87" i="5" s="1"/>
  <c r="BJ88" i="5" s="1"/>
  <c r="BJ89" i="5" s="1"/>
  <c r="BJ90" i="5" s="1"/>
  <c r="BJ91" i="5" s="1"/>
  <c r="BJ92" i="5" s="1"/>
  <c r="BJ93" i="5" s="1"/>
  <c r="BJ94" i="5" s="1"/>
  <c r="BJ95" i="5" s="1"/>
  <c r="BJ96" i="5" s="1"/>
  <c r="BJ97" i="5" s="1"/>
  <c r="BJ98" i="5" s="1"/>
  <c r="BJ99" i="5" s="1"/>
  <c r="BJ100" i="5" s="1"/>
  <c r="BJ101" i="5" s="1"/>
  <c r="BJ102" i="5" s="1"/>
  <c r="BJ103" i="5" s="1"/>
  <c r="BJ104" i="5" s="1"/>
  <c r="BJ105" i="5" s="1"/>
  <c r="BJ106" i="5" s="1"/>
  <c r="BJ107" i="5" s="1"/>
  <c r="BJ108" i="5" s="1"/>
  <c r="BJ109" i="5" s="1"/>
  <c r="BJ110" i="5" s="1"/>
  <c r="BJ111" i="5" s="1"/>
  <c r="BJ112" i="5" s="1"/>
  <c r="BJ113" i="5" s="1"/>
  <c r="BJ114" i="5" s="1"/>
  <c r="BJ115" i="5" s="1"/>
  <c r="BJ116" i="5" s="1"/>
  <c r="BJ117" i="5" s="1"/>
  <c r="BJ118" i="5" s="1"/>
  <c r="BJ119" i="5" s="1"/>
  <c r="BJ120" i="5" s="1"/>
  <c r="BJ121" i="5" s="1"/>
  <c r="BJ122" i="5" s="1"/>
  <c r="BJ123" i="5" s="1"/>
  <c r="BJ124" i="5" s="1"/>
  <c r="BJ125" i="5" s="1"/>
  <c r="BJ126" i="5" s="1"/>
  <c r="BJ127" i="5" s="1"/>
  <c r="BJ128" i="5" s="1"/>
  <c r="BJ129" i="5" s="1"/>
  <c r="BJ130" i="5" s="1"/>
  <c r="BJ131" i="5" s="1"/>
  <c r="BJ132" i="5" s="1"/>
  <c r="BJ133" i="5" s="1"/>
  <c r="BJ134" i="5" s="1"/>
  <c r="BJ135" i="5" s="1"/>
  <c r="E55" i="4"/>
  <c r="E63" i="4"/>
  <c r="E50" i="4"/>
  <c r="E56" i="4"/>
  <c r="E60" i="4"/>
  <c r="E54" i="4"/>
  <c r="E57" i="4"/>
  <c r="AY7" i="5"/>
  <c r="BE4" i="5"/>
  <c r="AE3" i="1" s="1"/>
  <c r="B3" i="5"/>
  <c r="J3" i="2"/>
  <c r="BA5" i="5"/>
  <c r="BK5" i="5"/>
  <c r="AD4" i="1" s="1"/>
  <c r="G6" i="8"/>
  <c r="DE5" i="8"/>
  <c r="BN6" i="5"/>
  <c r="AF5" i="1" s="1"/>
  <c r="BT3" i="5"/>
  <c r="BT4" i="5" s="1"/>
  <c r="BT5" i="5" s="1"/>
  <c r="BT6" i="5" s="1"/>
  <c r="BT7" i="5" s="1"/>
  <c r="BT8" i="5" s="1"/>
  <c r="BT9" i="5" s="1"/>
  <c r="BT10" i="5" s="1"/>
  <c r="BT11" i="5" s="1"/>
  <c r="BT12" i="5" s="1"/>
  <c r="BT13" i="5" s="1"/>
  <c r="BT14" i="5" s="1"/>
  <c r="BT15" i="5" s="1"/>
  <c r="BT16" i="5" s="1"/>
  <c r="BT17" i="5" s="1"/>
  <c r="BT18" i="5" s="1"/>
  <c r="BT19" i="5" s="1"/>
  <c r="BT20" i="5" s="1"/>
  <c r="BT21" i="5" s="1"/>
  <c r="BT22" i="5" s="1"/>
  <c r="BT23" i="5" s="1"/>
  <c r="BT24" i="5" s="1"/>
  <c r="BT25" i="5" s="1"/>
  <c r="BT26" i="5" s="1"/>
  <c r="BT27" i="5" s="1"/>
  <c r="BT28" i="5" s="1"/>
  <c r="BT29" i="5" s="1"/>
  <c r="BT30" i="5" s="1"/>
  <c r="BT31" i="5" s="1"/>
  <c r="BT32" i="5" s="1"/>
  <c r="BT33" i="5" s="1"/>
  <c r="BT34" i="5" s="1"/>
  <c r="BT35" i="5" s="1"/>
  <c r="BT36" i="5" s="1"/>
  <c r="BT37" i="5" s="1"/>
  <c r="BT38" i="5" s="1"/>
  <c r="BT39" i="5" s="1"/>
  <c r="BT40" i="5" s="1"/>
  <c r="BT41" i="5" s="1"/>
  <c r="BT42" i="5" s="1"/>
  <c r="BT43" i="5" s="1"/>
  <c r="BT44" i="5" s="1"/>
  <c r="BT45" i="5" s="1"/>
  <c r="BT46" i="5" s="1"/>
  <c r="BT47" i="5" s="1"/>
  <c r="BT48" i="5" s="1"/>
  <c r="BT49" i="5" s="1"/>
  <c r="BT50" i="5" s="1"/>
  <c r="BT51" i="5" s="1"/>
  <c r="BT52" i="5" s="1"/>
  <c r="BT53" i="5" s="1"/>
  <c r="BT54" i="5" s="1"/>
  <c r="BT55" i="5" s="1"/>
  <c r="BT56" i="5" s="1"/>
  <c r="BT57" i="5" s="1"/>
  <c r="BT58" i="5" s="1"/>
  <c r="BT59" i="5" s="1"/>
  <c r="BT60" i="5" s="1"/>
  <c r="BT61" i="5" s="1"/>
  <c r="BT62" i="5" s="1"/>
  <c r="BT63" i="5" s="1"/>
  <c r="BT64" i="5" s="1"/>
  <c r="BT65" i="5" s="1"/>
  <c r="BT66" i="5" s="1"/>
  <c r="BT67" i="5" s="1"/>
  <c r="BT68" i="5" s="1"/>
  <c r="BT69" i="5" s="1"/>
  <c r="BT70" i="5" s="1"/>
  <c r="BT71" i="5" s="1"/>
  <c r="BT72" i="5" s="1"/>
  <c r="BT73" i="5" s="1"/>
  <c r="BT74" i="5" s="1"/>
  <c r="BT75" i="5" s="1"/>
  <c r="BT76" i="5" s="1"/>
  <c r="BT77" i="5" s="1"/>
  <c r="BT78" i="5" s="1"/>
  <c r="BT79" i="5" s="1"/>
  <c r="BT80" i="5" s="1"/>
  <c r="BT81" i="5" s="1"/>
  <c r="BT82" i="5" s="1"/>
  <c r="BT83" i="5" s="1"/>
  <c r="BT84" i="5" s="1"/>
  <c r="BT85" i="5" s="1"/>
  <c r="BT86" i="5" s="1"/>
  <c r="BT87" i="5" s="1"/>
  <c r="BT88" i="5" s="1"/>
  <c r="BT89" i="5" s="1"/>
  <c r="BT90" i="5" s="1"/>
  <c r="BT91" i="5" s="1"/>
  <c r="BT92" i="5" s="1"/>
  <c r="BT93" i="5" s="1"/>
  <c r="BT94" i="5" s="1"/>
  <c r="BT95" i="5" s="1"/>
  <c r="BT96" i="5" s="1"/>
  <c r="BT97" i="5" s="1"/>
  <c r="BT98" i="5" s="1"/>
  <c r="BT99" i="5" s="1"/>
  <c r="BT100" i="5" s="1"/>
  <c r="BT101" i="5" s="1"/>
  <c r="BT102" i="5" s="1"/>
  <c r="BT103" i="5" s="1"/>
  <c r="BT104" i="5" s="1"/>
  <c r="BT105" i="5" s="1"/>
  <c r="BT106" i="5" s="1"/>
  <c r="BT107" i="5" s="1"/>
  <c r="BT108" i="5" s="1"/>
  <c r="BT109" i="5" s="1"/>
  <c r="BT110" i="5" s="1"/>
  <c r="BT111" i="5" s="1"/>
  <c r="BT112" i="5" s="1"/>
  <c r="BT113" i="5" s="1"/>
  <c r="BT114" i="5" s="1"/>
  <c r="BT115" i="5" s="1"/>
  <c r="BT116" i="5" s="1"/>
  <c r="BT117" i="5" s="1"/>
  <c r="BT118" i="5" s="1"/>
  <c r="BT119" i="5" s="1"/>
  <c r="BT120" i="5" s="1"/>
  <c r="BT121" i="5" s="1"/>
  <c r="BT122" i="5" s="1"/>
  <c r="BT123" i="5" s="1"/>
  <c r="BT124" i="5" s="1"/>
  <c r="BT125" i="5" s="1"/>
  <c r="BT126" i="5" s="1"/>
  <c r="BT127" i="5" s="1"/>
  <c r="BT128" i="5" s="1"/>
  <c r="BT129" i="5" s="1"/>
  <c r="BT130" i="5" s="1"/>
  <c r="BT131" i="5" s="1"/>
  <c r="BT132" i="5" s="1"/>
  <c r="BT133" i="5" s="1"/>
  <c r="BT134" i="5" s="1"/>
  <c r="BT135" i="5" s="1"/>
  <c r="E3" i="9"/>
  <c r="K6" i="8"/>
  <c r="S5" i="2"/>
  <c r="AJ28" i="1"/>
  <c r="AJ72" i="1"/>
  <c r="AJ82" i="1"/>
  <c r="AJ65" i="1"/>
  <c r="AJ29" i="1"/>
  <c r="AJ5" i="1"/>
  <c r="AJ94" i="1"/>
  <c r="AJ88" i="1"/>
  <c r="AJ41" i="1"/>
  <c r="AJ21" i="1"/>
  <c r="AJ129" i="1"/>
  <c r="AJ77" i="1"/>
  <c r="AJ44" i="1"/>
  <c r="AJ54" i="1"/>
  <c r="AJ33" i="1"/>
  <c r="AJ25" i="1"/>
  <c r="AJ81" i="1"/>
  <c r="AJ74" i="1"/>
  <c r="AJ17" i="1"/>
  <c r="AJ12" i="1"/>
  <c r="AJ18" i="1"/>
  <c r="AJ7" i="1"/>
  <c r="AJ39" i="1"/>
  <c r="AJ63" i="1"/>
  <c r="AJ60" i="1"/>
  <c r="AJ27" i="1"/>
  <c r="AJ47" i="1"/>
  <c r="AJ56" i="1"/>
  <c r="AJ31" i="1"/>
  <c r="AJ57" i="1"/>
  <c r="AJ49" i="1"/>
  <c r="AJ80" i="1"/>
  <c r="AJ22" i="1"/>
  <c r="AJ15" i="1"/>
  <c r="AJ73" i="1"/>
  <c r="AJ71" i="1"/>
  <c r="AJ58" i="1"/>
  <c r="AJ3" i="1"/>
  <c r="AJ24" i="1"/>
  <c r="AJ6" i="1"/>
  <c r="AJ61" i="1"/>
  <c r="AJ62" i="1"/>
  <c r="AJ36" i="1"/>
  <c r="AJ66" i="1"/>
  <c r="AJ86" i="1"/>
  <c r="AJ20" i="1"/>
  <c r="AJ50" i="1"/>
  <c r="AJ46" i="1"/>
  <c r="AJ78" i="1"/>
  <c r="AJ32" i="1"/>
  <c r="AJ45" i="1"/>
  <c r="AJ76" i="1"/>
  <c r="AJ70" i="1"/>
  <c r="AJ38" i="1"/>
  <c r="AJ48" i="1"/>
  <c r="AJ4" i="1"/>
  <c r="AJ87" i="1"/>
  <c r="AJ9" i="1"/>
  <c r="AJ84" i="1"/>
  <c r="AJ64" i="1"/>
  <c r="AJ35" i="1"/>
  <c r="AJ14" i="1"/>
  <c r="AJ42" i="1"/>
  <c r="AJ10" i="1"/>
  <c r="AJ30" i="1"/>
  <c r="AJ51" i="1"/>
  <c r="AJ83" i="1"/>
  <c r="AJ40" i="1"/>
  <c r="AJ26" i="1"/>
  <c r="AJ67" i="1"/>
  <c r="AJ52" i="1"/>
  <c r="AJ75" i="1"/>
  <c r="AJ37" i="1"/>
  <c r="AJ79" i="1"/>
  <c r="AJ8" i="1"/>
  <c r="AJ23" i="1"/>
  <c r="AJ19" i="1"/>
  <c r="AJ55" i="1"/>
  <c r="AJ68" i="1"/>
  <c r="AJ59" i="1"/>
  <c r="AJ16" i="1"/>
  <c r="AJ53" i="1"/>
  <c r="AJ69" i="1"/>
  <c r="AJ43" i="1"/>
  <c r="AJ34" i="1"/>
  <c r="AJ85" i="1"/>
  <c r="AJ11" i="1"/>
  <c r="AJ13" i="1"/>
  <c r="AL86" i="1"/>
  <c r="AL61" i="1"/>
  <c r="AL14" i="1"/>
  <c r="AL65" i="1"/>
  <c r="AL4" i="1"/>
  <c r="AL9" i="1"/>
  <c r="AL28" i="1"/>
  <c r="AL34" i="1"/>
  <c r="AL30" i="1"/>
  <c r="AL77" i="1"/>
  <c r="AL15" i="1"/>
  <c r="AL21" i="1"/>
  <c r="AL87" i="1"/>
  <c r="AL47" i="1"/>
  <c r="AL18" i="1"/>
  <c r="AL3" i="1"/>
  <c r="AL11" i="1"/>
  <c r="AL39" i="1"/>
  <c r="AL31" i="1"/>
  <c r="AL70" i="1"/>
  <c r="AL80" i="1"/>
  <c r="AL27" i="1"/>
  <c r="AL42" i="1"/>
  <c r="AL63" i="1"/>
  <c r="AL37" i="1"/>
  <c r="AL23" i="1"/>
  <c r="AL38" i="1"/>
  <c r="AL64" i="1"/>
  <c r="AL75" i="1"/>
  <c r="AL72" i="1"/>
  <c r="AL49" i="1"/>
  <c r="AL56" i="1"/>
  <c r="AL45" i="1"/>
  <c r="AL50" i="1"/>
  <c r="AL35" i="1"/>
  <c r="AL10" i="1"/>
  <c r="AL46" i="1"/>
  <c r="AL33" i="1"/>
  <c r="AL53" i="1"/>
  <c r="AL41" i="1"/>
  <c r="AL79" i="1"/>
  <c r="AL66" i="1"/>
  <c r="AL73" i="1"/>
  <c r="AL62" i="1"/>
  <c r="AL48" i="1"/>
  <c r="AL17" i="1"/>
  <c r="AL32" i="1"/>
  <c r="AL36" i="1"/>
  <c r="AL76" i="1"/>
  <c r="AL58" i="1"/>
  <c r="AL54" i="1"/>
  <c r="AL78" i="1"/>
  <c r="AL85" i="1"/>
  <c r="AL82" i="1"/>
  <c r="AL71" i="1"/>
  <c r="AL60" i="1"/>
  <c r="AL69" i="1"/>
  <c r="AL22" i="1"/>
  <c r="AL6" i="1"/>
  <c r="AL12" i="1"/>
  <c r="AL83" i="1"/>
  <c r="AL55" i="1"/>
  <c r="AL19" i="1"/>
  <c r="AL74" i="1"/>
  <c r="AL40" i="1"/>
  <c r="AL43" i="1"/>
  <c r="AL84" i="1"/>
  <c r="AL13" i="1"/>
  <c r="AL24" i="1"/>
  <c r="AL51" i="1"/>
  <c r="AL29" i="1"/>
  <c r="AL26" i="1"/>
  <c r="AL57" i="1"/>
  <c r="AL20" i="1"/>
  <c r="AL25" i="1"/>
  <c r="AL7" i="1"/>
  <c r="AL68" i="1"/>
  <c r="AL59" i="1"/>
  <c r="AL44" i="1"/>
  <c r="AL8" i="1"/>
  <c r="AL52" i="1"/>
  <c r="AL88" i="1"/>
  <c r="AL5" i="1"/>
  <c r="AL81" i="1"/>
  <c r="AL67" i="1"/>
  <c r="AL16" i="1"/>
  <c r="AM80" i="1"/>
  <c r="AM56" i="1"/>
  <c r="AM37" i="1"/>
  <c r="AM67" i="1"/>
  <c r="AM20" i="1"/>
  <c r="AM86" i="1"/>
  <c r="AM16" i="1"/>
  <c r="AM79" i="1"/>
  <c r="AM88" i="1"/>
  <c r="AM11" i="1"/>
  <c r="AM59" i="1"/>
  <c r="AM18" i="1"/>
  <c r="AM24" i="1"/>
  <c r="AM65" i="1"/>
  <c r="AM10" i="1"/>
  <c r="AM78" i="1"/>
  <c r="AM41" i="1"/>
  <c r="AM12" i="1"/>
  <c r="AM33" i="1"/>
  <c r="AM85" i="1"/>
  <c r="AM17" i="1"/>
  <c r="AM21" i="1"/>
  <c r="AM81" i="1"/>
  <c r="AM3" i="1"/>
  <c r="X3" i="1" s="1"/>
  <c r="AM8" i="1"/>
  <c r="AM13" i="1"/>
  <c r="AM31" i="1"/>
  <c r="AM51" i="1"/>
  <c r="AM53" i="1"/>
  <c r="AM82" i="1"/>
  <c r="AM71" i="1"/>
  <c r="AM64" i="1"/>
  <c r="AM52" i="1"/>
  <c r="AM55" i="1"/>
  <c r="AM25" i="1"/>
  <c r="AM38" i="1"/>
  <c r="AM76" i="1"/>
  <c r="AM42" i="1"/>
  <c r="AM83" i="1"/>
  <c r="AM39" i="1"/>
  <c r="AM23" i="1"/>
  <c r="AM44" i="1"/>
  <c r="AM49" i="1"/>
  <c r="AM9" i="1"/>
  <c r="AM63" i="1"/>
  <c r="AM58" i="1"/>
  <c r="AM46" i="1"/>
  <c r="AM72" i="1"/>
  <c r="AM75" i="1"/>
  <c r="AM50" i="1"/>
  <c r="AM62" i="1"/>
  <c r="AM7" i="1"/>
  <c r="AM54" i="1"/>
  <c r="AM22" i="1"/>
  <c r="AM14" i="1"/>
  <c r="AM5" i="1"/>
  <c r="AM84" i="1"/>
  <c r="AM66" i="1"/>
  <c r="AM70" i="1"/>
  <c r="AM26" i="1"/>
  <c r="AM35" i="1"/>
  <c r="AM47" i="1"/>
  <c r="AM68" i="1"/>
  <c r="AM36" i="1"/>
  <c r="AM87" i="1"/>
  <c r="AM28" i="1"/>
  <c r="AM77" i="1"/>
  <c r="AM48" i="1"/>
  <c r="AM74" i="1"/>
  <c r="AM57" i="1"/>
  <c r="AM43" i="1"/>
  <c r="AM45" i="1"/>
  <c r="AM73" i="1"/>
  <c r="AM69" i="1"/>
  <c r="AM19" i="1"/>
  <c r="AM60" i="1"/>
  <c r="AM15" i="1"/>
  <c r="AM4" i="1"/>
  <c r="AM40" i="1"/>
  <c r="AM34" i="1"/>
  <c r="AM29" i="1"/>
  <c r="AM6" i="1"/>
  <c r="AM30" i="1"/>
  <c r="AM27" i="1"/>
  <c r="AM61" i="1"/>
  <c r="AM32" i="1"/>
  <c r="AK72" i="1"/>
  <c r="AK63" i="1"/>
  <c r="AK99" i="1"/>
  <c r="AK66" i="1"/>
  <c r="AK16" i="1"/>
  <c r="AK61" i="1"/>
  <c r="AK54" i="1"/>
  <c r="AK70" i="1"/>
  <c r="AK48" i="1"/>
  <c r="AK12" i="1"/>
  <c r="AK42" i="1"/>
  <c r="AK41" i="1"/>
  <c r="AK126" i="1"/>
  <c r="AK65" i="1"/>
  <c r="AK20" i="1"/>
  <c r="AK94" i="1"/>
  <c r="AK77" i="1"/>
  <c r="AK5" i="1"/>
  <c r="AK60" i="1"/>
  <c r="AK39" i="1"/>
  <c r="AK75" i="1"/>
  <c r="AK84" i="1"/>
  <c r="AK46" i="1"/>
  <c r="AK10" i="1"/>
  <c r="AK6" i="1"/>
  <c r="AK18" i="1"/>
  <c r="AK53" i="1"/>
  <c r="AK51" i="1"/>
  <c r="AK3" i="1"/>
  <c r="AK22" i="1"/>
  <c r="AK47" i="1"/>
  <c r="AK7" i="1"/>
  <c r="AK74" i="1"/>
  <c r="AK50" i="1"/>
  <c r="AK49" i="1"/>
  <c r="AK31" i="1"/>
  <c r="AK78" i="1"/>
  <c r="AK56" i="1"/>
  <c r="AK73" i="1"/>
  <c r="AK68" i="1"/>
  <c r="AK30" i="1"/>
  <c r="AK4" i="1"/>
  <c r="AK11" i="1"/>
  <c r="AK59" i="1"/>
  <c r="AK23" i="1"/>
  <c r="AK27" i="1"/>
  <c r="AK85" i="1"/>
  <c r="AK28" i="1"/>
  <c r="AK76" i="1"/>
  <c r="AK36" i="1"/>
  <c r="AK58" i="1"/>
  <c r="AK24" i="1"/>
  <c r="AK19" i="1"/>
  <c r="AK80" i="1"/>
  <c r="AK67" i="1"/>
  <c r="AK79" i="1"/>
  <c r="AK86" i="1"/>
  <c r="AK35" i="1"/>
  <c r="AK8" i="1"/>
  <c r="AK33" i="1"/>
  <c r="AK69" i="1"/>
  <c r="AK81" i="1"/>
  <c r="AK88" i="1"/>
  <c r="AK25" i="1"/>
  <c r="AK17" i="1"/>
  <c r="AK87" i="1"/>
  <c r="AK15" i="1"/>
  <c r="AK45" i="1"/>
  <c r="AK21" i="1"/>
  <c r="AK83" i="1"/>
  <c r="AK13" i="1"/>
  <c r="AK64" i="1"/>
  <c r="AK37" i="1"/>
  <c r="AK26" i="1"/>
  <c r="AK38" i="1"/>
  <c r="AK40" i="1"/>
  <c r="AK14" i="1"/>
  <c r="AK52" i="1"/>
  <c r="AK34" i="1"/>
  <c r="AK71" i="1"/>
  <c r="AK57" i="1"/>
  <c r="AK44" i="1"/>
  <c r="AK32" i="1"/>
  <c r="AK55" i="1"/>
  <c r="AK9" i="1"/>
  <c r="AK62" i="1"/>
  <c r="AK43" i="1"/>
  <c r="AK29" i="1"/>
  <c r="AK82" i="1"/>
  <c r="A35" i="4"/>
  <c r="I35" i="4" s="1"/>
  <c r="N2" i="2"/>
  <c r="F2" i="8"/>
  <c r="A33" i="6"/>
  <c r="AG2" i="8"/>
  <c r="BG2" i="8"/>
  <c r="AB135" i="2"/>
  <c r="A24" i="4"/>
  <c r="BR132" i="8" l="1"/>
  <c r="BR118" i="8"/>
  <c r="BR112" i="8"/>
  <c r="BR106" i="8"/>
  <c r="BR100" i="8"/>
  <c r="BR94" i="8"/>
  <c r="BR88" i="8"/>
  <c r="BR82" i="8"/>
  <c r="BR76" i="8"/>
  <c r="BR70" i="8"/>
  <c r="BR64" i="8"/>
  <c r="BR58" i="8"/>
  <c r="BR52" i="8"/>
  <c r="BR46" i="8"/>
  <c r="BR40" i="8"/>
  <c r="BR34" i="8"/>
  <c r="BR30" i="8"/>
  <c r="BR135" i="8"/>
  <c r="BR133" i="8"/>
  <c r="BR131" i="8"/>
  <c r="BR129" i="8"/>
  <c r="BR127" i="8"/>
  <c r="BR125" i="8"/>
  <c r="BR123" i="8"/>
  <c r="BR121" i="8"/>
  <c r="BR119" i="8"/>
  <c r="BR117" i="8"/>
  <c r="BR115" i="8"/>
  <c r="BR113" i="8"/>
  <c r="BR111" i="8"/>
  <c r="BR109" i="8"/>
  <c r="BR107" i="8"/>
  <c r="BR105" i="8"/>
  <c r="BR103" i="8"/>
  <c r="BR101" i="8"/>
  <c r="BR99" i="8"/>
  <c r="BR97" i="8"/>
  <c r="BR95" i="8"/>
  <c r="BR93" i="8"/>
  <c r="BR91" i="8"/>
  <c r="BR89" i="8"/>
  <c r="BR87" i="8"/>
  <c r="BR85" i="8"/>
  <c r="BR83" i="8"/>
  <c r="BR81" i="8"/>
  <c r="BR79" i="8"/>
  <c r="BR77" i="8"/>
  <c r="BR75" i="8"/>
  <c r="BR73" i="8"/>
  <c r="BR71" i="8"/>
  <c r="BR69" i="8"/>
  <c r="BR67" i="8"/>
  <c r="BR65" i="8"/>
  <c r="BR63" i="8"/>
  <c r="BR61" i="8"/>
  <c r="BR59" i="8"/>
  <c r="BR57" i="8"/>
  <c r="BR55" i="8"/>
  <c r="BR53" i="8"/>
  <c r="BR51" i="8"/>
  <c r="BR49" i="8"/>
  <c r="BR47" i="8"/>
  <c r="BR45" i="8"/>
  <c r="BR43" i="8"/>
  <c r="BR41" i="8"/>
  <c r="BR39" i="8"/>
  <c r="BR37" i="8"/>
  <c r="BR35" i="8"/>
  <c r="BR33" i="8"/>
  <c r="BR31" i="8"/>
  <c r="BR29" i="8"/>
  <c r="BR27" i="8"/>
  <c r="BR25" i="8"/>
  <c r="BR23" i="8"/>
  <c r="BR21" i="8"/>
  <c r="BR19" i="8"/>
  <c r="BR17" i="8"/>
  <c r="BR15" i="8"/>
  <c r="BR13" i="8"/>
  <c r="BR11" i="8"/>
  <c r="BR9" i="8"/>
  <c r="BR7" i="8"/>
  <c r="BR5" i="8"/>
  <c r="BR134" i="8"/>
  <c r="BR120" i="8"/>
  <c r="BR114" i="8"/>
  <c r="BR108" i="8"/>
  <c r="BR102" i="8"/>
  <c r="BR96" i="8"/>
  <c r="BR92" i="8"/>
  <c r="BR86" i="8"/>
  <c r="BR80" i="8"/>
  <c r="BR74" i="8"/>
  <c r="BR72" i="8"/>
  <c r="BR66" i="8"/>
  <c r="BR60" i="8"/>
  <c r="BR54" i="8"/>
  <c r="BR50" i="8"/>
  <c r="BR44" i="8"/>
  <c r="BR38" i="8"/>
  <c r="BR32" i="8"/>
  <c r="BR28" i="8"/>
  <c r="BR130" i="8"/>
  <c r="BR128" i="8"/>
  <c r="BR126" i="8"/>
  <c r="BR124" i="8"/>
  <c r="BR122" i="8"/>
  <c r="BR116" i="8"/>
  <c r="BR110" i="8"/>
  <c r="BR104" i="8"/>
  <c r="BR98" i="8"/>
  <c r="BR90" i="8"/>
  <c r="BR84" i="8"/>
  <c r="BR78" i="8"/>
  <c r="BR68" i="8"/>
  <c r="BR62" i="8"/>
  <c r="BR56" i="8"/>
  <c r="BR48" i="8"/>
  <c r="BR42" i="8"/>
  <c r="BR36" i="8"/>
  <c r="BR26" i="8"/>
  <c r="BR24" i="8"/>
  <c r="BR16" i="8"/>
  <c r="BR8" i="8"/>
  <c r="BR10" i="8"/>
  <c r="BR22" i="8"/>
  <c r="BR14" i="8"/>
  <c r="BR6" i="8"/>
  <c r="BR20" i="8"/>
  <c r="BR12" i="8"/>
  <c r="BR4" i="8"/>
  <c r="BR18" i="8"/>
  <c r="BS135" i="8"/>
  <c r="BS133" i="8"/>
  <c r="BS131" i="8"/>
  <c r="BS129" i="8"/>
  <c r="BS127" i="8"/>
  <c r="BS125" i="8"/>
  <c r="BS123" i="8"/>
  <c r="BS121" i="8"/>
  <c r="BS119" i="8"/>
  <c r="BS117" i="8"/>
  <c r="BS115" i="8"/>
  <c r="BS113" i="8"/>
  <c r="BS111" i="8"/>
  <c r="BS109" i="8"/>
  <c r="BS107" i="8"/>
  <c r="BS105" i="8"/>
  <c r="BS103" i="8"/>
  <c r="BS101" i="8"/>
  <c r="BS99" i="8"/>
  <c r="BS97" i="8"/>
  <c r="BS95" i="8"/>
  <c r="BS93" i="8"/>
  <c r="BS91" i="8"/>
  <c r="BS89" i="8"/>
  <c r="BS87" i="8"/>
  <c r="BS85" i="8"/>
  <c r="BS83" i="8"/>
  <c r="BS81" i="8"/>
  <c r="BS79" i="8"/>
  <c r="BS77" i="8"/>
  <c r="BS75" i="8"/>
  <c r="BS73" i="8"/>
  <c r="BS71" i="8"/>
  <c r="BS69" i="8"/>
  <c r="BS67" i="8"/>
  <c r="BS65" i="8"/>
  <c r="BS63" i="8"/>
  <c r="BS61" i="8"/>
  <c r="BS59" i="8"/>
  <c r="BS57" i="8"/>
  <c r="BS55" i="8"/>
  <c r="BS53" i="8"/>
  <c r="BS51" i="8"/>
  <c r="BS49" i="8"/>
  <c r="BS47" i="8"/>
  <c r="BS45" i="8"/>
  <c r="BS43" i="8"/>
  <c r="BS41" i="8"/>
  <c r="BS39" i="8"/>
  <c r="BS37" i="8"/>
  <c r="BS35" i="8"/>
  <c r="BS33" i="8"/>
  <c r="BS31" i="8"/>
  <c r="BS29" i="8"/>
  <c r="BS27" i="8"/>
  <c r="BS25" i="8"/>
  <c r="BS23" i="8"/>
  <c r="BS21" i="8"/>
  <c r="BS19" i="8"/>
  <c r="BS17" i="8"/>
  <c r="BS15" i="8"/>
  <c r="BS13" i="8"/>
  <c r="BS11" i="8"/>
  <c r="BS9" i="8"/>
  <c r="BS7" i="8"/>
  <c r="BS5" i="8"/>
  <c r="BS134" i="8"/>
  <c r="BS132" i="8"/>
  <c r="BS130" i="8"/>
  <c r="BS128" i="8"/>
  <c r="BS126" i="8"/>
  <c r="BS124" i="8"/>
  <c r="BS122" i="8"/>
  <c r="BS120" i="8"/>
  <c r="BS118" i="8"/>
  <c r="BS116" i="8"/>
  <c r="BS114" i="8"/>
  <c r="BS112" i="8"/>
  <c r="BS110" i="8"/>
  <c r="BS108" i="8"/>
  <c r="BS106" i="8"/>
  <c r="BS104" i="8"/>
  <c r="BS102" i="8"/>
  <c r="BS100" i="8"/>
  <c r="BS98" i="8"/>
  <c r="BS96" i="8"/>
  <c r="BS94" i="8"/>
  <c r="BS92" i="8"/>
  <c r="BS90" i="8"/>
  <c r="BS88" i="8"/>
  <c r="BS86" i="8"/>
  <c r="BS84" i="8"/>
  <c r="BS82" i="8"/>
  <c r="BS80" i="8"/>
  <c r="BS78" i="8"/>
  <c r="BS76" i="8"/>
  <c r="BS74" i="8"/>
  <c r="BS72" i="8"/>
  <c r="BS70" i="8"/>
  <c r="BS68" i="8"/>
  <c r="BS66" i="8"/>
  <c r="BS64" i="8"/>
  <c r="BS62" i="8"/>
  <c r="BS60" i="8"/>
  <c r="BS58" i="8"/>
  <c r="BS56" i="8"/>
  <c r="BS54" i="8"/>
  <c r="BS52" i="8"/>
  <c r="BS50" i="8"/>
  <c r="BS48" i="8"/>
  <c r="BS46" i="8"/>
  <c r="BS44" i="8"/>
  <c r="BS42" i="8"/>
  <c r="BS40" i="8"/>
  <c r="BS38" i="8"/>
  <c r="BS36" i="8"/>
  <c r="BS34" i="8"/>
  <c r="BS32" i="8"/>
  <c r="BS30" i="8"/>
  <c r="BS28" i="8"/>
  <c r="BS26" i="8"/>
  <c r="BS24" i="8"/>
  <c r="BS22" i="8"/>
  <c r="BS20" i="8"/>
  <c r="BS18" i="8"/>
  <c r="BS16" i="8"/>
  <c r="BS14" i="8"/>
  <c r="BS12" i="8"/>
  <c r="BS10" i="8"/>
  <c r="BS8" i="8"/>
  <c r="BS6" i="8"/>
  <c r="BS4" i="8"/>
  <c r="AN4" i="11"/>
  <c r="AN5" i="11" s="1"/>
  <c r="AN6" i="11" s="1"/>
  <c r="AN7" i="11" s="1"/>
  <c r="AN8" i="11" s="1"/>
  <c r="AN9" i="11" s="1"/>
  <c r="AN10" i="11" s="1"/>
  <c r="AN11" i="11" s="1"/>
  <c r="AN12" i="11" s="1"/>
  <c r="AN13" i="11" s="1"/>
  <c r="AN14" i="11" s="1"/>
  <c r="AN15" i="11" s="1"/>
  <c r="AN16" i="11" s="1"/>
  <c r="AN17" i="11" s="1"/>
  <c r="AN18" i="11" s="1"/>
  <c r="AN19" i="11" s="1"/>
  <c r="AN20" i="11" s="1"/>
  <c r="AN21" i="11" s="1"/>
  <c r="AN22" i="11" s="1"/>
  <c r="AN23" i="11" s="1"/>
  <c r="AN24" i="11" s="1"/>
  <c r="AN25" i="11" s="1"/>
  <c r="AN26" i="11" s="1"/>
  <c r="AN27" i="11" s="1"/>
  <c r="AN28" i="11" s="1"/>
  <c r="AN29" i="11" s="1"/>
  <c r="AN30" i="11" s="1"/>
  <c r="AN31" i="11" s="1"/>
  <c r="AN32" i="11" s="1"/>
  <c r="AN33" i="11" s="1"/>
  <c r="AN34" i="11" s="1"/>
  <c r="AN35" i="11" s="1"/>
  <c r="AN36" i="11" s="1"/>
  <c r="AN37" i="11" s="1"/>
  <c r="AN38" i="11" s="1"/>
  <c r="AN39" i="11" s="1"/>
  <c r="AN40" i="11" s="1"/>
  <c r="AN41" i="11" s="1"/>
  <c r="AN42" i="11" s="1"/>
  <c r="AN43" i="11" s="1"/>
  <c r="AN44" i="11" s="1"/>
  <c r="AN45" i="11" s="1"/>
  <c r="AN46" i="11" s="1"/>
  <c r="AN47" i="11" s="1"/>
  <c r="AN48" i="11" s="1"/>
  <c r="AN49" i="11" s="1"/>
  <c r="AN50" i="11" s="1"/>
  <c r="AN51" i="11" s="1"/>
  <c r="AN52" i="11" s="1"/>
  <c r="AN53" i="11" s="1"/>
  <c r="AN54" i="11" s="1"/>
  <c r="AN55" i="11" s="1"/>
  <c r="AN56" i="11" s="1"/>
  <c r="AN57" i="11" s="1"/>
  <c r="AN58" i="11" s="1"/>
  <c r="AN59" i="11" s="1"/>
  <c r="AN60" i="11" s="1"/>
  <c r="AN61" i="11" s="1"/>
  <c r="AN62" i="11" s="1"/>
  <c r="AN63" i="11" s="1"/>
  <c r="AN64" i="11" s="1"/>
  <c r="AN65" i="11" s="1"/>
  <c r="AN66" i="11" s="1"/>
  <c r="AN67" i="11" s="1"/>
  <c r="AN68" i="11" s="1"/>
  <c r="AN69" i="11" s="1"/>
  <c r="AN70" i="11" s="1"/>
  <c r="AN71" i="11" s="1"/>
  <c r="AN72" i="11" s="1"/>
  <c r="AN73" i="11" s="1"/>
  <c r="AN74" i="11" s="1"/>
  <c r="AN75" i="11" s="1"/>
  <c r="AN76" i="11" s="1"/>
  <c r="AN77" i="11" s="1"/>
  <c r="AN78" i="11" s="1"/>
  <c r="AN79" i="11" s="1"/>
  <c r="AN80" i="11" s="1"/>
  <c r="AN81" i="11" s="1"/>
  <c r="AN82" i="11" s="1"/>
  <c r="AN83" i="11" s="1"/>
  <c r="AN84" i="11" s="1"/>
  <c r="AN85" i="11" s="1"/>
  <c r="AN86" i="11" s="1"/>
  <c r="AN87" i="11" s="1"/>
  <c r="AN88" i="11" s="1"/>
  <c r="AN89" i="11" s="1"/>
  <c r="AN90" i="11" s="1"/>
  <c r="AN91" i="11" s="1"/>
  <c r="AN92" i="11" s="1"/>
  <c r="AN93" i="11" s="1"/>
  <c r="AN94" i="11" s="1"/>
  <c r="AN95" i="11" s="1"/>
  <c r="AN96" i="11" s="1"/>
  <c r="AN97" i="11" s="1"/>
  <c r="AN98" i="11" s="1"/>
  <c r="AN99" i="11" s="1"/>
  <c r="AN100" i="11" s="1"/>
  <c r="AN101" i="11" s="1"/>
  <c r="AN102" i="11" s="1"/>
  <c r="AN103" i="11" s="1"/>
  <c r="AN104" i="11" s="1"/>
  <c r="AN105" i="11" s="1"/>
  <c r="AN106" i="11" s="1"/>
  <c r="AN107" i="11" s="1"/>
  <c r="AN108" i="11" s="1"/>
  <c r="AN109" i="11" s="1"/>
  <c r="AN110" i="11" s="1"/>
  <c r="AN111" i="11" s="1"/>
  <c r="AN112" i="11" s="1"/>
  <c r="AN113" i="11" s="1"/>
  <c r="AN114" i="11" s="1"/>
  <c r="AN115" i="11" s="1"/>
  <c r="AN116" i="11" s="1"/>
  <c r="AN117" i="11" s="1"/>
  <c r="AN118" i="11" s="1"/>
  <c r="AN119" i="11" s="1"/>
  <c r="AN120" i="11" s="1"/>
  <c r="AN121" i="11" s="1"/>
  <c r="AN122" i="11" s="1"/>
  <c r="AN123" i="11" s="1"/>
  <c r="AN124" i="11" s="1"/>
  <c r="AN125" i="11" s="1"/>
  <c r="AN126" i="11" s="1"/>
  <c r="AN127" i="11" s="1"/>
  <c r="AN128" i="11" s="1"/>
  <c r="AN129" i="11" s="1"/>
  <c r="AN130" i="11" s="1"/>
  <c r="AN131" i="11" s="1"/>
  <c r="AN132" i="11" s="1"/>
  <c r="AN133" i="11" s="1"/>
  <c r="AN134" i="11" s="1"/>
  <c r="AN135" i="11" s="1"/>
  <c r="BV135" i="8"/>
  <c r="BV131" i="8"/>
  <c r="BV127" i="8"/>
  <c r="BV123" i="8"/>
  <c r="BV132" i="8"/>
  <c r="BV128" i="8"/>
  <c r="BV124" i="8"/>
  <c r="BV120" i="8"/>
  <c r="BV133" i="8"/>
  <c r="BV129" i="8"/>
  <c r="BV125" i="8"/>
  <c r="BV126" i="8"/>
  <c r="BV121" i="8"/>
  <c r="BV119" i="8"/>
  <c r="BV115" i="8"/>
  <c r="BV111" i="8"/>
  <c r="BV122" i="8"/>
  <c r="BV116" i="8"/>
  <c r="BV112" i="8"/>
  <c r="BV108" i="8"/>
  <c r="BV114" i="8"/>
  <c r="BV104" i="8"/>
  <c r="BV100" i="8"/>
  <c r="BV96" i="8"/>
  <c r="BV92" i="8"/>
  <c r="BV88" i="8"/>
  <c r="BV84" i="8"/>
  <c r="BV110" i="8"/>
  <c r="BV107" i="8"/>
  <c r="BV102" i="8"/>
  <c r="BV97" i="8"/>
  <c r="BV118" i="8"/>
  <c r="BV109" i="8"/>
  <c r="BV106" i="8"/>
  <c r="BV101" i="8"/>
  <c r="BV95" i="8"/>
  <c r="BV134" i="8"/>
  <c r="BV117" i="8"/>
  <c r="BV113" i="8"/>
  <c r="BV105" i="8"/>
  <c r="BV99" i="8"/>
  <c r="BV94" i="8"/>
  <c r="BV91" i="8"/>
  <c r="BV86" i="8"/>
  <c r="BV81" i="8"/>
  <c r="BV77" i="8"/>
  <c r="BV73" i="8"/>
  <c r="BV103" i="8"/>
  <c r="BV90" i="8"/>
  <c r="BV85" i="8"/>
  <c r="BV82" i="8"/>
  <c r="BV78" i="8"/>
  <c r="BV74" i="8"/>
  <c r="BV70" i="8"/>
  <c r="BV66" i="8"/>
  <c r="BV89" i="8"/>
  <c r="BV83" i="8"/>
  <c r="BV79" i="8"/>
  <c r="BV75" i="8"/>
  <c r="BV71" i="8"/>
  <c r="BV67" i="8"/>
  <c r="BV98" i="8"/>
  <c r="BV87" i="8"/>
  <c r="BV76" i="8"/>
  <c r="BV63" i="8"/>
  <c r="BV59" i="8"/>
  <c r="BV55" i="8"/>
  <c r="BV51" i="8"/>
  <c r="BV47" i="8"/>
  <c r="BV43" i="8"/>
  <c r="BV39" i="8"/>
  <c r="BV35" i="8"/>
  <c r="BV31" i="8"/>
  <c r="BV27" i="8"/>
  <c r="BV23" i="8"/>
  <c r="BV19" i="8"/>
  <c r="BV15" i="8"/>
  <c r="BV11" i="8"/>
  <c r="BV93" i="8"/>
  <c r="BV72" i="8"/>
  <c r="BV65" i="8"/>
  <c r="BV60" i="8"/>
  <c r="BV56" i="8"/>
  <c r="BV52" i="8"/>
  <c r="BV48" i="8"/>
  <c r="BV44" i="8"/>
  <c r="BV40" i="8"/>
  <c r="BV36" i="8"/>
  <c r="BV32" i="8"/>
  <c r="BV28" i="8"/>
  <c r="BV24" i="8"/>
  <c r="BV20" i="8"/>
  <c r="BV16" i="8"/>
  <c r="BV12" i="8"/>
  <c r="BV130" i="8"/>
  <c r="BV68" i="8"/>
  <c r="BV64" i="8"/>
  <c r="BV61" i="8"/>
  <c r="BV57" i="8"/>
  <c r="BV53" i="8"/>
  <c r="BV49" i="8"/>
  <c r="BV45" i="8"/>
  <c r="BV54" i="8"/>
  <c r="BV38" i="8"/>
  <c r="BV30" i="8"/>
  <c r="BV22" i="8"/>
  <c r="BV14" i="8"/>
  <c r="BV6" i="8"/>
  <c r="BV8" i="8"/>
  <c r="BV21" i="8"/>
  <c r="BV5" i="8"/>
  <c r="BV50" i="8"/>
  <c r="BV41" i="8"/>
  <c r="BV33" i="8"/>
  <c r="BV25" i="8"/>
  <c r="BV17" i="8"/>
  <c r="BV7" i="8"/>
  <c r="BV34" i="8"/>
  <c r="BV26" i="8"/>
  <c r="BV10" i="8"/>
  <c r="BV4" i="8"/>
  <c r="BV37" i="8"/>
  <c r="BV29" i="8"/>
  <c r="BV9" i="8"/>
  <c r="BV80" i="8"/>
  <c r="BV69" i="8"/>
  <c r="BV62" i="8"/>
  <c r="BV46" i="8"/>
  <c r="BV42" i="8"/>
  <c r="BV18" i="8"/>
  <c r="BV58" i="8"/>
  <c r="BV13" i="8"/>
  <c r="BX133" i="8"/>
  <c r="BX129" i="8"/>
  <c r="BX125" i="8"/>
  <c r="BX134" i="8"/>
  <c r="BX130" i="8"/>
  <c r="BX126" i="8"/>
  <c r="BX122" i="8"/>
  <c r="BX135" i="8"/>
  <c r="BX131" i="8"/>
  <c r="BX127" i="8"/>
  <c r="BX123" i="8"/>
  <c r="BX132" i="8"/>
  <c r="BX117" i="8"/>
  <c r="BX113" i="8"/>
  <c r="BX109" i="8"/>
  <c r="BX128" i="8"/>
  <c r="BX120" i="8"/>
  <c r="BX118" i="8"/>
  <c r="BX114" i="8"/>
  <c r="BX110" i="8"/>
  <c r="BX119" i="8"/>
  <c r="BX111" i="8"/>
  <c r="BX106" i="8"/>
  <c r="BX102" i="8"/>
  <c r="BX98" i="8"/>
  <c r="BX94" i="8"/>
  <c r="BX90" i="8"/>
  <c r="BX86" i="8"/>
  <c r="BX116" i="8"/>
  <c r="BX108" i="8"/>
  <c r="BX101" i="8"/>
  <c r="BX99" i="8"/>
  <c r="BX124" i="8"/>
  <c r="BX121" i="8"/>
  <c r="BX105" i="8"/>
  <c r="BX103" i="8"/>
  <c r="BX96" i="8"/>
  <c r="BX107" i="8"/>
  <c r="BX100" i="8"/>
  <c r="BX92" i="8"/>
  <c r="BX85" i="8"/>
  <c r="BX83" i="8"/>
  <c r="BX79" i="8"/>
  <c r="BX75" i="8"/>
  <c r="BX112" i="8"/>
  <c r="BX97" i="8"/>
  <c r="BX95" i="8"/>
  <c r="BX89" i="8"/>
  <c r="BX87" i="8"/>
  <c r="BX80" i="8"/>
  <c r="BX76" i="8"/>
  <c r="BX72" i="8"/>
  <c r="BX68" i="8"/>
  <c r="BX64" i="8"/>
  <c r="BX115" i="8"/>
  <c r="BX93" i="8"/>
  <c r="BX91" i="8"/>
  <c r="BX84" i="8"/>
  <c r="BX81" i="8"/>
  <c r="BX77" i="8"/>
  <c r="BX73" i="8"/>
  <c r="BX69" i="8"/>
  <c r="BX82" i="8"/>
  <c r="BX71" i="8"/>
  <c r="BX61" i="8"/>
  <c r="BX57" i="8"/>
  <c r="BX53" i="8"/>
  <c r="BX49" i="8"/>
  <c r="BX45" i="8"/>
  <c r="BX41" i="8"/>
  <c r="BX37" i="8"/>
  <c r="BX33" i="8"/>
  <c r="BX29" i="8"/>
  <c r="BX25" i="8"/>
  <c r="BX21" i="8"/>
  <c r="BX17" i="8"/>
  <c r="BX13" i="8"/>
  <c r="BX78" i="8"/>
  <c r="BX70" i="8"/>
  <c r="BX62" i="8"/>
  <c r="BX58" i="8"/>
  <c r="BX54" i="8"/>
  <c r="BX50" i="8"/>
  <c r="BX46" i="8"/>
  <c r="BX42" i="8"/>
  <c r="BX38" i="8"/>
  <c r="BX34" i="8"/>
  <c r="BX30" i="8"/>
  <c r="BX26" i="8"/>
  <c r="BX22" i="8"/>
  <c r="BX18" i="8"/>
  <c r="BX14" i="8"/>
  <c r="BX10" i="8"/>
  <c r="BX104" i="8"/>
  <c r="BX88" i="8"/>
  <c r="BX74" i="8"/>
  <c r="BX67" i="8"/>
  <c r="BX63" i="8"/>
  <c r="BX59" i="8"/>
  <c r="BX55" i="8"/>
  <c r="BX51" i="8"/>
  <c r="BX47" i="8"/>
  <c r="BX43" i="8"/>
  <c r="BX60" i="8"/>
  <c r="BX44" i="8"/>
  <c r="BX35" i="8"/>
  <c r="BX27" i="8"/>
  <c r="BX19" i="8"/>
  <c r="BX11" i="8"/>
  <c r="BX8" i="8"/>
  <c r="BX4" i="8"/>
  <c r="BX31" i="8"/>
  <c r="BX15" i="8"/>
  <c r="BX28" i="8"/>
  <c r="BX20" i="8"/>
  <c r="BX7" i="8"/>
  <c r="BX66" i="8"/>
  <c r="BX56" i="8"/>
  <c r="BX40" i="8"/>
  <c r="BX32" i="8"/>
  <c r="BX24" i="8"/>
  <c r="BX16" i="8"/>
  <c r="BX9" i="8"/>
  <c r="BX5" i="8"/>
  <c r="BX39" i="8"/>
  <c r="BX48" i="8"/>
  <c r="BX65" i="8"/>
  <c r="BX52" i="8"/>
  <c r="BX23" i="8"/>
  <c r="BX6" i="8"/>
  <c r="BX36" i="8"/>
  <c r="BX12" i="8"/>
  <c r="BW132" i="8"/>
  <c r="BW128" i="8"/>
  <c r="BW124" i="8"/>
  <c r="BW133" i="8"/>
  <c r="BW129" i="8"/>
  <c r="BW125" i="8"/>
  <c r="BW121" i="8"/>
  <c r="BW134" i="8"/>
  <c r="BW130" i="8"/>
  <c r="BW126" i="8"/>
  <c r="BW122" i="8"/>
  <c r="BW131" i="8"/>
  <c r="BW116" i="8"/>
  <c r="BW112" i="8"/>
  <c r="BW127" i="8"/>
  <c r="BW117" i="8"/>
  <c r="BW113" i="8"/>
  <c r="BW109" i="8"/>
  <c r="BW105" i="8"/>
  <c r="BW101" i="8"/>
  <c r="BW97" i="8"/>
  <c r="BW93" i="8"/>
  <c r="BW89" i="8"/>
  <c r="BW85" i="8"/>
  <c r="BW135" i="8"/>
  <c r="BW120" i="8"/>
  <c r="BW118" i="8"/>
  <c r="BW115" i="8"/>
  <c r="BW106" i="8"/>
  <c r="BW104" i="8"/>
  <c r="BW95" i="8"/>
  <c r="BW123" i="8"/>
  <c r="BW114" i="8"/>
  <c r="BW111" i="8"/>
  <c r="BW108" i="8"/>
  <c r="BW99" i="8"/>
  <c r="BW94" i="8"/>
  <c r="BW119" i="8"/>
  <c r="BW103" i="8"/>
  <c r="BW98" i="8"/>
  <c r="BW96" i="8"/>
  <c r="BW90" i="8"/>
  <c r="BW88" i="8"/>
  <c r="BW82" i="8"/>
  <c r="BW78" i="8"/>
  <c r="BW74" i="8"/>
  <c r="BW110" i="8"/>
  <c r="BW92" i="8"/>
  <c r="BW83" i="8"/>
  <c r="BW79" i="8"/>
  <c r="BW75" i="8"/>
  <c r="BW71" i="8"/>
  <c r="BW67" i="8"/>
  <c r="BW107" i="8"/>
  <c r="BW87" i="8"/>
  <c r="BW80" i="8"/>
  <c r="BW76" i="8"/>
  <c r="BW72" i="8"/>
  <c r="BW68" i="8"/>
  <c r="BW102" i="8"/>
  <c r="BW81" i="8"/>
  <c r="BW66" i="8"/>
  <c r="BW65" i="8"/>
  <c r="BW60" i="8"/>
  <c r="BW56" i="8"/>
  <c r="BW52" i="8"/>
  <c r="BW48" i="8"/>
  <c r="BW44" i="8"/>
  <c r="BW40" i="8"/>
  <c r="BW36" i="8"/>
  <c r="BW32" i="8"/>
  <c r="BW28" i="8"/>
  <c r="BW24" i="8"/>
  <c r="BW20" i="8"/>
  <c r="BW16" i="8"/>
  <c r="BW12" i="8"/>
  <c r="BW91" i="8"/>
  <c r="BW77" i="8"/>
  <c r="BW64" i="8"/>
  <c r="BW61" i="8"/>
  <c r="BW57" i="8"/>
  <c r="BW53" i="8"/>
  <c r="BW49" i="8"/>
  <c r="BW45" i="8"/>
  <c r="BW41" i="8"/>
  <c r="BW37" i="8"/>
  <c r="BW33" i="8"/>
  <c r="BW29" i="8"/>
  <c r="BW25" i="8"/>
  <c r="BW21" i="8"/>
  <c r="BW17" i="8"/>
  <c r="BW13" i="8"/>
  <c r="BW100" i="8"/>
  <c r="BW86" i="8"/>
  <c r="BW84" i="8"/>
  <c r="BW73" i="8"/>
  <c r="BW70" i="8"/>
  <c r="BW69" i="8"/>
  <c r="BW62" i="8"/>
  <c r="BW58" i="8"/>
  <c r="BW54" i="8"/>
  <c r="BW50" i="8"/>
  <c r="BW46" i="8"/>
  <c r="BW59" i="8"/>
  <c r="BW43" i="8"/>
  <c r="BW7" i="8"/>
  <c r="BW23" i="8"/>
  <c r="BW6" i="8"/>
  <c r="BW55" i="8"/>
  <c r="BW42" i="8"/>
  <c r="BW35" i="8"/>
  <c r="BW34" i="8"/>
  <c r="BW27" i="8"/>
  <c r="BW26" i="8"/>
  <c r="BW19" i="8"/>
  <c r="BW18" i="8"/>
  <c r="BW11" i="8"/>
  <c r="BW10" i="8"/>
  <c r="BW8" i="8"/>
  <c r="BW4" i="8"/>
  <c r="BW5" i="8"/>
  <c r="BW39" i="8"/>
  <c r="BW31" i="8"/>
  <c r="BW30" i="8"/>
  <c r="BW22" i="8"/>
  <c r="BW51" i="8"/>
  <c r="BW9" i="8"/>
  <c r="BW63" i="8"/>
  <c r="BW47" i="8"/>
  <c r="BW38" i="8"/>
  <c r="BW15" i="8"/>
  <c r="BW14" i="8"/>
  <c r="AO4" i="11"/>
  <c r="C1269" i="9"/>
  <c r="C1269" i="1"/>
  <c r="B1269" i="7"/>
  <c r="A1269" i="14"/>
  <c r="A1269" i="5"/>
  <c r="B1269" i="8"/>
  <c r="B1269" i="11"/>
  <c r="A1269" i="10"/>
  <c r="AG3" i="5"/>
  <c r="B3" i="2"/>
  <c r="AA4" i="7"/>
  <c r="AE4" i="8" s="1"/>
  <c r="BC4" i="8" s="1"/>
  <c r="L4" i="11"/>
  <c r="AM134" i="1"/>
  <c r="AL100" i="1"/>
  <c r="AL93" i="1"/>
  <c r="AJ96" i="1"/>
  <c r="AL118" i="1"/>
  <c r="AM118" i="1"/>
  <c r="AM131" i="1"/>
  <c r="AM90" i="1"/>
  <c r="AM135" i="1"/>
  <c r="X135" i="1" s="1"/>
  <c r="AM91" i="1"/>
  <c r="AM127" i="1"/>
  <c r="AL101" i="1"/>
  <c r="AL134" i="1"/>
  <c r="AL121" i="1"/>
  <c r="AL126" i="1"/>
  <c r="AJ89" i="1"/>
  <c r="AM97" i="1"/>
  <c r="AM109" i="1"/>
  <c r="AL123" i="1"/>
  <c r="AJ122" i="1"/>
  <c r="AJ119" i="1"/>
  <c r="AM123" i="1"/>
  <c r="AM111" i="1"/>
  <c r="AM108" i="1"/>
  <c r="AM94" i="1"/>
  <c r="AL132" i="1"/>
  <c r="AL104" i="1"/>
  <c r="AL108" i="1"/>
  <c r="AL103" i="1"/>
  <c r="AL91" i="1"/>
  <c r="AJ124" i="1"/>
  <c r="AJ113" i="1"/>
  <c r="AM102" i="1"/>
  <c r="AM99" i="1"/>
  <c r="AM132" i="1"/>
  <c r="AM130" i="1"/>
  <c r="AM129" i="1"/>
  <c r="AM100" i="1"/>
  <c r="AL116" i="1"/>
  <c r="AL129" i="1"/>
  <c r="AL99" i="1"/>
  <c r="AL106" i="1"/>
  <c r="AL105" i="1"/>
  <c r="AL92" i="1"/>
  <c r="AL97" i="1"/>
  <c r="AL107" i="1"/>
  <c r="AL94" i="1"/>
  <c r="AL109" i="1"/>
  <c r="AL115" i="1"/>
  <c r="AJ118" i="1"/>
  <c r="AJ107" i="1"/>
  <c r="AJ128" i="1"/>
  <c r="AJ95" i="1"/>
  <c r="AJ110" i="1"/>
  <c r="AJ135" i="1"/>
  <c r="AJ98" i="1"/>
  <c r="AJ120" i="1"/>
  <c r="AJ112" i="1"/>
  <c r="AJ117" i="1"/>
  <c r="AJ90" i="1"/>
  <c r="AJ116" i="1"/>
  <c r="AJ130" i="1"/>
  <c r="AJ106" i="1"/>
  <c r="AM116" i="1"/>
  <c r="AM89" i="1"/>
  <c r="AM121" i="1"/>
  <c r="AM119" i="1"/>
  <c r="AM92" i="1"/>
  <c r="AL90" i="1"/>
  <c r="AL127" i="1"/>
  <c r="AL133" i="1"/>
  <c r="AL113" i="1"/>
  <c r="AL122" i="1"/>
  <c r="AL128" i="1"/>
  <c r="AL131" i="1"/>
  <c r="AL98" i="1"/>
  <c r="AL117" i="1"/>
  <c r="AL95" i="1"/>
  <c r="AJ108" i="1"/>
  <c r="AJ99" i="1"/>
  <c r="AJ102" i="1"/>
  <c r="AJ132" i="1"/>
  <c r="AJ92" i="1"/>
  <c r="AJ134" i="1"/>
  <c r="AJ111" i="1"/>
  <c r="AJ133" i="1"/>
  <c r="AJ125" i="1"/>
  <c r="AJ101" i="1"/>
  <c r="AJ91" i="1"/>
  <c r="AM93" i="1"/>
  <c r="AM107" i="1"/>
  <c r="AM125" i="1"/>
  <c r="AM120" i="1"/>
  <c r="AM105" i="1"/>
  <c r="AM122" i="1"/>
  <c r="AM115" i="1"/>
  <c r="AM114" i="1"/>
  <c r="AM126" i="1"/>
  <c r="AL120" i="1"/>
  <c r="AL96" i="1"/>
  <c r="AM124" i="1"/>
  <c r="AM128" i="1"/>
  <c r="AM113" i="1"/>
  <c r="AM103" i="1"/>
  <c r="AM112" i="1"/>
  <c r="AM101" i="1"/>
  <c r="AM133" i="1"/>
  <c r="AM106" i="1"/>
  <c r="AM98" i="1"/>
  <c r="AM96" i="1"/>
  <c r="AM117" i="1"/>
  <c r="AM110" i="1"/>
  <c r="AM95" i="1"/>
  <c r="AM104" i="1"/>
  <c r="AL111" i="1"/>
  <c r="AL114" i="1"/>
  <c r="AL119" i="1"/>
  <c r="AL89" i="1"/>
  <c r="AL125" i="1"/>
  <c r="AL130" i="1"/>
  <c r="AL102" i="1"/>
  <c r="AL110" i="1"/>
  <c r="AL124" i="1"/>
  <c r="AL112" i="1"/>
  <c r="AJ104" i="1"/>
  <c r="AJ121" i="1"/>
  <c r="AJ109" i="1"/>
  <c r="AJ123" i="1"/>
  <c r="AJ105" i="1"/>
  <c r="AJ97" i="1"/>
  <c r="AJ115" i="1"/>
  <c r="AJ127" i="1"/>
  <c r="AJ114" i="1"/>
  <c r="AJ93" i="1"/>
  <c r="AJ103" i="1"/>
  <c r="AJ126" i="1"/>
  <c r="AJ100" i="1"/>
  <c r="AJ131" i="1"/>
  <c r="AK93" i="1"/>
  <c r="AK134" i="1"/>
  <c r="AK127" i="1"/>
  <c r="AK100" i="1"/>
  <c r="AK107" i="1"/>
  <c r="AK132" i="1"/>
  <c r="AK114" i="1"/>
  <c r="AK118" i="1"/>
  <c r="AK117" i="1"/>
  <c r="J6" i="12"/>
  <c r="I7" i="12"/>
  <c r="BC5" i="5"/>
  <c r="AC4" i="1"/>
  <c r="AZ5" i="5"/>
  <c r="AB4" i="1"/>
  <c r="R4" i="2"/>
  <c r="H4" i="5"/>
  <c r="F4" i="7" s="1"/>
  <c r="O5" i="1"/>
  <c r="DK5" i="8" s="1"/>
  <c r="DJ4" i="8"/>
  <c r="DI4" i="8"/>
  <c r="I6" i="8"/>
  <c r="I7" i="8" s="1"/>
  <c r="D24" i="4"/>
  <c r="C82" i="6"/>
  <c r="C94" i="6"/>
  <c r="BM5" i="5"/>
  <c r="BM6" i="5" s="1"/>
  <c r="BM7" i="5" s="1"/>
  <c r="BM8" i="5" s="1"/>
  <c r="BM9" i="5" s="1"/>
  <c r="BM10" i="5" s="1"/>
  <c r="BM11" i="5" s="1"/>
  <c r="BM12" i="5" s="1"/>
  <c r="BM13" i="5" s="1"/>
  <c r="BM14" i="5" s="1"/>
  <c r="BM15" i="5" s="1"/>
  <c r="BM16" i="5" s="1"/>
  <c r="BM17" i="5" s="1"/>
  <c r="BM18" i="5" s="1"/>
  <c r="BM19" i="5" s="1"/>
  <c r="BM20" i="5" s="1"/>
  <c r="BM21" i="5" s="1"/>
  <c r="BM22" i="5" s="1"/>
  <c r="BM23" i="5" s="1"/>
  <c r="BM24" i="5" s="1"/>
  <c r="BM25" i="5" s="1"/>
  <c r="BM26" i="5" s="1"/>
  <c r="BM27" i="5" s="1"/>
  <c r="BM28" i="5" s="1"/>
  <c r="BM29" i="5" s="1"/>
  <c r="BM30" i="5" s="1"/>
  <c r="BM31" i="5" s="1"/>
  <c r="BM32" i="5" s="1"/>
  <c r="BM33" i="5" s="1"/>
  <c r="BM34" i="5" s="1"/>
  <c r="BM35" i="5" s="1"/>
  <c r="BM36" i="5" s="1"/>
  <c r="BM37" i="5" s="1"/>
  <c r="BM38" i="5" s="1"/>
  <c r="BM39" i="5" s="1"/>
  <c r="BM40" i="5" s="1"/>
  <c r="BM41" i="5" s="1"/>
  <c r="BM42" i="5" s="1"/>
  <c r="BM43" i="5" s="1"/>
  <c r="BM44" i="5" s="1"/>
  <c r="BM45" i="5" s="1"/>
  <c r="BM46" i="5" s="1"/>
  <c r="BM47" i="5" s="1"/>
  <c r="BM48" i="5" s="1"/>
  <c r="BM49" i="5" s="1"/>
  <c r="BM50" i="5" s="1"/>
  <c r="BM51" i="5" s="1"/>
  <c r="BM52" i="5" s="1"/>
  <c r="BM53" i="5" s="1"/>
  <c r="BM54" i="5" s="1"/>
  <c r="BM55" i="5" s="1"/>
  <c r="BM56" i="5" s="1"/>
  <c r="BM57" i="5" s="1"/>
  <c r="BM58" i="5" s="1"/>
  <c r="BM59" i="5" s="1"/>
  <c r="BM60" i="5" s="1"/>
  <c r="BM61" i="5" s="1"/>
  <c r="BM62" i="5" s="1"/>
  <c r="BM63" i="5" s="1"/>
  <c r="BM64" i="5" s="1"/>
  <c r="BM65" i="5" s="1"/>
  <c r="BM66" i="5" s="1"/>
  <c r="BM67" i="5" s="1"/>
  <c r="BM68" i="5" s="1"/>
  <c r="BM69" i="5" s="1"/>
  <c r="BM70" i="5" s="1"/>
  <c r="BM71" i="5" s="1"/>
  <c r="BM72" i="5" s="1"/>
  <c r="BM73" i="5" s="1"/>
  <c r="BM74" i="5" s="1"/>
  <c r="BM75" i="5" s="1"/>
  <c r="BM76" i="5" s="1"/>
  <c r="BM77" i="5" s="1"/>
  <c r="BM78" i="5" s="1"/>
  <c r="BM79" i="5" s="1"/>
  <c r="BM80" i="5" s="1"/>
  <c r="BM81" i="5" s="1"/>
  <c r="BM82" i="5" s="1"/>
  <c r="BM83" i="5" s="1"/>
  <c r="BM84" i="5" s="1"/>
  <c r="BM85" i="5" s="1"/>
  <c r="BM86" i="5" s="1"/>
  <c r="BM87" i="5" s="1"/>
  <c r="BM88" i="5" s="1"/>
  <c r="BM89" i="5" s="1"/>
  <c r="BM90" i="5" s="1"/>
  <c r="BM91" i="5" s="1"/>
  <c r="BM92" i="5" s="1"/>
  <c r="BM93" i="5" s="1"/>
  <c r="BM94" i="5" s="1"/>
  <c r="BM95" i="5" s="1"/>
  <c r="BM96" i="5" s="1"/>
  <c r="BM97" i="5" s="1"/>
  <c r="BM98" i="5" s="1"/>
  <c r="BM99" i="5" s="1"/>
  <c r="BM100" i="5" s="1"/>
  <c r="BM101" i="5" s="1"/>
  <c r="BM102" i="5" s="1"/>
  <c r="BM103" i="5" s="1"/>
  <c r="BM104" i="5" s="1"/>
  <c r="BM105" i="5" s="1"/>
  <c r="BM106" i="5" s="1"/>
  <c r="BM107" i="5" s="1"/>
  <c r="BM108" i="5" s="1"/>
  <c r="BM109" i="5" s="1"/>
  <c r="BM110" i="5" s="1"/>
  <c r="BM111" i="5" s="1"/>
  <c r="BM112" i="5" s="1"/>
  <c r="BM113" i="5" s="1"/>
  <c r="BM114" i="5" s="1"/>
  <c r="BM115" i="5" s="1"/>
  <c r="BM116" i="5" s="1"/>
  <c r="BM117" i="5" s="1"/>
  <c r="BM118" i="5" s="1"/>
  <c r="BM119" i="5" s="1"/>
  <c r="BM120" i="5" s="1"/>
  <c r="BM121" i="5" s="1"/>
  <c r="BM122" i="5" s="1"/>
  <c r="BM123" i="5" s="1"/>
  <c r="BM124" i="5" s="1"/>
  <c r="BM125" i="5" s="1"/>
  <c r="BM126" i="5" s="1"/>
  <c r="BM127" i="5" s="1"/>
  <c r="BM128" i="5" s="1"/>
  <c r="BM129" i="5" s="1"/>
  <c r="BM130" i="5" s="1"/>
  <c r="BM131" i="5" s="1"/>
  <c r="BM132" i="5" s="1"/>
  <c r="BM133" i="5" s="1"/>
  <c r="BM134" i="5" s="1"/>
  <c r="BM135" i="5" s="1"/>
  <c r="BR3" i="8"/>
  <c r="K4" i="10"/>
  <c r="BS3" i="8"/>
  <c r="CZ3" i="5"/>
  <c r="M5" i="2"/>
  <c r="E6" i="8"/>
  <c r="M6" i="2" s="1"/>
  <c r="M4" i="2"/>
  <c r="DF4" i="8"/>
  <c r="P6" i="2"/>
  <c r="BX3" i="8"/>
  <c r="BV3" i="8"/>
  <c r="BW3" i="8"/>
  <c r="F4" i="5"/>
  <c r="B4" i="10" s="1"/>
  <c r="B3" i="10"/>
  <c r="D3" i="7"/>
  <c r="G24" i="4"/>
  <c r="J24" i="4"/>
  <c r="I24" i="4"/>
  <c r="H24" i="4"/>
  <c r="F24" i="4"/>
  <c r="C3" i="10"/>
  <c r="AK95" i="1"/>
  <c r="AK116" i="1"/>
  <c r="AK131" i="1"/>
  <c r="AK112" i="1"/>
  <c r="AK115" i="1"/>
  <c r="AK123" i="1"/>
  <c r="AK89" i="1"/>
  <c r="AK103" i="1"/>
  <c r="AK129" i="1"/>
  <c r="AK105" i="1"/>
  <c r="AK102" i="1"/>
  <c r="AK106" i="1"/>
  <c r="AK97" i="1"/>
  <c r="AK113" i="1"/>
  <c r="A6" i="2"/>
  <c r="K6" i="11"/>
  <c r="M6" i="5"/>
  <c r="J7" i="10"/>
  <c r="B6" i="14"/>
  <c r="A6" i="8"/>
  <c r="A6" i="9"/>
  <c r="AD6" i="8"/>
  <c r="A6" i="7"/>
  <c r="AK124" i="1"/>
  <c r="AK92" i="1"/>
  <c r="AK91" i="1"/>
  <c r="AK119" i="1"/>
  <c r="AK120" i="1"/>
  <c r="AK108" i="1"/>
  <c r="AK122" i="1"/>
  <c r="AK125" i="1"/>
  <c r="AK128" i="1"/>
  <c r="AK104" i="1"/>
  <c r="AK96" i="1"/>
  <c r="X4" i="1"/>
  <c r="F8" i="12"/>
  <c r="E8" i="12" s="1"/>
  <c r="D9" i="12"/>
  <c r="CM6" i="8"/>
  <c r="AJ7" i="14"/>
  <c r="AK110" i="1"/>
  <c r="AK130" i="1"/>
  <c r="AK109" i="1"/>
  <c r="AK133" i="1"/>
  <c r="AK101" i="1"/>
  <c r="AK90" i="1"/>
  <c r="AK121" i="1"/>
  <c r="AK111" i="1"/>
  <c r="AK98" i="1"/>
  <c r="I4" i="5"/>
  <c r="E4" i="10" s="1"/>
  <c r="Q5" i="2"/>
  <c r="BP6" i="5"/>
  <c r="Y4" i="1"/>
  <c r="G4" i="5"/>
  <c r="G5" i="5" s="1"/>
  <c r="F5" i="8"/>
  <c r="F6" i="8" s="1"/>
  <c r="J4" i="5"/>
  <c r="J5" i="5" s="1"/>
  <c r="J6" i="5" s="1"/>
  <c r="H3" i="7"/>
  <c r="DC3" i="5"/>
  <c r="E24" i="4"/>
  <c r="F3" i="7"/>
  <c r="DA3" i="5"/>
  <c r="D3" i="10"/>
  <c r="L4" i="5"/>
  <c r="DE3" i="5"/>
  <c r="J3" i="7"/>
  <c r="H3" i="10"/>
  <c r="I3" i="7"/>
  <c r="DD3" i="5"/>
  <c r="G3" i="10"/>
  <c r="V3" i="2"/>
  <c r="K4" i="5"/>
  <c r="A3" i="5"/>
  <c r="E3" i="5" s="1"/>
  <c r="AR4" i="5"/>
  <c r="G3" i="7"/>
  <c r="DB3" i="5"/>
  <c r="E3" i="10"/>
  <c r="E58" i="4"/>
  <c r="BA6" i="5"/>
  <c r="B4" i="5"/>
  <c r="J4" i="2"/>
  <c r="H8" i="8"/>
  <c r="P7" i="2"/>
  <c r="J6" i="8"/>
  <c r="R5" i="2"/>
  <c r="W3" i="1"/>
  <c r="BE5" i="5"/>
  <c r="AY8" i="5"/>
  <c r="K7" i="8"/>
  <c r="S6" i="2"/>
  <c r="BN7" i="5"/>
  <c r="AF6" i="1" s="1"/>
  <c r="X5" i="1"/>
  <c r="BK6" i="5"/>
  <c r="AD5" i="1" s="1"/>
  <c r="AX6" i="5"/>
  <c r="DG5" i="5"/>
  <c r="DE6" i="8"/>
  <c r="G7" i="8"/>
  <c r="O6" i="2"/>
  <c r="BH2" i="8"/>
  <c r="O2" i="2"/>
  <c r="G2" i="8"/>
  <c r="A34" i="6"/>
  <c r="AH2" i="8"/>
  <c r="A36" i="4"/>
  <c r="I36" i="4" s="1"/>
  <c r="DF3" i="5"/>
  <c r="A25" i="4"/>
  <c r="CC134" i="8" l="1"/>
  <c r="CC130" i="8"/>
  <c r="CC126" i="8"/>
  <c r="CC122" i="8"/>
  <c r="CC135" i="8"/>
  <c r="CC131" i="8"/>
  <c r="CC127" i="8"/>
  <c r="CC123" i="8"/>
  <c r="CC132" i="8"/>
  <c r="CC128" i="8"/>
  <c r="CC124" i="8"/>
  <c r="CC129" i="8"/>
  <c r="CC121" i="8"/>
  <c r="CC118" i="8"/>
  <c r="CC114" i="8"/>
  <c r="CC110" i="8"/>
  <c r="CC125" i="8"/>
  <c r="CC120" i="8"/>
  <c r="CC119" i="8"/>
  <c r="CC115" i="8"/>
  <c r="CC111" i="8"/>
  <c r="CC107" i="8"/>
  <c r="CC113" i="8"/>
  <c r="CC112" i="8"/>
  <c r="CC103" i="8"/>
  <c r="CC99" i="8"/>
  <c r="CC95" i="8"/>
  <c r="CC91" i="8"/>
  <c r="CC87" i="8"/>
  <c r="CC117" i="8"/>
  <c r="CC106" i="8"/>
  <c r="CC101" i="8"/>
  <c r="CC133" i="8"/>
  <c r="CC108" i="8"/>
  <c r="CC105" i="8"/>
  <c r="CC96" i="8"/>
  <c r="CC94" i="8"/>
  <c r="CC116" i="8"/>
  <c r="CC100" i="8"/>
  <c r="CC98" i="8"/>
  <c r="CC97" i="8"/>
  <c r="CC92" i="8"/>
  <c r="CC90" i="8"/>
  <c r="CC85" i="8"/>
  <c r="CC80" i="8"/>
  <c r="CC76" i="8"/>
  <c r="CC72" i="8"/>
  <c r="CC109" i="8"/>
  <c r="CC89" i="8"/>
  <c r="CC81" i="8"/>
  <c r="CC77" i="8"/>
  <c r="CC73" i="8"/>
  <c r="CC69" i="8"/>
  <c r="CC65" i="8"/>
  <c r="CC104" i="8"/>
  <c r="CC102" i="8"/>
  <c r="CC84" i="8"/>
  <c r="CC82" i="8"/>
  <c r="CC78" i="8"/>
  <c r="CC74" i="8"/>
  <c r="CC70" i="8"/>
  <c r="CC66" i="8"/>
  <c r="CC93" i="8"/>
  <c r="CC79" i="8"/>
  <c r="CC62" i="8"/>
  <c r="CC58" i="8"/>
  <c r="CC54" i="8"/>
  <c r="CC50" i="8"/>
  <c r="CC46" i="8"/>
  <c r="CC42" i="8"/>
  <c r="CC38" i="8"/>
  <c r="CC34" i="8"/>
  <c r="CC30" i="8"/>
  <c r="CC26" i="8"/>
  <c r="CC22" i="8"/>
  <c r="CC18" i="8"/>
  <c r="CC14" i="8"/>
  <c r="CC10" i="8"/>
  <c r="CC88" i="8"/>
  <c r="CC86" i="8"/>
  <c r="CC75" i="8"/>
  <c r="CC71" i="8"/>
  <c r="CC64" i="8"/>
  <c r="CC63" i="8"/>
  <c r="CC59" i="8"/>
  <c r="CC55" i="8"/>
  <c r="CC51" i="8"/>
  <c r="CC47" i="8"/>
  <c r="CC43" i="8"/>
  <c r="CC39" i="8"/>
  <c r="CC35" i="8"/>
  <c r="CC31" i="8"/>
  <c r="CC27" i="8"/>
  <c r="CC23" i="8"/>
  <c r="CC19" i="8"/>
  <c r="CC15" i="8"/>
  <c r="CC11" i="8"/>
  <c r="CC60" i="8"/>
  <c r="CC56" i="8"/>
  <c r="CC52" i="8"/>
  <c r="CC48" i="8"/>
  <c r="CC44" i="8"/>
  <c r="CC83" i="8"/>
  <c r="CC57" i="8"/>
  <c r="CC37" i="8"/>
  <c r="CC36" i="8"/>
  <c r="CC29" i="8"/>
  <c r="CC28" i="8"/>
  <c r="CC21" i="8"/>
  <c r="CC20" i="8"/>
  <c r="CC13" i="8"/>
  <c r="CC12" i="8"/>
  <c r="CC9" i="8"/>
  <c r="CC5" i="8"/>
  <c r="CC32" i="8"/>
  <c r="CC17" i="8"/>
  <c r="CC53" i="8"/>
  <c r="CC6" i="8"/>
  <c r="CC33" i="8"/>
  <c r="CC25" i="8"/>
  <c r="CC7" i="8"/>
  <c r="CC4" i="8"/>
  <c r="CC68" i="8"/>
  <c r="CC49" i="8"/>
  <c r="CC41" i="8"/>
  <c r="CC40" i="8"/>
  <c r="CC24" i="8"/>
  <c r="CC16" i="8"/>
  <c r="CC67" i="8"/>
  <c r="CC61" i="8"/>
  <c r="CC45" i="8"/>
  <c r="CC8" i="8"/>
  <c r="CD135" i="8"/>
  <c r="CD131" i="8"/>
  <c r="CD127" i="8"/>
  <c r="CD123" i="8"/>
  <c r="CD132" i="8"/>
  <c r="CD128" i="8"/>
  <c r="CD124" i="8"/>
  <c r="CD120" i="8"/>
  <c r="CD133" i="8"/>
  <c r="CD129" i="8"/>
  <c r="CD125" i="8"/>
  <c r="CD121" i="8"/>
  <c r="CD134" i="8"/>
  <c r="CD119" i="8"/>
  <c r="CD115" i="8"/>
  <c r="CD111" i="8"/>
  <c r="CD130" i="8"/>
  <c r="CD116" i="8"/>
  <c r="CD112" i="8"/>
  <c r="CD108" i="8"/>
  <c r="CD126" i="8"/>
  <c r="CD114" i="8"/>
  <c r="CD107" i="8"/>
  <c r="CD104" i="8"/>
  <c r="CD100" i="8"/>
  <c r="CD96" i="8"/>
  <c r="CD92" i="8"/>
  <c r="CD88" i="8"/>
  <c r="CD84" i="8"/>
  <c r="CD122" i="8"/>
  <c r="CD105" i="8"/>
  <c r="CD99" i="8"/>
  <c r="CD94" i="8"/>
  <c r="CD110" i="8"/>
  <c r="CD103" i="8"/>
  <c r="CD98" i="8"/>
  <c r="CD93" i="8"/>
  <c r="CD118" i="8"/>
  <c r="CD109" i="8"/>
  <c r="CD102" i="8"/>
  <c r="CD97" i="8"/>
  <c r="CD95" i="8"/>
  <c r="CD89" i="8"/>
  <c r="CD81" i="8"/>
  <c r="CD77" i="8"/>
  <c r="CD73" i="8"/>
  <c r="CD117" i="8"/>
  <c r="CD113" i="8"/>
  <c r="CD87" i="8"/>
  <c r="CD82" i="8"/>
  <c r="CD78" i="8"/>
  <c r="CD74" i="8"/>
  <c r="CD70" i="8"/>
  <c r="CD66" i="8"/>
  <c r="CD106" i="8"/>
  <c r="CD91" i="8"/>
  <c r="CD86" i="8"/>
  <c r="CD83" i="8"/>
  <c r="CD79" i="8"/>
  <c r="CD75" i="8"/>
  <c r="CD71" i="8"/>
  <c r="CD67" i="8"/>
  <c r="CD64" i="8"/>
  <c r="CD63" i="8"/>
  <c r="CD59" i="8"/>
  <c r="CD55" i="8"/>
  <c r="CD51" i="8"/>
  <c r="CD47" i="8"/>
  <c r="CD43" i="8"/>
  <c r="CD39" i="8"/>
  <c r="CD35" i="8"/>
  <c r="CD31" i="8"/>
  <c r="CD27" i="8"/>
  <c r="CD23" i="8"/>
  <c r="CD19" i="8"/>
  <c r="CD15" i="8"/>
  <c r="CD11" i="8"/>
  <c r="CD90" i="8"/>
  <c r="CD80" i="8"/>
  <c r="CD60" i="8"/>
  <c r="CD56" i="8"/>
  <c r="CD52" i="8"/>
  <c r="CD48" i="8"/>
  <c r="CD44" i="8"/>
  <c r="CD40" i="8"/>
  <c r="CD36" i="8"/>
  <c r="CD32" i="8"/>
  <c r="CD28" i="8"/>
  <c r="CD24" i="8"/>
  <c r="CD20" i="8"/>
  <c r="CD16" i="8"/>
  <c r="CD12" i="8"/>
  <c r="CD85" i="8"/>
  <c r="CD76" i="8"/>
  <c r="CD68" i="8"/>
  <c r="CD61" i="8"/>
  <c r="CD57" i="8"/>
  <c r="CD53" i="8"/>
  <c r="CD49" i="8"/>
  <c r="CD45" i="8"/>
  <c r="CD72" i="8"/>
  <c r="CD62" i="8"/>
  <c r="CD46" i="8"/>
  <c r="CD38" i="8"/>
  <c r="CD30" i="8"/>
  <c r="CD22" i="8"/>
  <c r="CD14" i="8"/>
  <c r="CD6" i="8"/>
  <c r="CD34" i="8"/>
  <c r="CD26" i="8"/>
  <c r="CD29" i="8"/>
  <c r="CD5" i="8"/>
  <c r="CD101" i="8"/>
  <c r="CD69" i="8"/>
  <c r="CD65" i="8"/>
  <c r="CD58" i="8"/>
  <c r="CD41" i="8"/>
  <c r="CD33" i="8"/>
  <c r="CD25" i="8"/>
  <c r="CD17" i="8"/>
  <c r="CD7" i="8"/>
  <c r="CD18" i="8"/>
  <c r="CD10" i="8"/>
  <c r="CD8" i="8"/>
  <c r="CD50" i="8"/>
  <c r="CD37" i="8"/>
  <c r="CD21" i="8"/>
  <c r="CD13" i="8"/>
  <c r="CD9" i="8"/>
  <c r="CD54" i="8"/>
  <c r="CD42" i="8"/>
  <c r="CD4" i="8"/>
  <c r="CE132" i="8"/>
  <c r="CE128" i="8"/>
  <c r="CE124" i="8"/>
  <c r="CE133" i="8"/>
  <c r="CE129" i="8"/>
  <c r="CE125" i="8"/>
  <c r="CE121" i="8"/>
  <c r="CE134" i="8"/>
  <c r="CE130" i="8"/>
  <c r="CE126" i="8"/>
  <c r="CE122" i="8"/>
  <c r="CE123" i="8"/>
  <c r="CE120" i="8"/>
  <c r="CE116" i="8"/>
  <c r="CE112" i="8"/>
  <c r="CE108" i="8"/>
  <c r="CE135" i="8"/>
  <c r="CE117" i="8"/>
  <c r="CE113" i="8"/>
  <c r="CE109" i="8"/>
  <c r="CE105" i="8"/>
  <c r="CE101" i="8"/>
  <c r="CE97" i="8"/>
  <c r="CE93" i="8"/>
  <c r="CE89" i="8"/>
  <c r="CE85" i="8"/>
  <c r="CE131" i="8"/>
  <c r="CE127" i="8"/>
  <c r="CE110" i="8"/>
  <c r="CE103" i="8"/>
  <c r="CE98" i="8"/>
  <c r="CE96" i="8"/>
  <c r="CE118" i="8"/>
  <c r="CE115" i="8"/>
  <c r="CE102" i="8"/>
  <c r="CE100" i="8"/>
  <c r="CE114" i="8"/>
  <c r="CE111" i="8"/>
  <c r="CE107" i="8"/>
  <c r="CE106" i="8"/>
  <c r="CE104" i="8"/>
  <c r="CE95" i="8"/>
  <c r="CE87" i="8"/>
  <c r="CE82" i="8"/>
  <c r="CE78" i="8"/>
  <c r="CE74" i="8"/>
  <c r="CE119" i="8"/>
  <c r="CE94" i="8"/>
  <c r="CE91" i="8"/>
  <c r="CE86" i="8"/>
  <c r="CE84" i="8"/>
  <c r="CE83" i="8"/>
  <c r="CE79" i="8"/>
  <c r="CE75" i="8"/>
  <c r="CE71" i="8"/>
  <c r="CE67" i="8"/>
  <c r="CE90" i="8"/>
  <c r="CE88" i="8"/>
  <c r="CE80" i="8"/>
  <c r="CE76" i="8"/>
  <c r="CE72" i="8"/>
  <c r="CE68" i="8"/>
  <c r="CE73" i="8"/>
  <c r="CE66" i="8"/>
  <c r="CE60" i="8"/>
  <c r="CE56" i="8"/>
  <c r="CE52" i="8"/>
  <c r="CE48" i="8"/>
  <c r="CE44" i="8"/>
  <c r="CE40" i="8"/>
  <c r="CE36" i="8"/>
  <c r="CE32" i="8"/>
  <c r="CE28" i="8"/>
  <c r="CE24" i="8"/>
  <c r="CE20" i="8"/>
  <c r="CE16" i="8"/>
  <c r="CE12" i="8"/>
  <c r="CE99" i="8"/>
  <c r="CE92" i="8"/>
  <c r="CE61" i="8"/>
  <c r="CE57" i="8"/>
  <c r="CE53" i="8"/>
  <c r="CE49" i="8"/>
  <c r="CE45" i="8"/>
  <c r="CE41" i="8"/>
  <c r="CE37" i="8"/>
  <c r="CE33" i="8"/>
  <c r="CE29" i="8"/>
  <c r="CE25" i="8"/>
  <c r="CE21" i="8"/>
  <c r="CE17" i="8"/>
  <c r="CE13" i="8"/>
  <c r="CE9" i="8"/>
  <c r="CE81" i="8"/>
  <c r="CE70" i="8"/>
  <c r="CE69" i="8"/>
  <c r="CE65" i="8"/>
  <c r="CE62" i="8"/>
  <c r="CE58" i="8"/>
  <c r="CE54" i="8"/>
  <c r="CE50" i="8"/>
  <c r="CE46" i="8"/>
  <c r="CE51" i="8"/>
  <c r="CE7" i="8"/>
  <c r="CE39" i="8"/>
  <c r="CE31" i="8"/>
  <c r="CE22" i="8"/>
  <c r="CE15" i="8"/>
  <c r="CE14" i="8"/>
  <c r="CE6" i="8"/>
  <c r="CE63" i="8"/>
  <c r="CE47" i="8"/>
  <c r="CE42" i="8"/>
  <c r="CE35" i="8"/>
  <c r="CE34" i="8"/>
  <c r="CE27" i="8"/>
  <c r="CE26" i="8"/>
  <c r="CE19" i="8"/>
  <c r="CE18" i="8"/>
  <c r="CE11" i="8"/>
  <c r="CE10" i="8"/>
  <c r="CE8" i="8"/>
  <c r="CE4" i="8"/>
  <c r="CE5" i="8"/>
  <c r="CE77" i="8"/>
  <c r="CE38" i="8"/>
  <c r="CE23" i="8"/>
  <c r="CE64" i="8"/>
  <c r="CE59" i="8"/>
  <c r="CE43" i="8"/>
  <c r="CE55" i="8"/>
  <c r="CE30" i="8"/>
  <c r="CB133" i="8"/>
  <c r="CB129" i="8"/>
  <c r="CB125" i="8"/>
  <c r="CB134" i="8"/>
  <c r="CB130" i="8"/>
  <c r="CB126" i="8"/>
  <c r="CB122" i="8"/>
  <c r="CB135" i="8"/>
  <c r="CB131" i="8"/>
  <c r="CB127" i="8"/>
  <c r="CB123" i="8"/>
  <c r="CB128" i="8"/>
  <c r="CB117" i="8"/>
  <c r="CB113" i="8"/>
  <c r="CB109" i="8"/>
  <c r="CB124" i="8"/>
  <c r="CB121" i="8"/>
  <c r="CB118" i="8"/>
  <c r="CB114" i="8"/>
  <c r="CB110" i="8"/>
  <c r="CB115" i="8"/>
  <c r="CB106" i="8"/>
  <c r="CB102" i="8"/>
  <c r="CB98" i="8"/>
  <c r="CB94" i="8"/>
  <c r="CB90" i="8"/>
  <c r="CB86" i="8"/>
  <c r="CB132" i="8"/>
  <c r="CB119" i="8"/>
  <c r="CB104" i="8"/>
  <c r="CB97" i="8"/>
  <c r="CB95" i="8"/>
  <c r="CB112" i="8"/>
  <c r="CB101" i="8"/>
  <c r="CB99" i="8"/>
  <c r="CB108" i="8"/>
  <c r="CB105" i="8"/>
  <c r="CB103" i="8"/>
  <c r="CB96" i="8"/>
  <c r="CB93" i="8"/>
  <c r="CB88" i="8"/>
  <c r="CB83" i="8"/>
  <c r="CB79" i="8"/>
  <c r="CB75" i="8"/>
  <c r="CB111" i="8"/>
  <c r="CB107" i="8"/>
  <c r="CB92" i="8"/>
  <c r="CB85" i="8"/>
  <c r="CB80" i="8"/>
  <c r="CB76" i="8"/>
  <c r="CB72" i="8"/>
  <c r="CB68" i="8"/>
  <c r="CB64" i="8"/>
  <c r="CB120" i="8"/>
  <c r="CB116" i="8"/>
  <c r="CB100" i="8"/>
  <c r="CB89" i="8"/>
  <c r="CB87" i="8"/>
  <c r="CB81" i="8"/>
  <c r="CB77" i="8"/>
  <c r="CB73" i="8"/>
  <c r="CB69" i="8"/>
  <c r="CB91" i="8"/>
  <c r="CB78" i="8"/>
  <c r="CB67" i="8"/>
  <c r="CB65" i="8"/>
  <c r="CB61" i="8"/>
  <c r="CB57" i="8"/>
  <c r="CB53" i="8"/>
  <c r="CB49" i="8"/>
  <c r="CB45" i="8"/>
  <c r="CB41" i="8"/>
  <c r="CB37" i="8"/>
  <c r="CB33" i="8"/>
  <c r="CB29" i="8"/>
  <c r="CB25" i="8"/>
  <c r="CB21" i="8"/>
  <c r="CB17" i="8"/>
  <c r="CB13" i="8"/>
  <c r="CB84" i="8"/>
  <c r="CB74" i="8"/>
  <c r="CB66" i="8"/>
  <c r="CB62" i="8"/>
  <c r="CB58" i="8"/>
  <c r="CB54" i="8"/>
  <c r="CB50" i="8"/>
  <c r="CB46" i="8"/>
  <c r="CB42" i="8"/>
  <c r="CB38" i="8"/>
  <c r="CB34" i="8"/>
  <c r="CB30" i="8"/>
  <c r="CB26" i="8"/>
  <c r="CB22" i="8"/>
  <c r="CB18" i="8"/>
  <c r="CB14" i="8"/>
  <c r="CB10" i="8"/>
  <c r="CB71" i="8"/>
  <c r="CB63" i="8"/>
  <c r="CB59" i="8"/>
  <c r="CB55" i="8"/>
  <c r="CB51" i="8"/>
  <c r="CB47" i="8"/>
  <c r="CB43" i="8"/>
  <c r="CB70" i="8"/>
  <c r="CB56" i="8"/>
  <c r="CB39" i="8"/>
  <c r="CB31" i="8"/>
  <c r="CB23" i="8"/>
  <c r="CB15" i="8"/>
  <c r="CB8" i="8"/>
  <c r="CB4" i="8"/>
  <c r="CB27" i="8"/>
  <c r="CB82" i="8"/>
  <c r="CB24" i="8"/>
  <c r="CB52" i="8"/>
  <c r="CB36" i="8"/>
  <c r="CB28" i="8"/>
  <c r="CB20" i="8"/>
  <c r="CB12" i="8"/>
  <c r="CB9" i="8"/>
  <c r="CB5" i="8"/>
  <c r="CB35" i="8"/>
  <c r="CB11" i="8"/>
  <c r="CB6" i="8"/>
  <c r="CB44" i="8"/>
  <c r="CB40" i="8"/>
  <c r="CB32" i="8"/>
  <c r="CB7" i="8"/>
  <c r="CB48" i="8"/>
  <c r="CB19" i="8"/>
  <c r="CB60" i="8"/>
  <c r="CB16" i="8"/>
  <c r="AO5" i="11"/>
  <c r="L5" i="11"/>
  <c r="E4" i="9"/>
  <c r="AG4" i="5"/>
  <c r="B4" i="2"/>
  <c r="B4" i="1"/>
  <c r="BI4" i="1" s="1"/>
  <c r="I8" i="12"/>
  <c r="J7" i="12"/>
  <c r="K5" i="10"/>
  <c r="AA5" i="7"/>
  <c r="AE5" i="8" s="1"/>
  <c r="BC5" i="8" s="1"/>
  <c r="AC5" i="1"/>
  <c r="BC6" i="5"/>
  <c r="AB5" i="1"/>
  <c r="AZ6" i="5"/>
  <c r="B5" i="5"/>
  <c r="AE4" i="1"/>
  <c r="W4" i="1" s="1"/>
  <c r="H5" i="5"/>
  <c r="F5" i="7" s="1"/>
  <c r="D4" i="10"/>
  <c r="DA4" i="5"/>
  <c r="O6" i="1"/>
  <c r="DK6" i="8" s="1"/>
  <c r="DI5" i="8"/>
  <c r="DJ5" i="8"/>
  <c r="EQ3" i="8"/>
  <c r="CZ3" i="8" s="1"/>
  <c r="EO3" i="8"/>
  <c r="DT3" i="8" s="1"/>
  <c r="Q6" i="2"/>
  <c r="Q7" i="2"/>
  <c r="DF6" i="8"/>
  <c r="C83" i="6"/>
  <c r="C95" i="6"/>
  <c r="E7" i="8"/>
  <c r="E8" i="8" s="1"/>
  <c r="CB3" i="8"/>
  <c r="CE3" i="8"/>
  <c r="CD3" i="8"/>
  <c r="CC3" i="8"/>
  <c r="D4" i="7"/>
  <c r="CY4" i="5"/>
  <c r="F5" i="5"/>
  <c r="F6" i="5" s="1"/>
  <c r="B6" i="10" s="1"/>
  <c r="J25" i="4"/>
  <c r="I25" i="4"/>
  <c r="H25" i="4"/>
  <c r="G25" i="4"/>
  <c r="F25" i="4"/>
  <c r="E25" i="4"/>
  <c r="D10" i="12"/>
  <c r="F9" i="12"/>
  <c r="E9" i="12" s="1"/>
  <c r="A7" i="2"/>
  <c r="AD7" i="8"/>
  <c r="A7" i="9"/>
  <c r="A7" i="7"/>
  <c r="K7" i="11"/>
  <c r="J8" i="10"/>
  <c r="B7" i="14"/>
  <c r="A7" i="8"/>
  <c r="M7" i="5"/>
  <c r="AJ8" i="14"/>
  <c r="CM7" i="8"/>
  <c r="DB4" i="5"/>
  <c r="N5" i="2"/>
  <c r="I5" i="5"/>
  <c r="G5" i="7" s="1"/>
  <c r="G4" i="7"/>
  <c r="W3" i="8"/>
  <c r="CT3" i="8"/>
  <c r="DQ3" i="8" s="1"/>
  <c r="CU3" i="8"/>
  <c r="BO3" i="8"/>
  <c r="DM3" i="8" s="1"/>
  <c r="CS3" i="8"/>
  <c r="DP3" i="8" s="1"/>
  <c r="I8" i="8"/>
  <c r="CQ3" i="8"/>
  <c r="DA3" i="8" s="1"/>
  <c r="BP7" i="5"/>
  <c r="Y5" i="1"/>
  <c r="CZ4" i="5"/>
  <c r="E4" i="7"/>
  <c r="C4" i="10"/>
  <c r="H4" i="7"/>
  <c r="F4" i="10"/>
  <c r="DC4" i="5"/>
  <c r="D25" i="4"/>
  <c r="AR5" i="5"/>
  <c r="DC5" i="5"/>
  <c r="F5" i="10"/>
  <c r="H5" i="7"/>
  <c r="A4" i="5"/>
  <c r="E4" i="5" s="1"/>
  <c r="EQ4" i="8" s="1"/>
  <c r="CZ4" i="8" s="1"/>
  <c r="V4" i="2"/>
  <c r="I4" i="7"/>
  <c r="K5" i="5"/>
  <c r="G4" i="10"/>
  <c r="DD4" i="5"/>
  <c r="DE4" i="5"/>
  <c r="L5" i="5"/>
  <c r="H4" i="10"/>
  <c r="J4" i="7"/>
  <c r="BN3" i="8"/>
  <c r="CO3" i="8" s="1"/>
  <c r="AH3" i="5"/>
  <c r="DL3" i="8"/>
  <c r="E3" i="1"/>
  <c r="A3" i="11"/>
  <c r="N3" i="11" s="1"/>
  <c r="AB3" i="8"/>
  <c r="B3" i="7"/>
  <c r="AE3" i="7" s="1"/>
  <c r="AF3" i="7" s="1"/>
  <c r="AV3" i="5"/>
  <c r="AI3" i="5"/>
  <c r="Q3" i="1"/>
  <c r="E3" i="14" s="1"/>
  <c r="A3" i="10"/>
  <c r="AA3" i="10" s="1"/>
  <c r="B3" i="9"/>
  <c r="AD3" i="9" s="1"/>
  <c r="AU3" i="5"/>
  <c r="BS3" i="5"/>
  <c r="C3" i="14"/>
  <c r="BE6" i="5"/>
  <c r="AA6" i="7"/>
  <c r="AE6" i="8" s="1"/>
  <c r="BC6" i="8" s="1"/>
  <c r="K6" i="10"/>
  <c r="DF7" i="8"/>
  <c r="G8" i="8"/>
  <c r="DE7" i="8"/>
  <c r="O7" i="2"/>
  <c r="E5" i="7"/>
  <c r="G6" i="5"/>
  <c r="C5" i="10"/>
  <c r="CZ5" i="5"/>
  <c r="H6" i="7"/>
  <c r="J7" i="5"/>
  <c r="DC6" i="5"/>
  <c r="F6" i="10"/>
  <c r="BK7" i="5"/>
  <c r="AD6" i="1" s="1"/>
  <c r="P8" i="2"/>
  <c r="H9" i="8"/>
  <c r="BA7" i="5"/>
  <c r="J5" i="2"/>
  <c r="X6" i="1"/>
  <c r="BN8" i="5"/>
  <c r="AF7" i="1" s="1"/>
  <c r="F7" i="8"/>
  <c r="N6" i="2"/>
  <c r="AX7" i="5"/>
  <c r="DG6" i="5"/>
  <c r="AY9" i="5"/>
  <c r="J7" i="8"/>
  <c r="R6" i="2"/>
  <c r="S7" i="2"/>
  <c r="K8" i="8"/>
  <c r="BI2" i="8"/>
  <c r="A35" i="6"/>
  <c r="H2" i="8"/>
  <c r="AI2" i="8"/>
  <c r="P2" i="2"/>
  <c r="A37" i="4"/>
  <c r="I37" i="4" s="1"/>
  <c r="DF4" i="5"/>
  <c r="CK134" i="8" l="1"/>
  <c r="AZ134" i="8" s="1"/>
  <c r="AY134" i="1" s="1"/>
  <c r="CK130" i="8"/>
  <c r="AZ130" i="8" s="1"/>
  <c r="AY130" i="1" s="1"/>
  <c r="CK126" i="8"/>
  <c r="AZ126" i="8" s="1"/>
  <c r="AY126" i="1" s="1"/>
  <c r="CK122" i="8"/>
  <c r="CK135" i="8"/>
  <c r="CK131" i="8"/>
  <c r="AZ131" i="8" s="1"/>
  <c r="AY131" i="1" s="1"/>
  <c r="CK127" i="8"/>
  <c r="AZ127" i="8" s="1"/>
  <c r="AY127" i="1" s="1"/>
  <c r="CK123" i="8"/>
  <c r="CK119" i="8"/>
  <c r="AZ119" i="8" s="1"/>
  <c r="AY119" i="1" s="1"/>
  <c r="CK132" i="8"/>
  <c r="AZ132" i="8" s="1"/>
  <c r="AY132" i="1" s="1"/>
  <c r="CK128" i="8"/>
  <c r="AZ128" i="8" s="1"/>
  <c r="AY128" i="1" s="1"/>
  <c r="CK124" i="8"/>
  <c r="CK121" i="8"/>
  <c r="AZ121" i="8" s="1"/>
  <c r="AY121" i="1" s="1"/>
  <c r="CK118" i="8"/>
  <c r="AZ118" i="8" s="1"/>
  <c r="AY118" i="1" s="1"/>
  <c r="CK114" i="8"/>
  <c r="AZ114" i="8" s="1"/>
  <c r="AY114" i="1" s="1"/>
  <c r="CK110" i="8"/>
  <c r="CK133" i="8"/>
  <c r="CK115" i="8"/>
  <c r="AZ115" i="8" s="1"/>
  <c r="AY115" i="1" s="1"/>
  <c r="CK111" i="8"/>
  <c r="AZ111" i="8" s="1"/>
  <c r="AY111" i="1" s="1"/>
  <c r="CK107" i="8"/>
  <c r="CK125" i="8"/>
  <c r="AZ125" i="8" s="1"/>
  <c r="AY125" i="1" s="1"/>
  <c r="CK120" i="8"/>
  <c r="AZ120" i="8" s="1"/>
  <c r="AY120" i="1" s="1"/>
  <c r="CK113" i="8"/>
  <c r="AZ113" i="8" s="1"/>
  <c r="AY113" i="1" s="1"/>
  <c r="CK112" i="8"/>
  <c r="CK103" i="8"/>
  <c r="AZ103" i="8" s="1"/>
  <c r="AY103" i="1" s="1"/>
  <c r="CK99" i="8"/>
  <c r="AZ99" i="8" s="1"/>
  <c r="AY99" i="1" s="1"/>
  <c r="CK95" i="8"/>
  <c r="AZ95" i="8" s="1"/>
  <c r="AY95" i="1" s="1"/>
  <c r="CK91" i="8"/>
  <c r="CK87" i="8"/>
  <c r="CK109" i="8"/>
  <c r="AZ109" i="8" s="1"/>
  <c r="AY109" i="1" s="1"/>
  <c r="CK100" i="8"/>
  <c r="AZ100" i="8" s="1"/>
  <c r="AY100" i="1" s="1"/>
  <c r="CK98" i="8"/>
  <c r="CK117" i="8"/>
  <c r="AZ117" i="8" s="1"/>
  <c r="AY117" i="1" s="1"/>
  <c r="CK104" i="8"/>
  <c r="AZ104" i="8" s="1"/>
  <c r="AY104" i="1" s="1"/>
  <c r="CK102" i="8"/>
  <c r="AZ102" i="8" s="1"/>
  <c r="AY102" i="1" s="1"/>
  <c r="CK97" i="8"/>
  <c r="CK129" i="8"/>
  <c r="AZ129" i="8" s="1"/>
  <c r="AY129" i="1" s="1"/>
  <c r="CK108" i="8"/>
  <c r="AZ108" i="8" s="1"/>
  <c r="AY108" i="1" s="1"/>
  <c r="CK106" i="8"/>
  <c r="AZ106" i="8" s="1"/>
  <c r="AY106" i="1" s="1"/>
  <c r="CK101" i="8"/>
  <c r="CK96" i="8"/>
  <c r="AZ96" i="8" s="1"/>
  <c r="AY96" i="1" s="1"/>
  <c r="CK94" i="8"/>
  <c r="AZ94" i="8" s="1"/>
  <c r="AY94" i="1" s="1"/>
  <c r="CK84" i="8"/>
  <c r="AZ84" i="8" s="1"/>
  <c r="AY84" i="1" s="1"/>
  <c r="CK80" i="8"/>
  <c r="CK76" i="8"/>
  <c r="AZ76" i="8" s="1"/>
  <c r="AY76" i="1" s="1"/>
  <c r="CK72" i="8"/>
  <c r="AZ72" i="8" s="1"/>
  <c r="AY72" i="1" s="1"/>
  <c r="CK116" i="8"/>
  <c r="CK88" i="8"/>
  <c r="CK86" i="8"/>
  <c r="CK81" i="8"/>
  <c r="AZ81" i="8" s="1"/>
  <c r="AY81" i="1" s="1"/>
  <c r="CK77" i="8"/>
  <c r="AZ77" i="8" s="1"/>
  <c r="AY77" i="1" s="1"/>
  <c r="CK73" i="8"/>
  <c r="CK69" i="8"/>
  <c r="AZ69" i="8" s="1"/>
  <c r="AY69" i="1" s="1"/>
  <c r="CK65" i="8"/>
  <c r="AZ65" i="8" s="1"/>
  <c r="AY65" i="1" s="1"/>
  <c r="CK105" i="8"/>
  <c r="AZ105" i="8" s="1"/>
  <c r="AY105" i="1" s="1"/>
  <c r="CK92" i="8"/>
  <c r="CK90" i="8"/>
  <c r="CK85" i="8"/>
  <c r="AZ85" i="8" s="1"/>
  <c r="AY85" i="1" s="1"/>
  <c r="CK82" i="8"/>
  <c r="AZ82" i="8" s="1"/>
  <c r="AY82" i="1" s="1"/>
  <c r="CK78" i="8"/>
  <c r="CK74" i="8"/>
  <c r="AZ74" i="8" s="1"/>
  <c r="AY74" i="1" s="1"/>
  <c r="CK70" i="8"/>
  <c r="AZ70" i="8" s="1"/>
  <c r="AY70" i="1" s="1"/>
  <c r="CK66" i="8"/>
  <c r="AZ66" i="8" s="1"/>
  <c r="AY66" i="1" s="1"/>
  <c r="CK62" i="8"/>
  <c r="CK58" i="8"/>
  <c r="AZ58" i="8" s="1"/>
  <c r="AY58" i="1" s="1"/>
  <c r="CK54" i="8"/>
  <c r="AZ54" i="8" s="1"/>
  <c r="AY54" i="1" s="1"/>
  <c r="CK50" i="8"/>
  <c r="AZ50" i="8" s="1"/>
  <c r="AY50" i="1" s="1"/>
  <c r="CK46" i="8"/>
  <c r="CK42" i="8"/>
  <c r="AZ42" i="8" s="1"/>
  <c r="AY42" i="1" s="1"/>
  <c r="CK38" i="8"/>
  <c r="AZ38" i="8" s="1"/>
  <c r="AY38" i="1" s="1"/>
  <c r="CK34" i="8"/>
  <c r="AZ34" i="8" s="1"/>
  <c r="AY34" i="1" s="1"/>
  <c r="CK30" i="8"/>
  <c r="CK26" i="8"/>
  <c r="AZ26" i="8" s="1"/>
  <c r="AY26" i="1" s="1"/>
  <c r="CK22" i="8"/>
  <c r="AZ22" i="8" s="1"/>
  <c r="AY22" i="1" s="1"/>
  <c r="CK18" i="8"/>
  <c r="AZ18" i="8" s="1"/>
  <c r="AY18" i="1" s="1"/>
  <c r="CK14" i="8"/>
  <c r="CK10" i="8"/>
  <c r="CK89" i="8"/>
  <c r="AZ89" i="8" s="1"/>
  <c r="AY89" i="1" s="1"/>
  <c r="CK83" i="8"/>
  <c r="AZ83" i="8" s="1"/>
  <c r="AY83" i="1" s="1"/>
  <c r="CK71" i="8"/>
  <c r="CK63" i="8"/>
  <c r="AZ63" i="8" s="1"/>
  <c r="AY63" i="1" s="1"/>
  <c r="CK59" i="8"/>
  <c r="AZ59" i="8" s="1"/>
  <c r="AY59" i="1" s="1"/>
  <c r="CK55" i="8"/>
  <c r="AZ55" i="8" s="1"/>
  <c r="AY55" i="1" s="1"/>
  <c r="CK51" i="8"/>
  <c r="CK47" i="8"/>
  <c r="CK43" i="8"/>
  <c r="AZ43" i="8" s="1"/>
  <c r="AY43" i="1" s="1"/>
  <c r="CK39" i="8"/>
  <c r="AZ39" i="8" s="1"/>
  <c r="AY39" i="1" s="1"/>
  <c r="CK35" i="8"/>
  <c r="CK31" i="8"/>
  <c r="CK27" i="8"/>
  <c r="AZ27" i="8" s="1"/>
  <c r="AY27" i="1" s="1"/>
  <c r="CK23" i="8"/>
  <c r="AZ23" i="8" s="1"/>
  <c r="AY23" i="1" s="1"/>
  <c r="CK19" i="8"/>
  <c r="CK15" i="8"/>
  <c r="AZ15" i="8" s="1"/>
  <c r="AY15" i="1" s="1"/>
  <c r="CK11" i="8"/>
  <c r="AZ11" i="8" s="1"/>
  <c r="AY11" i="1" s="1"/>
  <c r="CK79" i="8"/>
  <c r="AZ79" i="8" s="1"/>
  <c r="AY79" i="1" s="1"/>
  <c r="CK60" i="8"/>
  <c r="CK56" i="8"/>
  <c r="AZ56" i="8" s="1"/>
  <c r="AY56" i="1" s="1"/>
  <c r="CK52" i="8"/>
  <c r="AZ52" i="8" s="1"/>
  <c r="AY52" i="1" s="1"/>
  <c r="CK48" i="8"/>
  <c r="AZ48" i="8" s="1"/>
  <c r="AY48" i="1" s="1"/>
  <c r="CK44" i="8"/>
  <c r="CK49" i="8"/>
  <c r="AZ49" i="8" s="1"/>
  <c r="AY49" i="1" s="1"/>
  <c r="CK37" i="8"/>
  <c r="AZ37" i="8" s="1"/>
  <c r="AY37" i="1" s="1"/>
  <c r="CK36" i="8"/>
  <c r="AZ36" i="8" s="1"/>
  <c r="AY36" i="1" s="1"/>
  <c r="CK29" i="8"/>
  <c r="CK28" i="8"/>
  <c r="AZ28" i="8" s="1"/>
  <c r="AY28" i="1" s="1"/>
  <c r="CK21" i="8"/>
  <c r="AZ21" i="8" s="1"/>
  <c r="AY21" i="1" s="1"/>
  <c r="CK20" i="8"/>
  <c r="AZ20" i="8" s="1"/>
  <c r="AY20" i="1" s="1"/>
  <c r="CK13" i="8"/>
  <c r="CK12" i="8"/>
  <c r="AZ12" i="8" s="1"/>
  <c r="AY12" i="1" s="1"/>
  <c r="CK5" i="8"/>
  <c r="AZ5" i="8" s="1"/>
  <c r="AY5" i="1" s="1"/>
  <c r="CK33" i="8"/>
  <c r="AZ33" i="8" s="1"/>
  <c r="AY33" i="1" s="1"/>
  <c r="CK32" i="8"/>
  <c r="CK25" i="8"/>
  <c r="AZ25" i="8" s="1"/>
  <c r="AY25" i="1" s="1"/>
  <c r="CK16" i="8"/>
  <c r="AZ16" i="8" s="1"/>
  <c r="AY16" i="1" s="1"/>
  <c r="CK9" i="8"/>
  <c r="AZ9" i="8" s="1"/>
  <c r="AY9" i="1" s="1"/>
  <c r="CK7" i="8"/>
  <c r="CK8" i="8"/>
  <c r="AZ8" i="8" s="1"/>
  <c r="AY8" i="1" s="1"/>
  <c r="CK75" i="8"/>
  <c r="AZ75" i="8" s="1"/>
  <c r="AY75" i="1" s="1"/>
  <c r="CK68" i="8"/>
  <c r="AZ68" i="8" s="1"/>
  <c r="AY68" i="1" s="1"/>
  <c r="CK64" i="8"/>
  <c r="CK61" i="8"/>
  <c r="AZ61" i="8" s="1"/>
  <c r="AY61" i="1" s="1"/>
  <c r="CK45" i="8"/>
  <c r="AZ45" i="8" s="1"/>
  <c r="AY45" i="1" s="1"/>
  <c r="CK6" i="8"/>
  <c r="AZ6" i="8" s="1"/>
  <c r="AY6" i="1" s="1"/>
  <c r="CK24" i="8"/>
  <c r="CK17" i="8"/>
  <c r="CK93" i="8"/>
  <c r="AZ93" i="8" s="1"/>
  <c r="AY93" i="1" s="1"/>
  <c r="CK53" i="8"/>
  <c r="AZ53" i="8" s="1"/>
  <c r="AY53" i="1" s="1"/>
  <c r="CK4" i="8"/>
  <c r="CK67" i="8"/>
  <c r="AZ67" i="8" s="1"/>
  <c r="AY67" i="1" s="1"/>
  <c r="CK57" i="8"/>
  <c r="AZ57" i="8" s="1"/>
  <c r="AY57" i="1" s="1"/>
  <c r="CK41" i="8"/>
  <c r="AZ41" i="8" s="1"/>
  <c r="AY41" i="1" s="1"/>
  <c r="CK40" i="8"/>
  <c r="CJ133" i="8"/>
  <c r="CJ129" i="8"/>
  <c r="AY129" i="8" s="1"/>
  <c r="CJ125" i="8"/>
  <c r="AY125" i="8" s="1"/>
  <c r="CJ134" i="8"/>
  <c r="CJ130" i="8"/>
  <c r="AY130" i="8" s="1"/>
  <c r="CJ126" i="8"/>
  <c r="AY126" i="8" s="1"/>
  <c r="CJ122" i="8"/>
  <c r="AY122" i="8" s="1"/>
  <c r="CJ135" i="8"/>
  <c r="CJ131" i="8"/>
  <c r="CJ127" i="8"/>
  <c r="AY127" i="8" s="1"/>
  <c r="CJ123" i="8"/>
  <c r="AY123" i="8" s="1"/>
  <c r="CJ120" i="8"/>
  <c r="CJ117" i="8"/>
  <c r="AY117" i="8" s="1"/>
  <c r="CJ113" i="8"/>
  <c r="AY113" i="8" s="1"/>
  <c r="CJ109" i="8"/>
  <c r="AY109" i="8" s="1"/>
  <c r="CJ132" i="8"/>
  <c r="CJ121" i="8"/>
  <c r="AY121" i="8" s="1"/>
  <c r="CJ118" i="8"/>
  <c r="AY118" i="8" s="1"/>
  <c r="CJ114" i="8"/>
  <c r="AY114" i="8" s="1"/>
  <c r="CJ110" i="8"/>
  <c r="CJ115" i="8"/>
  <c r="AY115" i="8" s="1"/>
  <c r="CJ106" i="8"/>
  <c r="AY106" i="8" s="1"/>
  <c r="CJ102" i="8"/>
  <c r="CJ98" i="8"/>
  <c r="CJ94" i="8"/>
  <c r="AY94" i="8" s="1"/>
  <c r="CJ90" i="8"/>
  <c r="AY90" i="8" s="1"/>
  <c r="CJ86" i="8"/>
  <c r="AY86" i="8" s="1"/>
  <c r="CJ124" i="8"/>
  <c r="CJ116" i="8"/>
  <c r="CJ111" i="8"/>
  <c r="AY111" i="8" s="1"/>
  <c r="CJ105" i="8"/>
  <c r="AY105" i="8" s="1"/>
  <c r="CJ103" i="8"/>
  <c r="CJ96" i="8"/>
  <c r="AY96" i="8" s="1"/>
  <c r="CJ119" i="8"/>
  <c r="AY119" i="8" s="1"/>
  <c r="CJ100" i="8"/>
  <c r="AY100" i="8" s="1"/>
  <c r="CJ93" i="8"/>
  <c r="CJ128" i="8"/>
  <c r="AY128" i="8" s="1"/>
  <c r="CJ112" i="8"/>
  <c r="AY112" i="8" s="1"/>
  <c r="CJ104" i="8"/>
  <c r="CJ97" i="8"/>
  <c r="CJ95" i="8"/>
  <c r="AY95" i="8" s="1"/>
  <c r="CJ108" i="8"/>
  <c r="AY108" i="8" s="1"/>
  <c r="CJ107" i="8"/>
  <c r="AY107" i="8" s="1"/>
  <c r="CJ89" i="8"/>
  <c r="CJ87" i="8"/>
  <c r="AY87" i="8" s="1"/>
  <c r="CJ83" i="8"/>
  <c r="AY83" i="8" s="1"/>
  <c r="CJ79" i="8"/>
  <c r="AY79" i="8" s="1"/>
  <c r="CJ75" i="8"/>
  <c r="CJ91" i="8"/>
  <c r="AY91" i="8" s="1"/>
  <c r="CJ84" i="8"/>
  <c r="AY84" i="8" s="1"/>
  <c r="CJ80" i="8"/>
  <c r="AY80" i="8" s="1"/>
  <c r="CJ76" i="8"/>
  <c r="CJ72" i="8"/>
  <c r="AY72" i="8" s="1"/>
  <c r="CJ68" i="8"/>
  <c r="AY68" i="8" s="1"/>
  <c r="CJ64" i="8"/>
  <c r="AY64" i="8" s="1"/>
  <c r="CJ101" i="8"/>
  <c r="CJ99" i="8"/>
  <c r="AY99" i="8" s="1"/>
  <c r="CJ88" i="8"/>
  <c r="AY88" i="8" s="1"/>
  <c r="CJ81" i="8"/>
  <c r="AY81" i="8" s="1"/>
  <c r="CJ77" i="8"/>
  <c r="CJ73" i="8"/>
  <c r="CJ69" i="8"/>
  <c r="AY69" i="8" s="1"/>
  <c r="CJ92" i="8"/>
  <c r="CJ67" i="8"/>
  <c r="CJ61" i="8"/>
  <c r="AY61" i="8" s="1"/>
  <c r="CJ57" i="8"/>
  <c r="AY57" i="8" s="1"/>
  <c r="CJ53" i="8"/>
  <c r="AY53" i="8" s="1"/>
  <c r="CJ49" i="8"/>
  <c r="CJ45" i="8"/>
  <c r="AY45" i="8" s="1"/>
  <c r="CJ41" i="8"/>
  <c r="AY41" i="8" s="1"/>
  <c r="CJ37" i="8"/>
  <c r="AY37" i="8" s="1"/>
  <c r="CJ33" i="8"/>
  <c r="CJ29" i="8"/>
  <c r="AY29" i="8" s="1"/>
  <c r="CJ25" i="8"/>
  <c r="AY25" i="8" s="1"/>
  <c r="CJ21" i="8"/>
  <c r="AY21" i="8" s="1"/>
  <c r="CJ17" i="8"/>
  <c r="CJ13" i="8"/>
  <c r="AY13" i="8" s="1"/>
  <c r="CJ85" i="8"/>
  <c r="AY85" i="8" s="1"/>
  <c r="CJ82" i="8"/>
  <c r="AY82" i="8" s="1"/>
  <c r="CJ66" i="8"/>
  <c r="CJ62" i="8"/>
  <c r="CJ58" i="8"/>
  <c r="AY58" i="8" s="1"/>
  <c r="CJ54" i="8"/>
  <c r="AY54" i="8" s="1"/>
  <c r="CJ50" i="8"/>
  <c r="CJ46" i="8"/>
  <c r="CJ42" i="8"/>
  <c r="AY42" i="8" s="1"/>
  <c r="CJ38" i="8"/>
  <c r="CJ34" i="8"/>
  <c r="CJ30" i="8"/>
  <c r="AY30" i="8" s="1"/>
  <c r="CJ26" i="8"/>
  <c r="AY26" i="8" s="1"/>
  <c r="CJ22" i="8"/>
  <c r="AY22" i="8" s="1"/>
  <c r="CJ18" i="8"/>
  <c r="CJ14" i="8"/>
  <c r="AY14" i="8" s="1"/>
  <c r="CJ10" i="8"/>
  <c r="AY10" i="8" s="1"/>
  <c r="CJ78" i="8"/>
  <c r="AY78" i="8" s="1"/>
  <c r="CJ71" i="8"/>
  <c r="CJ65" i="8"/>
  <c r="AY65" i="8" s="1"/>
  <c r="CJ63" i="8"/>
  <c r="AY63" i="8" s="1"/>
  <c r="CJ59" i="8"/>
  <c r="AY59" i="8" s="1"/>
  <c r="CJ55" i="8"/>
  <c r="CJ51" i="8"/>
  <c r="AY51" i="8" s="1"/>
  <c r="CJ47" i="8"/>
  <c r="AY47" i="8" s="1"/>
  <c r="CJ43" i="8"/>
  <c r="AY43" i="8" s="1"/>
  <c r="CJ48" i="8"/>
  <c r="CJ39" i="8"/>
  <c r="AY39" i="8" s="1"/>
  <c r="CJ31" i="8"/>
  <c r="AY31" i="8" s="1"/>
  <c r="CJ23" i="8"/>
  <c r="AY23" i="8" s="1"/>
  <c r="CJ15" i="8"/>
  <c r="CJ8" i="8"/>
  <c r="AY8" i="8" s="1"/>
  <c r="CJ4" i="8"/>
  <c r="AY4" i="8" s="1"/>
  <c r="CJ35" i="8"/>
  <c r="AY35" i="8" s="1"/>
  <c r="CJ27" i="8"/>
  <c r="CJ11" i="8"/>
  <c r="AY11" i="8" s="1"/>
  <c r="CJ40" i="8"/>
  <c r="AY40" i="8" s="1"/>
  <c r="CJ16" i="8"/>
  <c r="AY16" i="8" s="1"/>
  <c r="CJ7" i="8"/>
  <c r="CJ74" i="8"/>
  <c r="AY74" i="8" s="1"/>
  <c r="CJ60" i="8"/>
  <c r="AY60" i="8" s="1"/>
  <c r="CJ44" i="8"/>
  <c r="AY44" i="8" s="1"/>
  <c r="CJ36" i="8"/>
  <c r="CJ28" i="8"/>
  <c r="AY28" i="8" s="1"/>
  <c r="CJ20" i="8"/>
  <c r="AY20" i="8" s="1"/>
  <c r="CJ12" i="8"/>
  <c r="AY12" i="8" s="1"/>
  <c r="CJ5" i="8"/>
  <c r="CJ19" i="8"/>
  <c r="CJ6" i="8"/>
  <c r="AY6" i="8" s="1"/>
  <c r="CJ70" i="8"/>
  <c r="AY70" i="8" s="1"/>
  <c r="CJ52" i="8"/>
  <c r="CJ24" i="8"/>
  <c r="AY24" i="8" s="1"/>
  <c r="CJ56" i="8"/>
  <c r="AY56" i="8" s="1"/>
  <c r="CJ32" i="8"/>
  <c r="AY32" i="8" s="1"/>
  <c r="CJ9" i="8"/>
  <c r="CL135" i="8"/>
  <c r="BA135" i="8" s="1"/>
  <c r="AZ135" i="1" s="1"/>
  <c r="CL131" i="8"/>
  <c r="BA131" i="8" s="1"/>
  <c r="AZ131" i="1" s="1"/>
  <c r="CL127" i="8"/>
  <c r="BA127" i="8" s="1"/>
  <c r="AZ127" i="1" s="1"/>
  <c r="CL123" i="8"/>
  <c r="CL132" i="8"/>
  <c r="BA132" i="8" s="1"/>
  <c r="AZ132" i="1" s="1"/>
  <c r="CL128" i="8"/>
  <c r="BA128" i="8" s="1"/>
  <c r="AZ128" i="1" s="1"/>
  <c r="CL124" i="8"/>
  <c r="BA124" i="8" s="1"/>
  <c r="AZ124" i="1" s="1"/>
  <c r="CL120" i="8"/>
  <c r="CL133" i="8"/>
  <c r="BA133" i="8" s="1"/>
  <c r="AZ133" i="1" s="1"/>
  <c r="CL129" i="8"/>
  <c r="BA129" i="8" s="1"/>
  <c r="AZ129" i="1" s="1"/>
  <c r="CL125" i="8"/>
  <c r="BA125" i="8" s="1"/>
  <c r="AZ125" i="1" s="1"/>
  <c r="CL121" i="8"/>
  <c r="CL126" i="8"/>
  <c r="CL115" i="8"/>
  <c r="BA115" i="8" s="1"/>
  <c r="AZ115" i="1" s="1"/>
  <c r="CL111" i="8"/>
  <c r="BA111" i="8" s="1"/>
  <c r="AZ111" i="1" s="1"/>
  <c r="CL122" i="8"/>
  <c r="CL119" i="8"/>
  <c r="BA119" i="8" s="1"/>
  <c r="AZ119" i="1" s="1"/>
  <c r="CL116" i="8"/>
  <c r="BA116" i="8" s="1"/>
  <c r="AZ116" i="1" s="1"/>
  <c r="CL112" i="8"/>
  <c r="BA112" i="8" s="1"/>
  <c r="AZ112" i="1" s="1"/>
  <c r="CL108" i="8"/>
  <c r="CL134" i="8"/>
  <c r="BA134" i="8" s="1"/>
  <c r="AZ134" i="1" s="1"/>
  <c r="CL114" i="8"/>
  <c r="BA114" i="8" s="1"/>
  <c r="AZ114" i="1" s="1"/>
  <c r="CL104" i="8"/>
  <c r="BA104" i="8" s="1"/>
  <c r="AZ104" i="1" s="1"/>
  <c r="CL100" i="8"/>
  <c r="CL96" i="8"/>
  <c r="BA96" i="8" s="1"/>
  <c r="AZ96" i="1" s="1"/>
  <c r="CL92" i="8"/>
  <c r="BA92" i="8" s="1"/>
  <c r="AZ92" i="1" s="1"/>
  <c r="CL88" i="8"/>
  <c r="BA88" i="8" s="1"/>
  <c r="AZ88" i="1" s="1"/>
  <c r="CL84" i="8"/>
  <c r="CL130" i="8"/>
  <c r="BA130" i="8" s="1"/>
  <c r="AZ130" i="1" s="1"/>
  <c r="CL117" i="8"/>
  <c r="BA117" i="8" s="1"/>
  <c r="AZ117" i="1" s="1"/>
  <c r="CL113" i="8"/>
  <c r="BA113" i="8" s="1"/>
  <c r="AZ113" i="1" s="1"/>
  <c r="CL102" i="8"/>
  <c r="CL97" i="8"/>
  <c r="BA97" i="8" s="1"/>
  <c r="AZ97" i="1" s="1"/>
  <c r="CL106" i="8"/>
  <c r="BA106" i="8" s="1"/>
  <c r="AZ106" i="1" s="1"/>
  <c r="CL101" i="8"/>
  <c r="BA101" i="8" s="1"/>
  <c r="AZ101" i="1" s="1"/>
  <c r="CL95" i="8"/>
  <c r="CL110" i="8"/>
  <c r="BA110" i="8" s="1"/>
  <c r="AZ110" i="1" s="1"/>
  <c r="CL107" i="8"/>
  <c r="BA107" i="8" s="1"/>
  <c r="AZ107" i="1" s="1"/>
  <c r="CL105" i="8"/>
  <c r="BA105" i="8" s="1"/>
  <c r="AZ105" i="1" s="1"/>
  <c r="CL99" i="8"/>
  <c r="CL94" i="8"/>
  <c r="BA94" i="8" s="1"/>
  <c r="AZ94" i="1" s="1"/>
  <c r="CL109" i="8"/>
  <c r="BA109" i="8" s="1"/>
  <c r="AZ109" i="1" s="1"/>
  <c r="CL98" i="8"/>
  <c r="BA98" i="8" s="1"/>
  <c r="AZ98" i="1" s="1"/>
  <c r="CL91" i="8"/>
  <c r="CL86" i="8"/>
  <c r="BA86" i="8" s="1"/>
  <c r="AZ86" i="1" s="1"/>
  <c r="CL81" i="8"/>
  <c r="BA81" i="8" s="1"/>
  <c r="AZ81" i="1" s="1"/>
  <c r="CL77" i="8"/>
  <c r="BA77" i="8" s="1"/>
  <c r="AZ77" i="1" s="1"/>
  <c r="CL73" i="8"/>
  <c r="CL118" i="8"/>
  <c r="BA118" i="8" s="1"/>
  <c r="AZ118" i="1" s="1"/>
  <c r="CL90" i="8"/>
  <c r="BA90" i="8" s="1"/>
  <c r="AZ90" i="1" s="1"/>
  <c r="CL85" i="8"/>
  <c r="BA85" i="8" s="1"/>
  <c r="AZ85" i="1" s="1"/>
  <c r="CL82" i="8"/>
  <c r="CL78" i="8"/>
  <c r="BA78" i="8" s="1"/>
  <c r="AZ78" i="1" s="1"/>
  <c r="CL74" i="8"/>
  <c r="BA74" i="8" s="1"/>
  <c r="AZ74" i="1" s="1"/>
  <c r="CL70" i="8"/>
  <c r="BA70" i="8" s="1"/>
  <c r="AZ70" i="1" s="1"/>
  <c r="CL66" i="8"/>
  <c r="CL103" i="8"/>
  <c r="BA103" i="8" s="1"/>
  <c r="AZ103" i="1" s="1"/>
  <c r="CL93" i="8"/>
  <c r="BA93" i="8" s="1"/>
  <c r="AZ93" i="1" s="1"/>
  <c r="CL89" i="8"/>
  <c r="BA89" i="8" s="1"/>
  <c r="AZ89" i="1" s="1"/>
  <c r="CL83" i="8"/>
  <c r="CL79" i="8"/>
  <c r="BA79" i="8" s="1"/>
  <c r="AZ79" i="1" s="1"/>
  <c r="CL75" i="8"/>
  <c r="BA75" i="8" s="1"/>
  <c r="AZ75" i="1" s="1"/>
  <c r="CL71" i="8"/>
  <c r="BA71" i="8" s="1"/>
  <c r="AZ71" i="1" s="1"/>
  <c r="CL67" i="8"/>
  <c r="CL76" i="8"/>
  <c r="BA76" i="8" s="1"/>
  <c r="AZ76" i="1" s="1"/>
  <c r="CL63" i="8"/>
  <c r="BA63" i="8" s="1"/>
  <c r="AZ63" i="1" s="1"/>
  <c r="CL59" i="8"/>
  <c r="BA59" i="8" s="1"/>
  <c r="AZ59" i="1" s="1"/>
  <c r="CL55" i="8"/>
  <c r="CL51" i="8"/>
  <c r="BA51" i="8" s="1"/>
  <c r="AZ51" i="1" s="1"/>
  <c r="CL47" i="8"/>
  <c r="BA47" i="8" s="1"/>
  <c r="AZ47" i="1" s="1"/>
  <c r="CL43" i="8"/>
  <c r="BA43" i="8" s="1"/>
  <c r="AZ43" i="1" s="1"/>
  <c r="CL39" i="8"/>
  <c r="CL35" i="8"/>
  <c r="BA35" i="8" s="1"/>
  <c r="AZ35" i="1" s="1"/>
  <c r="CL31" i="8"/>
  <c r="BA31" i="8" s="1"/>
  <c r="AZ31" i="1" s="1"/>
  <c r="CL27" i="8"/>
  <c r="BA27" i="8" s="1"/>
  <c r="AZ27" i="1" s="1"/>
  <c r="CL23" i="8"/>
  <c r="CL19" i="8"/>
  <c r="BA19" i="8" s="1"/>
  <c r="AZ19" i="1" s="1"/>
  <c r="CL15" i="8"/>
  <c r="BA15" i="8" s="1"/>
  <c r="AZ15" i="1" s="1"/>
  <c r="CL11" i="8"/>
  <c r="BA11" i="8" s="1"/>
  <c r="AZ11" i="1" s="1"/>
  <c r="CL87" i="8"/>
  <c r="CL72" i="8"/>
  <c r="BA72" i="8" s="1"/>
  <c r="AZ72" i="1" s="1"/>
  <c r="CL65" i="8"/>
  <c r="BA65" i="8" s="1"/>
  <c r="AZ65" i="1" s="1"/>
  <c r="CL60" i="8"/>
  <c r="BA60" i="8" s="1"/>
  <c r="AZ60" i="1" s="1"/>
  <c r="CL56" i="8"/>
  <c r="CL52" i="8"/>
  <c r="BA52" i="8" s="1"/>
  <c r="AZ52" i="1" s="1"/>
  <c r="CL48" i="8"/>
  <c r="BA48" i="8" s="1"/>
  <c r="AZ48" i="1" s="1"/>
  <c r="CL44" i="8"/>
  <c r="BA44" i="8" s="1"/>
  <c r="AZ44" i="1" s="1"/>
  <c r="CL40" i="8"/>
  <c r="CL36" i="8"/>
  <c r="BA36" i="8" s="1"/>
  <c r="AZ36" i="1" s="1"/>
  <c r="CL32" i="8"/>
  <c r="BA32" i="8" s="1"/>
  <c r="AZ32" i="1" s="1"/>
  <c r="CL28" i="8"/>
  <c r="BA28" i="8" s="1"/>
  <c r="AZ28" i="1" s="1"/>
  <c r="CL24" i="8"/>
  <c r="CL20" i="8"/>
  <c r="BA20" i="8" s="1"/>
  <c r="AZ20" i="1" s="1"/>
  <c r="CL16" i="8"/>
  <c r="BA16" i="8" s="1"/>
  <c r="AZ16" i="1" s="1"/>
  <c r="CL12" i="8"/>
  <c r="BA12" i="8" s="1"/>
  <c r="AZ12" i="1" s="1"/>
  <c r="CL68" i="8"/>
  <c r="CL64" i="8"/>
  <c r="CL61" i="8"/>
  <c r="BA61" i="8" s="1"/>
  <c r="AZ61" i="1" s="1"/>
  <c r="CL57" i="8"/>
  <c r="BA57" i="8" s="1"/>
  <c r="AZ57" i="1" s="1"/>
  <c r="CL53" i="8"/>
  <c r="CL49" i="8"/>
  <c r="CL45" i="8"/>
  <c r="BA45" i="8" s="1"/>
  <c r="AZ45" i="1" s="1"/>
  <c r="CL69" i="8"/>
  <c r="BA69" i="8" s="1"/>
  <c r="AZ69" i="1" s="1"/>
  <c r="CL54" i="8"/>
  <c r="CL38" i="8"/>
  <c r="BA38" i="8" s="1"/>
  <c r="AZ38" i="1" s="1"/>
  <c r="CL30" i="8"/>
  <c r="BA30" i="8" s="1"/>
  <c r="AZ30" i="1" s="1"/>
  <c r="CL22" i="8"/>
  <c r="BA22" i="8" s="1"/>
  <c r="AZ22" i="1" s="1"/>
  <c r="CL14" i="8"/>
  <c r="CL6" i="8"/>
  <c r="BA6" i="8" s="1"/>
  <c r="AZ6" i="1" s="1"/>
  <c r="CL8" i="8"/>
  <c r="BA8" i="8" s="1"/>
  <c r="AZ8" i="1" s="1"/>
  <c r="CL37" i="8"/>
  <c r="BA37" i="8" s="1"/>
  <c r="AZ37" i="1" s="1"/>
  <c r="CL21" i="8"/>
  <c r="CL13" i="8"/>
  <c r="BA13" i="8" s="1"/>
  <c r="AZ13" i="1" s="1"/>
  <c r="CL80" i="8"/>
  <c r="BA80" i="8" s="1"/>
  <c r="AZ80" i="1" s="1"/>
  <c r="CL50" i="8"/>
  <c r="BA50" i="8" s="1"/>
  <c r="AZ50" i="1" s="1"/>
  <c r="CL41" i="8"/>
  <c r="CL33" i="8"/>
  <c r="BA33" i="8" s="1"/>
  <c r="AZ33" i="1" s="1"/>
  <c r="CL25" i="8"/>
  <c r="BA25" i="8" s="1"/>
  <c r="AZ25" i="1" s="1"/>
  <c r="CL17" i="8"/>
  <c r="BA17" i="8" s="1"/>
  <c r="AZ17" i="1" s="1"/>
  <c r="CL9" i="8"/>
  <c r="CL7" i="8"/>
  <c r="BA7" i="8" s="1"/>
  <c r="AZ7" i="1" s="1"/>
  <c r="CL46" i="8"/>
  <c r="BA46" i="8" s="1"/>
  <c r="AZ46" i="1" s="1"/>
  <c r="CL34" i="8"/>
  <c r="BA34" i="8" s="1"/>
  <c r="AZ34" i="1" s="1"/>
  <c r="CL26" i="8"/>
  <c r="CL18" i="8"/>
  <c r="BA18" i="8" s="1"/>
  <c r="AZ18" i="1" s="1"/>
  <c r="CL42" i="8"/>
  <c r="BA42" i="8" s="1"/>
  <c r="AZ42" i="1" s="1"/>
  <c r="CL29" i="8"/>
  <c r="BA29" i="8" s="1"/>
  <c r="AZ29" i="1" s="1"/>
  <c r="CL5" i="8"/>
  <c r="CL62" i="8"/>
  <c r="BA62" i="8" s="1"/>
  <c r="AZ62" i="1" s="1"/>
  <c r="CL10" i="8"/>
  <c r="BA10" i="8" s="1"/>
  <c r="AZ10" i="1" s="1"/>
  <c r="CL4" i="8"/>
  <c r="BA4" i="8" s="1"/>
  <c r="AZ4" i="1" s="1"/>
  <c r="CL58" i="8"/>
  <c r="CI132" i="8"/>
  <c r="AX132" i="8" s="1"/>
  <c r="CI128" i="8"/>
  <c r="AX128" i="8" s="1"/>
  <c r="CI124" i="8"/>
  <c r="AX124" i="8" s="1"/>
  <c r="CI133" i="8"/>
  <c r="CI129" i="8"/>
  <c r="AX129" i="8" s="1"/>
  <c r="CI125" i="8"/>
  <c r="AX125" i="8" s="1"/>
  <c r="CI121" i="8"/>
  <c r="AX121" i="8" s="1"/>
  <c r="CI134" i="8"/>
  <c r="CI130" i="8"/>
  <c r="CI126" i="8"/>
  <c r="AX126" i="8" s="1"/>
  <c r="CI122" i="8"/>
  <c r="AX122" i="8" s="1"/>
  <c r="CI135" i="8"/>
  <c r="AX135" i="8" s="1"/>
  <c r="CI116" i="8"/>
  <c r="AX116" i="8" s="1"/>
  <c r="CI112" i="8"/>
  <c r="AX112" i="8" s="1"/>
  <c r="CI108" i="8"/>
  <c r="AX108" i="8" s="1"/>
  <c r="CI131" i="8"/>
  <c r="CI120" i="8"/>
  <c r="AX120" i="8" s="1"/>
  <c r="CI117" i="8"/>
  <c r="AX117" i="8" s="1"/>
  <c r="CI113" i="8"/>
  <c r="AX113" i="8" s="1"/>
  <c r="CI109" i="8"/>
  <c r="AX109" i="8" s="1"/>
  <c r="CI127" i="8"/>
  <c r="AX127" i="8" s="1"/>
  <c r="CI123" i="8"/>
  <c r="AX123" i="8" s="1"/>
  <c r="CI107" i="8"/>
  <c r="AX107" i="8" s="1"/>
  <c r="CI105" i="8"/>
  <c r="CI101" i="8"/>
  <c r="AX101" i="8" s="1"/>
  <c r="CI97" i="8"/>
  <c r="AX97" i="8" s="1"/>
  <c r="CI93" i="8"/>
  <c r="AX93" i="8" s="1"/>
  <c r="CI89" i="8"/>
  <c r="AX89" i="8" s="1"/>
  <c r="CI85" i="8"/>
  <c r="AX85" i="8" s="1"/>
  <c r="CI118" i="8"/>
  <c r="AX118" i="8" s="1"/>
  <c r="CI114" i="8"/>
  <c r="AX114" i="8" s="1"/>
  <c r="CI99" i="8"/>
  <c r="CI94" i="8"/>
  <c r="AX94" i="8" s="1"/>
  <c r="CI111" i="8"/>
  <c r="AX111" i="8" s="1"/>
  <c r="CI103" i="8"/>
  <c r="AX103" i="8" s="1"/>
  <c r="CI98" i="8"/>
  <c r="CI96" i="8"/>
  <c r="AX96" i="8" s="1"/>
  <c r="CI119" i="8"/>
  <c r="AX119" i="8" s="1"/>
  <c r="CI102" i="8"/>
  <c r="AX102" i="8" s="1"/>
  <c r="CI100" i="8"/>
  <c r="AX100" i="8" s="1"/>
  <c r="CI110" i="8"/>
  <c r="AX110" i="8" s="1"/>
  <c r="CI92" i="8"/>
  <c r="AX92" i="8" s="1"/>
  <c r="CI82" i="8"/>
  <c r="AX82" i="8" s="1"/>
  <c r="CI78" i="8"/>
  <c r="AX78" i="8" s="1"/>
  <c r="CI74" i="8"/>
  <c r="AX74" i="8" s="1"/>
  <c r="CI115" i="8"/>
  <c r="AX115" i="8" s="1"/>
  <c r="CI106" i="8"/>
  <c r="AX106" i="8" s="1"/>
  <c r="CI104" i="8"/>
  <c r="AX104" i="8" s="1"/>
  <c r="CI87" i="8"/>
  <c r="AX87" i="8" s="1"/>
  <c r="CI83" i="8"/>
  <c r="AX83" i="8" s="1"/>
  <c r="CI79" i="8"/>
  <c r="AX79" i="8" s="1"/>
  <c r="CI75" i="8"/>
  <c r="AX75" i="8" s="1"/>
  <c r="CI71" i="8"/>
  <c r="AX71" i="8" s="1"/>
  <c r="CI67" i="8"/>
  <c r="AX67" i="8" s="1"/>
  <c r="CI91" i="8"/>
  <c r="AX91" i="8" s="1"/>
  <c r="CI86" i="8"/>
  <c r="AX86" i="8" s="1"/>
  <c r="CI84" i="8"/>
  <c r="AX84" i="8" s="1"/>
  <c r="CI80" i="8"/>
  <c r="AX80" i="8" s="1"/>
  <c r="CI76" i="8"/>
  <c r="AX76" i="8" s="1"/>
  <c r="CI72" i="8"/>
  <c r="AX72" i="8" s="1"/>
  <c r="CI68" i="8"/>
  <c r="AX68" i="8" s="1"/>
  <c r="CI90" i="8"/>
  <c r="AX90" i="8" s="1"/>
  <c r="CI88" i="8"/>
  <c r="AX88" i="8" s="1"/>
  <c r="CI70" i="8"/>
  <c r="CI69" i="8"/>
  <c r="AX69" i="8" s="1"/>
  <c r="CI64" i="8"/>
  <c r="AX64" i="8" s="1"/>
  <c r="CI60" i="8"/>
  <c r="AX60" i="8" s="1"/>
  <c r="CI56" i="8"/>
  <c r="CI52" i="8"/>
  <c r="AX52" i="8" s="1"/>
  <c r="CI48" i="8"/>
  <c r="AX48" i="8" s="1"/>
  <c r="CI44" i="8"/>
  <c r="AX44" i="8" s="1"/>
  <c r="CI40" i="8"/>
  <c r="AX40" i="8" s="1"/>
  <c r="CI36" i="8"/>
  <c r="AX36" i="8" s="1"/>
  <c r="CI32" i="8"/>
  <c r="AX32" i="8" s="1"/>
  <c r="CI28" i="8"/>
  <c r="AX28" i="8" s="1"/>
  <c r="CI24" i="8"/>
  <c r="AX24" i="8" s="1"/>
  <c r="CI20" i="8"/>
  <c r="AX20" i="8" s="1"/>
  <c r="CI16" i="8"/>
  <c r="AX16" i="8" s="1"/>
  <c r="CI12" i="8"/>
  <c r="AX12" i="8" s="1"/>
  <c r="CI95" i="8"/>
  <c r="CI81" i="8"/>
  <c r="AX81" i="8" s="1"/>
  <c r="CI61" i="8"/>
  <c r="AX61" i="8" s="1"/>
  <c r="CI57" i="8"/>
  <c r="AX57" i="8" s="1"/>
  <c r="CI53" i="8"/>
  <c r="AX53" i="8" s="1"/>
  <c r="CI49" i="8"/>
  <c r="AX49" i="8" s="1"/>
  <c r="CI45" i="8"/>
  <c r="AX45" i="8" s="1"/>
  <c r="CI41" i="8"/>
  <c r="AX41" i="8" s="1"/>
  <c r="CI37" i="8"/>
  <c r="CI33" i="8"/>
  <c r="AX33" i="8" s="1"/>
  <c r="CI29" i="8"/>
  <c r="AX29" i="8" s="1"/>
  <c r="CI25" i="8"/>
  <c r="AX25" i="8" s="1"/>
  <c r="CI21" i="8"/>
  <c r="AX21" i="8" s="1"/>
  <c r="CI17" i="8"/>
  <c r="AX17" i="8" s="1"/>
  <c r="CI13" i="8"/>
  <c r="AX13" i="8" s="1"/>
  <c r="CI9" i="8"/>
  <c r="AX9" i="8" s="1"/>
  <c r="CI77" i="8"/>
  <c r="AX77" i="8" s="1"/>
  <c r="CI66" i="8"/>
  <c r="AX66" i="8" s="1"/>
  <c r="CI62" i="8"/>
  <c r="AX62" i="8" s="1"/>
  <c r="CI58" i="8"/>
  <c r="AX58" i="8" s="1"/>
  <c r="CI54" i="8"/>
  <c r="CI50" i="8"/>
  <c r="AX50" i="8" s="1"/>
  <c r="CI46" i="8"/>
  <c r="AX46" i="8" s="1"/>
  <c r="CI42" i="8"/>
  <c r="AX42" i="8" s="1"/>
  <c r="CI65" i="8"/>
  <c r="AX65" i="8" s="1"/>
  <c r="CI63" i="8"/>
  <c r="AX63" i="8" s="1"/>
  <c r="CI47" i="8"/>
  <c r="AX47" i="8" s="1"/>
  <c r="CI7" i="8"/>
  <c r="AX7" i="8" s="1"/>
  <c r="CI27" i="8"/>
  <c r="CI19" i="8"/>
  <c r="AX19" i="8" s="1"/>
  <c r="CI18" i="8"/>
  <c r="AX18" i="8" s="1"/>
  <c r="CI73" i="8"/>
  <c r="AX73" i="8" s="1"/>
  <c r="CI59" i="8"/>
  <c r="AX59" i="8" s="1"/>
  <c r="CI43" i="8"/>
  <c r="AX43" i="8" s="1"/>
  <c r="CI39" i="8"/>
  <c r="AX39" i="8" s="1"/>
  <c r="CI38" i="8"/>
  <c r="AX38" i="8" s="1"/>
  <c r="CI31" i="8"/>
  <c r="CI30" i="8"/>
  <c r="AX30" i="8" s="1"/>
  <c r="CI23" i="8"/>
  <c r="AX23" i="8" s="1"/>
  <c r="CI22" i="8"/>
  <c r="AX22" i="8" s="1"/>
  <c r="CI15" i="8"/>
  <c r="AX15" i="8" s="1"/>
  <c r="CI14" i="8"/>
  <c r="AX14" i="8" s="1"/>
  <c r="CI8" i="8"/>
  <c r="AX8" i="8" s="1"/>
  <c r="CI4" i="8"/>
  <c r="AX4" i="8" s="1"/>
  <c r="CI5" i="8"/>
  <c r="CI51" i="8"/>
  <c r="AX51" i="8" s="1"/>
  <c r="CI35" i="8"/>
  <c r="AX35" i="8" s="1"/>
  <c r="CI26" i="8"/>
  <c r="AX26" i="8" s="1"/>
  <c r="CI11" i="8"/>
  <c r="AX11" i="8" s="1"/>
  <c r="CI10" i="8"/>
  <c r="AX10" i="8" s="1"/>
  <c r="CI6" i="8"/>
  <c r="AX6" i="8" s="1"/>
  <c r="CI55" i="8"/>
  <c r="AX55" i="8" s="1"/>
  <c r="CI34" i="8"/>
  <c r="AX34" i="8" s="1"/>
  <c r="AO6" i="11"/>
  <c r="L6" i="11"/>
  <c r="E5" i="9"/>
  <c r="AG5" i="5"/>
  <c r="B5" i="1"/>
  <c r="BI5" i="1" s="1"/>
  <c r="B5" i="2"/>
  <c r="M7" i="2"/>
  <c r="I9" i="12"/>
  <c r="J8" i="12"/>
  <c r="AB6" i="1"/>
  <c r="AZ7" i="5"/>
  <c r="AC6" i="1"/>
  <c r="BC7" i="5"/>
  <c r="J6" i="2"/>
  <c r="AE5" i="1"/>
  <c r="CY6" i="5"/>
  <c r="DO3" i="8"/>
  <c r="DB3" i="8"/>
  <c r="EC3" i="8" s="1"/>
  <c r="ED3" i="8" s="1"/>
  <c r="DA5" i="5"/>
  <c r="H6" i="5"/>
  <c r="F6" i="7" s="1"/>
  <c r="D5" i="10"/>
  <c r="O7" i="1"/>
  <c r="DK7" i="8" s="1"/>
  <c r="DI6" i="8"/>
  <c r="DJ6" i="8"/>
  <c r="Q8" i="2"/>
  <c r="D6" i="7"/>
  <c r="C84" i="6"/>
  <c r="C96" i="6"/>
  <c r="F7" i="5"/>
  <c r="F8" i="5" s="1"/>
  <c r="B8" i="10" s="1"/>
  <c r="D5" i="7"/>
  <c r="CY5" i="5"/>
  <c r="B5" i="10"/>
  <c r="CA3" i="8"/>
  <c r="CH3" i="8"/>
  <c r="CL3" i="8"/>
  <c r="BA3" i="8" s="1"/>
  <c r="AZ3" i="1" s="1"/>
  <c r="N3" i="1" s="1"/>
  <c r="BA108" i="8"/>
  <c r="AZ108" i="1" s="1"/>
  <c r="BA100" i="8"/>
  <c r="AZ100" i="1" s="1"/>
  <c r="BA84" i="8"/>
  <c r="AZ84" i="1" s="1"/>
  <c r="BA68" i="8"/>
  <c r="AZ68" i="1" s="1"/>
  <c r="BA121" i="8"/>
  <c r="AZ121" i="1" s="1"/>
  <c r="BA73" i="8"/>
  <c r="AZ73" i="1" s="1"/>
  <c r="BA49" i="8"/>
  <c r="AZ49" i="1" s="1"/>
  <c r="BA41" i="8"/>
  <c r="AZ41" i="1" s="1"/>
  <c r="BA9" i="8"/>
  <c r="AZ9" i="1" s="1"/>
  <c r="BA126" i="8"/>
  <c r="AZ126" i="1" s="1"/>
  <c r="BA102" i="8"/>
  <c r="AZ102" i="1" s="1"/>
  <c r="BA54" i="8"/>
  <c r="AZ54" i="1" s="1"/>
  <c r="BA14" i="8"/>
  <c r="AZ14" i="1" s="1"/>
  <c r="BA123" i="8"/>
  <c r="AZ123" i="1" s="1"/>
  <c r="BA99" i="8"/>
  <c r="AZ99" i="1" s="1"/>
  <c r="BA91" i="8"/>
  <c r="AZ91" i="1" s="1"/>
  <c r="BA83" i="8"/>
  <c r="AZ83" i="1" s="1"/>
  <c r="BA67" i="8"/>
  <c r="AZ67" i="1" s="1"/>
  <c r="BA5" i="8"/>
  <c r="AZ5" i="1" s="1"/>
  <c r="BA120" i="8"/>
  <c r="AZ120" i="1" s="1"/>
  <c r="BA64" i="8"/>
  <c r="AZ64" i="1" s="1"/>
  <c r="BA56" i="8"/>
  <c r="AZ56" i="1" s="1"/>
  <c r="BA40" i="8"/>
  <c r="AZ40" i="1" s="1"/>
  <c r="BA24" i="8"/>
  <c r="AZ24" i="1" s="1"/>
  <c r="BA21" i="8"/>
  <c r="AZ21" i="1" s="1"/>
  <c r="BA53" i="8"/>
  <c r="AZ53" i="1" s="1"/>
  <c r="BA122" i="8"/>
  <c r="AZ122" i="1" s="1"/>
  <c r="BA82" i="8"/>
  <c r="AZ82" i="1" s="1"/>
  <c r="BA66" i="8"/>
  <c r="AZ66" i="1" s="1"/>
  <c r="BA58" i="8"/>
  <c r="AZ58" i="1" s="1"/>
  <c r="BA26" i="8"/>
  <c r="AZ26" i="1" s="1"/>
  <c r="BA95" i="8"/>
  <c r="AZ95" i="1" s="1"/>
  <c r="BA87" i="8"/>
  <c r="AZ87" i="1" s="1"/>
  <c r="BA55" i="8"/>
  <c r="AZ55" i="1" s="1"/>
  <c r="BA39" i="8"/>
  <c r="AZ39" i="1" s="1"/>
  <c r="BA23" i="8"/>
  <c r="AZ23" i="1" s="1"/>
  <c r="CK3" i="8"/>
  <c r="AZ3" i="8" s="1"/>
  <c r="AY3" i="1" s="1"/>
  <c r="I3" i="1" s="1"/>
  <c r="AZ97" i="8"/>
  <c r="AY97" i="1" s="1"/>
  <c r="AZ73" i="8"/>
  <c r="AY73" i="1" s="1"/>
  <c r="AZ110" i="8"/>
  <c r="AY110" i="1" s="1"/>
  <c r="AZ86" i="8"/>
  <c r="AY86" i="1" s="1"/>
  <c r="AZ78" i="8"/>
  <c r="AY78" i="1" s="1"/>
  <c r="AZ62" i="8"/>
  <c r="AY62" i="1" s="1"/>
  <c r="AZ46" i="8"/>
  <c r="AY46" i="1" s="1"/>
  <c r="AZ30" i="8"/>
  <c r="AY30" i="1" s="1"/>
  <c r="AZ14" i="8"/>
  <c r="AY14" i="1" s="1"/>
  <c r="AZ123" i="8"/>
  <c r="AY123" i="1" s="1"/>
  <c r="AZ107" i="8"/>
  <c r="AY107" i="1" s="1"/>
  <c r="AZ91" i="8"/>
  <c r="AY91" i="1" s="1"/>
  <c r="AZ51" i="8"/>
  <c r="AY51" i="1" s="1"/>
  <c r="AZ35" i="8"/>
  <c r="AY35" i="1" s="1"/>
  <c r="AZ112" i="8"/>
  <c r="AY112" i="1" s="1"/>
  <c r="AZ88" i="8"/>
  <c r="AY88" i="1" s="1"/>
  <c r="AZ80" i="8"/>
  <c r="AY80" i="1" s="1"/>
  <c r="AZ64" i="8"/>
  <c r="AY64" i="1" s="1"/>
  <c r="AZ40" i="8"/>
  <c r="AY40" i="1" s="1"/>
  <c r="AZ32" i="8"/>
  <c r="AY32" i="1" s="1"/>
  <c r="AZ24" i="8"/>
  <c r="AY24" i="1" s="1"/>
  <c r="AZ13" i="8"/>
  <c r="AY13" i="1" s="1"/>
  <c r="AZ10" i="8"/>
  <c r="AY10" i="1" s="1"/>
  <c r="AZ133" i="8"/>
  <c r="AY133" i="1" s="1"/>
  <c r="AZ101" i="8"/>
  <c r="AY101" i="1" s="1"/>
  <c r="AZ29" i="8"/>
  <c r="AY29" i="1" s="1"/>
  <c r="AZ7" i="8"/>
  <c r="AY7" i="1" s="1"/>
  <c r="AZ122" i="8"/>
  <c r="AY122" i="1" s="1"/>
  <c r="AZ98" i="8"/>
  <c r="AY98" i="1" s="1"/>
  <c r="AZ90" i="8"/>
  <c r="AY90" i="1" s="1"/>
  <c r="AZ135" i="8"/>
  <c r="AY135" i="1" s="1"/>
  <c r="AZ87" i="8"/>
  <c r="AY87" i="1" s="1"/>
  <c r="AZ71" i="8"/>
  <c r="AY71" i="1" s="1"/>
  <c r="AZ47" i="8"/>
  <c r="AY47" i="1" s="1"/>
  <c r="AZ31" i="8"/>
  <c r="AY31" i="1" s="1"/>
  <c r="AZ124" i="8"/>
  <c r="AY124" i="1" s="1"/>
  <c r="AZ116" i="8"/>
  <c r="AY116" i="1" s="1"/>
  <c r="AZ92" i="8"/>
  <c r="AY92" i="1" s="1"/>
  <c r="AZ60" i="8"/>
  <c r="AY60" i="1" s="1"/>
  <c r="AZ44" i="8"/>
  <c r="AY44" i="1" s="1"/>
  <c r="AZ4" i="8"/>
  <c r="AY4" i="1" s="1"/>
  <c r="AZ17" i="8"/>
  <c r="AY17" i="1" s="1"/>
  <c r="AZ19" i="8"/>
  <c r="AY19" i="1" s="1"/>
  <c r="CJ3" i="8"/>
  <c r="AY3" i="8" s="1"/>
  <c r="AV3" i="1" s="1"/>
  <c r="K3" i="1" s="1"/>
  <c r="AY134" i="8"/>
  <c r="AY110" i="8"/>
  <c r="AY102" i="8"/>
  <c r="AY62" i="8"/>
  <c r="AY46" i="8"/>
  <c r="AY38" i="8"/>
  <c r="AY131" i="8"/>
  <c r="AY75" i="8"/>
  <c r="AY67" i="8"/>
  <c r="AY27" i="8"/>
  <c r="AY120" i="8"/>
  <c r="AY104" i="8"/>
  <c r="AY48" i="8"/>
  <c r="AY133" i="8"/>
  <c r="AY101" i="8"/>
  <c r="AY93" i="8"/>
  <c r="AY77" i="8"/>
  <c r="AY5" i="8"/>
  <c r="AY18" i="8"/>
  <c r="AY98" i="8"/>
  <c r="AY66" i="8"/>
  <c r="AY50" i="8"/>
  <c r="AY34" i="8"/>
  <c r="AY15" i="8"/>
  <c r="AY7" i="8"/>
  <c r="AY135" i="8"/>
  <c r="AY103" i="8"/>
  <c r="AY71" i="8"/>
  <c r="AY55" i="8"/>
  <c r="AY132" i="8"/>
  <c r="AY124" i="8"/>
  <c r="AY116" i="8"/>
  <c r="AY92" i="8"/>
  <c r="AY76" i="8"/>
  <c r="AY52" i="8"/>
  <c r="AY36" i="8"/>
  <c r="AY97" i="8"/>
  <c r="AY89" i="8"/>
  <c r="AY73" i="8"/>
  <c r="AY49" i="8"/>
  <c r="AY33" i="8"/>
  <c r="AY17" i="8"/>
  <c r="AY9" i="8"/>
  <c r="AY19" i="8"/>
  <c r="CI3" i="8"/>
  <c r="AX3" i="8" s="1"/>
  <c r="AX3" i="1" s="1"/>
  <c r="M3" i="1" s="1"/>
  <c r="AX131" i="8"/>
  <c r="AX99" i="8"/>
  <c r="AX27" i="8"/>
  <c r="AX56" i="8"/>
  <c r="AX5" i="8"/>
  <c r="AX133" i="8"/>
  <c r="AX37" i="8"/>
  <c r="AX130" i="8"/>
  <c r="AX98" i="8"/>
  <c r="AX95" i="8"/>
  <c r="AX31" i="8"/>
  <c r="AX105" i="8"/>
  <c r="AX134" i="8"/>
  <c r="AX70" i="8"/>
  <c r="AX54" i="8"/>
  <c r="DB5" i="5"/>
  <c r="I6" i="5"/>
  <c r="E6" i="10" s="1"/>
  <c r="E5" i="10"/>
  <c r="AJ9" i="14"/>
  <c r="CM8" i="8"/>
  <c r="F10" i="12"/>
  <c r="E10" i="12" s="1"/>
  <c r="D11" i="12"/>
  <c r="A8" i="2"/>
  <c r="A8" i="7"/>
  <c r="A8" i="8"/>
  <c r="M8" i="5"/>
  <c r="J9" i="10"/>
  <c r="AD8" i="8"/>
  <c r="B8" i="14"/>
  <c r="A8" i="9"/>
  <c r="K8" i="11"/>
  <c r="EP3" i="8"/>
  <c r="DH3" i="8"/>
  <c r="EH3" i="8" s="1"/>
  <c r="DR3" i="8"/>
  <c r="DS3" i="8"/>
  <c r="CV3" i="8"/>
  <c r="DN3" i="8"/>
  <c r="CS4" i="8"/>
  <c r="DP4" i="8" s="1"/>
  <c r="CT4" i="8"/>
  <c r="DQ4" i="8" s="1"/>
  <c r="CU4" i="8"/>
  <c r="I9" i="8"/>
  <c r="BP8" i="5"/>
  <c r="Y6" i="1"/>
  <c r="B6" i="5"/>
  <c r="A5" i="5"/>
  <c r="E5" i="5" s="1"/>
  <c r="EQ5" i="8" s="1"/>
  <c r="CZ5" i="8" s="1"/>
  <c r="AR6" i="5"/>
  <c r="G5" i="10"/>
  <c r="DD5" i="5"/>
  <c r="K6" i="5"/>
  <c r="I5" i="7"/>
  <c r="J5" i="7"/>
  <c r="H5" i="10"/>
  <c r="L6" i="5"/>
  <c r="DE5" i="5"/>
  <c r="V5" i="2"/>
  <c r="DG3" i="8"/>
  <c r="EG3" i="8" s="1"/>
  <c r="AL3" i="5"/>
  <c r="AP3" i="5" s="1"/>
  <c r="CN3" i="8"/>
  <c r="AN3" i="5"/>
  <c r="CW3" i="8"/>
  <c r="CX3" i="8"/>
  <c r="N3" i="7"/>
  <c r="CY3" i="8"/>
  <c r="EA3" i="8" s="1"/>
  <c r="CR3" i="8"/>
  <c r="AM3" i="5"/>
  <c r="AQ3" i="5" s="1"/>
  <c r="D4" i="9"/>
  <c r="Q3" i="7"/>
  <c r="AO3" i="5"/>
  <c r="AC3" i="10"/>
  <c r="X3" i="10" s="1"/>
  <c r="Y3" i="10" s="1"/>
  <c r="P3" i="1"/>
  <c r="D3" i="14" s="1"/>
  <c r="DC7" i="5"/>
  <c r="F7" i="10"/>
  <c r="H7" i="7"/>
  <c r="J8" i="5"/>
  <c r="G9" i="8"/>
  <c r="G10" i="8" s="1"/>
  <c r="G11" i="8" s="1"/>
  <c r="G12" i="8" s="1"/>
  <c r="G13" i="8" s="1"/>
  <c r="G14" i="8" s="1"/>
  <c r="G15" i="8" s="1"/>
  <c r="G16" i="8" s="1"/>
  <c r="G17" i="8" s="1"/>
  <c r="G18" i="8" s="1"/>
  <c r="G19" i="8" s="1"/>
  <c r="DE8" i="8"/>
  <c r="O8" i="2"/>
  <c r="W5" i="1"/>
  <c r="BE7" i="5"/>
  <c r="H10" i="8"/>
  <c r="P9" i="2"/>
  <c r="AA7" i="7"/>
  <c r="AE7" i="8" s="1"/>
  <c r="BC7" i="8" s="1"/>
  <c r="K7" i="10"/>
  <c r="BA8" i="5"/>
  <c r="AY10" i="5"/>
  <c r="N7" i="2"/>
  <c r="F8" i="8"/>
  <c r="W4" i="8"/>
  <c r="AH4" i="5"/>
  <c r="Q4" i="1"/>
  <c r="E4" i="14" s="1"/>
  <c r="AV4" i="5"/>
  <c r="AI4" i="5"/>
  <c r="BO4" i="8"/>
  <c r="DM4" i="8" s="1"/>
  <c r="E4" i="1"/>
  <c r="C4" i="14"/>
  <c r="A4" i="11"/>
  <c r="AU4" i="5"/>
  <c r="AB4" i="8"/>
  <c r="CA4" i="8" s="1"/>
  <c r="B4" i="7"/>
  <c r="A4" i="10"/>
  <c r="AA4" i="10" s="1"/>
  <c r="B4" i="9"/>
  <c r="AD4" i="9" s="1"/>
  <c r="EO4" i="8"/>
  <c r="DT4" i="8" s="1"/>
  <c r="BN4" i="8"/>
  <c r="BS4" i="5"/>
  <c r="AB3" i="2"/>
  <c r="DL4" i="8"/>
  <c r="CQ4" i="8"/>
  <c r="DA4" i="8" s="1"/>
  <c r="BK8" i="5"/>
  <c r="AD7" i="1" s="1"/>
  <c r="AG3" i="7"/>
  <c r="AI3" i="7" s="1"/>
  <c r="AH3" i="7"/>
  <c r="R7" i="2"/>
  <c r="J8" i="8"/>
  <c r="DG7" i="5"/>
  <c r="AX8" i="5"/>
  <c r="CZ6" i="5"/>
  <c r="C6" i="10"/>
  <c r="G7" i="5"/>
  <c r="E6" i="7"/>
  <c r="E9" i="8"/>
  <c r="E10" i="8" s="1"/>
  <c r="E11" i="8" s="1"/>
  <c r="E12" i="8" s="1"/>
  <c r="E13" i="8" s="1"/>
  <c r="E14" i="8" s="1"/>
  <c r="E15" i="8" s="1"/>
  <c r="E16" i="8" s="1"/>
  <c r="E17" i="8" s="1"/>
  <c r="E18" i="8" s="1"/>
  <c r="E19" i="8" s="1"/>
  <c r="M8" i="2"/>
  <c r="DF8" i="8"/>
  <c r="K9" i="8"/>
  <c r="S8" i="2"/>
  <c r="X7" i="1"/>
  <c r="BN9" i="5"/>
  <c r="AF8" i="1" s="1"/>
  <c r="DF5" i="5"/>
  <c r="I1" i="14"/>
  <c r="AE3" i="11" l="1"/>
  <c r="AC3" i="8" s="1"/>
  <c r="AF3" i="11"/>
  <c r="DA6" i="5"/>
  <c r="CH4" i="8"/>
  <c r="AO7" i="11"/>
  <c r="J7" i="2"/>
  <c r="L7" i="11"/>
  <c r="E6" i="9"/>
  <c r="AG6" i="5"/>
  <c r="B6" i="2"/>
  <c r="B6" i="1"/>
  <c r="BI6" i="1" s="1"/>
  <c r="G20" i="8"/>
  <c r="G21" i="8" s="1"/>
  <c r="G22" i="8" s="1"/>
  <c r="G23" i="8" s="1"/>
  <c r="G24" i="8" s="1"/>
  <c r="G25" i="8" s="1"/>
  <c r="G26" i="8" s="1"/>
  <c r="G27" i="8" s="1"/>
  <c r="G28" i="8" s="1"/>
  <c r="G29" i="8" s="1"/>
  <c r="G30" i="8" s="1"/>
  <c r="G31" i="8" s="1"/>
  <c r="O19" i="2"/>
  <c r="E20" i="8"/>
  <c r="E21" i="8" s="1"/>
  <c r="E22" i="8" s="1"/>
  <c r="E23" i="8" s="1"/>
  <c r="E24" i="8" s="1"/>
  <c r="E25" i="8" s="1"/>
  <c r="E26" i="8" s="1"/>
  <c r="E27" i="8" s="1"/>
  <c r="B34" i="4" s="1"/>
  <c r="M19" i="2"/>
  <c r="J9" i="12"/>
  <c r="I10" i="12"/>
  <c r="H7" i="5"/>
  <c r="F7" i="7" s="1"/>
  <c r="D6" i="10"/>
  <c r="E28" i="8"/>
  <c r="E29" i="8" s="1"/>
  <c r="E30" i="8" s="1"/>
  <c r="E31" i="8" s="1"/>
  <c r="AB7" i="1"/>
  <c r="AZ8" i="5"/>
  <c r="AC7" i="1"/>
  <c r="BC8" i="5"/>
  <c r="B7" i="5"/>
  <c r="AE6" i="1"/>
  <c r="W6" i="1" s="1"/>
  <c r="O8" i="1"/>
  <c r="DK8" i="8" s="1"/>
  <c r="DI7" i="8"/>
  <c r="DJ7" i="8"/>
  <c r="I10" i="8"/>
  <c r="I11" i="8" s="1"/>
  <c r="C85" i="6"/>
  <c r="C99" i="6" s="1"/>
  <c r="C100" i="6" s="1"/>
  <c r="C101" i="6" s="1"/>
  <c r="C102" i="6" s="1"/>
  <c r="C103" i="6" s="1"/>
  <c r="C98" i="6" s="1"/>
  <c r="C97" i="6"/>
  <c r="AV4" i="1"/>
  <c r="F9" i="5"/>
  <c r="D9" i="7" s="1"/>
  <c r="CY7" i="5"/>
  <c r="D8" i="7"/>
  <c r="B7" i="10"/>
  <c r="D7" i="7"/>
  <c r="AA3" i="11"/>
  <c r="AD3" i="11"/>
  <c r="AI3" i="1" s="1"/>
  <c r="Z3" i="11"/>
  <c r="AC3" i="2" s="1"/>
  <c r="Y3" i="11"/>
  <c r="AH3" i="1" s="1"/>
  <c r="N4" i="1"/>
  <c r="N5" i="1" s="1"/>
  <c r="N6" i="1" s="1"/>
  <c r="N7" i="1" s="1"/>
  <c r="AT3" i="8"/>
  <c r="F3" i="11"/>
  <c r="AQ3" i="8"/>
  <c r="M4" i="1"/>
  <c r="AW3" i="8"/>
  <c r="AU3" i="1" s="1"/>
  <c r="J3" i="1" s="1"/>
  <c r="D3" i="11" s="1"/>
  <c r="AW4" i="8"/>
  <c r="I7" i="5"/>
  <c r="G7" i="7" s="1"/>
  <c r="G6" i="7"/>
  <c r="DB6" i="5"/>
  <c r="AC3" i="11"/>
  <c r="T3" i="8" s="1"/>
  <c r="AB3" i="11"/>
  <c r="P3" i="8" s="1"/>
  <c r="AJ10" i="14"/>
  <c r="CM9" i="8"/>
  <c r="A9" i="2"/>
  <c r="K9" i="11"/>
  <c r="J10" i="10"/>
  <c r="B9" i="14"/>
  <c r="A9" i="8"/>
  <c r="M9" i="5"/>
  <c r="A9" i="7"/>
  <c r="AD9" i="8"/>
  <c r="A9" i="9"/>
  <c r="F11" i="12"/>
  <c r="E11" i="12" s="1"/>
  <c r="D12" i="12"/>
  <c r="DR4" i="8"/>
  <c r="DS4" i="8"/>
  <c r="DX3" i="8"/>
  <c r="EB3" i="8" s="1"/>
  <c r="DN4" i="8"/>
  <c r="DO4" i="8"/>
  <c r="DC3" i="8"/>
  <c r="DD3" i="8"/>
  <c r="CU5" i="8"/>
  <c r="CS5" i="8"/>
  <c r="DP5" i="8" s="1"/>
  <c r="CT5" i="8"/>
  <c r="DQ5" i="8" s="1"/>
  <c r="Q9" i="2"/>
  <c r="Y7" i="1"/>
  <c r="BP9" i="5"/>
  <c r="CQ5" i="8"/>
  <c r="DA5" i="8" s="1"/>
  <c r="DL5" i="8"/>
  <c r="AB5" i="8"/>
  <c r="A6" i="5"/>
  <c r="E6" i="5" s="1"/>
  <c r="EQ6" i="8" s="1"/>
  <c r="CZ6" i="8" s="1"/>
  <c r="C5" i="14"/>
  <c r="BN5" i="8"/>
  <c r="CO5" i="8" s="1"/>
  <c r="B5" i="7"/>
  <c r="Q5" i="7" s="1"/>
  <c r="Q5" i="1"/>
  <c r="E5" i="14" s="1"/>
  <c r="W5" i="8"/>
  <c r="EO5" i="8"/>
  <c r="BO5" i="8"/>
  <c r="DM5" i="8" s="1"/>
  <c r="BS5" i="5"/>
  <c r="AU5" i="5"/>
  <c r="A5" i="10"/>
  <c r="AA5" i="10" s="1"/>
  <c r="AH5" i="5"/>
  <c r="AC5" i="10" s="1"/>
  <c r="AB4" i="2"/>
  <c r="B5" i="9"/>
  <c r="AD5" i="9" s="1"/>
  <c r="E5" i="1"/>
  <c r="AI5" i="5"/>
  <c r="A5" i="11"/>
  <c r="AV5" i="5"/>
  <c r="V6" i="2"/>
  <c r="AR7" i="5"/>
  <c r="DD6" i="5"/>
  <c r="K7" i="5"/>
  <c r="G6" i="10"/>
  <c r="I6" i="7"/>
  <c r="DE6" i="5"/>
  <c r="L7" i="5"/>
  <c r="H6" i="10"/>
  <c r="J6" i="7"/>
  <c r="EI3" i="8"/>
  <c r="DY3" i="8"/>
  <c r="P4" i="1"/>
  <c r="CO4" i="8"/>
  <c r="CN4" i="8"/>
  <c r="CR4" i="8"/>
  <c r="H11" i="8"/>
  <c r="P10" i="2"/>
  <c r="BK9" i="5"/>
  <c r="AD8" i="1" s="1"/>
  <c r="N4" i="7"/>
  <c r="D5" i="9"/>
  <c r="AE4" i="7"/>
  <c r="AF4" i="7" s="1"/>
  <c r="Q4" i="7"/>
  <c r="N4" i="11"/>
  <c r="E7" i="7"/>
  <c r="C7" i="10"/>
  <c r="CZ7" i="5"/>
  <c r="G8" i="5"/>
  <c r="DB4" i="8"/>
  <c r="EC4" i="8" s="1"/>
  <c r="ED4" i="8" s="1"/>
  <c r="CX4" i="8"/>
  <c r="CW4" i="8"/>
  <c r="DG4" i="8"/>
  <c r="EG4" i="8" s="1"/>
  <c r="CY4" i="8"/>
  <c r="EA4" i="8" s="1"/>
  <c r="CV4" i="8"/>
  <c r="DX4" i="8" s="1"/>
  <c r="N8" i="2"/>
  <c r="F9" i="8"/>
  <c r="F10" i="8" s="1"/>
  <c r="F11" i="8" s="1"/>
  <c r="F12" i="8" s="1"/>
  <c r="F13" i="8" s="1"/>
  <c r="F14" i="8" s="1"/>
  <c r="F15" i="8" s="1"/>
  <c r="F16" i="8" s="1"/>
  <c r="F17" i="8" s="1"/>
  <c r="F18" i="8" s="1"/>
  <c r="F19" i="8" s="1"/>
  <c r="AA8" i="7"/>
  <c r="AE8" i="8" s="1"/>
  <c r="BC8" i="8" s="1"/>
  <c r="K8" i="10"/>
  <c r="AN4" i="5"/>
  <c r="M9" i="2"/>
  <c r="DF9" i="8"/>
  <c r="DG8" i="5"/>
  <c r="AX9" i="5"/>
  <c r="BA9" i="5"/>
  <c r="CY8" i="5"/>
  <c r="BE8" i="5"/>
  <c r="BN10" i="5"/>
  <c r="AF9" i="1" s="1"/>
  <c r="X8" i="1"/>
  <c r="AM4" i="5"/>
  <c r="AC4" i="10"/>
  <c r="X4" i="10" s="1"/>
  <c r="Y4" i="10" s="1"/>
  <c r="AO4" i="5"/>
  <c r="AL4" i="5"/>
  <c r="AY11" i="5"/>
  <c r="AY12" i="5" s="1"/>
  <c r="AY13" i="5" s="1"/>
  <c r="AY14" i="5" s="1"/>
  <c r="AY15" i="5" s="1"/>
  <c r="AY16" i="5" s="1"/>
  <c r="AY17" i="5" s="1"/>
  <c r="AY18" i="5" s="1"/>
  <c r="AY19" i="5" s="1"/>
  <c r="DC8" i="5"/>
  <c r="F8" i="10"/>
  <c r="J9" i="5"/>
  <c r="H8" i="7"/>
  <c r="R8" i="2"/>
  <c r="J9" i="8"/>
  <c r="S9" i="2"/>
  <c r="K10" i="8"/>
  <c r="DH4" i="8"/>
  <c r="EH4" i="8" s="1"/>
  <c r="EP4" i="8"/>
  <c r="O9" i="2"/>
  <c r="DE9" i="8"/>
  <c r="DF6" i="5"/>
  <c r="BQ3" i="8" l="1"/>
  <c r="AV3" i="8" s="1"/>
  <c r="AW3" i="1" s="1"/>
  <c r="L3" i="1" s="1"/>
  <c r="CF3" i="8"/>
  <c r="BP3" i="8"/>
  <c r="BZ3" i="8"/>
  <c r="BT3" i="8"/>
  <c r="BY3" i="8"/>
  <c r="BU3" i="8"/>
  <c r="CG3" i="8"/>
  <c r="AF4" i="11"/>
  <c r="AE4" i="11"/>
  <c r="AC4" i="8" s="1"/>
  <c r="CA5" i="8"/>
  <c r="CH5" i="8"/>
  <c r="AO8" i="11"/>
  <c r="Q10" i="2"/>
  <c r="B36" i="4"/>
  <c r="L8" i="11"/>
  <c r="E7" i="9"/>
  <c r="AG7" i="5"/>
  <c r="B7" i="1"/>
  <c r="BI7" i="1" s="1"/>
  <c r="B7" i="2"/>
  <c r="AY20" i="5"/>
  <c r="AY21" i="5" s="1"/>
  <c r="AY22" i="5" s="1"/>
  <c r="AY23" i="5" s="1"/>
  <c r="AY24" i="5" s="1"/>
  <c r="AY25" i="5" s="1"/>
  <c r="AY26" i="5" s="1"/>
  <c r="AY27" i="5" s="1"/>
  <c r="AY28" i="5" s="1"/>
  <c r="AY29" i="5" s="1"/>
  <c r="AY30" i="5" s="1"/>
  <c r="AY31" i="5" s="1"/>
  <c r="AY32" i="5" s="1"/>
  <c r="AY33" i="5" s="1"/>
  <c r="AY34" i="5" s="1"/>
  <c r="AY35" i="5" s="1"/>
  <c r="AY36" i="5" s="1"/>
  <c r="AY37" i="5" s="1"/>
  <c r="AY38" i="5" s="1"/>
  <c r="AY39" i="5" s="1"/>
  <c r="AY40" i="5" s="1"/>
  <c r="AY41" i="5" s="1"/>
  <c r="AY42" i="5" s="1"/>
  <c r="AY43" i="5" s="1"/>
  <c r="AY44" i="5" s="1"/>
  <c r="AY45" i="5" s="1"/>
  <c r="AY46" i="5" s="1"/>
  <c r="AY47" i="5" s="1"/>
  <c r="AY48" i="5" s="1"/>
  <c r="AY49" i="5" s="1"/>
  <c r="AY50" i="5" s="1"/>
  <c r="AY51" i="5" s="1"/>
  <c r="AY52" i="5" s="1"/>
  <c r="AY53" i="5" s="1"/>
  <c r="AY54" i="5" s="1"/>
  <c r="AY55" i="5" s="1"/>
  <c r="AY56" i="5" s="1"/>
  <c r="AY57" i="5" s="1"/>
  <c r="AY58" i="5" s="1"/>
  <c r="AY59" i="5" s="1"/>
  <c r="AY60" i="5" s="1"/>
  <c r="AY61" i="5" s="1"/>
  <c r="AY62" i="5" s="1"/>
  <c r="AY63" i="5" s="1"/>
  <c r="AY64" i="5" s="1"/>
  <c r="AY65" i="5" s="1"/>
  <c r="AY66" i="5" s="1"/>
  <c r="AY67" i="5" s="1"/>
  <c r="AY68" i="5" s="1"/>
  <c r="AY69" i="5" s="1"/>
  <c r="AY70" i="5" s="1"/>
  <c r="AY71" i="5" s="1"/>
  <c r="AY72" i="5" s="1"/>
  <c r="AY73" i="5" s="1"/>
  <c r="AY74" i="5" s="1"/>
  <c r="AY75" i="5" s="1"/>
  <c r="AY76" i="5" s="1"/>
  <c r="AY77" i="5" s="1"/>
  <c r="AY78" i="5" s="1"/>
  <c r="AY79" i="5" s="1"/>
  <c r="AY80" i="5" s="1"/>
  <c r="AY81" i="5" s="1"/>
  <c r="AY82" i="5" s="1"/>
  <c r="AY83" i="5" s="1"/>
  <c r="AY84" i="5" s="1"/>
  <c r="AY85" i="5" s="1"/>
  <c r="AY86" i="5" s="1"/>
  <c r="AY87" i="5" s="1"/>
  <c r="AY88" i="5" s="1"/>
  <c r="AY89" i="5" s="1"/>
  <c r="AY90" i="5" s="1"/>
  <c r="AY91" i="5" s="1"/>
  <c r="AY92" i="5" s="1"/>
  <c r="AY93" i="5" s="1"/>
  <c r="AY94" i="5" s="1"/>
  <c r="AY95" i="5" s="1"/>
  <c r="AY96" i="5" s="1"/>
  <c r="AY97" i="5" s="1"/>
  <c r="AY98" i="5" s="1"/>
  <c r="AY99" i="5" s="1"/>
  <c r="AY100" i="5" s="1"/>
  <c r="AY101" i="5" s="1"/>
  <c r="AY102" i="5" s="1"/>
  <c r="AY103" i="5" s="1"/>
  <c r="AY104" i="5" s="1"/>
  <c r="AY105" i="5" s="1"/>
  <c r="AY106" i="5" s="1"/>
  <c r="AY107" i="5" s="1"/>
  <c r="AY108" i="5" s="1"/>
  <c r="AY109" i="5" s="1"/>
  <c r="AY110" i="5" s="1"/>
  <c r="AY111" i="5" s="1"/>
  <c r="AY112" i="5" s="1"/>
  <c r="AY113" i="5" s="1"/>
  <c r="AY114" i="5" s="1"/>
  <c r="AY115" i="5" s="1"/>
  <c r="AY116" i="5" s="1"/>
  <c r="AY117" i="5" s="1"/>
  <c r="AY118" i="5" s="1"/>
  <c r="AY119" i="5" s="1"/>
  <c r="AY120" i="5" s="1"/>
  <c r="AY121" i="5" s="1"/>
  <c r="AY122" i="5" s="1"/>
  <c r="AY123" i="5" s="1"/>
  <c r="AY124" i="5" s="1"/>
  <c r="AY125" i="5" s="1"/>
  <c r="AY126" i="5" s="1"/>
  <c r="AY127" i="5" s="1"/>
  <c r="AY128" i="5" s="1"/>
  <c r="AY129" i="5" s="1"/>
  <c r="AY130" i="5" s="1"/>
  <c r="AY131" i="5" s="1"/>
  <c r="AY132" i="5" s="1"/>
  <c r="AY133" i="5" s="1"/>
  <c r="AY134" i="5" s="1"/>
  <c r="AY135" i="5" s="1"/>
  <c r="F20" i="8"/>
  <c r="F21" i="8" s="1"/>
  <c r="F22" i="8" s="1"/>
  <c r="F23" i="8" s="1"/>
  <c r="F24" i="8" s="1"/>
  <c r="F25" i="8" s="1"/>
  <c r="F26" i="8" s="1"/>
  <c r="F27" i="8" s="1"/>
  <c r="F28" i="8" s="1"/>
  <c r="F29" i="8" s="1"/>
  <c r="F30" i="8" s="1"/>
  <c r="F31" i="8" s="1"/>
  <c r="N19" i="2"/>
  <c r="E32" i="8"/>
  <c r="E33" i="8" s="1"/>
  <c r="E34" i="8" s="1"/>
  <c r="E35" i="8" s="1"/>
  <c r="E36" i="8" s="1"/>
  <c r="E37" i="8" s="1"/>
  <c r="E38" i="8" s="1"/>
  <c r="E39" i="8" s="1"/>
  <c r="E40" i="8" s="1"/>
  <c r="E41" i="8" s="1"/>
  <c r="E42" i="8" s="1"/>
  <c r="E43" i="8" s="1"/>
  <c r="E44" i="8" s="1"/>
  <c r="E45" i="8" s="1"/>
  <c r="E46" i="8" s="1"/>
  <c r="E47" i="8" s="1"/>
  <c r="E48" i="8" s="1"/>
  <c r="E49" i="8" s="1"/>
  <c r="E50" i="8" s="1"/>
  <c r="E51" i="8" s="1"/>
  <c r="E52" i="8" s="1"/>
  <c r="E53" i="8" s="1"/>
  <c r="E54" i="8" s="1"/>
  <c r="E55" i="8" s="1"/>
  <c r="E56" i="8" s="1"/>
  <c r="E57" i="8" s="1"/>
  <c r="E58" i="8" s="1"/>
  <c r="E59" i="8" s="1"/>
  <c r="E60" i="8" s="1"/>
  <c r="E61" i="8" s="1"/>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E86" i="8" s="1"/>
  <c r="E87" i="8" s="1"/>
  <c r="E88" i="8" s="1"/>
  <c r="E89" i="8" s="1"/>
  <c r="E90" i="8" s="1"/>
  <c r="E91" i="8" s="1"/>
  <c r="E92" i="8" s="1"/>
  <c r="E93" i="8" s="1"/>
  <c r="E94" i="8" s="1"/>
  <c r="E95" i="8" s="1"/>
  <c r="E96" i="8" s="1"/>
  <c r="E97" i="8" s="1"/>
  <c r="E98" i="8" s="1"/>
  <c r="E99" i="8" s="1"/>
  <c r="E100" i="8" s="1"/>
  <c r="E101" i="8" s="1"/>
  <c r="E102" i="8" s="1"/>
  <c r="E103" i="8" s="1"/>
  <c r="E104" i="8" s="1"/>
  <c r="E105" i="8" s="1"/>
  <c r="E106" i="8" s="1"/>
  <c r="E107" i="8" s="1"/>
  <c r="E108" i="8" s="1"/>
  <c r="E109" i="8" s="1"/>
  <c r="E110" i="8" s="1"/>
  <c r="E111" i="8" s="1"/>
  <c r="E112" i="8" s="1"/>
  <c r="E113" i="8" s="1"/>
  <c r="E114" i="8" s="1"/>
  <c r="E115" i="8" s="1"/>
  <c r="E116" i="8" s="1"/>
  <c r="E117" i="8" s="1"/>
  <c r="E118" i="8" s="1"/>
  <c r="E119" i="8" s="1"/>
  <c r="E120" i="8" s="1"/>
  <c r="E121" i="8" s="1"/>
  <c r="E122" i="8" s="1"/>
  <c r="E123" i="8" s="1"/>
  <c r="E124" i="8" s="1"/>
  <c r="E125" i="8" s="1"/>
  <c r="E126" i="8" s="1"/>
  <c r="E127" i="8" s="1"/>
  <c r="E128" i="8" s="1"/>
  <c r="E129" i="8" s="1"/>
  <c r="E130" i="8" s="1"/>
  <c r="E131" i="8" s="1"/>
  <c r="E132" i="8" s="1"/>
  <c r="E133" i="8" s="1"/>
  <c r="E134" i="8" s="1"/>
  <c r="E135" i="8" s="1"/>
  <c r="M31" i="2"/>
  <c r="G32" i="8"/>
  <c r="G33" i="8" s="1"/>
  <c r="G34" i="8" s="1"/>
  <c r="G35" i="8" s="1"/>
  <c r="G36" i="8" s="1"/>
  <c r="G37" i="8" s="1"/>
  <c r="G38" i="8" s="1"/>
  <c r="G39" i="8" s="1"/>
  <c r="G40" i="8" s="1"/>
  <c r="G41" i="8" s="1"/>
  <c r="G42" i="8" s="1"/>
  <c r="G43" i="8" s="1"/>
  <c r="G44" i="8" s="1"/>
  <c r="G45" i="8" s="1"/>
  <c r="G46" i="8" s="1"/>
  <c r="G47" i="8" s="1"/>
  <c r="G48" i="8" s="1"/>
  <c r="G49" i="8" s="1"/>
  <c r="G50" i="8" s="1"/>
  <c r="G51" i="8" s="1"/>
  <c r="G52" i="8" s="1"/>
  <c r="G53" i="8" s="1"/>
  <c r="G54" i="8" s="1"/>
  <c r="G55" i="8" s="1"/>
  <c r="G56" i="8" s="1"/>
  <c r="G57" i="8" s="1"/>
  <c r="G58" i="8" s="1"/>
  <c r="G59" i="8" s="1"/>
  <c r="G60" i="8" s="1"/>
  <c r="G61" i="8" s="1"/>
  <c r="G62" i="8" s="1"/>
  <c r="G63" i="8" s="1"/>
  <c r="G64" i="8" s="1"/>
  <c r="G65" i="8" s="1"/>
  <c r="G66" i="8" s="1"/>
  <c r="G67" i="8" s="1"/>
  <c r="G68" i="8" s="1"/>
  <c r="G69" i="8" s="1"/>
  <c r="G70" i="8" s="1"/>
  <c r="G71" i="8" s="1"/>
  <c r="G72" i="8" s="1"/>
  <c r="G73" i="8" s="1"/>
  <c r="G74" i="8" s="1"/>
  <c r="G75" i="8" s="1"/>
  <c r="G76" i="8" s="1"/>
  <c r="G77" i="8" s="1"/>
  <c r="G78" i="8" s="1"/>
  <c r="G79" i="8" s="1"/>
  <c r="G80" i="8" s="1"/>
  <c r="G81" i="8" s="1"/>
  <c r="G82" i="8" s="1"/>
  <c r="G83" i="8" s="1"/>
  <c r="G84" i="8" s="1"/>
  <c r="G85" i="8" s="1"/>
  <c r="G86" i="8" s="1"/>
  <c r="G87" i="8" s="1"/>
  <c r="G88" i="8" s="1"/>
  <c r="G89" i="8" s="1"/>
  <c r="G90" i="8" s="1"/>
  <c r="G91" i="8" s="1"/>
  <c r="G92" i="8" s="1"/>
  <c r="G93" i="8" s="1"/>
  <c r="G94" i="8" s="1"/>
  <c r="G95" i="8" s="1"/>
  <c r="G96" i="8" s="1"/>
  <c r="G97" i="8" s="1"/>
  <c r="G98" i="8" s="1"/>
  <c r="G99" i="8" s="1"/>
  <c r="G100" i="8" s="1"/>
  <c r="G101" i="8" s="1"/>
  <c r="G102" i="8" s="1"/>
  <c r="G103" i="8" s="1"/>
  <c r="G104" i="8" s="1"/>
  <c r="G105" i="8" s="1"/>
  <c r="G106" i="8" s="1"/>
  <c r="G107" i="8" s="1"/>
  <c r="G108" i="8" s="1"/>
  <c r="G109" i="8" s="1"/>
  <c r="G110" i="8" s="1"/>
  <c r="G111" i="8" s="1"/>
  <c r="G112" i="8" s="1"/>
  <c r="G113" i="8" s="1"/>
  <c r="G114" i="8" s="1"/>
  <c r="G115" i="8" s="1"/>
  <c r="G116" i="8" s="1"/>
  <c r="G117" i="8" s="1"/>
  <c r="G118" i="8" s="1"/>
  <c r="G119" i="8" s="1"/>
  <c r="G120" i="8" s="1"/>
  <c r="G121" i="8" s="1"/>
  <c r="G122" i="8" s="1"/>
  <c r="G123" i="8" s="1"/>
  <c r="G124" i="8" s="1"/>
  <c r="G125" i="8" s="1"/>
  <c r="G126" i="8" s="1"/>
  <c r="G127" i="8" s="1"/>
  <c r="G128" i="8" s="1"/>
  <c r="G129" i="8" s="1"/>
  <c r="G130" i="8" s="1"/>
  <c r="G131" i="8" s="1"/>
  <c r="G132" i="8" s="1"/>
  <c r="G133" i="8" s="1"/>
  <c r="G134" i="8" s="1"/>
  <c r="G135" i="8" s="1"/>
  <c r="O31" i="2"/>
  <c r="I11" i="12"/>
  <c r="J10" i="12"/>
  <c r="H8" i="5"/>
  <c r="F8" i="7" s="1"/>
  <c r="DA7" i="5"/>
  <c r="D7" i="10"/>
  <c r="B35" i="4"/>
  <c r="J8" i="2"/>
  <c r="AE7" i="1"/>
  <c r="W7" i="1" s="1"/>
  <c r="AB8" i="1"/>
  <c r="AZ9" i="5"/>
  <c r="CY9" i="5" s="1"/>
  <c r="AC8" i="1"/>
  <c r="BC9" i="5"/>
  <c r="O9" i="1"/>
  <c r="DK9" i="8" s="1"/>
  <c r="DJ8" i="8"/>
  <c r="DI8" i="8"/>
  <c r="F10" i="5"/>
  <c r="B10" i="10" s="1"/>
  <c r="B9" i="10"/>
  <c r="I8" i="5"/>
  <c r="DB8" i="5" s="1"/>
  <c r="E7" i="10"/>
  <c r="DB7" i="5"/>
  <c r="AV5" i="1"/>
  <c r="N8" i="1"/>
  <c r="AD4" i="11"/>
  <c r="AI4" i="1" s="1"/>
  <c r="Y4" i="11"/>
  <c r="AH4" i="1" s="1"/>
  <c r="AB4" i="11"/>
  <c r="P4" i="8" s="1"/>
  <c r="AA4" i="11"/>
  <c r="Z4" i="11"/>
  <c r="AC4" i="2" s="1"/>
  <c r="AC4" i="11"/>
  <c r="T4" i="8" s="1"/>
  <c r="AT4" i="8"/>
  <c r="AQ4" i="8"/>
  <c r="F4" i="11"/>
  <c r="M5" i="1"/>
  <c r="AQ3" i="1"/>
  <c r="U3" i="1" s="1"/>
  <c r="AK3" i="5"/>
  <c r="AP3" i="8"/>
  <c r="BM3" i="1"/>
  <c r="DZ3" i="8"/>
  <c r="AJ11" i="14"/>
  <c r="CM10" i="8"/>
  <c r="F12" i="12"/>
  <c r="E12" i="12" s="1"/>
  <c r="D13" i="12"/>
  <c r="A10" i="2"/>
  <c r="A10" i="7"/>
  <c r="A10" i="8"/>
  <c r="K10" i="11"/>
  <c r="J11" i="10"/>
  <c r="M10" i="5"/>
  <c r="AD10" i="8"/>
  <c r="B10" i="14"/>
  <c r="A10" i="9"/>
  <c r="EP5" i="8"/>
  <c r="DT5" i="8"/>
  <c r="DR5" i="8"/>
  <c r="DS5" i="8"/>
  <c r="DG5" i="8"/>
  <c r="EG5" i="8" s="1"/>
  <c r="DN5" i="8"/>
  <c r="DO5" i="8"/>
  <c r="EE3" i="8"/>
  <c r="EF3" i="8" s="1"/>
  <c r="CS6" i="8"/>
  <c r="DP6" i="8" s="1"/>
  <c r="CT6" i="8"/>
  <c r="DQ6" i="8" s="1"/>
  <c r="CU6" i="8"/>
  <c r="BP10" i="5"/>
  <c r="Y8" i="1"/>
  <c r="CR5" i="8"/>
  <c r="DC5" i="8" s="1"/>
  <c r="B31" i="6"/>
  <c r="Z3" i="8" s="1"/>
  <c r="Q11" i="2"/>
  <c r="I12" i="8"/>
  <c r="N5" i="7"/>
  <c r="DB5" i="8"/>
  <c r="EC5" i="8" s="1"/>
  <c r="ED5" i="8" s="1"/>
  <c r="CY5" i="8"/>
  <c r="EA5" i="8" s="1"/>
  <c r="CW5" i="8"/>
  <c r="CX5" i="8"/>
  <c r="CV5" i="8"/>
  <c r="DX5" i="8" s="1"/>
  <c r="EB5" i="8" s="1"/>
  <c r="DL6" i="8"/>
  <c r="CN5" i="8"/>
  <c r="X5" i="10"/>
  <c r="Y5" i="10" s="1"/>
  <c r="EO6" i="8"/>
  <c r="A6" i="11"/>
  <c r="AM5" i="5"/>
  <c r="AH6" i="5"/>
  <c r="AC6" i="10" s="1"/>
  <c r="BO6" i="8"/>
  <c r="DM6" i="8" s="1"/>
  <c r="E6" i="1"/>
  <c r="A6" i="10"/>
  <c r="AA6" i="10" s="1"/>
  <c r="AL5" i="5"/>
  <c r="C6" i="14"/>
  <c r="BN6" i="8"/>
  <c r="CO6" i="8" s="1"/>
  <c r="AI6" i="5"/>
  <c r="B6" i="9"/>
  <c r="BS6" i="5"/>
  <c r="AB5" i="2"/>
  <c r="AV6" i="5"/>
  <c r="DH5" i="8"/>
  <c r="EH5" i="8" s="1"/>
  <c r="AB6" i="8"/>
  <c r="W6" i="8"/>
  <c r="B6" i="7"/>
  <c r="Q6" i="7" s="1"/>
  <c r="Q6" i="1"/>
  <c r="E6" i="14" s="1"/>
  <c r="AU6" i="5"/>
  <c r="AN5" i="5"/>
  <c r="D6" i="9"/>
  <c r="CQ6" i="8"/>
  <c r="DA6" i="8" s="1"/>
  <c r="AE5" i="7"/>
  <c r="AF5" i="7" s="1"/>
  <c r="AO5" i="5"/>
  <c r="N5" i="11"/>
  <c r="P5" i="1"/>
  <c r="D5" i="14" s="1"/>
  <c r="V7" i="2"/>
  <c r="A7" i="5"/>
  <c r="E7" i="5" s="1"/>
  <c r="EQ7" i="8" s="1"/>
  <c r="CZ7" i="8" s="1"/>
  <c r="AR8" i="5"/>
  <c r="G7" i="10"/>
  <c r="DD7" i="5"/>
  <c r="K8" i="5"/>
  <c r="I7" i="7"/>
  <c r="DE7" i="5"/>
  <c r="J7" i="7"/>
  <c r="L8" i="5"/>
  <c r="H7" i="10"/>
  <c r="D4" i="14"/>
  <c r="DY4" i="8"/>
  <c r="DZ4" i="8" s="1"/>
  <c r="S10" i="2"/>
  <c r="K11" i="8"/>
  <c r="BA10" i="5"/>
  <c r="AG4" i="7"/>
  <c r="AI4" i="7" s="1"/>
  <c r="AH4" i="7"/>
  <c r="AP4" i="5"/>
  <c r="X9" i="1"/>
  <c r="BN11" i="5"/>
  <c r="M10" i="2"/>
  <c r="DF10" i="8"/>
  <c r="C8" i="10"/>
  <c r="E8" i="7"/>
  <c r="CZ8" i="5"/>
  <c r="G9" i="5"/>
  <c r="DD4" i="8"/>
  <c r="DC4" i="8"/>
  <c r="EI4" i="8"/>
  <c r="F9" i="10"/>
  <c r="DC9" i="5"/>
  <c r="H9" i="7"/>
  <c r="J10" i="5"/>
  <c r="AA9" i="7"/>
  <c r="AE9" i="8" s="1"/>
  <c r="BC9" i="8" s="1"/>
  <c r="K9" i="10"/>
  <c r="H12" i="8"/>
  <c r="P11" i="2"/>
  <c r="BE9" i="5"/>
  <c r="EB4" i="8"/>
  <c r="BK10" i="5"/>
  <c r="AD9" i="1" s="1"/>
  <c r="B8" i="5"/>
  <c r="DE10" i="8"/>
  <c r="O10" i="2"/>
  <c r="J10" i="8"/>
  <c r="R9" i="2"/>
  <c r="DG9" i="5"/>
  <c r="AX10" i="5"/>
  <c r="N9" i="2"/>
  <c r="AQ4" i="5"/>
  <c r="AU4" i="1" s="1"/>
  <c r="DF7" i="5"/>
  <c r="AU3" i="8" l="1"/>
  <c r="AT3" i="1" s="1"/>
  <c r="H3" i="1" s="1"/>
  <c r="AF5" i="11"/>
  <c r="AE5" i="11"/>
  <c r="AC5" i="8" s="1"/>
  <c r="CA6" i="8"/>
  <c r="CH6" i="8"/>
  <c r="BZ4" i="8"/>
  <c r="BP4" i="8"/>
  <c r="CG4" i="8"/>
  <c r="BY4" i="8"/>
  <c r="BQ4" i="8"/>
  <c r="CF4" i="8"/>
  <c r="BT4" i="8"/>
  <c r="BU4" i="8"/>
  <c r="AO9" i="11"/>
  <c r="Y5" i="11"/>
  <c r="AH5" i="1" s="1"/>
  <c r="L9" i="11"/>
  <c r="E8" i="9"/>
  <c r="AG8" i="5"/>
  <c r="B8" i="2"/>
  <c r="B8" i="1"/>
  <c r="BI8" i="1" s="1"/>
  <c r="F32" i="8"/>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117" i="8" s="1"/>
  <c r="F118" i="8" s="1"/>
  <c r="F119" i="8" s="1"/>
  <c r="F120" i="8" s="1"/>
  <c r="F121" i="8" s="1"/>
  <c r="F122" i="8" s="1"/>
  <c r="F123" i="8" s="1"/>
  <c r="F124" i="8" s="1"/>
  <c r="F125" i="8" s="1"/>
  <c r="F126" i="8" s="1"/>
  <c r="F127" i="8" s="1"/>
  <c r="F128" i="8" s="1"/>
  <c r="F129" i="8" s="1"/>
  <c r="F130" i="8" s="1"/>
  <c r="F131" i="8" s="1"/>
  <c r="F132" i="8" s="1"/>
  <c r="F133" i="8" s="1"/>
  <c r="F134" i="8" s="1"/>
  <c r="F135" i="8" s="1"/>
  <c r="AD135" i="1" s="1"/>
  <c r="N31" i="2"/>
  <c r="I12" i="12"/>
  <c r="J11" i="12"/>
  <c r="DA8" i="5"/>
  <c r="H9" i="5"/>
  <c r="F9" i="7" s="1"/>
  <c r="D8" i="10"/>
  <c r="B3" i="8"/>
  <c r="D3" i="2" s="1"/>
  <c r="BN12" i="5"/>
  <c r="AF11" i="1" s="1"/>
  <c r="AF10" i="1"/>
  <c r="X10" i="1" s="1"/>
  <c r="AB9" i="1"/>
  <c r="AZ10" i="5"/>
  <c r="AC9" i="1"/>
  <c r="BC10" i="5"/>
  <c r="J9" i="2"/>
  <c r="AE8" i="1"/>
  <c r="W8" i="1" s="1"/>
  <c r="O10" i="1"/>
  <c r="DK10" i="8" s="1"/>
  <c r="DI9" i="8"/>
  <c r="DJ9" i="8"/>
  <c r="AD6" i="9"/>
  <c r="AV6" i="1" s="1"/>
  <c r="G8" i="7"/>
  <c r="F11" i="5"/>
  <c r="F12" i="5" s="1"/>
  <c r="B12" i="10" s="1"/>
  <c r="D10" i="7"/>
  <c r="I9" i="5"/>
  <c r="I10" i="5" s="1"/>
  <c r="E8" i="10"/>
  <c r="N9" i="1"/>
  <c r="AA5" i="11"/>
  <c r="Z5" i="11"/>
  <c r="AC5" i="2" s="1"/>
  <c r="AC5" i="11"/>
  <c r="T5" i="8" s="1"/>
  <c r="AD5" i="11"/>
  <c r="AI5" i="1" s="1"/>
  <c r="AB5" i="11"/>
  <c r="P5" i="8" s="1"/>
  <c r="AT5" i="8"/>
  <c r="F5" i="11"/>
  <c r="AQ5" i="8"/>
  <c r="M6" i="1"/>
  <c r="AW5" i="8"/>
  <c r="J4" i="1"/>
  <c r="A11" i="2"/>
  <c r="A11" i="7"/>
  <c r="A11" i="9"/>
  <c r="K11" i="11"/>
  <c r="B11" i="14"/>
  <c r="A11" i="8"/>
  <c r="M11" i="5"/>
  <c r="J12" i="10"/>
  <c r="AD11" i="8"/>
  <c r="CM11" i="8"/>
  <c r="AJ12" i="14"/>
  <c r="F13" i="12"/>
  <c r="E13" i="12" s="1"/>
  <c r="D14" i="12"/>
  <c r="EP6" i="8"/>
  <c r="DT6" i="8"/>
  <c r="DS6" i="8"/>
  <c r="DR6" i="8"/>
  <c r="EI5" i="8"/>
  <c r="DB6" i="8"/>
  <c r="EC6" i="8" s="1"/>
  <c r="ED6" i="8" s="1"/>
  <c r="DN6" i="8"/>
  <c r="DO6" i="8"/>
  <c r="CS7" i="8"/>
  <c r="DP7" i="8" s="1"/>
  <c r="CT7" i="8"/>
  <c r="DQ7" i="8" s="1"/>
  <c r="CU7" i="8"/>
  <c r="BP11" i="5"/>
  <c r="Y9" i="1"/>
  <c r="DD5" i="8"/>
  <c r="EE5" i="8" s="1"/>
  <c r="EF5" i="8" s="1"/>
  <c r="B9" i="5"/>
  <c r="AH5" i="7"/>
  <c r="B30" i="6"/>
  <c r="C3" i="2" s="1"/>
  <c r="AB3" i="7"/>
  <c r="BD3" i="8"/>
  <c r="H3" i="11"/>
  <c r="E3" i="2"/>
  <c r="L3" i="2"/>
  <c r="Q12" i="2"/>
  <c r="I13" i="8"/>
  <c r="DH6" i="8"/>
  <c r="EH6" i="8" s="1"/>
  <c r="N6" i="11"/>
  <c r="DY5" i="8"/>
  <c r="DZ5" i="8" s="1"/>
  <c r="CQ7" i="8"/>
  <c r="DA7" i="8" s="1"/>
  <c r="AE6" i="7"/>
  <c r="AF6" i="7" s="1"/>
  <c r="AQ5" i="5"/>
  <c r="AU5" i="1" s="1"/>
  <c r="CN6" i="8"/>
  <c r="AL6" i="5"/>
  <c r="CR6" i="8"/>
  <c r="DC6" i="8" s="1"/>
  <c r="X6" i="10"/>
  <c r="Y6" i="10" s="1"/>
  <c r="AM6" i="5"/>
  <c r="AP5" i="5"/>
  <c r="CX6" i="8"/>
  <c r="D7" i="9"/>
  <c r="N6" i="7"/>
  <c r="AO6" i="5"/>
  <c r="AN6" i="5"/>
  <c r="C7" i="14"/>
  <c r="DL7" i="8"/>
  <c r="CV6" i="8"/>
  <c r="DX6" i="8" s="1"/>
  <c r="EB6" i="8" s="1"/>
  <c r="AG5" i="7"/>
  <c r="AI5" i="7" s="1"/>
  <c r="DG6" i="8"/>
  <c r="EG6" i="8" s="1"/>
  <c r="CY6" i="8"/>
  <c r="EA6" i="8" s="1"/>
  <c r="CW6" i="8"/>
  <c r="P6" i="1"/>
  <c r="D6" i="14" s="1"/>
  <c r="A8" i="5"/>
  <c r="E8" i="5" s="1"/>
  <c r="EQ8" i="8" s="1"/>
  <c r="CZ8" i="8" s="1"/>
  <c r="AV7" i="5"/>
  <c r="EO7" i="8"/>
  <c r="BO7" i="8"/>
  <c r="DM7" i="8" s="1"/>
  <c r="A7" i="10"/>
  <c r="AA7" i="10" s="1"/>
  <c r="AH7" i="5"/>
  <c r="AC7" i="10" s="1"/>
  <c r="V8" i="2"/>
  <c r="AU7" i="5"/>
  <c r="B7" i="9"/>
  <c r="AR9" i="5"/>
  <c r="B7" i="7"/>
  <c r="Q7" i="7" s="1"/>
  <c r="E7" i="1"/>
  <c r="Q7" i="1"/>
  <c r="E7" i="14" s="1"/>
  <c r="W7" i="8"/>
  <c r="BN7" i="8"/>
  <c r="CR7" i="8" s="1"/>
  <c r="AB6" i="2"/>
  <c r="A7" i="11"/>
  <c r="AB7" i="8"/>
  <c r="AI7" i="5"/>
  <c r="BS7" i="5"/>
  <c r="I8" i="7"/>
  <c r="K9" i="5"/>
  <c r="DD8" i="5"/>
  <c r="G8" i="10"/>
  <c r="H8" i="10"/>
  <c r="J8" i="7"/>
  <c r="L9" i="5"/>
  <c r="DE8" i="5"/>
  <c r="EE4" i="8"/>
  <c r="EF4" i="8" s="1"/>
  <c r="K12" i="8"/>
  <c r="S11" i="2"/>
  <c r="AX11" i="5"/>
  <c r="AX12" i="5" s="1"/>
  <c r="AX13" i="5" s="1"/>
  <c r="AX14" i="5" s="1"/>
  <c r="AX15" i="5" s="1"/>
  <c r="AX16" i="5" s="1"/>
  <c r="AX17" i="5" s="1"/>
  <c r="AX18" i="5" s="1"/>
  <c r="AX19" i="5" s="1"/>
  <c r="DG10" i="5"/>
  <c r="O11" i="2"/>
  <c r="DE11" i="8"/>
  <c r="CZ9" i="5"/>
  <c r="G10" i="5"/>
  <c r="E9" i="7"/>
  <c r="C9" i="10"/>
  <c r="N10" i="2"/>
  <c r="BK11" i="5"/>
  <c r="BE10" i="5"/>
  <c r="P12" i="2"/>
  <c r="H13" i="8"/>
  <c r="M11" i="2"/>
  <c r="DF11" i="8"/>
  <c r="K10" i="10"/>
  <c r="AA10" i="7"/>
  <c r="AE10" i="8" s="1"/>
  <c r="BC10" i="8" s="1"/>
  <c r="BA11" i="5"/>
  <c r="BA12" i="5" s="1"/>
  <c r="BA13" i="5" s="1"/>
  <c r="BA14" i="5" s="1"/>
  <c r="BA15" i="5" s="1"/>
  <c r="BA16" i="5" s="1"/>
  <c r="BA17" i="5" s="1"/>
  <c r="BA18" i="5" s="1"/>
  <c r="BA19" i="5" s="1"/>
  <c r="BA20" i="5" s="1"/>
  <c r="BA21" i="5" s="1"/>
  <c r="BA22" i="5" s="1"/>
  <c r="BA23" i="5" s="1"/>
  <c r="BA24" i="5" s="1"/>
  <c r="BA25" i="5" s="1"/>
  <c r="BA26" i="5" s="1"/>
  <c r="BA27" i="5" s="1"/>
  <c r="BA28" i="5" s="1"/>
  <c r="BA29" i="5" s="1"/>
  <c r="BA30" i="5" s="1"/>
  <c r="BA31" i="5" s="1"/>
  <c r="BA32" i="5" s="1"/>
  <c r="BA33" i="5" s="1"/>
  <c r="BA34" i="5" s="1"/>
  <c r="BA35" i="5" s="1"/>
  <c r="BA36" i="5" s="1"/>
  <c r="BA37" i="5" s="1"/>
  <c r="BA38" i="5" s="1"/>
  <c r="BA39" i="5" s="1"/>
  <c r="BA40" i="5" s="1"/>
  <c r="BA41" i="5" s="1"/>
  <c r="BA42" i="5" s="1"/>
  <c r="BA43" i="5" s="1"/>
  <c r="BA44" i="5" s="1"/>
  <c r="BA45" i="5" s="1"/>
  <c r="BA46" i="5" s="1"/>
  <c r="BA47" i="5" s="1"/>
  <c r="BA48" i="5" s="1"/>
  <c r="BA49" i="5" s="1"/>
  <c r="BA50" i="5" s="1"/>
  <c r="BA51" i="5" s="1"/>
  <c r="BA52" i="5" s="1"/>
  <c r="BA53" i="5" s="1"/>
  <c r="BA54" i="5" s="1"/>
  <c r="BA55" i="5" s="1"/>
  <c r="BA56" i="5" s="1"/>
  <c r="BA57" i="5" s="1"/>
  <c r="BA58" i="5" s="1"/>
  <c r="BA59" i="5" s="1"/>
  <c r="BA60" i="5" s="1"/>
  <c r="BA61" i="5" s="1"/>
  <c r="BA62" i="5" s="1"/>
  <c r="BA63" i="5" s="1"/>
  <c r="BA64" i="5" s="1"/>
  <c r="BA65" i="5" s="1"/>
  <c r="BA66" i="5" s="1"/>
  <c r="BA67" i="5" s="1"/>
  <c r="BA68" i="5" s="1"/>
  <c r="BA69" i="5" s="1"/>
  <c r="BA70" i="5" s="1"/>
  <c r="BA71" i="5" s="1"/>
  <c r="BA72" i="5" s="1"/>
  <c r="BA73" i="5" s="1"/>
  <c r="BA74" i="5" s="1"/>
  <c r="BA75" i="5" s="1"/>
  <c r="BA76" i="5" s="1"/>
  <c r="BA77" i="5" s="1"/>
  <c r="BA78" i="5" s="1"/>
  <c r="BA79" i="5" s="1"/>
  <c r="BA80" i="5" s="1"/>
  <c r="BA81" i="5" s="1"/>
  <c r="BA82" i="5" s="1"/>
  <c r="BA83" i="5" s="1"/>
  <c r="BA84" i="5" s="1"/>
  <c r="BA85" i="5" s="1"/>
  <c r="BA86" i="5" s="1"/>
  <c r="BA87" i="5" s="1"/>
  <c r="BA88" i="5" s="1"/>
  <c r="BA89" i="5" s="1"/>
  <c r="BA90" i="5" s="1"/>
  <c r="BA91" i="5" s="1"/>
  <c r="BA92" i="5" s="1"/>
  <c r="BA93" i="5" s="1"/>
  <c r="BA94" i="5" s="1"/>
  <c r="BA95" i="5" s="1"/>
  <c r="BA96" i="5" s="1"/>
  <c r="BA97" i="5" s="1"/>
  <c r="BA98" i="5" s="1"/>
  <c r="BA99" i="5" s="1"/>
  <c r="BA100" i="5" s="1"/>
  <c r="BA101" i="5" s="1"/>
  <c r="BA102" i="5" s="1"/>
  <c r="BA103" i="5" s="1"/>
  <c r="BA104" i="5" s="1"/>
  <c r="BA105" i="5" s="1"/>
  <c r="BA106" i="5" s="1"/>
  <c r="BA107" i="5" s="1"/>
  <c r="BA108" i="5" s="1"/>
  <c r="BA109" i="5" s="1"/>
  <c r="BA110" i="5" s="1"/>
  <c r="BA111" i="5" s="1"/>
  <c r="BA112" i="5" s="1"/>
  <c r="BA113" i="5" s="1"/>
  <c r="BA114" i="5" s="1"/>
  <c r="BA115" i="5" s="1"/>
  <c r="BA116" i="5" s="1"/>
  <c r="BA117" i="5" s="1"/>
  <c r="BA118" i="5" s="1"/>
  <c r="BA119" i="5" s="1"/>
  <c r="BA120" i="5" s="1"/>
  <c r="BA121" i="5" s="1"/>
  <c r="BA122" i="5" s="1"/>
  <c r="BA123" i="5" s="1"/>
  <c r="BA124" i="5" s="1"/>
  <c r="BA125" i="5" s="1"/>
  <c r="BA126" i="5" s="1"/>
  <c r="BA127" i="5" s="1"/>
  <c r="BA128" i="5" s="1"/>
  <c r="BA129" i="5" s="1"/>
  <c r="BA130" i="5" s="1"/>
  <c r="BA131" i="5" s="1"/>
  <c r="BA132" i="5" s="1"/>
  <c r="BA133" i="5" s="1"/>
  <c r="BA134" i="5" s="1"/>
  <c r="BA135" i="5" s="1"/>
  <c r="CY10" i="5"/>
  <c r="J11" i="8"/>
  <c r="R10" i="2"/>
  <c r="J11" i="5"/>
  <c r="DC10" i="5"/>
  <c r="H10" i="7"/>
  <c r="F10" i="10"/>
  <c r="DF8" i="5"/>
  <c r="AU4" i="8" l="1"/>
  <c r="AT4" i="1" s="1"/>
  <c r="BT5" i="8"/>
  <c r="CF5" i="8"/>
  <c r="BZ5" i="8"/>
  <c r="CG5" i="8"/>
  <c r="BU5" i="8"/>
  <c r="BQ5" i="8"/>
  <c r="BP5" i="8"/>
  <c r="BY5" i="8"/>
  <c r="CA7" i="8"/>
  <c r="CH7" i="8"/>
  <c r="AF6" i="11"/>
  <c r="AE6" i="11"/>
  <c r="AC6" i="8" s="1"/>
  <c r="AV4" i="8"/>
  <c r="AW4" i="1" s="1"/>
  <c r="L4" i="1" s="1"/>
  <c r="BO4" i="1" s="1"/>
  <c r="AO10" i="11"/>
  <c r="L10" i="11"/>
  <c r="E9" i="9"/>
  <c r="AG9" i="5"/>
  <c r="B9" i="1"/>
  <c r="BI9" i="1" s="1"/>
  <c r="B9" i="2"/>
  <c r="AX20" i="5"/>
  <c r="AX21" i="5" s="1"/>
  <c r="AX22" i="5" s="1"/>
  <c r="AX23" i="5" s="1"/>
  <c r="AX24" i="5" s="1"/>
  <c r="AX25" i="5" s="1"/>
  <c r="AX26" i="5" s="1"/>
  <c r="AX27" i="5" s="1"/>
  <c r="AX28" i="5" s="1"/>
  <c r="AX29" i="5" s="1"/>
  <c r="AX30" i="5" s="1"/>
  <c r="AX31" i="5" s="1"/>
  <c r="AX32" i="5" s="1"/>
  <c r="AX33" i="5" s="1"/>
  <c r="AX34" i="5" s="1"/>
  <c r="AX35" i="5" s="1"/>
  <c r="AX36" i="5" s="1"/>
  <c r="AX37" i="5" s="1"/>
  <c r="AX38" i="5" s="1"/>
  <c r="AX39" i="5" s="1"/>
  <c r="AX40" i="5" s="1"/>
  <c r="AX41" i="5" s="1"/>
  <c r="AX42" i="5" s="1"/>
  <c r="AX43" i="5" s="1"/>
  <c r="AX44" i="5" s="1"/>
  <c r="AX45" i="5" s="1"/>
  <c r="AX46" i="5" s="1"/>
  <c r="AX47" i="5" s="1"/>
  <c r="AX48" i="5" s="1"/>
  <c r="AX49" i="5" s="1"/>
  <c r="AX50" i="5" s="1"/>
  <c r="AX51" i="5" s="1"/>
  <c r="AX52" i="5" s="1"/>
  <c r="AX53" i="5" s="1"/>
  <c r="AX54" i="5" s="1"/>
  <c r="AX55" i="5" s="1"/>
  <c r="AX56" i="5" s="1"/>
  <c r="AX57" i="5" s="1"/>
  <c r="AX58" i="5" s="1"/>
  <c r="AX59" i="5" s="1"/>
  <c r="AX60" i="5" s="1"/>
  <c r="AX61" i="5" s="1"/>
  <c r="AX62" i="5" s="1"/>
  <c r="AX63" i="5" s="1"/>
  <c r="AX64" i="5" s="1"/>
  <c r="AX65" i="5" s="1"/>
  <c r="AX66" i="5" s="1"/>
  <c r="AX67" i="5" s="1"/>
  <c r="AX68" i="5" s="1"/>
  <c r="AX69" i="5" s="1"/>
  <c r="AX70" i="5" s="1"/>
  <c r="AX71" i="5" s="1"/>
  <c r="AX72" i="5" s="1"/>
  <c r="AX73" i="5" s="1"/>
  <c r="AX74" i="5" s="1"/>
  <c r="AX75" i="5" s="1"/>
  <c r="AX76" i="5" s="1"/>
  <c r="AX77" i="5" s="1"/>
  <c r="AX78" i="5" s="1"/>
  <c r="AX79" i="5" s="1"/>
  <c r="AX80" i="5" s="1"/>
  <c r="AX81" i="5" s="1"/>
  <c r="AX82" i="5" s="1"/>
  <c r="AX83" i="5" s="1"/>
  <c r="AX84" i="5" s="1"/>
  <c r="AX85" i="5" s="1"/>
  <c r="AX86" i="5" s="1"/>
  <c r="AX87" i="5" s="1"/>
  <c r="AX88" i="5" s="1"/>
  <c r="AX89" i="5" s="1"/>
  <c r="AX90" i="5" s="1"/>
  <c r="AX91" i="5" s="1"/>
  <c r="AX92" i="5" s="1"/>
  <c r="AX93" i="5" s="1"/>
  <c r="AX94" i="5" s="1"/>
  <c r="AX95" i="5" s="1"/>
  <c r="AX96" i="5" s="1"/>
  <c r="AX97" i="5" s="1"/>
  <c r="AX98" i="5" s="1"/>
  <c r="AX99" i="5" s="1"/>
  <c r="AX100" i="5" s="1"/>
  <c r="AX101" i="5" s="1"/>
  <c r="AX102" i="5" s="1"/>
  <c r="AX103" i="5" s="1"/>
  <c r="AX104" i="5" s="1"/>
  <c r="AX105" i="5" s="1"/>
  <c r="AX106" i="5" s="1"/>
  <c r="AX107" i="5" s="1"/>
  <c r="AX108" i="5" s="1"/>
  <c r="AX109" i="5" s="1"/>
  <c r="AX110" i="5" s="1"/>
  <c r="AX111" i="5" s="1"/>
  <c r="AX112" i="5" s="1"/>
  <c r="AX113" i="5" s="1"/>
  <c r="AX114" i="5" s="1"/>
  <c r="AX115" i="5" s="1"/>
  <c r="AX116" i="5" s="1"/>
  <c r="AX117" i="5" s="1"/>
  <c r="AX118" i="5" s="1"/>
  <c r="AX119" i="5" s="1"/>
  <c r="AX120" i="5" s="1"/>
  <c r="AX121" i="5" s="1"/>
  <c r="AX122" i="5" s="1"/>
  <c r="AX123" i="5" s="1"/>
  <c r="AX124" i="5" s="1"/>
  <c r="AX125" i="5" s="1"/>
  <c r="AX126" i="5" s="1"/>
  <c r="AX127" i="5" s="1"/>
  <c r="AX128" i="5" s="1"/>
  <c r="AX129" i="5" s="1"/>
  <c r="AX130" i="5" s="1"/>
  <c r="AX131" i="5" s="1"/>
  <c r="AX132" i="5" s="1"/>
  <c r="AX133" i="5" s="1"/>
  <c r="AX134" i="5" s="1"/>
  <c r="AX135" i="5" s="1"/>
  <c r="J12" i="12"/>
  <c r="I13" i="12"/>
  <c r="H10" i="5"/>
  <c r="F10" i="7" s="1"/>
  <c r="D9" i="10"/>
  <c r="AP4" i="8"/>
  <c r="AR3" i="1"/>
  <c r="V3" i="1" s="1"/>
  <c r="K4" i="1" s="1"/>
  <c r="BN3" i="1"/>
  <c r="AR3" i="8"/>
  <c r="C3" i="9"/>
  <c r="DA9" i="5"/>
  <c r="C3" i="11"/>
  <c r="AJ3" i="5"/>
  <c r="V3" i="10"/>
  <c r="BK3" i="1"/>
  <c r="AN3" i="8"/>
  <c r="AC3" i="7"/>
  <c r="U3" i="2"/>
  <c r="BN13" i="5"/>
  <c r="BN14" i="5" s="1"/>
  <c r="AB10" i="1"/>
  <c r="AZ11" i="5"/>
  <c r="BK12" i="5"/>
  <c r="AD11" i="1" s="1"/>
  <c r="AD10" i="1"/>
  <c r="B10" i="5"/>
  <c r="AE9" i="1"/>
  <c r="W9" i="1" s="1"/>
  <c r="AC10" i="1"/>
  <c r="BC11" i="5"/>
  <c r="O11" i="1"/>
  <c r="DK11" i="8" s="1"/>
  <c r="DI10" i="8"/>
  <c r="DJ10" i="8"/>
  <c r="AD7" i="9"/>
  <c r="AV7" i="1" s="1"/>
  <c r="D11" i="7"/>
  <c r="F13" i="5"/>
  <c r="B13" i="10" s="1"/>
  <c r="D12" i="7"/>
  <c r="B11" i="10"/>
  <c r="E9" i="10"/>
  <c r="DB9" i="5"/>
  <c r="G9" i="7"/>
  <c r="AQ4" i="1"/>
  <c r="U4" i="1" s="1"/>
  <c r="J5" i="1" s="1"/>
  <c r="N10" i="1"/>
  <c r="Y6" i="11"/>
  <c r="AH6" i="1" s="1"/>
  <c r="Z6" i="11"/>
  <c r="AC6" i="2" s="1"/>
  <c r="AD6" i="11"/>
  <c r="AI6" i="1" s="1"/>
  <c r="AB6" i="11"/>
  <c r="P6" i="8" s="1"/>
  <c r="AC6" i="11"/>
  <c r="T6" i="8" s="1"/>
  <c r="AA6" i="11"/>
  <c r="J10" i="2"/>
  <c r="BP12" i="5"/>
  <c r="BM4" i="1"/>
  <c r="AK4" i="5"/>
  <c r="AT6" i="8"/>
  <c r="AQ6" i="8"/>
  <c r="F6" i="11"/>
  <c r="M7" i="1"/>
  <c r="AW6" i="8"/>
  <c r="D4" i="11"/>
  <c r="A12" i="2"/>
  <c r="AD12" i="8"/>
  <c r="K12" i="11"/>
  <c r="B12" i="14"/>
  <c r="A12" i="8"/>
  <c r="M12" i="5"/>
  <c r="A12" i="9"/>
  <c r="A12" i="7"/>
  <c r="J13" i="10"/>
  <c r="AJ13" i="14"/>
  <c r="CM12" i="8"/>
  <c r="D15" i="12"/>
  <c r="F14" i="12"/>
  <c r="E14" i="12" s="1"/>
  <c r="DR7" i="8"/>
  <c r="DS7" i="8"/>
  <c r="EP7" i="8"/>
  <c r="DT7" i="8"/>
  <c r="CY7" i="8"/>
  <c r="EA7" i="8" s="1"/>
  <c r="DN7" i="8"/>
  <c r="DO7" i="8"/>
  <c r="CU8" i="8"/>
  <c r="CS8" i="8"/>
  <c r="DP8" i="8" s="1"/>
  <c r="CT8" i="8"/>
  <c r="DQ8" i="8" s="1"/>
  <c r="Y10" i="1"/>
  <c r="AG6" i="7"/>
  <c r="AI6" i="7" s="1"/>
  <c r="AH6" i="7"/>
  <c r="I14" i="8"/>
  <c r="Q13" i="2"/>
  <c r="EI6" i="8"/>
  <c r="DD6" i="8"/>
  <c r="EE6" i="8" s="1"/>
  <c r="EF6" i="8" s="1"/>
  <c r="DB7" i="8"/>
  <c r="EC7" i="8" s="1"/>
  <c r="ED7" i="8" s="1"/>
  <c r="CV7" i="8"/>
  <c r="DX7" i="8" s="1"/>
  <c r="EB7" i="8" s="1"/>
  <c r="CW7" i="8"/>
  <c r="CX7" i="8"/>
  <c r="DG7" i="8"/>
  <c r="EG7" i="8" s="1"/>
  <c r="AP6" i="5"/>
  <c r="DY6" i="8"/>
  <c r="DZ6" i="8" s="1"/>
  <c r="AQ6" i="5"/>
  <c r="AU6" i="1" s="1"/>
  <c r="AE7" i="7"/>
  <c r="AF7" i="7" s="1"/>
  <c r="D8" i="9"/>
  <c r="CO7" i="8"/>
  <c r="AO7" i="5"/>
  <c r="X7" i="10"/>
  <c r="Y7" i="10" s="1"/>
  <c r="CN7" i="8"/>
  <c r="AL7" i="5"/>
  <c r="AM7" i="5"/>
  <c r="DH7" i="8"/>
  <c r="EH7" i="8" s="1"/>
  <c r="P7" i="1"/>
  <c r="D7" i="14" s="1"/>
  <c r="N7" i="11"/>
  <c r="AN7" i="5"/>
  <c r="N7" i="7"/>
  <c r="AR10" i="5"/>
  <c r="V9" i="2"/>
  <c r="A9" i="5"/>
  <c r="E9" i="5" s="1"/>
  <c r="EQ9" i="8" s="1"/>
  <c r="CZ9" i="8" s="1"/>
  <c r="DD9" i="5"/>
  <c r="G9" i="10"/>
  <c r="K10" i="5"/>
  <c r="I9" i="7"/>
  <c r="L10" i="5"/>
  <c r="H9" i="10"/>
  <c r="J9" i="7"/>
  <c r="DE9" i="5"/>
  <c r="G10" i="7"/>
  <c r="E10" i="10"/>
  <c r="I11" i="5"/>
  <c r="DB10" i="5"/>
  <c r="AA11" i="7"/>
  <c r="AE11" i="8" s="1"/>
  <c r="BC11" i="8" s="1"/>
  <c r="K11" i="10"/>
  <c r="J12" i="8"/>
  <c r="R11" i="2"/>
  <c r="H14" i="8"/>
  <c r="P13" i="2"/>
  <c r="N11" i="2"/>
  <c r="DG11" i="5"/>
  <c r="X11" i="1"/>
  <c r="C8" i="14"/>
  <c r="Q8" i="1"/>
  <c r="E8" i="14" s="1"/>
  <c r="BN8" i="8"/>
  <c r="B8" i="7"/>
  <c r="W8" i="8"/>
  <c r="A8" i="11"/>
  <c r="E8" i="1"/>
  <c r="AU8" i="5"/>
  <c r="AV8" i="5"/>
  <c r="B8" i="9"/>
  <c r="BO8" i="8"/>
  <c r="DM8" i="8" s="1"/>
  <c r="AI8" i="5"/>
  <c r="BS8" i="5"/>
  <c r="A8" i="10"/>
  <c r="AA8" i="10" s="1"/>
  <c r="AH8" i="5"/>
  <c r="AB7" i="2"/>
  <c r="EO8" i="8"/>
  <c r="DT8" i="8" s="1"/>
  <c r="AB8" i="8"/>
  <c r="DL8" i="8"/>
  <c r="CQ8" i="8"/>
  <c r="DA8" i="8" s="1"/>
  <c r="DC7" i="8"/>
  <c r="DD7" i="8"/>
  <c r="G11" i="5"/>
  <c r="C10" i="10"/>
  <c r="CZ10" i="5"/>
  <c r="E10" i="7"/>
  <c r="CY11" i="5"/>
  <c r="O12" i="2"/>
  <c r="DE12" i="8"/>
  <c r="DF12" i="8"/>
  <c r="M12" i="2"/>
  <c r="J12" i="5"/>
  <c r="H11" i="7"/>
  <c r="F11" i="10"/>
  <c r="DC11" i="5"/>
  <c r="BE11" i="5"/>
  <c r="AE10" i="1" s="1"/>
  <c r="S12" i="2"/>
  <c r="K13" i="8"/>
  <c r="DF9" i="5"/>
  <c r="AV5" i="8" l="1"/>
  <c r="AW5" i="1" s="1"/>
  <c r="L5" i="1" s="1"/>
  <c r="CA8" i="8"/>
  <c r="CH8" i="8"/>
  <c r="AF7" i="11"/>
  <c r="AE7" i="11"/>
  <c r="AC7" i="8" s="1"/>
  <c r="BT6" i="8"/>
  <c r="CG6" i="8"/>
  <c r="BZ6" i="8"/>
  <c r="BP6" i="8"/>
  <c r="CF6" i="8"/>
  <c r="BY6" i="8"/>
  <c r="BU6" i="8"/>
  <c r="BQ6" i="8"/>
  <c r="AU5" i="8"/>
  <c r="AT5" i="1" s="1"/>
  <c r="AO11" i="11"/>
  <c r="L11" i="11"/>
  <c r="E10" i="9"/>
  <c r="AG10" i="5"/>
  <c r="B10" i="2"/>
  <c r="B10" i="1"/>
  <c r="BI10" i="1" s="1"/>
  <c r="I14" i="12"/>
  <c r="J13" i="12"/>
  <c r="D10" i="10"/>
  <c r="H11" i="5"/>
  <c r="F11" i="7" s="1"/>
  <c r="DA10" i="5"/>
  <c r="AR4" i="8"/>
  <c r="AR4" i="1"/>
  <c r="V4" i="1" s="1"/>
  <c r="K5" i="1" s="1"/>
  <c r="C4" i="9"/>
  <c r="BN4" i="1"/>
  <c r="AS3" i="8"/>
  <c r="AO3" i="1"/>
  <c r="BL3" i="1"/>
  <c r="AO4" i="8"/>
  <c r="E4" i="11"/>
  <c r="AO3" i="8"/>
  <c r="E3" i="11"/>
  <c r="BO3" i="1"/>
  <c r="AZ12" i="5"/>
  <c r="AZ13" i="5" s="1"/>
  <c r="AZ14" i="5" s="1"/>
  <c r="AZ15" i="5" s="1"/>
  <c r="AB11" i="1"/>
  <c r="AF12" i="1"/>
  <c r="X12" i="1" s="1"/>
  <c r="BC12" i="5"/>
  <c r="AC11" i="1"/>
  <c r="BK13" i="5"/>
  <c r="AD12" i="1" s="1"/>
  <c r="BN15" i="5"/>
  <c r="AF13" i="1"/>
  <c r="BP13" i="5"/>
  <c r="H3" i="2"/>
  <c r="I3" i="2"/>
  <c r="O3" i="7" s="1"/>
  <c r="F3" i="2"/>
  <c r="AP3" i="1" s="1"/>
  <c r="F3" i="1"/>
  <c r="O12" i="1"/>
  <c r="DK12" i="8" s="1"/>
  <c r="DI11" i="8"/>
  <c r="DJ11" i="8"/>
  <c r="D13" i="7"/>
  <c r="AD8" i="9"/>
  <c r="AV8" i="1" s="1"/>
  <c r="F14" i="5"/>
  <c r="F15" i="5" s="1"/>
  <c r="N11" i="1"/>
  <c r="B11" i="5"/>
  <c r="BE12" i="5"/>
  <c r="Y7" i="11"/>
  <c r="AH7" i="1" s="1"/>
  <c r="AB7" i="11"/>
  <c r="P7" i="8" s="1"/>
  <c r="Z7" i="11"/>
  <c r="AC7" i="2" s="1"/>
  <c r="AC7" i="11"/>
  <c r="T7" i="8" s="1"/>
  <c r="AA7" i="11"/>
  <c r="AD7" i="11"/>
  <c r="AI7" i="1" s="1"/>
  <c r="AT7" i="8"/>
  <c r="AQ7" i="8"/>
  <c r="F7" i="11"/>
  <c r="M8" i="1"/>
  <c r="AW7" i="8"/>
  <c r="AQ5" i="1"/>
  <c r="U5" i="1" s="1"/>
  <c r="J6" i="1" s="1"/>
  <c r="AP5" i="8"/>
  <c r="A13" i="2"/>
  <c r="A13" i="8"/>
  <c r="K13" i="11"/>
  <c r="B13" i="14"/>
  <c r="M13" i="5"/>
  <c r="J14" i="10"/>
  <c r="A13" i="9"/>
  <c r="AD13" i="8"/>
  <c r="A13" i="7"/>
  <c r="CM13" i="8"/>
  <c r="AJ14" i="14"/>
  <c r="F15" i="12"/>
  <c r="E15" i="12" s="1"/>
  <c r="D16" i="12"/>
  <c r="DR8" i="8"/>
  <c r="DS8" i="8"/>
  <c r="DN8" i="8"/>
  <c r="DO8" i="8"/>
  <c r="CS9" i="8"/>
  <c r="DP9" i="8" s="1"/>
  <c r="CT9" i="8"/>
  <c r="DQ9" i="8" s="1"/>
  <c r="CU9" i="8"/>
  <c r="J11" i="2"/>
  <c r="Y11" i="1"/>
  <c r="AG7" i="7"/>
  <c r="AI7" i="7" s="1"/>
  <c r="AH7" i="7"/>
  <c r="I15" i="8"/>
  <c r="Q14" i="2"/>
  <c r="BM5" i="1"/>
  <c r="AK5" i="5"/>
  <c r="D5" i="11"/>
  <c r="EI7" i="8"/>
  <c r="DY7" i="8"/>
  <c r="DZ7" i="8" s="1"/>
  <c r="DL9" i="8"/>
  <c r="D9" i="9"/>
  <c r="AQ7" i="5"/>
  <c r="AU7" i="1" s="1"/>
  <c r="A9" i="10"/>
  <c r="AA9" i="10" s="1"/>
  <c r="AP7" i="5"/>
  <c r="AH9" i="5"/>
  <c r="AC9" i="10" s="1"/>
  <c r="E9" i="1"/>
  <c r="AB8" i="2"/>
  <c r="V10" i="2"/>
  <c r="H12" i="5"/>
  <c r="D11" i="10"/>
  <c r="AR11" i="5"/>
  <c r="A10" i="5"/>
  <c r="E10" i="5" s="1"/>
  <c r="EQ10" i="8" s="1"/>
  <c r="CZ10" i="8" s="1"/>
  <c r="AB9" i="8"/>
  <c r="Q9" i="1"/>
  <c r="E9" i="14" s="1"/>
  <c r="B9" i="9"/>
  <c r="A9" i="11"/>
  <c r="AV9" i="5"/>
  <c r="EO9" i="8"/>
  <c r="W9" i="8"/>
  <c r="BO9" i="8"/>
  <c r="DM9" i="8" s="1"/>
  <c r="CQ9" i="8"/>
  <c r="DA9" i="8" s="1"/>
  <c r="B9" i="7"/>
  <c r="AE9" i="7" s="1"/>
  <c r="AF9" i="7" s="1"/>
  <c r="AI9" i="5"/>
  <c r="AU9" i="5"/>
  <c r="BN9" i="8"/>
  <c r="C9" i="14"/>
  <c r="BS9" i="5"/>
  <c r="DD10" i="5"/>
  <c r="K11" i="5"/>
  <c r="I10" i="7"/>
  <c r="G10" i="10"/>
  <c r="DE10" i="5"/>
  <c r="J10" i="7"/>
  <c r="L11" i="5"/>
  <c r="H10" i="10"/>
  <c r="G11" i="7"/>
  <c r="E11" i="10"/>
  <c r="I12" i="5"/>
  <c r="DB11" i="5"/>
  <c r="P8" i="1"/>
  <c r="F12" i="10"/>
  <c r="J13" i="5"/>
  <c r="H12" i="7"/>
  <c r="DC12" i="5"/>
  <c r="M13" i="2"/>
  <c r="DF13" i="8"/>
  <c r="N12" i="2"/>
  <c r="AM8" i="5"/>
  <c r="AC8" i="10"/>
  <c r="X8" i="10" s="1"/>
  <c r="Y8" i="10" s="1"/>
  <c r="AO8" i="5"/>
  <c r="AL8" i="5"/>
  <c r="DH8" i="8"/>
  <c r="EH8" i="8" s="1"/>
  <c r="EP8" i="8"/>
  <c r="J13" i="8"/>
  <c r="R12" i="2"/>
  <c r="O13" i="2"/>
  <c r="DE13" i="8"/>
  <c r="N8" i="7"/>
  <c r="CN8" i="8"/>
  <c r="CO8" i="8"/>
  <c r="CR8" i="8"/>
  <c r="P14" i="2"/>
  <c r="H15" i="8"/>
  <c r="S13" i="2"/>
  <c r="K14" i="8"/>
  <c r="Q8" i="7"/>
  <c r="AE8" i="7"/>
  <c r="AF8" i="7" s="1"/>
  <c r="G12" i="5"/>
  <c r="C11" i="10"/>
  <c r="E11" i="7"/>
  <c r="CZ11" i="5"/>
  <c r="W10" i="1"/>
  <c r="DA11" i="5"/>
  <c r="CV8" i="8"/>
  <c r="DX8" i="8" s="1"/>
  <c r="DG8" i="8"/>
  <c r="EG8" i="8" s="1"/>
  <c r="DB8" i="8"/>
  <c r="EC8" i="8" s="1"/>
  <c r="ED8" i="8" s="1"/>
  <c r="CX8" i="8"/>
  <c r="CW8" i="8"/>
  <c r="CY8" i="8"/>
  <c r="EA8" i="8" s="1"/>
  <c r="DG12" i="5"/>
  <c r="AN8" i="5"/>
  <c r="N8" i="11"/>
  <c r="AA12" i="7"/>
  <c r="AE12" i="8" s="1"/>
  <c r="BC12" i="8" s="1"/>
  <c r="K12" i="10"/>
  <c r="EE7" i="8"/>
  <c r="EF7" i="8" s="1"/>
  <c r="DF10" i="5"/>
  <c r="BU7" i="8" l="1"/>
  <c r="BY7" i="8"/>
  <c r="CG7" i="8"/>
  <c r="BP7" i="8"/>
  <c r="CF7" i="8"/>
  <c r="BQ7" i="8"/>
  <c r="BT7" i="8"/>
  <c r="BZ7" i="8"/>
  <c r="AV6" i="8"/>
  <c r="AW6" i="1" s="1"/>
  <c r="L6" i="1" s="1"/>
  <c r="AO6" i="8" s="1"/>
  <c r="AU6" i="8"/>
  <c r="AT6" i="1" s="1"/>
  <c r="AE8" i="11"/>
  <c r="AC8" i="8" s="1"/>
  <c r="AF8" i="11"/>
  <c r="CA9" i="8"/>
  <c r="CH9" i="8"/>
  <c r="AO12" i="11"/>
  <c r="L12" i="11"/>
  <c r="E11" i="9"/>
  <c r="AG11" i="5"/>
  <c r="B11" i="1"/>
  <c r="BI11" i="1" s="1"/>
  <c r="B11" i="2"/>
  <c r="J14" i="12"/>
  <c r="I15" i="12"/>
  <c r="B14" i="10"/>
  <c r="AR5" i="8"/>
  <c r="BN5" i="1"/>
  <c r="AR5" i="1"/>
  <c r="V5" i="1" s="1"/>
  <c r="K6" i="1" s="1"/>
  <c r="C5" i="9"/>
  <c r="T3" i="1"/>
  <c r="AO5" i="8"/>
  <c r="BO5" i="1"/>
  <c r="E5" i="11"/>
  <c r="CY12" i="5"/>
  <c r="BK14" i="5"/>
  <c r="AD13" i="1" s="1"/>
  <c r="AC12" i="1"/>
  <c r="BC13" i="5"/>
  <c r="AB12" i="1"/>
  <c r="BP14" i="5"/>
  <c r="AB13" i="1"/>
  <c r="BE13" i="5"/>
  <c r="AE11" i="1"/>
  <c r="W11" i="1" s="1"/>
  <c r="BN16" i="5"/>
  <c r="AF14" i="1"/>
  <c r="AZ16" i="5"/>
  <c r="AA3" i="1"/>
  <c r="S3" i="1" s="1"/>
  <c r="H4" i="1" s="1"/>
  <c r="I3" i="11"/>
  <c r="J3" i="11"/>
  <c r="F3" i="9" s="1"/>
  <c r="G3" i="2"/>
  <c r="Z3" i="2" s="1"/>
  <c r="Z4" i="8" s="1"/>
  <c r="O13" i="1"/>
  <c r="DK13" i="8" s="1"/>
  <c r="DJ12" i="8"/>
  <c r="DI12" i="8"/>
  <c r="AD9" i="9"/>
  <c r="AV9" i="1" s="1"/>
  <c r="D14" i="7"/>
  <c r="N12" i="1"/>
  <c r="AM9" i="5"/>
  <c r="J12" i="2"/>
  <c r="AB8" i="11"/>
  <c r="P8" i="8" s="1"/>
  <c r="AA8" i="11"/>
  <c r="AC8" i="11"/>
  <c r="T8" i="8" s="1"/>
  <c r="Z8" i="11"/>
  <c r="AC8" i="2" s="1"/>
  <c r="AD8" i="11"/>
  <c r="AI8" i="1" s="1"/>
  <c r="Y8" i="11"/>
  <c r="AH8" i="1" s="1"/>
  <c r="AT8" i="8"/>
  <c r="AQ8" i="8"/>
  <c r="F8" i="11"/>
  <c r="M9" i="1"/>
  <c r="AW8" i="8"/>
  <c r="AK6" i="5"/>
  <c r="AP6" i="8"/>
  <c r="CM14" i="8"/>
  <c r="AJ15" i="14"/>
  <c r="F16" i="12"/>
  <c r="E16" i="12" s="1"/>
  <c r="D17" i="12"/>
  <c r="F17" i="12" s="1"/>
  <c r="E17" i="12" s="1"/>
  <c r="A14" i="2"/>
  <c r="A14" i="7"/>
  <c r="K14" i="11"/>
  <c r="AD14" i="8"/>
  <c r="M14" i="5"/>
  <c r="J15" i="10"/>
  <c r="A14" i="8"/>
  <c r="B14" i="14"/>
  <c r="A14" i="9"/>
  <c r="EP9" i="8"/>
  <c r="DT9" i="8"/>
  <c r="DR9" i="8"/>
  <c r="DS9" i="8"/>
  <c r="DG9" i="8"/>
  <c r="EG9" i="8" s="1"/>
  <c r="DN9" i="8"/>
  <c r="DO9" i="8"/>
  <c r="CS10" i="8"/>
  <c r="DP10" i="8" s="1"/>
  <c r="CT10" i="8"/>
  <c r="DQ10" i="8" s="1"/>
  <c r="CU10" i="8"/>
  <c r="Y12" i="1"/>
  <c r="B12" i="5"/>
  <c r="Q15" i="2"/>
  <c r="I16" i="8"/>
  <c r="BM6" i="1"/>
  <c r="DL10" i="8"/>
  <c r="D6" i="11"/>
  <c r="AQ6" i="1"/>
  <c r="U6" i="1" s="1"/>
  <c r="J7" i="1" s="1"/>
  <c r="D10" i="9"/>
  <c r="X9" i="10"/>
  <c r="Y9" i="10" s="1"/>
  <c r="CR9" i="8"/>
  <c r="DD9" i="8" s="1"/>
  <c r="CO9" i="8"/>
  <c r="CN9" i="8"/>
  <c r="AL9" i="5"/>
  <c r="N9" i="11"/>
  <c r="AO9" i="5"/>
  <c r="CX9" i="8"/>
  <c r="W10" i="8"/>
  <c r="AN9" i="5"/>
  <c r="EI8" i="8"/>
  <c r="AV10" i="5"/>
  <c r="DH9" i="8"/>
  <c r="EH9" i="8" s="1"/>
  <c r="H13" i="5"/>
  <c r="F12" i="7"/>
  <c r="D12" i="10"/>
  <c r="BS10" i="5"/>
  <c r="E10" i="1"/>
  <c r="B10" i="7"/>
  <c r="Q10" i="7" s="1"/>
  <c r="AB9" i="2"/>
  <c r="BO10" i="8"/>
  <c r="DM10" i="8" s="1"/>
  <c r="C10" i="14"/>
  <c r="Q10" i="1"/>
  <c r="E10" i="14" s="1"/>
  <c r="AU10" i="5"/>
  <c r="BN10" i="8"/>
  <c r="A10" i="11"/>
  <c r="CQ10" i="8"/>
  <c r="DA10" i="8" s="1"/>
  <c r="A11" i="5"/>
  <c r="E11" i="5" s="1"/>
  <c r="EQ11" i="8" s="1"/>
  <c r="CZ11" i="8" s="1"/>
  <c r="AB10" i="8"/>
  <c r="AH10" i="5"/>
  <c r="AC10" i="10" s="1"/>
  <c r="B10" i="9"/>
  <c r="EO10" i="8"/>
  <c r="A10" i="10"/>
  <c r="AA10" i="10" s="1"/>
  <c r="AI10" i="5"/>
  <c r="CW9" i="8"/>
  <c r="V11" i="2"/>
  <c r="AR12" i="5"/>
  <c r="DB9" i="8"/>
  <c r="EC9" i="8" s="1"/>
  <c r="ED9" i="8" s="1"/>
  <c r="N9" i="7"/>
  <c r="Q9" i="7"/>
  <c r="CY9" i="8"/>
  <c r="EA9" i="8" s="1"/>
  <c r="P9" i="1"/>
  <c r="CV9" i="8"/>
  <c r="DX9" i="8" s="1"/>
  <c r="EB9" i="8" s="1"/>
  <c r="DD11" i="5"/>
  <c r="K12" i="5"/>
  <c r="G11" i="10"/>
  <c r="I11" i="7"/>
  <c r="L12" i="5"/>
  <c r="DE11" i="5"/>
  <c r="J11" i="7"/>
  <c r="H11" i="10"/>
  <c r="E12" i="10"/>
  <c r="I13" i="5"/>
  <c r="G12" i="7"/>
  <c r="DB12" i="5"/>
  <c r="AQ8" i="5"/>
  <c r="AU8" i="1" s="1"/>
  <c r="D8" i="14"/>
  <c r="AP8" i="5"/>
  <c r="DC8" i="8"/>
  <c r="DD8" i="8"/>
  <c r="M14" i="2"/>
  <c r="DF14" i="8"/>
  <c r="DA12" i="5"/>
  <c r="AH8" i="7"/>
  <c r="AG8" i="7"/>
  <c r="AI8" i="7" s="1"/>
  <c r="R13" i="2"/>
  <c r="J14" i="8"/>
  <c r="F16" i="5"/>
  <c r="B15" i="10"/>
  <c r="D15" i="7"/>
  <c r="DY8" i="8"/>
  <c r="DZ8" i="8" s="1"/>
  <c r="C12" i="10"/>
  <c r="CZ12" i="5"/>
  <c r="E12" i="7"/>
  <c r="G13" i="5"/>
  <c r="DE14" i="8"/>
  <c r="O14" i="2"/>
  <c r="AH9" i="7"/>
  <c r="AG9" i="7"/>
  <c r="AI9" i="7" s="1"/>
  <c r="K13" i="10"/>
  <c r="AA13" i="7"/>
  <c r="AE13" i="8" s="1"/>
  <c r="BC13" i="8" s="1"/>
  <c r="CY13" i="5"/>
  <c r="F13" i="10"/>
  <c r="H13" i="7"/>
  <c r="J14" i="5"/>
  <c r="DC13" i="5"/>
  <c r="X13" i="1"/>
  <c r="P15" i="2"/>
  <c r="H16" i="8"/>
  <c r="N13" i="2"/>
  <c r="S14" i="2"/>
  <c r="K15" i="8"/>
  <c r="DG13" i="5"/>
  <c r="EB8" i="8"/>
  <c r="DF11" i="5"/>
  <c r="BO6" i="1" l="1"/>
  <c r="E6" i="11"/>
  <c r="CA10" i="8"/>
  <c r="CH10" i="8"/>
  <c r="BP8" i="8"/>
  <c r="BZ8" i="8"/>
  <c r="BT8" i="8"/>
  <c r="BU8" i="8"/>
  <c r="BQ8" i="8"/>
  <c r="CF8" i="8"/>
  <c r="BY8" i="8"/>
  <c r="CG8" i="8"/>
  <c r="AV7" i="8"/>
  <c r="AW7" i="1" s="1"/>
  <c r="L7" i="1" s="1"/>
  <c r="AE9" i="11"/>
  <c r="AC9" i="8" s="1"/>
  <c r="AF9" i="11"/>
  <c r="AU7" i="8"/>
  <c r="AT7" i="1" s="1"/>
  <c r="AO13" i="11"/>
  <c r="L13" i="11"/>
  <c r="E12" i="9"/>
  <c r="AG12" i="5"/>
  <c r="B12" i="1"/>
  <c r="BI12" i="1" s="1"/>
  <c r="B12" i="2"/>
  <c r="B13" i="5"/>
  <c r="J15" i="12"/>
  <c r="I16" i="12"/>
  <c r="I4" i="1"/>
  <c r="AO4" i="1" s="1"/>
  <c r="AR6" i="8"/>
  <c r="BN6" i="1"/>
  <c r="AR6" i="1"/>
  <c r="V6" i="1" s="1"/>
  <c r="K7" i="1" s="1"/>
  <c r="C6" i="9"/>
  <c r="J13" i="2"/>
  <c r="BK15" i="5"/>
  <c r="BK16" i="5" s="1"/>
  <c r="AC13" i="1"/>
  <c r="BC14" i="5"/>
  <c r="C3" i="8"/>
  <c r="AZ17" i="5"/>
  <c r="BP15" i="5"/>
  <c r="AB14" i="1"/>
  <c r="BE14" i="5"/>
  <c r="AE12" i="1"/>
  <c r="W12" i="1" s="1"/>
  <c r="Y3" i="2"/>
  <c r="X3" i="2" s="1"/>
  <c r="BN17" i="5"/>
  <c r="AF15" i="1"/>
  <c r="P3" i="7"/>
  <c r="O14" i="1"/>
  <c r="DK14" i="8" s="1"/>
  <c r="DI13" i="8"/>
  <c r="DJ13" i="8"/>
  <c r="AD10" i="9"/>
  <c r="AV10" i="1" s="1"/>
  <c r="N13" i="1"/>
  <c r="AQ9" i="5"/>
  <c r="AU9" i="1" s="1"/>
  <c r="Y9" i="11"/>
  <c r="AH9" i="1" s="1"/>
  <c r="AB9" i="11"/>
  <c r="P9" i="8" s="1"/>
  <c r="AA9" i="11"/>
  <c r="Z9" i="11"/>
  <c r="AC9" i="2" s="1"/>
  <c r="AC9" i="11"/>
  <c r="T9" i="8" s="1"/>
  <c r="AD9" i="11"/>
  <c r="AI9" i="1" s="1"/>
  <c r="AT9" i="8"/>
  <c r="AQ9" i="8"/>
  <c r="F9" i="11"/>
  <c r="M10" i="1"/>
  <c r="AW9" i="8"/>
  <c r="AK7" i="5"/>
  <c r="AP7" i="8"/>
  <c r="AJ16" i="14"/>
  <c r="CM15" i="8"/>
  <c r="A15" i="2"/>
  <c r="A15" i="7"/>
  <c r="B15" i="14"/>
  <c r="J16" i="10"/>
  <c r="K15" i="11"/>
  <c r="A15" i="8"/>
  <c r="M15" i="5"/>
  <c r="A15" i="9"/>
  <c r="AD15" i="8"/>
  <c r="EP10" i="8"/>
  <c r="DT10" i="8"/>
  <c r="DS10" i="8"/>
  <c r="DR10" i="8"/>
  <c r="EI9" i="8"/>
  <c r="CY10" i="8"/>
  <c r="EA10" i="8" s="1"/>
  <c r="DN10" i="8"/>
  <c r="DO10" i="8"/>
  <c r="CT11" i="8"/>
  <c r="DQ11" i="8" s="1"/>
  <c r="CU11" i="8"/>
  <c r="CS11" i="8"/>
  <c r="DP11" i="8" s="1"/>
  <c r="DB10" i="8"/>
  <c r="EC10" i="8" s="1"/>
  <c r="ED10" i="8" s="1"/>
  <c r="Y13" i="1"/>
  <c r="B4" i="8"/>
  <c r="D4" i="2" s="1"/>
  <c r="E4" i="2"/>
  <c r="L4" i="2"/>
  <c r="H4" i="11"/>
  <c r="AB4" i="7"/>
  <c r="BD4" i="8"/>
  <c r="Q16" i="2"/>
  <c r="I17" i="8"/>
  <c r="CQ11" i="8"/>
  <c r="DA11" i="8" s="1"/>
  <c r="D11" i="9"/>
  <c r="BM7" i="1"/>
  <c r="D7" i="11"/>
  <c r="AQ7" i="1"/>
  <c r="U7" i="1" s="1"/>
  <c r="J8" i="1" s="1"/>
  <c r="DC9" i="8"/>
  <c r="EE9" i="8" s="1"/>
  <c r="EF9" i="8" s="1"/>
  <c r="B11" i="7"/>
  <c r="Q11" i="7" s="1"/>
  <c r="AP9" i="5"/>
  <c r="DY9" i="8"/>
  <c r="DZ9" i="8" s="1"/>
  <c r="AH11" i="5"/>
  <c r="AC11" i="10" s="1"/>
  <c r="Q11" i="1"/>
  <c r="E11" i="14" s="1"/>
  <c r="N10" i="11"/>
  <c r="AV11" i="5"/>
  <c r="AO10" i="5"/>
  <c r="CX10" i="8"/>
  <c r="N10" i="7"/>
  <c r="AM10" i="5"/>
  <c r="V12" i="2"/>
  <c r="AN10" i="5"/>
  <c r="C11" i="14"/>
  <c r="AU11" i="5"/>
  <c r="D13" i="10"/>
  <c r="F13" i="7"/>
  <c r="H14" i="5"/>
  <c r="A11" i="10"/>
  <c r="AA11" i="10" s="1"/>
  <c r="DL11" i="8"/>
  <c r="AE10" i="7"/>
  <c r="AF10" i="7" s="1"/>
  <c r="AL10" i="5"/>
  <c r="BO11" i="8"/>
  <c r="DM11" i="8" s="1"/>
  <c r="W11" i="8"/>
  <c r="A11" i="11"/>
  <c r="E11" i="1"/>
  <c r="AB11" i="8"/>
  <c r="BS11" i="5"/>
  <c r="AI11" i="5"/>
  <c r="CW10" i="8"/>
  <c r="P10" i="1"/>
  <c r="AB10" i="2"/>
  <c r="EO11" i="8"/>
  <c r="BN11" i="8"/>
  <c r="B11" i="9"/>
  <c r="CV10" i="8"/>
  <c r="DX10" i="8" s="1"/>
  <c r="EB10" i="8" s="1"/>
  <c r="DH10" i="8"/>
  <c r="EH10" i="8" s="1"/>
  <c r="CO10" i="8"/>
  <c r="X10" i="10"/>
  <c r="Y10" i="10" s="1"/>
  <c r="CN10" i="8"/>
  <c r="CR10" i="8"/>
  <c r="DC10" i="8" s="1"/>
  <c r="D9" i="14"/>
  <c r="DG10" i="8"/>
  <c r="EG10" i="8" s="1"/>
  <c r="AR13" i="5"/>
  <c r="A12" i="5"/>
  <c r="E12" i="5" s="1"/>
  <c r="EQ12" i="8" s="1"/>
  <c r="CZ12" i="8" s="1"/>
  <c r="G12" i="10"/>
  <c r="K13" i="5"/>
  <c r="DD12" i="5"/>
  <c r="I12" i="7"/>
  <c r="L13" i="5"/>
  <c r="J12" i="7"/>
  <c r="H12" i="10"/>
  <c r="DE12" i="5"/>
  <c r="I14" i="5"/>
  <c r="E13" i="10"/>
  <c r="DB13" i="5"/>
  <c r="G13" i="7"/>
  <c r="X14" i="1"/>
  <c r="S15" i="2"/>
  <c r="K16" i="8"/>
  <c r="DA13" i="5"/>
  <c r="CY14" i="5"/>
  <c r="DF15" i="8"/>
  <c r="M15" i="2"/>
  <c r="N14" i="2"/>
  <c r="R14" i="2"/>
  <c r="J15" i="8"/>
  <c r="H14" i="7"/>
  <c r="J15" i="5"/>
  <c r="F14" i="10"/>
  <c r="DC14" i="5"/>
  <c r="CZ13" i="5"/>
  <c r="G14" i="5"/>
  <c r="E13" i="7"/>
  <c r="C13" i="10"/>
  <c r="B16" i="10"/>
  <c r="F17" i="5"/>
  <c r="D16" i="7"/>
  <c r="DG14" i="5"/>
  <c r="P16" i="2"/>
  <c r="H17" i="8"/>
  <c r="AA14" i="7"/>
  <c r="AE14" i="8" s="1"/>
  <c r="BC14" i="8" s="1"/>
  <c r="K14" i="10"/>
  <c r="O15" i="2"/>
  <c r="DE15" i="8"/>
  <c r="EE8" i="8"/>
  <c r="EF8" i="8" s="1"/>
  <c r="DF12" i="5"/>
  <c r="BT9" i="8" l="1"/>
  <c r="BZ9" i="8"/>
  <c r="BY9" i="8"/>
  <c r="BU9" i="8"/>
  <c r="BQ9" i="8"/>
  <c r="CG9" i="8"/>
  <c r="CF9" i="8"/>
  <c r="BP9" i="8"/>
  <c r="CA11" i="8"/>
  <c r="CH11" i="8"/>
  <c r="AF10" i="11"/>
  <c r="AE10" i="11"/>
  <c r="AC10" i="8" s="1"/>
  <c r="E7" i="11"/>
  <c r="BO7" i="1"/>
  <c r="AO7" i="8"/>
  <c r="AV8" i="8"/>
  <c r="AW8" i="1" s="1"/>
  <c r="L8" i="1" s="1"/>
  <c r="AU8" i="8"/>
  <c r="AT8" i="1" s="1"/>
  <c r="AO14" i="11"/>
  <c r="L14" i="11"/>
  <c r="E13" i="9"/>
  <c r="AG13" i="5"/>
  <c r="B13" i="1"/>
  <c r="BI13" i="1" s="1"/>
  <c r="B13" i="2"/>
  <c r="I17" i="12"/>
  <c r="J17" i="12" s="1"/>
  <c r="J16" i="12"/>
  <c r="AS4" i="8"/>
  <c r="BL4" i="1"/>
  <c r="AR7" i="1"/>
  <c r="V7" i="1" s="1"/>
  <c r="K8" i="1" s="1"/>
  <c r="C7" i="9"/>
  <c r="BN7" i="1"/>
  <c r="AR7" i="8"/>
  <c r="AD14" i="1"/>
  <c r="J14" i="2"/>
  <c r="AC14" i="1"/>
  <c r="BC15" i="5"/>
  <c r="B14" i="5"/>
  <c r="BE15" i="5"/>
  <c r="AE13" i="1"/>
  <c r="W13" i="1" s="1"/>
  <c r="AZ18" i="5"/>
  <c r="BP16" i="5"/>
  <c r="AB15" i="1"/>
  <c r="BN18" i="5"/>
  <c r="AF16" i="1"/>
  <c r="BK17" i="5"/>
  <c r="AD15" i="1"/>
  <c r="O15" i="1"/>
  <c r="DK15" i="8" s="1"/>
  <c r="DI14" i="8"/>
  <c r="DJ14" i="8"/>
  <c r="AD11" i="9"/>
  <c r="AV11" i="1" s="1"/>
  <c r="N14" i="1"/>
  <c r="Y10" i="11"/>
  <c r="AH10" i="1" s="1"/>
  <c r="AC10" i="11"/>
  <c r="T10" i="8" s="1"/>
  <c r="AD10" i="11"/>
  <c r="AI10" i="1" s="1"/>
  <c r="AA10" i="11"/>
  <c r="Z10" i="11"/>
  <c r="AC10" i="2" s="1"/>
  <c r="AB10" i="11"/>
  <c r="P10" i="8" s="1"/>
  <c r="AT10" i="8"/>
  <c r="AQ10" i="8"/>
  <c r="F10" i="11"/>
  <c r="M11" i="1"/>
  <c r="AW10" i="8"/>
  <c r="AQ8" i="1"/>
  <c r="U8" i="1" s="1"/>
  <c r="J9" i="1" s="1"/>
  <c r="AP8" i="8"/>
  <c r="N11" i="7"/>
  <c r="AJ17" i="14"/>
  <c r="CM16" i="8"/>
  <c r="A16" i="2"/>
  <c r="A16" i="8"/>
  <c r="A16" i="9"/>
  <c r="B16" i="14"/>
  <c r="AD16" i="8"/>
  <c r="K16" i="11"/>
  <c r="J17" i="10"/>
  <c r="M16" i="5"/>
  <c r="A16" i="7"/>
  <c r="DR11" i="8"/>
  <c r="DS11" i="8"/>
  <c r="EP11" i="8"/>
  <c r="DT11" i="8"/>
  <c r="DB11" i="8"/>
  <c r="EC11" i="8" s="1"/>
  <c r="ED11" i="8" s="1"/>
  <c r="DN11" i="8"/>
  <c r="DO11" i="8"/>
  <c r="CS12" i="8"/>
  <c r="DP12" i="8" s="1"/>
  <c r="CT12" i="8"/>
  <c r="DQ12" i="8" s="1"/>
  <c r="CU12" i="8"/>
  <c r="Y14" i="1"/>
  <c r="AG10" i="7"/>
  <c r="AI10" i="7" s="1"/>
  <c r="U4" i="2"/>
  <c r="W3" i="2" s="1"/>
  <c r="C4" i="2" s="1"/>
  <c r="C4" i="11" s="1"/>
  <c r="Q17" i="2"/>
  <c r="I18" i="8"/>
  <c r="AE11" i="7"/>
  <c r="AF11" i="7" s="1"/>
  <c r="CX11" i="8"/>
  <c r="CV11" i="8"/>
  <c r="DX11" i="8" s="1"/>
  <c r="EB11" i="8" s="1"/>
  <c r="DG11" i="8"/>
  <c r="EG11" i="8" s="1"/>
  <c r="CW11" i="8"/>
  <c r="CY11" i="8"/>
  <c r="EA11" i="8" s="1"/>
  <c r="CQ12" i="8"/>
  <c r="DA12" i="8" s="1"/>
  <c r="D12" i="9"/>
  <c r="EI10" i="8"/>
  <c r="AL11" i="5"/>
  <c r="AM11" i="5"/>
  <c r="AO11" i="5"/>
  <c r="DD10" i="8"/>
  <c r="EE10" i="8" s="1"/>
  <c r="EF10" i="8" s="1"/>
  <c r="P11" i="1"/>
  <c r="D11" i="14" s="1"/>
  <c r="N11" i="11"/>
  <c r="D10" i="14"/>
  <c r="AP10" i="5"/>
  <c r="AQ10" i="5"/>
  <c r="AU10" i="1" s="1"/>
  <c r="A13" i="5"/>
  <c r="E13" i="5" s="1"/>
  <c r="EQ13" i="8" s="1"/>
  <c r="CZ13" i="8" s="1"/>
  <c r="AN11" i="5"/>
  <c r="DH11" i="8"/>
  <c r="EH11" i="8" s="1"/>
  <c r="DY10" i="8"/>
  <c r="DZ10" i="8" s="1"/>
  <c r="CN11" i="8"/>
  <c r="CO11" i="8"/>
  <c r="AH10" i="7"/>
  <c r="CR11" i="8"/>
  <c r="DC11" i="8" s="1"/>
  <c r="D8" i="11"/>
  <c r="BM8" i="1"/>
  <c r="AK8" i="5"/>
  <c r="A12" i="11"/>
  <c r="F14" i="7"/>
  <c r="D14" i="10"/>
  <c r="H15" i="5"/>
  <c r="X11" i="10"/>
  <c r="Y11" i="10" s="1"/>
  <c r="AR14" i="5"/>
  <c r="V13" i="2"/>
  <c r="BN12" i="8"/>
  <c r="EO12" i="8"/>
  <c r="Q12" i="1"/>
  <c r="E12" i="14" s="1"/>
  <c r="E12" i="1"/>
  <c r="AV12" i="5"/>
  <c r="B12" i="9"/>
  <c r="B12" i="7"/>
  <c r="Q12" i="7" s="1"/>
  <c r="C12" i="14"/>
  <c r="BO12" i="8"/>
  <c r="DM12" i="8" s="1"/>
  <c r="AI12" i="5"/>
  <c r="AH12" i="5"/>
  <c r="BS12" i="5"/>
  <c r="AB11" i="2"/>
  <c r="W12" i="8"/>
  <c r="DL12" i="8"/>
  <c r="AB12" i="8"/>
  <c r="A12" i="10"/>
  <c r="AA12" i="10" s="1"/>
  <c r="AU12" i="5"/>
  <c r="DD13" i="5"/>
  <c r="I13" i="7"/>
  <c r="K14" i="5"/>
  <c r="G13" i="10"/>
  <c r="DE13" i="5"/>
  <c r="H13" i="10"/>
  <c r="J13" i="7"/>
  <c r="L14" i="5"/>
  <c r="DB14" i="5"/>
  <c r="I15" i="5"/>
  <c r="G14" i="7"/>
  <c r="E14" i="10"/>
  <c r="CY15" i="5"/>
  <c r="DG15" i="5"/>
  <c r="DE16" i="8"/>
  <c r="O16" i="2"/>
  <c r="H15" i="7"/>
  <c r="J16" i="5"/>
  <c r="DC15" i="5"/>
  <c r="F15" i="10"/>
  <c r="AA15" i="7"/>
  <c r="AE15" i="8" s="1"/>
  <c r="BC15" i="8" s="1"/>
  <c r="K15" i="10"/>
  <c r="R15" i="2"/>
  <c r="J16" i="8"/>
  <c r="N15" i="2"/>
  <c r="CZ14" i="5"/>
  <c r="C14" i="10"/>
  <c r="E14" i="7"/>
  <c r="G15" i="5"/>
  <c r="M16" i="2"/>
  <c r="DF16" i="8"/>
  <c r="J15" i="2"/>
  <c r="DA14" i="5"/>
  <c r="X15" i="1"/>
  <c r="P17" i="2"/>
  <c r="H18" i="8"/>
  <c r="B17" i="10"/>
  <c r="F18" i="5"/>
  <c r="D17" i="7"/>
  <c r="K17" i="8"/>
  <c r="S16" i="2"/>
  <c r="E18" i="4"/>
  <c r="DF13" i="5"/>
  <c r="AF11" i="11" l="1"/>
  <c r="AE11" i="11"/>
  <c r="AC11" i="8" s="1"/>
  <c r="AV9" i="8"/>
  <c r="AW9" i="1" s="1"/>
  <c r="L9" i="1" s="1"/>
  <c r="BT10" i="8"/>
  <c r="CG10" i="8"/>
  <c r="BU10" i="8"/>
  <c r="BP10" i="8"/>
  <c r="CF10" i="8"/>
  <c r="BZ10" i="8"/>
  <c r="BQ10" i="8"/>
  <c r="BY10" i="8"/>
  <c r="CA12" i="8"/>
  <c r="CH12" i="8"/>
  <c r="BO8" i="1"/>
  <c r="AO8" i="8"/>
  <c r="E8" i="11"/>
  <c r="AU9" i="8"/>
  <c r="AT9" i="1" s="1"/>
  <c r="AO15" i="11"/>
  <c r="L15" i="11"/>
  <c r="E14" i="9"/>
  <c r="AG14" i="5"/>
  <c r="B14" i="2"/>
  <c r="B14" i="1"/>
  <c r="BI14" i="1" s="1"/>
  <c r="AP9" i="8"/>
  <c r="AR8" i="8"/>
  <c r="BN8" i="1"/>
  <c r="AR8" i="1"/>
  <c r="V8" i="1" s="1"/>
  <c r="K9" i="1" s="1"/>
  <c r="C8" i="9"/>
  <c r="AN4" i="8"/>
  <c r="BK4" i="1"/>
  <c r="AJ4" i="5"/>
  <c r="AC4" i="7"/>
  <c r="V4" i="10"/>
  <c r="AC15" i="1"/>
  <c r="BC16" i="5"/>
  <c r="BK18" i="5"/>
  <c r="AD16" i="1"/>
  <c r="BE16" i="5"/>
  <c r="AE14" i="1"/>
  <c r="W14" i="1" s="1"/>
  <c r="AZ19" i="5"/>
  <c r="BP17" i="5"/>
  <c r="AB16" i="1"/>
  <c r="BN19" i="5"/>
  <c r="AF17" i="1"/>
  <c r="H4" i="2"/>
  <c r="O16" i="1"/>
  <c r="DK16" i="8" s="1"/>
  <c r="DI15" i="8"/>
  <c r="DJ15" i="8"/>
  <c r="AD12" i="9"/>
  <c r="AV12" i="1" s="1"/>
  <c r="N15" i="1"/>
  <c r="AD11" i="11"/>
  <c r="AI11" i="1" s="1"/>
  <c r="AC11" i="11"/>
  <c r="T11" i="8" s="1"/>
  <c r="AB11" i="11"/>
  <c r="P11" i="8" s="1"/>
  <c r="Z11" i="11"/>
  <c r="AC11" i="2" s="1"/>
  <c r="Y11" i="11"/>
  <c r="AH11" i="1" s="1"/>
  <c r="AA11" i="11"/>
  <c r="AT11" i="8"/>
  <c r="AQ11" i="8"/>
  <c r="M12" i="1"/>
  <c r="F11" i="11"/>
  <c r="AW11" i="8"/>
  <c r="BM9" i="1"/>
  <c r="D9" i="11"/>
  <c r="AQ9" i="1"/>
  <c r="U9" i="1" s="1"/>
  <c r="J10" i="1" s="1"/>
  <c r="AK9" i="5"/>
  <c r="CM17" i="8"/>
  <c r="AJ18" i="14"/>
  <c r="A17" i="2"/>
  <c r="M17" i="5"/>
  <c r="A17" i="9"/>
  <c r="A17" i="7"/>
  <c r="B17" i="14"/>
  <c r="K17" i="11"/>
  <c r="J18" i="10"/>
  <c r="AD17" i="8"/>
  <c r="A17" i="8"/>
  <c r="DR12" i="8"/>
  <c r="DS12" i="8"/>
  <c r="DH12" i="8"/>
  <c r="EH12" i="8" s="1"/>
  <c r="DT12" i="8"/>
  <c r="CY12" i="8"/>
  <c r="EA12" i="8" s="1"/>
  <c r="DN12" i="8"/>
  <c r="DO12" i="8"/>
  <c r="EO13" i="8"/>
  <c r="EP13" i="8" s="1"/>
  <c r="CS13" i="8"/>
  <c r="DP13" i="8" s="1"/>
  <c r="CT13" i="8"/>
  <c r="DQ13" i="8" s="1"/>
  <c r="CU13" i="8"/>
  <c r="Y15" i="1"/>
  <c r="AG11" i="7"/>
  <c r="AI11" i="7" s="1"/>
  <c r="AH11" i="7"/>
  <c r="I4" i="2"/>
  <c r="AA4" i="1" s="1"/>
  <c r="S4" i="1" s="1"/>
  <c r="F4" i="2"/>
  <c r="G4" i="2" s="1"/>
  <c r="I19" i="8"/>
  <c r="Q19" i="2" s="1"/>
  <c r="Q18" i="2"/>
  <c r="CV12" i="8"/>
  <c r="DX12" i="8" s="1"/>
  <c r="EB12" i="8" s="1"/>
  <c r="DY11" i="8"/>
  <c r="DZ11" i="8" s="1"/>
  <c r="CX12" i="8"/>
  <c r="CW12" i="8"/>
  <c r="DB12" i="8"/>
  <c r="EC12" i="8" s="1"/>
  <c r="ED12" i="8" s="1"/>
  <c r="DG12" i="8"/>
  <c r="EG12" i="8" s="1"/>
  <c r="EI11" i="8"/>
  <c r="CQ13" i="8"/>
  <c r="DA13" i="8" s="1"/>
  <c r="D13" i="9"/>
  <c r="AQ11" i="5"/>
  <c r="AU11" i="1" s="1"/>
  <c r="Q13" i="1"/>
  <c r="E13" i="14" s="1"/>
  <c r="A13" i="11"/>
  <c r="DL13" i="8"/>
  <c r="AP11" i="5"/>
  <c r="BN13" i="8"/>
  <c r="CR13" i="8" s="1"/>
  <c r="B13" i="9"/>
  <c r="AE12" i="7"/>
  <c r="AF12" i="7" s="1"/>
  <c r="C13" i="14"/>
  <c r="BO13" i="8"/>
  <c r="DM13" i="8" s="1"/>
  <c r="AU13" i="5"/>
  <c r="AB12" i="2"/>
  <c r="AN12" i="5"/>
  <c r="AV13" i="5"/>
  <c r="B13" i="7"/>
  <c r="Q13" i="7" s="1"/>
  <c r="BS13" i="5"/>
  <c r="W13" i="8"/>
  <c r="CN12" i="8"/>
  <c r="DD11" i="8"/>
  <c r="EE11" i="8" s="1"/>
  <c r="EF11" i="8" s="1"/>
  <c r="AB13" i="8"/>
  <c r="E13" i="1"/>
  <c r="A13" i="10"/>
  <c r="AA13" i="10" s="1"/>
  <c r="AH13" i="5"/>
  <c r="AI13" i="5"/>
  <c r="AR15" i="5"/>
  <c r="EP12" i="8"/>
  <c r="A14" i="5"/>
  <c r="E14" i="5" s="1"/>
  <c r="EQ14" i="8" s="1"/>
  <c r="CZ14" i="8" s="1"/>
  <c r="N12" i="11"/>
  <c r="AL12" i="5"/>
  <c r="H16" i="5"/>
  <c r="D15" i="10"/>
  <c r="F15" i="7"/>
  <c r="AC12" i="10"/>
  <c r="X12" i="10" s="1"/>
  <c r="Y12" i="10" s="1"/>
  <c r="AO12" i="5"/>
  <c r="AM12" i="5"/>
  <c r="CO12" i="8"/>
  <c r="CR12" i="8"/>
  <c r="DC12" i="8" s="1"/>
  <c r="V14" i="2"/>
  <c r="P12" i="1"/>
  <c r="D12" i="14" s="1"/>
  <c r="N12" i="7"/>
  <c r="I14" i="7"/>
  <c r="DD14" i="5"/>
  <c r="K15" i="5"/>
  <c r="G14" i="10"/>
  <c r="DE14" i="5"/>
  <c r="L15" i="5"/>
  <c r="J14" i="7"/>
  <c r="H14" i="10"/>
  <c r="DB15" i="5"/>
  <c r="G15" i="7"/>
  <c r="E15" i="10"/>
  <c r="I16" i="5"/>
  <c r="H19" i="8"/>
  <c r="P19" i="2" s="1"/>
  <c r="P18" i="2"/>
  <c r="DA15" i="5"/>
  <c r="E15" i="7"/>
  <c r="CZ15" i="5"/>
  <c r="C15" i="10"/>
  <c r="G16" i="5"/>
  <c r="O17" i="2"/>
  <c r="DE17" i="8"/>
  <c r="R16" i="2"/>
  <c r="J17" i="8"/>
  <c r="DG16" i="5"/>
  <c r="S17" i="2"/>
  <c r="K18" i="8"/>
  <c r="X16" i="1"/>
  <c r="M17" i="2"/>
  <c r="DF17" i="8"/>
  <c r="N16" i="2"/>
  <c r="CY16" i="5"/>
  <c r="B15" i="5"/>
  <c r="B18" i="10"/>
  <c r="D18" i="7"/>
  <c r="F19" i="5"/>
  <c r="AA16" i="7"/>
  <c r="AE16" i="8" s="1"/>
  <c r="BC16" i="8" s="1"/>
  <c r="K16" i="10"/>
  <c r="DC16" i="5"/>
  <c r="H16" i="7"/>
  <c r="J17" i="5"/>
  <c r="F16" i="10"/>
  <c r="DF14" i="5"/>
  <c r="AV10" i="8" l="1"/>
  <c r="AW10" i="1" s="1"/>
  <c r="L10" i="1" s="1"/>
  <c r="CA13" i="8"/>
  <c r="CH13" i="8"/>
  <c r="AF12" i="11"/>
  <c r="AE12" i="11"/>
  <c r="AC12" i="8" s="1"/>
  <c r="CG11" i="8"/>
  <c r="BT11" i="8"/>
  <c r="CF11" i="8"/>
  <c r="BU11" i="8"/>
  <c r="BP11" i="8"/>
  <c r="BZ11" i="8"/>
  <c r="BQ11" i="8"/>
  <c r="BY11" i="8"/>
  <c r="AU10" i="8"/>
  <c r="AT10" i="1" s="1"/>
  <c r="AO9" i="8"/>
  <c r="BO9" i="1"/>
  <c r="E9" i="11"/>
  <c r="AO16" i="11"/>
  <c r="L16" i="11"/>
  <c r="E15" i="9"/>
  <c r="AG15" i="5"/>
  <c r="B15" i="2"/>
  <c r="B15" i="1"/>
  <c r="BI15" i="1" s="1"/>
  <c r="H5" i="1"/>
  <c r="AC5" i="7" s="1"/>
  <c r="AR9" i="8"/>
  <c r="AR9" i="1"/>
  <c r="V9" i="1" s="1"/>
  <c r="K10" i="1" s="1"/>
  <c r="C9" i="9"/>
  <c r="BN9" i="1"/>
  <c r="BC17" i="5"/>
  <c r="AC16" i="1"/>
  <c r="BP18" i="5"/>
  <c r="AB17" i="1"/>
  <c r="BK19" i="5"/>
  <c r="AD17" i="1"/>
  <c r="BN20" i="5"/>
  <c r="AF18" i="1"/>
  <c r="BE17" i="5"/>
  <c r="B17" i="5" s="1"/>
  <c r="AE15" i="1"/>
  <c r="W15" i="1" s="1"/>
  <c r="AZ20" i="5"/>
  <c r="F4" i="1"/>
  <c r="O17" i="1"/>
  <c r="DK17" i="8" s="1"/>
  <c r="DJ16" i="8"/>
  <c r="DI16" i="8"/>
  <c r="AD13" i="9"/>
  <c r="AV13" i="1" s="1"/>
  <c r="N16" i="1"/>
  <c r="C4" i="8"/>
  <c r="Z4" i="2"/>
  <c r="Z5" i="8" s="1"/>
  <c r="AA12" i="11"/>
  <c r="Z12" i="11"/>
  <c r="AC12" i="2" s="1"/>
  <c r="AB12" i="11"/>
  <c r="P12" i="8" s="1"/>
  <c r="Y12" i="11"/>
  <c r="AH12" i="1" s="1"/>
  <c r="AC12" i="11"/>
  <c r="T12" i="8" s="1"/>
  <c r="AD12" i="11"/>
  <c r="AI12" i="1" s="1"/>
  <c r="AT12" i="8"/>
  <c r="AQ12" i="8"/>
  <c r="F12" i="11"/>
  <c r="M13" i="1"/>
  <c r="AW12" i="8"/>
  <c r="BM10" i="1"/>
  <c r="AP10" i="8"/>
  <c r="EI12" i="8"/>
  <c r="CM18" i="8"/>
  <c r="AJ19" i="14"/>
  <c r="A18" i="2"/>
  <c r="A18" i="7"/>
  <c r="K18" i="11"/>
  <c r="B18" i="14"/>
  <c r="AD18" i="8"/>
  <c r="A18" i="9"/>
  <c r="J19" i="10"/>
  <c r="M18" i="5"/>
  <c r="A18" i="8"/>
  <c r="DR13" i="8"/>
  <c r="DS13" i="8"/>
  <c r="DH13" i="8"/>
  <c r="EH13" i="8" s="1"/>
  <c r="DT13" i="8"/>
  <c r="CW13" i="8"/>
  <c r="DN13" i="8"/>
  <c r="DO13" i="8"/>
  <c r="CS14" i="8"/>
  <c r="DP14" i="8" s="1"/>
  <c r="CT14" i="8"/>
  <c r="DQ14" i="8" s="1"/>
  <c r="CU14" i="8"/>
  <c r="Y16" i="1"/>
  <c r="J4" i="11"/>
  <c r="P4" i="7" s="1"/>
  <c r="I4" i="11"/>
  <c r="O4" i="7"/>
  <c r="AG12" i="7"/>
  <c r="AI12" i="7" s="1"/>
  <c r="AP4" i="1"/>
  <c r="T4" i="1" s="1"/>
  <c r="I20" i="8"/>
  <c r="AO13" i="5"/>
  <c r="DY12" i="8"/>
  <c r="DZ12" i="8" s="1"/>
  <c r="DG13" i="8"/>
  <c r="EG13" i="8" s="1"/>
  <c r="CY13" i="8"/>
  <c r="EA13" i="8" s="1"/>
  <c r="CV13" i="8"/>
  <c r="DX13" i="8" s="1"/>
  <c r="EB13" i="8" s="1"/>
  <c r="DB13" i="8"/>
  <c r="EC13" i="8" s="1"/>
  <c r="ED13" i="8" s="1"/>
  <c r="CX13" i="8"/>
  <c r="CQ14" i="8"/>
  <c r="DA14" i="8" s="1"/>
  <c r="DL14" i="8"/>
  <c r="D14" i="9"/>
  <c r="AE13" i="7"/>
  <c r="AF13" i="7" s="1"/>
  <c r="AN13" i="5"/>
  <c r="AC13" i="10"/>
  <c r="X13" i="10" s="1"/>
  <c r="Y13" i="10" s="1"/>
  <c r="AH12" i="7"/>
  <c r="CN13" i="8"/>
  <c r="AV14" i="5"/>
  <c r="A14" i="10"/>
  <c r="AA14" i="10" s="1"/>
  <c r="AI14" i="5"/>
  <c r="W14" i="8"/>
  <c r="BO14" i="8"/>
  <c r="DM14" i="8" s="1"/>
  <c r="AQ10" i="1"/>
  <c r="U10" i="1" s="1"/>
  <c r="J11" i="1" s="1"/>
  <c r="N13" i="11"/>
  <c r="AK10" i="5"/>
  <c r="AB14" i="8"/>
  <c r="AQ12" i="5"/>
  <c r="AU12" i="1" s="1"/>
  <c r="B14" i="7"/>
  <c r="Q14" i="7" s="1"/>
  <c r="EO14" i="8"/>
  <c r="D10" i="11"/>
  <c r="AP12" i="5"/>
  <c r="CO13" i="8"/>
  <c r="N13" i="7"/>
  <c r="AM13" i="5"/>
  <c r="AL13" i="5"/>
  <c r="BN14" i="8"/>
  <c r="CR14" i="8" s="1"/>
  <c r="BS14" i="5"/>
  <c r="E14" i="1"/>
  <c r="Q14" i="1"/>
  <c r="E14" i="14" s="1"/>
  <c r="AH14" i="5"/>
  <c r="AU14" i="5"/>
  <c r="A14" i="11"/>
  <c r="B14" i="9"/>
  <c r="AB13" i="2"/>
  <c r="C14" i="14"/>
  <c r="P13" i="1"/>
  <c r="D13" i="14" s="1"/>
  <c r="F16" i="7"/>
  <c r="H17" i="5"/>
  <c r="D16" i="10"/>
  <c r="DD12" i="8"/>
  <c r="EE12" i="8" s="1"/>
  <c r="EF12" i="8" s="1"/>
  <c r="A15" i="5"/>
  <c r="E15" i="5" s="1"/>
  <c r="EQ15" i="8" s="1"/>
  <c r="CZ15" i="8" s="1"/>
  <c r="DD15" i="5"/>
  <c r="I15" i="7"/>
  <c r="K16" i="5"/>
  <c r="G15" i="10"/>
  <c r="V15" i="2"/>
  <c r="L16" i="5"/>
  <c r="J15" i="7"/>
  <c r="DE15" i="5"/>
  <c r="H15" i="10"/>
  <c r="AR16" i="5"/>
  <c r="E16" i="10"/>
  <c r="DB16" i="5"/>
  <c r="I17" i="5"/>
  <c r="G16" i="7"/>
  <c r="N17" i="2"/>
  <c r="X17" i="1"/>
  <c r="B19" i="10"/>
  <c r="D19" i="7"/>
  <c r="F20" i="5"/>
  <c r="CY17" i="5"/>
  <c r="DA16" i="5"/>
  <c r="E16" i="7"/>
  <c r="C16" i="10"/>
  <c r="G17" i="5"/>
  <c r="CZ16" i="5"/>
  <c r="DF18" i="8"/>
  <c r="M18" i="2"/>
  <c r="DG17" i="5"/>
  <c r="DE18" i="8"/>
  <c r="O18" i="2"/>
  <c r="DC13" i="8"/>
  <c r="DD13" i="8"/>
  <c r="S18" i="2"/>
  <c r="K19" i="8"/>
  <c r="S19" i="2" s="1"/>
  <c r="J16" i="2"/>
  <c r="H20" i="8"/>
  <c r="F17" i="10"/>
  <c r="J18" i="5"/>
  <c r="DC17" i="5"/>
  <c r="H17" i="7"/>
  <c r="AA17" i="7"/>
  <c r="AE17" i="8" s="1"/>
  <c r="BC17" i="8" s="1"/>
  <c r="K17" i="10"/>
  <c r="B16" i="5"/>
  <c r="J18" i="8"/>
  <c r="R17" i="2"/>
  <c r="DF15" i="5"/>
  <c r="BO10" i="1" l="1"/>
  <c r="AO10" i="8"/>
  <c r="E10" i="11"/>
  <c r="CF12" i="8"/>
  <c r="BQ12" i="8"/>
  <c r="BP12" i="8"/>
  <c r="BT12" i="8"/>
  <c r="BU12" i="8"/>
  <c r="BY12" i="8"/>
  <c r="CG12" i="8"/>
  <c r="BZ12" i="8"/>
  <c r="AU11" i="8"/>
  <c r="AT11" i="1" s="1"/>
  <c r="AE13" i="11"/>
  <c r="AC13" i="8" s="1"/>
  <c r="AF13" i="11"/>
  <c r="CA14" i="8"/>
  <c r="CH14" i="8"/>
  <c r="AV11" i="8"/>
  <c r="AW11" i="1" s="1"/>
  <c r="L11" i="1" s="1"/>
  <c r="BO11" i="1" s="1"/>
  <c r="AO17" i="11"/>
  <c r="L17" i="11"/>
  <c r="E16" i="9"/>
  <c r="AG16" i="5"/>
  <c r="B16" i="2"/>
  <c r="B16" i="1"/>
  <c r="BI16" i="1" s="1"/>
  <c r="AN5" i="8"/>
  <c r="V5" i="10"/>
  <c r="BK5" i="1"/>
  <c r="C5" i="11"/>
  <c r="AJ5" i="5"/>
  <c r="I5" i="1"/>
  <c r="AO5" i="1" s="1"/>
  <c r="C10" i="9"/>
  <c r="AR10" i="1"/>
  <c r="V10" i="1" s="1"/>
  <c r="K11" i="1" s="1"/>
  <c r="AR10" i="8"/>
  <c r="BN10" i="1"/>
  <c r="Y4" i="2"/>
  <c r="X4" i="2" s="1"/>
  <c r="AC17" i="1"/>
  <c r="BC18" i="5"/>
  <c r="BP19" i="5"/>
  <c r="AB18" i="1"/>
  <c r="AZ21" i="5"/>
  <c r="BK20" i="5"/>
  <c r="AD18" i="1"/>
  <c r="BN21" i="5"/>
  <c r="AF19" i="1"/>
  <c r="BE18" i="5"/>
  <c r="AE16" i="1"/>
  <c r="W16" i="1" s="1"/>
  <c r="O18" i="1"/>
  <c r="DK18" i="8" s="1"/>
  <c r="DI17" i="8"/>
  <c r="DJ17" i="8"/>
  <c r="AD14" i="9"/>
  <c r="AV14" i="1" s="1"/>
  <c r="N17" i="1"/>
  <c r="AA13" i="11"/>
  <c r="Y13" i="11"/>
  <c r="AH13" i="1" s="1"/>
  <c r="Z13" i="11"/>
  <c r="AC13" i="2" s="1"/>
  <c r="AC13" i="11"/>
  <c r="T13" i="8" s="1"/>
  <c r="AD13" i="11"/>
  <c r="AI13" i="1" s="1"/>
  <c r="AB13" i="11"/>
  <c r="P13" i="8" s="1"/>
  <c r="AT13" i="8"/>
  <c r="AW13" i="8"/>
  <c r="AQ13" i="8"/>
  <c r="M14" i="1"/>
  <c r="F13" i="11"/>
  <c r="AQ11" i="1"/>
  <c r="U11" i="1" s="1"/>
  <c r="J12" i="1" s="1"/>
  <c r="AP11" i="8"/>
  <c r="AJ20" i="14"/>
  <c r="CM19" i="8"/>
  <c r="A19" i="7"/>
  <c r="A19" i="9"/>
  <c r="K19" i="11"/>
  <c r="M19" i="5"/>
  <c r="J20" i="10"/>
  <c r="AD19" i="8"/>
  <c r="B19" i="14"/>
  <c r="A19" i="8"/>
  <c r="DS14" i="8"/>
  <c r="DR14" i="8"/>
  <c r="DH14" i="8"/>
  <c r="EH14" i="8" s="1"/>
  <c r="DT14" i="8"/>
  <c r="EI13" i="8"/>
  <c r="DY13" i="8"/>
  <c r="DZ13" i="8" s="1"/>
  <c r="CV14" i="8"/>
  <c r="DX14" i="8" s="1"/>
  <c r="EB14" i="8" s="1"/>
  <c r="DN14" i="8"/>
  <c r="DO14" i="8"/>
  <c r="CS15" i="8"/>
  <c r="DP15" i="8" s="1"/>
  <c r="CT15" i="8"/>
  <c r="DQ15" i="8" s="1"/>
  <c r="CU15" i="8"/>
  <c r="L5" i="2"/>
  <c r="Y17" i="1"/>
  <c r="F4" i="9"/>
  <c r="AH13" i="7"/>
  <c r="Q20" i="2"/>
  <c r="I21" i="8"/>
  <c r="N14" i="7"/>
  <c r="AG13" i="7"/>
  <c r="AI13" i="7" s="1"/>
  <c r="AQ13" i="5"/>
  <c r="AU13" i="1" s="1"/>
  <c r="CY14" i="8"/>
  <c r="EA14" i="8" s="1"/>
  <c r="CX14" i="8"/>
  <c r="DG14" i="8"/>
  <c r="EG14" i="8" s="1"/>
  <c r="CW14" i="8"/>
  <c r="DB14" i="8"/>
  <c r="EC14" i="8" s="1"/>
  <c r="ED14" i="8" s="1"/>
  <c r="AP13" i="5"/>
  <c r="AN14" i="5"/>
  <c r="AM14" i="5"/>
  <c r="BM11" i="1"/>
  <c r="AK11" i="5"/>
  <c r="D11" i="11"/>
  <c r="AE14" i="7"/>
  <c r="AF14" i="7" s="1"/>
  <c r="EP14" i="8"/>
  <c r="AL14" i="5"/>
  <c r="AO14" i="5"/>
  <c r="AC14" i="10"/>
  <c r="X14" i="10" s="1"/>
  <c r="Y14" i="10" s="1"/>
  <c r="CN14" i="8"/>
  <c r="N14" i="11"/>
  <c r="P14" i="1"/>
  <c r="D14" i="14" s="1"/>
  <c r="CO14" i="8"/>
  <c r="D15" i="9"/>
  <c r="AR17" i="5"/>
  <c r="D17" i="10"/>
  <c r="F17" i="7"/>
  <c r="H18" i="5"/>
  <c r="A16" i="5"/>
  <c r="E16" i="5" s="1"/>
  <c r="EQ16" i="8" s="1"/>
  <c r="CZ16" i="8" s="1"/>
  <c r="V16" i="2"/>
  <c r="DD16" i="5"/>
  <c r="K17" i="5"/>
  <c r="G16" i="10"/>
  <c r="I16" i="7"/>
  <c r="DE16" i="5"/>
  <c r="H16" i="10"/>
  <c r="J16" i="7"/>
  <c r="L17" i="5"/>
  <c r="DB17" i="5"/>
  <c r="E17" i="10"/>
  <c r="G17" i="7"/>
  <c r="I18" i="5"/>
  <c r="CY18" i="5"/>
  <c r="DF19" i="8"/>
  <c r="AA18" i="7"/>
  <c r="AE18" i="8" s="1"/>
  <c r="BC18" i="8" s="1"/>
  <c r="K18" i="10"/>
  <c r="P20" i="2"/>
  <c r="H21" i="8"/>
  <c r="DE19" i="8"/>
  <c r="DA17" i="5"/>
  <c r="J17" i="2"/>
  <c r="DC18" i="5"/>
  <c r="H18" i="7"/>
  <c r="J19" i="5"/>
  <c r="F18" i="10"/>
  <c r="Q15" i="1"/>
  <c r="E15" i="14" s="1"/>
  <c r="AV15" i="5"/>
  <c r="AU15" i="5"/>
  <c r="B15" i="7"/>
  <c r="BO15" i="8"/>
  <c r="DM15" i="8" s="1"/>
  <c r="BS15" i="5"/>
  <c r="E15" i="1"/>
  <c r="AI15" i="5"/>
  <c r="B15" i="9"/>
  <c r="BN15" i="8"/>
  <c r="C15" i="14"/>
  <c r="A15" i="10"/>
  <c r="AA15" i="10" s="1"/>
  <c r="A15" i="11"/>
  <c r="AH15" i="5"/>
  <c r="W15" i="8"/>
  <c r="AB14" i="2"/>
  <c r="AB15" i="8"/>
  <c r="EO15" i="8"/>
  <c r="DT15" i="8" s="1"/>
  <c r="DL15" i="8"/>
  <c r="CQ15" i="8"/>
  <c r="DA15" i="8" s="1"/>
  <c r="N18" i="2"/>
  <c r="DD14" i="8"/>
  <c r="DC14" i="8"/>
  <c r="R18" i="2"/>
  <c r="J19" i="8"/>
  <c r="R19" i="2" s="1"/>
  <c r="DG18" i="5"/>
  <c r="X18" i="1"/>
  <c r="EE13" i="8"/>
  <c r="EF13" i="8" s="1"/>
  <c r="K20" i="8"/>
  <c r="E17" i="7"/>
  <c r="G18" i="5"/>
  <c r="CZ17" i="5"/>
  <c r="C17" i="10"/>
  <c r="D20" i="7"/>
  <c r="B20" i="10"/>
  <c r="F21" i="5"/>
  <c r="DF16" i="5"/>
  <c r="E11" i="11" l="1"/>
  <c r="AV12" i="8"/>
  <c r="AW12" i="1" s="1"/>
  <c r="L12" i="1" s="1"/>
  <c r="AO12" i="8" s="1"/>
  <c r="AO11" i="8"/>
  <c r="CA15" i="8"/>
  <c r="CH15" i="8"/>
  <c r="CF13" i="8"/>
  <c r="BY13" i="8"/>
  <c r="CG13" i="8"/>
  <c r="BU13" i="8"/>
  <c r="BQ13" i="8"/>
  <c r="BT13" i="8"/>
  <c r="BZ13" i="8"/>
  <c r="BP13" i="8"/>
  <c r="AE14" i="11"/>
  <c r="AC14" i="8" s="1"/>
  <c r="AF14" i="11"/>
  <c r="AU12" i="8"/>
  <c r="AT12" i="1" s="1"/>
  <c r="AO18" i="11"/>
  <c r="L18" i="11"/>
  <c r="E17" i="9"/>
  <c r="AG17" i="5"/>
  <c r="B17" i="2"/>
  <c r="B17" i="1"/>
  <c r="BI17" i="1" s="1"/>
  <c r="J18" i="2"/>
  <c r="AS5" i="8"/>
  <c r="BL5" i="1"/>
  <c r="E12" i="11"/>
  <c r="C11" i="9"/>
  <c r="AR11" i="1"/>
  <c r="V11" i="1" s="1"/>
  <c r="K12" i="1" s="1"/>
  <c r="AR11" i="8"/>
  <c r="BN11" i="1"/>
  <c r="AC18" i="1"/>
  <c r="BC19" i="5"/>
  <c r="BN22" i="5"/>
  <c r="AF20" i="1"/>
  <c r="BE19" i="5"/>
  <c r="AE17" i="1"/>
  <c r="W17" i="1" s="1"/>
  <c r="BP20" i="5"/>
  <c r="AB19" i="1"/>
  <c r="AZ22" i="5"/>
  <c r="BK21" i="5"/>
  <c r="AD19" i="1"/>
  <c r="O19" i="1"/>
  <c r="DK19" i="8" s="1"/>
  <c r="DI18" i="8"/>
  <c r="DJ18" i="8"/>
  <c r="AD15" i="9"/>
  <c r="AV15" i="1" s="1"/>
  <c r="N18" i="1"/>
  <c r="AA14" i="11"/>
  <c r="AC14" i="11"/>
  <c r="T14" i="8" s="1"/>
  <c r="Y14" i="11"/>
  <c r="AH14" i="1" s="1"/>
  <c r="Z14" i="11"/>
  <c r="AC14" i="2" s="1"/>
  <c r="AB14" i="11"/>
  <c r="P14" i="8" s="1"/>
  <c r="AD14" i="11"/>
  <c r="AI14" i="1" s="1"/>
  <c r="AT14" i="8"/>
  <c r="AQ14" i="8"/>
  <c r="F14" i="11"/>
  <c r="M15" i="1"/>
  <c r="AW14" i="8"/>
  <c r="BM12" i="1"/>
  <c r="AP12" i="8"/>
  <c r="AJ21" i="14"/>
  <c r="CM20" i="8"/>
  <c r="EI14" i="8"/>
  <c r="A20" i="2"/>
  <c r="M20" i="5"/>
  <c r="J21" i="10"/>
  <c r="B20" i="14"/>
  <c r="A20" i="7"/>
  <c r="AD20" i="8"/>
  <c r="K20" i="11"/>
  <c r="A20" i="9"/>
  <c r="A20" i="8"/>
  <c r="DR15" i="8"/>
  <c r="DS15" i="8"/>
  <c r="DN15" i="8"/>
  <c r="DO15" i="8"/>
  <c r="CU16" i="8"/>
  <c r="CT16" i="8"/>
  <c r="DQ16" i="8" s="1"/>
  <c r="CS16" i="8"/>
  <c r="DP16" i="8" s="1"/>
  <c r="B5" i="8"/>
  <c r="D5" i="2" s="1"/>
  <c r="BD5" i="8"/>
  <c r="AB5" i="7"/>
  <c r="E5" i="2"/>
  <c r="H5" i="11"/>
  <c r="B18" i="5"/>
  <c r="Y18" i="1"/>
  <c r="AH14" i="7"/>
  <c r="Q21" i="2"/>
  <c r="I22" i="8"/>
  <c r="AQ14" i="5"/>
  <c r="AU14" i="1" s="1"/>
  <c r="DY14" i="8"/>
  <c r="DZ14" i="8" s="1"/>
  <c r="CQ16" i="8"/>
  <c r="DA16" i="8" s="1"/>
  <c r="AP14" i="5"/>
  <c r="AK12" i="5"/>
  <c r="AQ12" i="1"/>
  <c r="U12" i="1" s="1"/>
  <c r="J13" i="1" s="1"/>
  <c r="D12" i="11"/>
  <c r="AG14" i="7"/>
  <c r="AI14" i="7" s="1"/>
  <c r="A17" i="5"/>
  <c r="E17" i="5" s="1"/>
  <c r="AR18" i="5"/>
  <c r="C16" i="14"/>
  <c r="V17" i="2"/>
  <c r="BS16" i="5"/>
  <c r="H19" i="5"/>
  <c r="F18" i="7"/>
  <c r="D18" i="10"/>
  <c r="BO16" i="8"/>
  <c r="DM16" i="8" s="1"/>
  <c r="B16" i="9"/>
  <c r="E16" i="1"/>
  <c r="BN16" i="8"/>
  <c r="CR16" i="8" s="1"/>
  <c r="AH16" i="5"/>
  <c r="AC16" i="10" s="1"/>
  <c r="AI16" i="5"/>
  <c r="AB15" i="2"/>
  <c r="B16" i="7"/>
  <c r="Q16" i="7" s="1"/>
  <c r="DL16" i="8"/>
  <c r="AB16" i="8"/>
  <c r="AV16" i="5"/>
  <c r="Q16" i="1"/>
  <c r="E16" i="14" s="1"/>
  <c r="EO16" i="8"/>
  <c r="A16" i="11"/>
  <c r="A16" i="10"/>
  <c r="AA16" i="10" s="1"/>
  <c r="W16" i="8"/>
  <c r="AU16" i="5"/>
  <c r="K18" i="5"/>
  <c r="I17" i="7"/>
  <c r="G17" i="10"/>
  <c r="DD17" i="5"/>
  <c r="L18" i="5"/>
  <c r="J17" i="7"/>
  <c r="H17" i="10"/>
  <c r="DE17" i="5"/>
  <c r="I19" i="5"/>
  <c r="DB18" i="5"/>
  <c r="G18" i="7"/>
  <c r="E18" i="10"/>
  <c r="P15" i="1"/>
  <c r="CN15" i="8"/>
  <c r="CO15" i="8"/>
  <c r="CR15" i="8"/>
  <c r="D16" i="9"/>
  <c r="CZ18" i="5"/>
  <c r="C18" i="10"/>
  <c r="G19" i="5"/>
  <c r="E18" i="7"/>
  <c r="Q15" i="7"/>
  <c r="AE15" i="7"/>
  <c r="AF15" i="7" s="1"/>
  <c r="M20" i="2"/>
  <c r="DF20" i="8"/>
  <c r="DB15" i="8"/>
  <c r="EC15" i="8" s="1"/>
  <c r="ED15" i="8" s="1"/>
  <c r="CY15" i="8"/>
  <c r="EA15" i="8" s="1"/>
  <c r="CW15" i="8"/>
  <c r="DG15" i="8"/>
  <c r="EG15" i="8" s="1"/>
  <c r="CX15" i="8"/>
  <c r="CV15" i="8"/>
  <c r="DX15" i="8" s="1"/>
  <c r="K19" i="10"/>
  <c r="AA19" i="7"/>
  <c r="AE19" i="8" s="1"/>
  <c r="BC19" i="8" s="1"/>
  <c r="CY19" i="5"/>
  <c r="X19" i="1"/>
  <c r="D21" i="7"/>
  <c r="F22" i="5"/>
  <c r="B21" i="10"/>
  <c r="S20" i="2"/>
  <c r="K21" i="8"/>
  <c r="N15" i="11"/>
  <c r="F19" i="10"/>
  <c r="H19" i="7"/>
  <c r="DC19" i="5"/>
  <c r="J20" i="5"/>
  <c r="DH15" i="8"/>
  <c r="EH15" i="8" s="1"/>
  <c r="EP15" i="8"/>
  <c r="AC15" i="10"/>
  <c r="X15" i="10" s="1"/>
  <c r="Y15" i="10" s="1"/>
  <c r="AO15" i="5"/>
  <c r="AM15" i="5"/>
  <c r="AL15" i="5"/>
  <c r="J20" i="8"/>
  <c r="N15" i="7"/>
  <c r="P21" i="2"/>
  <c r="H22" i="8"/>
  <c r="EE14" i="8"/>
  <c r="EF14" i="8" s="1"/>
  <c r="DG19" i="5"/>
  <c r="DA18" i="5"/>
  <c r="O20" i="2"/>
  <c r="DE20" i="8"/>
  <c r="AN15" i="5"/>
  <c r="DF17" i="5"/>
  <c r="BO12" i="1" l="1"/>
  <c r="AU13" i="8"/>
  <c r="AT13" i="1" s="1"/>
  <c r="AE15" i="11"/>
  <c r="AC15" i="8" s="1"/>
  <c r="AF15" i="11"/>
  <c r="CA16" i="8"/>
  <c r="CH16" i="8"/>
  <c r="BT14" i="8"/>
  <c r="CG14" i="8"/>
  <c r="CF14" i="8"/>
  <c r="BQ14" i="8"/>
  <c r="BY14" i="8"/>
  <c r="BU14" i="8"/>
  <c r="BP14" i="8"/>
  <c r="BZ14" i="8"/>
  <c r="AV13" i="8"/>
  <c r="AW13" i="1" s="1"/>
  <c r="L13" i="1" s="1"/>
  <c r="BO13" i="1" s="1"/>
  <c r="AO19" i="11"/>
  <c r="L19" i="11"/>
  <c r="E18" i="9"/>
  <c r="AG18" i="5"/>
  <c r="B18" i="1"/>
  <c r="BI18" i="1" s="1"/>
  <c r="B18" i="2"/>
  <c r="J19" i="2"/>
  <c r="AO13" i="8"/>
  <c r="C12" i="9"/>
  <c r="AR12" i="8"/>
  <c r="BN12" i="1"/>
  <c r="AR12" i="1"/>
  <c r="V12" i="1" s="1"/>
  <c r="K13" i="1" s="1"/>
  <c r="AC19" i="1"/>
  <c r="BC20" i="5"/>
  <c r="AZ23" i="5"/>
  <c r="BN23" i="5"/>
  <c r="AF21" i="1"/>
  <c r="BK22" i="5"/>
  <c r="AD20" i="1"/>
  <c r="BE20" i="5"/>
  <c r="AE18" i="1"/>
  <c r="W18" i="1" s="1"/>
  <c r="BP21" i="5"/>
  <c r="AB20" i="1"/>
  <c r="O20" i="1"/>
  <c r="DK20" i="8" s="1"/>
  <c r="DI19" i="8"/>
  <c r="DJ19" i="8"/>
  <c r="EO17" i="8"/>
  <c r="DT17" i="8" s="1"/>
  <c r="EQ17" i="8"/>
  <c r="CZ17" i="8" s="1"/>
  <c r="AD16" i="9"/>
  <c r="AV16" i="1" s="1"/>
  <c r="N19" i="1"/>
  <c r="AA15" i="11"/>
  <c r="Y15" i="11"/>
  <c r="AH15" i="1" s="1"/>
  <c r="AC15" i="11"/>
  <c r="T15" i="8" s="1"/>
  <c r="AD15" i="11"/>
  <c r="AI15" i="1" s="1"/>
  <c r="AB15" i="11"/>
  <c r="P15" i="8" s="1"/>
  <c r="Z15" i="11"/>
  <c r="AC15" i="2" s="1"/>
  <c r="AT15" i="8"/>
  <c r="AQ15" i="8"/>
  <c r="F15" i="11"/>
  <c r="M16" i="1"/>
  <c r="AW15" i="8"/>
  <c r="AK13" i="5"/>
  <c r="AP13" i="8"/>
  <c r="N16" i="11"/>
  <c r="A21" i="2"/>
  <c r="K21" i="11"/>
  <c r="A21" i="9"/>
  <c r="A21" i="7"/>
  <c r="A21" i="8"/>
  <c r="M21" i="5"/>
  <c r="J22" i="10"/>
  <c r="B21" i="14"/>
  <c r="AD21" i="8"/>
  <c r="AJ22" i="14"/>
  <c r="CM21" i="8"/>
  <c r="DR16" i="8"/>
  <c r="DS16" i="8"/>
  <c r="DH16" i="8"/>
  <c r="EH16" i="8" s="1"/>
  <c r="DT16" i="8"/>
  <c r="CX16" i="8"/>
  <c r="DN16" i="8"/>
  <c r="DO16" i="8"/>
  <c r="AB16" i="2"/>
  <c r="CS17" i="8"/>
  <c r="DP17" i="8" s="1"/>
  <c r="CT17" i="8"/>
  <c r="DQ17" i="8" s="1"/>
  <c r="CU17" i="8"/>
  <c r="U5" i="2"/>
  <c r="W4" i="2" s="1"/>
  <c r="C5" i="2" s="1"/>
  <c r="Y19" i="1"/>
  <c r="BN17" i="8"/>
  <c r="CN17" i="8" s="1"/>
  <c r="Q22" i="2"/>
  <c r="I23" i="8"/>
  <c r="A17" i="11"/>
  <c r="E17" i="1"/>
  <c r="CV16" i="8"/>
  <c r="DX16" i="8" s="1"/>
  <c r="EB16" i="8" s="1"/>
  <c r="DG16" i="8"/>
  <c r="EG16" i="8" s="1"/>
  <c r="CW16" i="8"/>
  <c r="DB16" i="8"/>
  <c r="EC16" i="8" s="1"/>
  <c r="ED16" i="8" s="1"/>
  <c r="CY16" i="8"/>
  <c r="EA16" i="8" s="1"/>
  <c r="CQ17" i="8"/>
  <c r="DA17" i="8" s="1"/>
  <c r="DL17" i="8"/>
  <c r="AI17" i="5"/>
  <c r="BM13" i="1"/>
  <c r="D13" i="11"/>
  <c r="AQ13" i="1"/>
  <c r="U13" i="1" s="1"/>
  <c r="J14" i="1" s="1"/>
  <c r="BS17" i="5"/>
  <c r="W17" i="8"/>
  <c r="AE16" i="7"/>
  <c r="AF16" i="7" s="1"/>
  <c r="AB17" i="8"/>
  <c r="BO17" i="8"/>
  <c r="DM17" i="8" s="1"/>
  <c r="AU17" i="5"/>
  <c r="AV17" i="5"/>
  <c r="C17" i="14"/>
  <c r="A17" i="10"/>
  <c r="AA17" i="10" s="1"/>
  <c r="B17" i="9"/>
  <c r="B17" i="7"/>
  <c r="AE17" i="7" s="1"/>
  <c r="AF17" i="7" s="1"/>
  <c r="AH17" i="5"/>
  <c r="AC17" i="10" s="1"/>
  <c r="Q17" i="1"/>
  <c r="E17" i="14" s="1"/>
  <c r="N16" i="7"/>
  <c r="CO16" i="8"/>
  <c r="CN16" i="8"/>
  <c r="AL16" i="5"/>
  <c r="D17" i="9"/>
  <c r="X16" i="10"/>
  <c r="Y16" i="10" s="1"/>
  <c r="AM16" i="5"/>
  <c r="EP16" i="8"/>
  <c r="D19" i="10"/>
  <c r="H20" i="5"/>
  <c r="F19" i="7"/>
  <c r="AO16" i="5"/>
  <c r="AN16" i="5"/>
  <c r="P16" i="1"/>
  <c r="D16" i="14" s="1"/>
  <c r="V18" i="2"/>
  <c r="A18" i="5"/>
  <c r="E18" i="5" s="1"/>
  <c r="EQ18" i="8" s="1"/>
  <c r="CZ18" i="8" s="1"/>
  <c r="AR19" i="5"/>
  <c r="DE18" i="5"/>
  <c r="J18" i="7"/>
  <c r="H18" i="10"/>
  <c r="L19" i="5"/>
  <c r="DD18" i="5"/>
  <c r="K19" i="5"/>
  <c r="G18" i="10"/>
  <c r="I18" i="7"/>
  <c r="G19" i="7"/>
  <c r="I20" i="5"/>
  <c r="E19" i="10"/>
  <c r="DB19" i="5"/>
  <c r="AQ15" i="5"/>
  <c r="AU15" i="1" s="1"/>
  <c r="D15" i="14"/>
  <c r="DY15" i="8"/>
  <c r="DZ15" i="8" s="1"/>
  <c r="DF21" i="8"/>
  <c r="M21" i="2"/>
  <c r="EI15" i="8"/>
  <c r="CY20" i="5"/>
  <c r="F23" i="5"/>
  <c r="D22" i="7"/>
  <c r="B22" i="10"/>
  <c r="S21" i="2"/>
  <c r="K22" i="8"/>
  <c r="AH15" i="7"/>
  <c r="AG15" i="7"/>
  <c r="AI15" i="7" s="1"/>
  <c r="DG20" i="5"/>
  <c r="DD16" i="8"/>
  <c r="DC16" i="8"/>
  <c r="EB15" i="8"/>
  <c r="CZ19" i="5"/>
  <c r="G20" i="5"/>
  <c r="E19" i="7"/>
  <c r="C19" i="10"/>
  <c r="DA19" i="5"/>
  <c r="X20" i="1"/>
  <c r="O21" i="2"/>
  <c r="DE21" i="8"/>
  <c r="N20" i="2"/>
  <c r="P22" i="2"/>
  <c r="H23" i="8"/>
  <c r="H20" i="7"/>
  <c r="DC20" i="5"/>
  <c r="F20" i="10"/>
  <c r="J21" i="5"/>
  <c r="K20" i="10"/>
  <c r="AA20" i="7"/>
  <c r="AE20" i="8" s="1"/>
  <c r="BC20" i="8" s="1"/>
  <c r="DC15" i="8"/>
  <c r="DD15" i="8"/>
  <c r="B19" i="5"/>
  <c r="AP15" i="5"/>
  <c r="J21" i="8"/>
  <c r="R20" i="2"/>
  <c r="DF18" i="5"/>
  <c r="AE16" i="11" l="1"/>
  <c r="AC16" i="8" s="1"/>
  <c r="AF16" i="11"/>
  <c r="CA17" i="8"/>
  <c r="CH17" i="8"/>
  <c r="AV14" i="8"/>
  <c r="AW14" i="1" s="1"/>
  <c r="L14" i="1" s="1"/>
  <c r="BY15" i="8"/>
  <c r="BT15" i="8"/>
  <c r="BU15" i="8"/>
  <c r="BP15" i="8"/>
  <c r="CF15" i="8"/>
  <c r="CG15" i="8"/>
  <c r="BQ15" i="8"/>
  <c r="BZ15" i="8"/>
  <c r="E13" i="11"/>
  <c r="AU14" i="8"/>
  <c r="AT14" i="1" s="1"/>
  <c r="AO20" i="11"/>
  <c r="V19" i="2"/>
  <c r="L20" i="11"/>
  <c r="B19" i="2"/>
  <c r="E19" i="9"/>
  <c r="AG19" i="5"/>
  <c r="B19" i="1"/>
  <c r="BI19" i="1" s="1"/>
  <c r="J20" i="2"/>
  <c r="BN13" i="1"/>
  <c r="AR13" i="8"/>
  <c r="C13" i="9"/>
  <c r="AR13" i="1"/>
  <c r="V13" i="1" s="1"/>
  <c r="K14" i="1" s="1"/>
  <c r="AC20" i="1"/>
  <c r="BC21" i="5"/>
  <c r="EP17" i="8"/>
  <c r="DH17" i="8"/>
  <c r="EH17" i="8" s="1"/>
  <c r="BE21" i="5"/>
  <c r="AE19" i="1"/>
  <c r="W19" i="1" s="1"/>
  <c r="AZ24" i="5"/>
  <c r="BP22" i="5"/>
  <c r="AB21" i="1"/>
  <c r="BN24" i="5"/>
  <c r="AF22" i="1"/>
  <c r="BK23" i="5"/>
  <c r="AD21" i="1"/>
  <c r="I5" i="2"/>
  <c r="O21" i="1"/>
  <c r="DK21" i="8" s="1"/>
  <c r="DJ20" i="8"/>
  <c r="DI20" i="8"/>
  <c r="AD17" i="9"/>
  <c r="AV17" i="1" s="1"/>
  <c r="N20" i="1"/>
  <c r="AA16" i="11"/>
  <c r="AB16" i="11"/>
  <c r="P16" i="8" s="1"/>
  <c r="Y16" i="11"/>
  <c r="AH16" i="1" s="1"/>
  <c r="Z16" i="11"/>
  <c r="AC16" i="2" s="1"/>
  <c r="AC16" i="11"/>
  <c r="T16" i="8" s="1"/>
  <c r="AD16" i="11"/>
  <c r="AI16" i="1" s="1"/>
  <c r="AT16" i="8"/>
  <c r="AQ16" i="8"/>
  <c r="F16" i="11"/>
  <c r="M17" i="1"/>
  <c r="AW16" i="8"/>
  <c r="BM14" i="1"/>
  <c r="AP14" i="8"/>
  <c r="AJ23" i="14"/>
  <c r="CM22" i="8"/>
  <c r="A22" i="2"/>
  <c r="K22" i="11"/>
  <c r="A22" i="9"/>
  <c r="A22" i="8"/>
  <c r="M22" i="5"/>
  <c r="J23" i="10"/>
  <c r="AD22" i="8"/>
  <c r="B22" i="14"/>
  <c r="A22" i="7"/>
  <c r="DR17" i="8"/>
  <c r="DS17" i="8"/>
  <c r="EI16" i="8"/>
  <c r="DY16" i="8"/>
  <c r="DZ16" i="8" s="1"/>
  <c r="CV17" i="8"/>
  <c r="DX17" i="8" s="1"/>
  <c r="EB17" i="8" s="1"/>
  <c r="DN17" i="8"/>
  <c r="DO17" i="8"/>
  <c r="CS18" i="8"/>
  <c r="DP18" i="8" s="1"/>
  <c r="CT18" i="8"/>
  <c r="DQ18" i="8" s="1"/>
  <c r="CU18" i="8"/>
  <c r="Y20" i="1"/>
  <c r="CR17" i="8"/>
  <c r="DD17" i="8" s="1"/>
  <c r="AG16" i="7"/>
  <c r="AI16" i="7" s="1"/>
  <c r="AH16" i="7"/>
  <c r="D18" i="9"/>
  <c r="CO17" i="8"/>
  <c r="Q23" i="2"/>
  <c r="I24" i="8"/>
  <c r="N17" i="7"/>
  <c r="Q17" i="7"/>
  <c r="CW17" i="8"/>
  <c r="N17" i="11"/>
  <c r="DB17" i="8"/>
  <c r="EC17" i="8" s="1"/>
  <c r="ED17" i="8" s="1"/>
  <c r="DG17" i="8"/>
  <c r="EG17" i="8" s="1"/>
  <c r="CX17" i="8"/>
  <c r="CY17" i="8"/>
  <c r="EA17" i="8" s="1"/>
  <c r="D14" i="11"/>
  <c r="DL18" i="8"/>
  <c r="AN17" i="5"/>
  <c r="AQ14" i="1"/>
  <c r="U14" i="1" s="1"/>
  <c r="J15" i="1" s="1"/>
  <c r="AK14" i="5"/>
  <c r="AO17" i="5"/>
  <c r="AL17" i="5"/>
  <c r="X17" i="10"/>
  <c r="Y17" i="10" s="1"/>
  <c r="AM17" i="5"/>
  <c r="AP16" i="5"/>
  <c r="Q18" i="1"/>
  <c r="E18" i="14" s="1"/>
  <c r="AQ16" i="5"/>
  <c r="AU16" i="1" s="1"/>
  <c r="AI18" i="5"/>
  <c r="D20" i="10"/>
  <c r="F20" i="7"/>
  <c r="H21" i="5"/>
  <c r="P17" i="1"/>
  <c r="D17" i="14" s="1"/>
  <c r="A19" i="5"/>
  <c r="E19" i="5" s="1"/>
  <c r="EQ19" i="8" s="1"/>
  <c r="CZ19" i="8" s="1"/>
  <c r="AR20" i="5"/>
  <c r="AB17" i="2"/>
  <c r="BN18" i="8"/>
  <c r="AB18" i="8"/>
  <c r="BS18" i="5"/>
  <c r="A18" i="11"/>
  <c r="EO18" i="8"/>
  <c r="A18" i="10"/>
  <c r="AA18" i="10" s="1"/>
  <c r="W18" i="8"/>
  <c r="CQ18" i="8"/>
  <c r="DA18" i="8" s="1"/>
  <c r="L20" i="5"/>
  <c r="DE19" i="5"/>
  <c r="H19" i="10"/>
  <c r="J19" i="7"/>
  <c r="B18" i="7"/>
  <c r="AE18" i="7" s="1"/>
  <c r="AF18" i="7" s="1"/>
  <c r="AU18" i="5"/>
  <c r="BO18" i="8"/>
  <c r="DM18" i="8" s="1"/>
  <c r="B18" i="9"/>
  <c r="AH18" i="5"/>
  <c r="AC18" i="10" s="1"/>
  <c r="DD19" i="5"/>
  <c r="K20" i="5"/>
  <c r="G19" i="10"/>
  <c r="I19" i="7"/>
  <c r="E18" i="1"/>
  <c r="AV18" i="5"/>
  <c r="C18" i="14"/>
  <c r="DB20" i="5"/>
  <c r="G20" i="7"/>
  <c r="I21" i="5"/>
  <c r="E20" i="10"/>
  <c r="EE15" i="8"/>
  <c r="EF15" i="8" s="1"/>
  <c r="P23" i="2"/>
  <c r="H24" i="8"/>
  <c r="EE16" i="8"/>
  <c r="EF16" i="8" s="1"/>
  <c r="DF22" i="8"/>
  <c r="M22" i="2"/>
  <c r="DG21" i="5"/>
  <c r="X21" i="1"/>
  <c r="G21" i="5"/>
  <c r="E20" i="7"/>
  <c r="CZ20" i="5"/>
  <c r="C20" i="10"/>
  <c r="O22" i="2"/>
  <c r="DE22" i="8"/>
  <c r="D23" i="7"/>
  <c r="F24" i="5"/>
  <c r="B23" i="10"/>
  <c r="DA20" i="5"/>
  <c r="CY21" i="5"/>
  <c r="AG17" i="7"/>
  <c r="AI17" i="7" s="1"/>
  <c r="AH17" i="7"/>
  <c r="J22" i="5"/>
  <c r="F21" i="10"/>
  <c r="DC21" i="5"/>
  <c r="H21" i="7"/>
  <c r="S22" i="2"/>
  <c r="K23" i="8"/>
  <c r="B20" i="5"/>
  <c r="R21" i="2"/>
  <c r="J22" i="8"/>
  <c r="AA21" i="7"/>
  <c r="AE21" i="8" s="1"/>
  <c r="BC21" i="8" s="1"/>
  <c r="K21" i="10"/>
  <c r="N21" i="2"/>
  <c r="DF19" i="5"/>
  <c r="AU15" i="8" l="1"/>
  <c r="AT15" i="1" s="1"/>
  <c r="E14" i="11"/>
  <c r="BO14" i="1"/>
  <c r="AO14" i="8"/>
  <c r="AV15" i="8"/>
  <c r="AW15" i="1" s="1"/>
  <c r="L15" i="1" s="1"/>
  <c r="AE17" i="11"/>
  <c r="AC17" i="8" s="1"/>
  <c r="AF17" i="11"/>
  <c r="CA18" i="8"/>
  <c r="CH18" i="8"/>
  <c r="BU16" i="8"/>
  <c r="BT16" i="8"/>
  <c r="BY16" i="8"/>
  <c r="BZ16" i="8"/>
  <c r="CF16" i="8"/>
  <c r="BQ16" i="8"/>
  <c r="CG16" i="8"/>
  <c r="BP16" i="8"/>
  <c r="AO21" i="11"/>
  <c r="L21" i="11"/>
  <c r="E20" i="9"/>
  <c r="AG20" i="5"/>
  <c r="B20" i="1"/>
  <c r="BI20" i="1" s="1"/>
  <c r="B20" i="2"/>
  <c r="J21" i="2"/>
  <c r="C14" i="9"/>
  <c r="AR14" i="8"/>
  <c r="AR14" i="1"/>
  <c r="V14" i="1" s="1"/>
  <c r="K15" i="1" s="1"/>
  <c r="BN14" i="1"/>
  <c r="AC21" i="1"/>
  <c r="BC22" i="5"/>
  <c r="EI17" i="8"/>
  <c r="BK24" i="5"/>
  <c r="AD22" i="1"/>
  <c r="BE22" i="5"/>
  <c r="AE20" i="1"/>
  <c r="W20" i="1" s="1"/>
  <c r="AZ25" i="5"/>
  <c r="BP23" i="5"/>
  <c r="AB22" i="1"/>
  <c r="BN25" i="5"/>
  <c r="AF23" i="1"/>
  <c r="F5" i="2"/>
  <c r="G5" i="2" s="1"/>
  <c r="Z5" i="2" s="1"/>
  <c r="Z6" i="8" s="1"/>
  <c r="F5" i="1"/>
  <c r="H5" i="2"/>
  <c r="AA5" i="1"/>
  <c r="S5" i="1" s="1"/>
  <c r="H6" i="1" s="1"/>
  <c r="I5" i="11"/>
  <c r="O5" i="7"/>
  <c r="O22" i="1"/>
  <c r="DK22" i="8" s="1"/>
  <c r="DI21" i="8"/>
  <c r="DJ21" i="8"/>
  <c r="AD18" i="9"/>
  <c r="AV18" i="1" s="1"/>
  <c r="N21" i="1"/>
  <c r="AA17" i="11"/>
  <c r="Y17" i="11"/>
  <c r="AH17" i="1" s="1"/>
  <c r="AD17" i="11"/>
  <c r="AI17" i="1" s="1"/>
  <c r="Z17" i="11"/>
  <c r="AC17" i="2" s="1"/>
  <c r="AB17" i="11"/>
  <c r="P17" i="8" s="1"/>
  <c r="AC17" i="11"/>
  <c r="T17" i="8" s="1"/>
  <c r="AT17" i="8"/>
  <c r="AQ17" i="8"/>
  <c r="M18" i="1"/>
  <c r="F17" i="11"/>
  <c r="AW17" i="8"/>
  <c r="AQ15" i="1"/>
  <c r="U15" i="1" s="1"/>
  <c r="J16" i="1" s="1"/>
  <c r="AP15" i="8"/>
  <c r="A23" i="2"/>
  <c r="K23" i="11"/>
  <c r="A23" i="9"/>
  <c r="B23" i="14"/>
  <c r="J24" i="10"/>
  <c r="A23" i="8"/>
  <c r="AD23" i="8"/>
  <c r="A23" i="7"/>
  <c r="M23" i="5"/>
  <c r="AJ24" i="14"/>
  <c r="CM23" i="8"/>
  <c r="DR18" i="8"/>
  <c r="DS18" i="8"/>
  <c r="EP18" i="8"/>
  <c r="DT18" i="8"/>
  <c r="CV18" i="8"/>
  <c r="DX18" i="8" s="1"/>
  <c r="EB18" i="8" s="1"/>
  <c r="DN18" i="8"/>
  <c r="DO18" i="8"/>
  <c r="CT19" i="8"/>
  <c r="DQ19" i="8" s="1"/>
  <c r="CU19" i="8"/>
  <c r="CS19" i="8"/>
  <c r="DP19" i="8" s="1"/>
  <c r="DC17" i="8"/>
  <c r="EE17" i="8" s="1"/>
  <c r="EF17" i="8" s="1"/>
  <c r="Y21" i="1"/>
  <c r="D19" i="9"/>
  <c r="I25" i="8"/>
  <c r="Q24" i="2"/>
  <c r="DY17" i="8"/>
  <c r="DZ17" i="8" s="1"/>
  <c r="V20" i="2"/>
  <c r="AP17" i="5"/>
  <c r="AQ17" i="5"/>
  <c r="AU17" i="1" s="1"/>
  <c r="DH18" i="8"/>
  <c r="EH18" i="8" s="1"/>
  <c r="AN18" i="5"/>
  <c r="N18" i="11"/>
  <c r="AO18" i="5"/>
  <c r="N18" i="7"/>
  <c r="H22" i="5"/>
  <c r="F21" i="7"/>
  <c r="D21" i="10"/>
  <c r="P18" i="1"/>
  <c r="D18" i="14" s="1"/>
  <c r="Q18" i="7"/>
  <c r="X18" i="10"/>
  <c r="Y18" i="10" s="1"/>
  <c r="AM18" i="5"/>
  <c r="A20" i="5"/>
  <c r="E20" i="5" s="1"/>
  <c r="AL18" i="5"/>
  <c r="CR18" i="8"/>
  <c r="DD18" i="8" s="1"/>
  <c r="CO18" i="8"/>
  <c r="AR21" i="5"/>
  <c r="CN18" i="8"/>
  <c r="CX18" i="8"/>
  <c r="CW18" i="8"/>
  <c r="DE20" i="5"/>
  <c r="L21" i="5"/>
  <c r="J20" i="7"/>
  <c r="H20" i="10"/>
  <c r="DG18" i="8"/>
  <c r="EG18" i="8" s="1"/>
  <c r="DD20" i="5"/>
  <c r="G20" i="10"/>
  <c r="I20" i="7"/>
  <c r="K21" i="5"/>
  <c r="CY18" i="8"/>
  <c r="EA18" i="8" s="1"/>
  <c r="DB18" i="8"/>
  <c r="EC18" i="8" s="1"/>
  <c r="ED18" i="8" s="1"/>
  <c r="E21" i="10"/>
  <c r="DB21" i="5"/>
  <c r="G21" i="7"/>
  <c r="I22" i="5"/>
  <c r="BM15" i="1"/>
  <c r="D15" i="11"/>
  <c r="AK15" i="5"/>
  <c r="S23" i="2"/>
  <c r="K24" i="8"/>
  <c r="H22" i="7"/>
  <c r="F22" i="10"/>
  <c r="J23" i="5"/>
  <c r="DC22" i="5"/>
  <c r="P24" i="2"/>
  <c r="H25" i="8"/>
  <c r="CZ21" i="5"/>
  <c r="G22" i="5"/>
  <c r="E21" i="7"/>
  <c r="C21" i="10"/>
  <c r="B24" i="10"/>
  <c r="D24" i="7"/>
  <c r="F25" i="5"/>
  <c r="X22" i="1"/>
  <c r="DG22" i="5"/>
  <c r="N22" i="2"/>
  <c r="R22" i="2"/>
  <c r="J23" i="8"/>
  <c r="AH18" i="7"/>
  <c r="AG18" i="7"/>
  <c r="AI18" i="7" s="1"/>
  <c r="B21" i="5"/>
  <c r="K22" i="10"/>
  <c r="AA22" i="7"/>
  <c r="AE22" i="8" s="1"/>
  <c r="BC22" i="8" s="1"/>
  <c r="O23" i="2"/>
  <c r="DE23" i="8"/>
  <c r="AH19" i="5"/>
  <c r="E19" i="1"/>
  <c r="A19" i="10"/>
  <c r="AA19" i="10" s="1"/>
  <c r="B19" i="9"/>
  <c r="BO19" i="8"/>
  <c r="DM19" i="8" s="1"/>
  <c r="B19" i="7"/>
  <c r="BN19" i="8"/>
  <c r="A19" i="11"/>
  <c r="C19" i="14"/>
  <c r="AU19" i="5"/>
  <c r="Q19" i="1"/>
  <c r="E19" i="14" s="1"/>
  <c r="BS19" i="5"/>
  <c r="AI19" i="5"/>
  <c r="W19" i="8"/>
  <c r="AV19" i="5"/>
  <c r="AB18" i="2"/>
  <c r="EO19" i="8"/>
  <c r="DT19" i="8" s="1"/>
  <c r="AB19" i="8"/>
  <c r="CQ19" i="8"/>
  <c r="DA19" i="8" s="1"/>
  <c r="DL19" i="8"/>
  <c r="DA21" i="5"/>
  <c r="CY22" i="5"/>
  <c r="M23" i="2"/>
  <c r="DF23" i="8"/>
  <c r="DF20" i="5"/>
  <c r="AO15" i="8" l="1"/>
  <c r="BO15" i="1"/>
  <c r="E15" i="11"/>
  <c r="CA19" i="8"/>
  <c r="CH19" i="8"/>
  <c r="AV16" i="8"/>
  <c r="AW16" i="1" s="1"/>
  <c r="L16" i="1" s="1"/>
  <c r="BO16" i="1" s="1"/>
  <c r="BY17" i="8"/>
  <c r="CF17" i="8"/>
  <c r="BZ17" i="8"/>
  <c r="BU17" i="8"/>
  <c r="CG17" i="8"/>
  <c r="BQ17" i="8"/>
  <c r="BP17" i="8"/>
  <c r="BT17" i="8"/>
  <c r="AF18" i="11"/>
  <c r="AE18" i="11"/>
  <c r="AC18" i="8" s="1"/>
  <c r="AU16" i="8"/>
  <c r="AT16" i="1" s="1"/>
  <c r="AO22" i="11"/>
  <c r="L22" i="11"/>
  <c r="E21" i="9"/>
  <c r="AG21" i="5"/>
  <c r="B21" i="1"/>
  <c r="BI21" i="1" s="1"/>
  <c r="B21" i="2"/>
  <c r="EQ20" i="8"/>
  <c r="CZ20" i="8" s="1"/>
  <c r="AB19" i="2"/>
  <c r="B22" i="5"/>
  <c r="E16" i="11"/>
  <c r="AO16" i="8"/>
  <c r="J5" i="11"/>
  <c r="P5" i="7" s="1"/>
  <c r="AR15" i="8"/>
  <c r="C15" i="9"/>
  <c r="BN15" i="1"/>
  <c r="AR15" i="1"/>
  <c r="V15" i="1" s="1"/>
  <c r="K16" i="1" s="1"/>
  <c r="BC23" i="5"/>
  <c r="AC22" i="1"/>
  <c r="BP24" i="5"/>
  <c r="AB23" i="1"/>
  <c r="BK25" i="5"/>
  <c r="AD23" i="1"/>
  <c r="BN26" i="5"/>
  <c r="AF24" i="1"/>
  <c r="BE23" i="5"/>
  <c r="J23" i="2" s="1"/>
  <c r="AE21" i="1"/>
  <c r="W21" i="1" s="1"/>
  <c r="AZ26" i="5"/>
  <c r="AP5" i="1"/>
  <c r="T5" i="1" s="1"/>
  <c r="C5" i="8"/>
  <c r="AC6" i="7"/>
  <c r="C6" i="11"/>
  <c r="V6" i="10"/>
  <c r="AN6" i="8"/>
  <c r="BK6" i="1"/>
  <c r="AJ6" i="5"/>
  <c r="O23" i="1"/>
  <c r="DK23" i="8" s="1"/>
  <c r="DI22" i="8"/>
  <c r="DJ22" i="8"/>
  <c r="AD19" i="9"/>
  <c r="AV19" i="1" s="1"/>
  <c r="N22" i="1"/>
  <c r="AA18" i="11"/>
  <c r="Y18" i="11"/>
  <c r="AH18" i="1" s="1"/>
  <c r="AB18" i="11"/>
  <c r="P18" i="8" s="1"/>
  <c r="AD18" i="11"/>
  <c r="AI18" i="1" s="1"/>
  <c r="AC18" i="11"/>
  <c r="T18" i="8" s="1"/>
  <c r="Z18" i="11"/>
  <c r="AC18" i="2" s="1"/>
  <c r="AT18" i="8"/>
  <c r="AQ18" i="8"/>
  <c r="F18" i="11"/>
  <c r="M19" i="1"/>
  <c r="AW18" i="8"/>
  <c r="BM16" i="1"/>
  <c r="AP16" i="8"/>
  <c r="CM24" i="8"/>
  <c r="AJ25" i="14"/>
  <c r="A24" i="2"/>
  <c r="K24" i="11"/>
  <c r="J25" i="10"/>
  <c r="M24" i="5"/>
  <c r="A24" i="9"/>
  <c r="AD24" i="8"/>
  <c r="A24" i="7"/>
  <c r="A24" i="8"/>
  <c r="B24" i="14"/>
  <c r="DR19" i="8"/>
  <c r="DS19" i="8"/>
  <c r="DN19" i="8"/>
  <c r="DO19" i="8"/>
  <c r="CS20" i="8"/>
  <c r="DP20" i="8" s="1"/>
  <c r="CT20" i="8"/>
  <c r="DQ20" i="8" s="1"/>
  <c r="CU20" i="8"/>
  <c r="Y22" i="1"/>
  <c r="J22" i="2"/>
  <c r="I26" i="8"/>
  <c r="Q25" i="2"/>
  <c r="EI18" i="8"/>
  <c r="AQ18" i="5"/>
  <c r="AU18" i="1" s="1"/>
  <c r="AK16" i="5"/>
  <c r="D16" i="11"/>
  <c r="AQ16" i="1"/>
  <c r="U16" i="1" s="1"/>
  <c r="J17" i="1" s="1"/>
  <c r="AP18" i="5"/>
  <c r="D22" i="10"/>
  <c r="F22" i="7"/>
  <c r="H23" i="5"/>
  <c r="AR22" i="5"/>
  <c r="DC18" i="8"/>
  <c r="EE18" i="8" s="1"/>
  <c r="EF18" i="8" s="1"/>
  <c r="A21" i="5"/>
  <c r="E21" i="5" s="1"/>
  <c r="EQ21" i="8" s="1"/>
  <c r="CZ21" i="8" s="1"/>
  <c r="V21" i="2"/>
  <c r="DY18" i="8"/>
  <c r="DZ18" i="8" s="1"/>
  <c r="I21" i="7"/>
  <c r="DD21" i="5"/>
  <c r="G21" i="10"/>
  <c r="K22" i="5"/>
  <c r="L22" i="5"/>
  <c r="DE21" i="5"/>
  <c r="H21" i="10"/>
  <c r="J21" i="7"/>
  <c r="DB22" i="5"/>
  <c r="G22" i="7"/>
  <c r="I23" i="5"/>
  <c r="E22" i="10"/>
  <c r="P19" i="1"/>
  <c r="D19" i="14" s="1"/>
  <c r="N19" i="7"/>
  <c r="E22" i="7"/>
  <c r="G23" i="5"/>
  <c r="CZ22" i="5"/>
  <c r="C22" i="10"/>
  <c r="CW19" i="8"/>
  <c r="CX19" i="8"/>
  <c r="CV19" i="8"/>
  <c r="DX19" i="8" s="1"/>
  <c r="DB19" i="8"/>
  <c r="EC19" i="8" s="1"/>
  <c r="ED19" i="8" s="1"/>
  <c r="DG19" i="8"/>
  <c r="EG19" i="8" s="1"/>
  <c r="CY19" i="8"/>
  <c r="EA19" i="8" s="1"/>
  <c r="AA23" i="7"/>
  <c r="AE23" i="8" s="1"/>
  <c r="BC23" i="8" s="1"/>
  <c r="K23" i="10"/>
  <c r="R23" i="2"/>
  <c r="J24" i="8"/>
  <c r="H23" i="7"/>
  <c r="J24" i="5"/>
  <c r="DC23" i="5"/>
  <c r="F23" i="10"/>
  <c r="DF24" i="8"/>
  <c r="M24" i="2"/>
  <c r="Y5" i="2"/>
  <c r="X5" i="2" s="1"/>
  <c r="AN19" i="5"/>
  <c r="DA22" i="5"/>
  <c r="Q19" i="7"/>
  <c r="AE19" i="7"/>
  <c r="AF19" i="7" s="1"/>
  <c r="N23" i="2"/>
  <c r="B25" i="10"/>
  <c r="D25" i="7"/>
  <c r="F26" i="5"/>
  <c r="DE24" i="8"/>
  <c r="O24" i="2"/>
  <c r="CR19" i="8"/>
  <c r="CO19" i="8"/>
  <c r="CN19" i="8"/>
  <c r="D20" i="9"/>
  <c r="H26" i="8"/>
  <c r="P25" i="2"/>
  <c r="AU20" i="5"/>
  <c r="W20" i="8"/>
  <c r="B20" i="7"/>
  <c r="BO20" i="8"/>
  <c r="DM20" i="8" s="1"/>
  <c r="AV20" i="5"/>
  <c r="AI20" i="5"/>
  <c r="E20" i="1"/>
  <c r="BN20" i="8"/>
  <c r="AH20" i="5"/>
  <c r="Q20" i="1"/>
  <c r="E20" i="14" s="1"/>
  <c r="B20" i="9"/>
  <c r="A20" i="11"/>
  <c r="A20" i="10"/>
  <c r="AA20" i="10" s="1"/>
  <c r="BS20" i="5"/>
  <c r="C20" i="14"/>
  <c r="EO20" i="8"/>
  <c r="DT20" i="8" s="1"/>
  <c r="AB20" i="8"/>
  <c r="DL20" i="8"/>
  <c r="CQ20" i="8"/>
  <c r="DA20" i="8" s="1"/>
  <c r="N19" i="11"/>
  <c r="X23" i="1"/>
  <c r="DH19" i="8"/>
  <c r="EH19" i="8" s="1"/>
  <c r="EP19" i="8"/>
  <c r="CY23" i="5"/>
  <c r="AO19" i="5"/>
  <c r="AC19" i="10"/>
  <c r="X19" i="10" s="1"/>
  <c r="Y19" i="10" s="1"/>
  <c r="AM19" i="5"/>
  <c r="AL19" i="5"/>
  <c r="DG23" i="5"/>
  <c r="S24" i="2"/>
  <c r="K25" i="8"/>
  <c r="DF21" i="5"/>
  <c r="AU17" i="8" l="1"/>
  <c r="AT17" i="1" s="1"/>
  <c r="CA20" i="8"/>
  <c r="CH20" i="8"/>
  <c r="AV17" i="8"/>
  <c r="AW17" i="1" s="1"/>
  <c r="L17" i="1" s="1"/>
  <c r="E17" i="11" s="1"/>
  <c r="AF19" i="11"/>
  <c r="AE19" i="11"/>
  <c r="AC19" i="8" s="1"/>
  <c r="BT18" i="8"/>
  <c r="CG18" i="8"/>
  <c r="CF18" i="8"/>
  <c r="BQ18" i="8"/>
  <c r="BZ18" i="8"/>
  <c r="BP18" i="8"/>
  <c r="BY18" i="8"/>
  <c r="BU18" i="8"/>
  <c r="AO23" i="11"/>
  <c r="L23" i="11"/>
  <c r="AG22" i="5"/>
  <c r="E22" i="9"/>
  <c r="B22" i="1"/>
  <c r="BI22" i="1" s="1"/>
  <c r="B22" i="2"/>
  <c r="I6" i="1"/>
  <c r="AO6" i="1" s="1"/>
  <c r="F5" i="9"/>
  <c r="AR16" i="8"/>
  <c r="C16" i="9"/>
  <c r="BN16" i="1"/>
  <c r="AR16" i="1"/>
  <c r="V16" i="1" s="1"/>
  <c r="K17" i="1" s="1"/>
  <c r="AC23" i="1"/>
  <c r="BC24" i="5"/>
  <c r="BP25" i="5"/>
  <c r="AB24" i="1"/>
  <c r="AZ27" i="5"/>
  <c r="BK26" i="5"/>
  <c r="AD24" i="1"/>
  <c r="BN27" i="5"/>
  <c r="AF25" i="1"/>
  <c r="BE24" i="5"/>
  <c r="AE22" i="1"/>
  <c r="W22" i="1" s="1"/>
  <c r="O24" i="1"/>
  <c r="DK24" i="8" s="1"/>
  <c r="DI23" i="8"/>
  <c r="DJ23" i="8"/>
  <c r="AD20" i="9"/>
  <c r="AV20" i="1" s="1"/>
  <c r="N23" i="1"/>
  <c r="AA19" i="11"/>
  <c r="Y19" i="11"/>
  <c r="AH19" i="1" s="1"/>
  <c r="AC19" i="11"/>
  <c r="T19" i="8" s="1"/>
  <c r="AD19" i="11"/>
  <c r="AI19" i="1" s="1"/>
  <c r="Z19" i="11"/>
  <c r="AC19" i="2" s="1"/>
  <c r="AB19" i="11"/>
  <c r="P19" i="8" s="1"/>
  <c r="AT19" i="8"/>
  <c r="AQ19" i="8"/>
  <c r="F19" i="11"/>
  <c r="M20" i="1"/>
  <c r="AW19" i="8"/>
  <c r="AK17" i="5"/>
  <c r="AP17" i="8"/>
  <c r="AJ26" i="14"/>
  <c r="CM25" i="8"/>
  <c r="A25" i="2"/>
  <c r="A25" i="9"/>
  <c r="A25" i="8"/>
  <c r="A25" i="7"/>
  <c r="B25" i="14"/>
  <c r="AD25" i="8"/>
  <c r="M25" i="5"/>
  <c r="J26" i="10"/>
  <c r="K25" i="11"/>
  <c r="DR20" i="8"/>
  <c r="DS20" i="8"/>
  <c r="DN20" i="8"/>
  <c r="DO20" i="8"/>
  <c r="CU21" i="8"/>
  <c r="CS21" i="8"/>
  <c r="DP21" i="8" s="1"/>
  <c r="CT21" i="8"/>
  <c r="DQ21" i="8" s="1"/>
  <c r="Y23" i="1"/>
  <c r="B23" i="5"/>
  <c r="I27" i="8"/>
  <c r="B43" i="4" s="1"/>
  <c r="Q26" i="2"/>
  <c r="AQ17" i="1"/>
  <c r="U17" i="1" s="1"/>
  <c r="J18" i="1" s="1"/>
  <c r="BM17" i="1"/>
  <c r="D17" i="11"/>
  <c r="F23" i="7"/>
  <c r="D23" i="10"/>
  <c r="H24" i="5"/>
  <c r="V22" i="2"/>
  <c r="AR23" i="5"/>
  <c r="A22" i="5"/>
  <c r="E22" i="5" s="1"/>
  <c r="EQ22" i="8" s="1"/>
  <c r="CZ22" i="8" s="1"/>
  <c r="DD22" i="5"/>
  <c r="K23" i="5"/>
  <c r="G22" i="10"/>
  <c r="I22" i="7"/>
  <c r="L23" i="5"/>
  <c r="J22" i="7"/>
  <c r="DE22" i="5"/>
  <c r="H22" i="10"/>
  <c r="G23" i="7"/>
  <c r="E23" i="10"/>
  <c r="DB23" i="5"/>
  <c r="I24" i="5"/>
  <c r="AP19" i="5"/>
  <c r="DY19" i="8"/>
  <c r="DZ19" i="8" s="1"/>
  <c r="P20" i="1"/>
  <c r="D20" i="14" s="1"/>
  <c r="CO20" i="8"/>
  <c r="CR20" i="8"/>
  <c r="CN20" i="8"/>
  <c r="DH20" i="8"/>
  <c r="EH20" i="8" s="1"/>
  <c r="EP20" i="8"/>
  <c r="B26" i="10"/>
  <c r="D26" i="7"/>
  <c r="F27" i="5"/>
  <c r="AH19" i="7"/>
  <c r="AG19" i="7"/>
  <c r="AI19" i="7" s="1"/>
  <c r="R24" i="2"/>
  <c r="J25" i="8"/>
  <c r="AQ19" i="5"/>
  <c r="AU19" i="1" s="1"/>
  <c r="DC19" i="8"/>
  <c r="DD19" i="8"/>
  <c r="N20" i="7"/>
  <c r="AE20" i="7"/>
  <c r="AF20" i="7" s="1"/>
  <c r="Q20" i="7"/>
  <c r="M25" i="2"/>
  <c r="DF25" i="8"/>
  <c r="D21" i="9"/>
  <c r="AA24" i="7"/>
  <c r="AE24" i="8" s="1"/>
  <c r="BC24" i="8" s="1"/>
  <c r="K24" i="10"/>
  <c r="H27" i="8"/>
  <c r="B37" i="4" s="1"/>
  <c r="P26" i="2"/>
  <c r="W21" i="8"/>
  <c r="A21" i="10"/>
  <c r="AA21" i="10" s="1"/>
  <c r="B21" i="9"/>
  <c r="A21" i="11"/>
  <c r="Q21" i="1"/>
  <c r="E21" i="14" s="1"/>
  <c r="C21" i="14"/>
  <c r="B21" i="7"/>
  <c r="BN21" i="8"/>
  <c r="AI21" i="5"/>
  <c r="E21" i="1"/>
  <c r="BO21" i="8"/>
  <c r="DM21" i="8" s="1"/>
  <c r="AU21" i="5"/>
  <c r="BS21" i="5"/>
  <c r="AH21" i="5"/>
  <c r="AV21" i="5"/>
  <c r="AB20" i="2"/>
  <c r="EO21" i="8"/>
  <c r="DT21" i="8" s="1"/>
  <c r="AB21" i="8"/>
  <c r="CQ21" i="8"/>
  <c r="DA21" i="8" s="1"/>
  <c r="DL21" i="8"/>
  <c r="CX20" i="8"/>
  <c r="CW20" i="8"/>
  <c r="DB20" i="8"/>
  <c r="EC20" i="8" s="1"/>
  <c r="ED20" i="8" s="1"/>
  <c r="CY20" i="8"/>
  <c r="EA20" i="8" s="1"/>
  <c r="CV20" i="8"/>
  <c r="DX20" i="8" s="1"/>
  <c r="DG20" i="8"/>
  <c r="EG20" i="8" s="1"/>
  <c r="N20" i="11"/>
  <c r="O25" i="2"/>
  <c r="DE25" i="8"/>
  <c r="N24" i="2"/>
  <c r="EB19" i="8"/>
  <c r="DG24" i="5"/>
  <c r="CY24" i="5"/>
  <c r="X24" i="1"/>
  <c r="DA23" i="5"/>
  <c r="E23" i="7"/>
  <c r="G24" i="5"/>
  <c r="C23" i="10"/>
  <c r="CZ23" i="5"/>
  <c r="AN20" i="5"/>
  <c r="S25" i="2"/>
  <c r="K26" i="8"/>
  <c r="AC20" i="10"/>
  <c r="X20" i="10" s="1"/>
  <c r="Y20" i="10" s="1"/>
  <c r="AM20" i="5"/>
  <c r="AO20" i="5"/>
  <c r="AL20" i="5"/>
  <c r="BD6" i="8"/>
  <c r="AB6" i="7"/>
  <c r="E6" i="2"/>
  <c r="L6" i="2"/>
  <c r="B6" i="8"/>
  <c r="D6" i="2" s="1"/>
  <c r="H6" i="11"/>
  <c r="F24" i="10"/>
  <c r="J25" i="5"/>
  <c r="DC24" i="5"/>
  <c r="H24" i="7"/>
  <c r="EI19" i="8"/>
  <c r="DF22" i="5"/>
  <c r="AO17" i="8" l="1"/>
  <c r="BO17" i="1"/>
  <c r="CA21" i="8"/>
  <c r="CH21" i="8"/>
  <c r="AV18" i="8"/>
  <c r="AW18" i="1" s="1"/>
  <c r="L18" i="1" s="1"/>
  <c r="BO18" i="1" s="1"/>
  <c r="AE20" i="11"/>
  <c r="AC20" i="8" s="1"/>
  <c r="AF20" i="11"/>
  <c r="AU18" i="8"/>
  <c r="AT18" i="1" s="1"/>
  <c r="BP19" i="8"/>
  <c r="BY19" i="8"/>
  <c r="BT19" i="8"/>
  <c r="BZ19" i="8"/>
  <c r="BU19" i="8"/>
  <c r="CG19" i="8"/>
  <c r="CF19" i="8"/>
  <c r="BQ19" i="8"/>
  <c r="AO24" i="11"/>
  <c r="L24" i="11"/>
  <c r="AG23" i="5"/>
  <c r="E23" i="9"/>
  <c r="B23" i="2"/>
  <c r="B23" i="1"/>
  <c r="BI23" i="1" s="1"/>
  <c r="BL6" i="1"/>
  <c r="AS6" i="8"/>
  <c r="BN17" i="1"/>
  <c r="C17" i="9"/>
  <c r="AR17" i="1"/>
  <c r="V17" i="1" s="1"/>
  <c r="K18" i="1" s="1"/>
  <c r="AR17" i="8"/>
  <c r="BC25" i="5"/>
  <c r="AC24" i="1"/>
  <c r="BN28" i="5"/>
  <c r="AF26" i="1"/>
  <c r="BE25" i="5"/>
  <c r="AE23" i="1"/>
  <c r="W23" i="1" s="1"/>
  <c r="BP26" i="5"/>
  <c r="AB25" i="1"/>
  <c r="AZ28" i="5"/>
  <c r="BK27" i="5"/>
  <c r="AD25" i="1"/>
  <c r="O25" i="1"/>
  <c r="DK25" i="8" s="1"/>
  <c r="DJ24" i="8"/>
  <c r="DI24" i="8"/>
  <c r="AD21" i="9"/>
  <c r="AV21" i="1" s="1"/>
  <c r="N24" i="1"/>
  <c r="AA20" i="11"/>
  <c r="AC20" i="11"/>
  <c r="T20" i="8" s="1"/>
  <c r="Y20" i="11"/>
  <c r="AH20" i="1" s="1"/>
  <c r="Z20" i="11"/>
  <c r="AC20" i="2" s="1"/>
  <c r="AB20" i="11"/>
  <c r="P20" i="8" s="1"/>
  <c r="AD20" i="11"/>
  <c r="AI20" i="1" s="1"/>
  <c r="AT20" i="8"/>
  <c r="AQ20" i="8"/>
  <c r="M21" i="1"/>
  <c r="F20" i="11"/>
  <c r="AW20" i="8"/>
  <c r="AK18" i="5"/>
  <c r="AP18" i="8"/>
  <c r="CM26" i="8"/>
  <c r="AJ27" i="14"/>
  <c r="A26" i="2"/>
  <c r="M26" i="5"/>
  <c r="A26" i="8"/>
  <c r="A26" i="7"/>
  <c r="AD26" i="8"/>
  <c r="K26" i="11"/>
  <c r="J27" i="10"/>
  <c r="B26" i="14"/>
  <c r="A26" i="9"/>
  <c r="DR21" i="8"/>
  <c r="DS21" i="8"/>
  <c r="DN21" i="8"/>
  <c r="DO21" i="8"/>
  <c r="CS22" i="8"/>
  <c r="DP22" i="8" s="1"/>
  <c r="CT22" i="8"/>
  <c r="DQ22" i="8" s="1"/>
  <c r="CU22" i="8"/>
  <c r="Y24" i="1"/>
  <c r="Q27" i="2"/>
  <c r="I28" i="8"/>
  <c r="DL22" i="8"/>
  <c r="BM18" i="1"/>
  <c r="D18" i="11"/>
  <c r="AQ18" i="1"/>
  <c r="U18" i="1" s="1"/>
  <c r="J19" i="1" s="1"/>
  <c r="BO22" i="8"/>
  <c r="DM22" i="8" s="1"/>
  <c r="BN22" i="8"/>
  <c r="CR22" i="8" s="1"/>
  <c r="F24" i="7"/>
  <c r="H25" i="5"/>
  <c r="D24" i="10"/>
  <c r="AR24" i="5"/>
  <c r="B22" i="7"/>
  <c r="Q22" i="7" s="1"/>
  <c r="CQ22" i="8"/>
  <c r="DA22" i="8" s="1"/>
  <c r="AV22" i="5"/>
  <c r="C22" i="14"/>
  <c r="EO22" i="8"/>
  <c r="A22" i="11"/>
  <c r="A22" i="10"/>
  <c r="AA22" i="10" s="1"/>
  <c r="B22" i="9"/>
  <c r="AB21" i="2"/>
  <c r="AH22" i="5"/>
  <c r="W22" i="8"/>
  <c r="Q22" i="1"/>
  <c r="E22" i="14" s="1"/>
  <c r="A23" i="5"/>
  <c r="E23" i="5" s="1"/>
  <c r="EQ23" i="8" s="1"/>
  <c r="CZ23" i="8" s="1"/>
  <c r="AU22" i="5"/>
  <c r="E22" i="1"/>
  <c r="AB22" i="8"/>
  <c r="BS22" i="5"/>
  <c r="AI22" i="5"/>
  <c r="DD23" i="5"/>
  <c r="V23" i="2"/>
  <c r="I23" i="7"/>
  <c r="G23" i="10"/>
  <c r="K24" i="5"/>
  <c r="H23" i="10"/>
  <c r="L24" i="5"/>
  <c r="DE23" i="5"/>
  <c r="J23" i="7"/>
  <c r="DB24" i="5"/>
  <c r="G24" i="7"/>
  <c r="E24" i="10"/>
  <c r="I25" i="5"/>
  <c r="P21" i="1"/>
  <c r="D21" i="14" s="1"/>
  <c r="EI20" i="8"/>
  <c r="AQ20" i="5"/>
  <c r="AU20" i="1" s="1"/>
  <c r="DY20" i="8"/>
  <c r="DZ20" i="8" s="1"/>
  <c r="AP20" i="5"/>
  <c r="DA24" i="5"/>
  <c r="DC20" i="8"/>
  <c r="DD20" i="8"/>
  <c r="DG25" i="5"/>
  <c r="N21" i="11"/>
  <c r="EB20" i="8"/>
  <c r="J26" i="8"/>
  <c r="R25" i="2"/>
  <c r="J24" i="2"/>
  <c r="AM21" i="5"/>
  <c r="AC21" i="10"/>
  <c r="X21" i="10" s="1"/>
  <c r="Y21" i="10" s="1"/>
  <c r="AO21" i="5"/>
  <c r="AL21" i="5"/>
  <c r="H28" i="8"/>
  <c r="P27" i="2"/>
  <c r="B24" i="5"/>
  <c r="EE19" i="8"/>
  <c r="EF19" i="8" s="1"/>
  <c r="X25" i="1"/>
  <c r="DE26" i="8"/>
  <c r="O26" i="2"/>
  <c r="AE21" i="7"/>
  <c r="AF21" i="7" s="1"/>
  <c r="Q21" i="7"/>
  <c r="M26" i="2"/>
  <c r="DF26" i="8"/>
  <c r="DG21" i="8"/>
  <c r="EG21" i="8" s="1"/>
  <c r="CV21" i="8"/>
  <c r="DX21" i="8" s="1"/>
  <c r="CY21" i="8"/>
  <c r="EA21" i="8" s="1"/>
  <c r="CW21" i="8"/>
  <c r="CX21" i="8"/>
  <c r="DB21" i="8"/>
  <c r="EC21" i="8" s="1"/>
  <c r="ED21" i="8" s="1"/>
  <c r="U6" i="2"/>
  <c r="W5" i="2" s="1"/>
  <c r="C6" i="2" s="1"/>
  <c r="CR21" i="8"/>
  <c r="CN21" i="8"/>
  <c r="CO21" i="8"/>
  <c r="DH21" i="8"/>
  <c r="EH21" i="8" s="1"/>
  <c r="EP21" i="8"/>
  <c r="AG20" i="7"/>
  <c r="AI20" i="7" s="1"/>
  <c r="AH20" i="7"/>
  <c r="B27" i="10"/>
  <c r="D27" i="7"/>
  <c r="F28" i="5"/>
  <c r="AN21" i="5"/>
  <c r="H25" i="7"/>
  <c r="DC25" i="5"/>
  <c r="F25" i="10"/>
  <c r="J26" i="5"/>
  <c r="K27" i="8"/>
  <c r="B45" i="4" s="1"/>
  <c r="S26" i="2"/>
  <c r="CZ24" i="5"/>
  <c r="C24" i="10"/>
  <c r="E24" i="7"/>
  <c r="G25" i="5"/>
  <c r="CY25" i="5"/>
  <c r="N25" i="2"/>
  <c r="N21" i="7"/>
  <c r="K25" i="10"/>
  <c r="AA25" i="7"/>
  <c r="AE25" i="8" s="1"/>
  <c r="BC25" i="8" s="1"/>
  <c r="D22" i="9"/>
  <c r="DF23" i="5"/>
  <c r="E18" i="11" l="1"/>
  <c r="AO18" i="8"/>
  <c r="CA22" i="8"/>
  <c r="CH22" i="8"/>
  <c r="AU19" i="8"/>
  <c r="AT19" i="1" s="1"/>
  <c r="AV19" i="8"/>
  <c r="AW19" i="1" s="1"/>
  <c r="L19" i="1" s="1"/>
  <c r="BO19" i="1" s="1"/>
  <c r="BP20" i="8"/>
  <c r="CG20" i="8"/>
  <c r="BU20" i="8"/>
  <c r="BY20" i="8"/>
  <c r="BT20" i="8"/>
  <c r="BZ20" i="8"/>
  <c r="CF20" i="8"/>
  <c r="BQ20" i="8"/>
  <c r="AV20" i="8" s="1"/>
  <c r="AW20" i="1" s="1"/>
  <c r="AF21" i="11"/>
  <c r="AE21" i="11"/>
  <c r="AC21" i="8" s="1"/>
  <c r="AO25" i="11"/>
  <c r="L25" i="11"/>
  <c r="E24" i="9"/>
  <c r="AG24" i="5"/>
  <c r="B24" i="2"/>
  <c r="B24" i="1"/>
  <c r="BI24" i="1" s="1"/>
  <c r="C18" i="9"/>
  <c r="AR18" i="1"/>
  <c r="V18" i="1" s="1"/>
  <c r="K19" i="1" s="1"/>
  <c r="BN18" i="1"/>
  <c r="AR18" i="8"/>
  <c r="AC25" i="1"/>
  <c r="BC26" i="5"/>
  <c r="B25" i="5"/>
  <c r="J25" i="2"/>
  <c r="AZ29" i="5"/>
  <c r="BN29" i="5"/>
  <c r="AF27" i="1"/>
  <c r="BK28" i="5"/>
  <c r="AD26" i="1"/>
  <c r="BE26" i="5"/>
  <c r="B26" i="5" s="1"/>
  <c r="AE24" i="1"/>
  <c r="W24" i="1" s="1"/>
  <c r="BP27" i="5"/>
  <c r="AB26" i="1"/>
  <c r="O26" i="1"/>
  <c r="DK26" i="8" s="1"/>
  <c r="DI25" i="8"/>
  <c r="DJ25" i="8"/>
  <c r="AD22" i="9"/>
  <c r="AV22" i="1" s="1"/>
  <c r="N25" i="1"/>
  <c r="Y21" i="11"/>
  <c r="AH21" i="1" s="1"/>
  <c r="AC21" i="11"/>
  <c r="T21" i="8" s="1"/>
  <c r="AA21" i="11"/>
  <c r="AB21" i="11"/>
  <c r="P21" i="8" s="1"/>
  <c r="AD21" i="11"/>
  <c r="AI21" i="1" s="1"/>
  <c r="Z21" i="11"/>
  <c r="AC21" i="2" s="1"/>
  <c r="AT21" i="8"/>
  <c r="AQ21" i="8"/>
  <c r="F21" i="11"/>
  <c r="M22" i="1"/>
  <c r="AW21" i="8"/>
  <c r="AK19" i="5"/>
  <c r="AP19" i="8"/>
  <c r="AJ28" i="14"/>
  <c r="CM27" i="8"/>
  <c r="A27" i="2"/>
  <c r="M27" i="5"/>
  <c r="J28" i="10"/>
  <c r="A27" i="8"/>
  <c r="K27" i="11"/>
  <c r="A27" i="9"/>
  <c r="A27" i="7"/>
  <c r="AD27" i="8"/>
  <c r="B27" i="14"/>
  <c r="DH22" i="8"/>
  <c r="EH22" i="8" s="1"/>
  <c r="DT22" i="8"/>
  <c r="DR22" i="8"/>
  <c r="DS22" i="8"/>
  <c r="DN22" i="8"/>
  <c r="DO22" i="8"/>
  <c r="N22" i="11"/>
  <c r="CS23" i="8"/>
  <c r="DP23" i="8" s="1"/>
  <c r="CT23" i="8"/>
  <c r="DQ23" i="8" s="1"/>
  <c r="CU23" i="8"/>
  <c r="Y25" i="1"/>
  <c r="Q28" i="2"/>
  <c r="I29" i="8"/>
  <c r="D23" i="9"/>
  <c r="CO22" i="8"/>
  <c r="DL23" i="8"/>
  <c r="CN22" i="8"/>
  <c r="AM22" i="5"/>
  <c r="AO22" i="5"/>
  <c r="AR25" i="5"/>
  <c r="A24" i="5"/>
  <c r="E24" i="5" s="1"/>
  <c r="EQ24" i="8" s="1"/>
  <c r="CZ24" i="8" s="1"/>
  <c r="E23" i="1"/>
  <c r="W23" i="8"/>
  <c r="CQ23" i="8"/>
  <c r="DA23" i="8" s="1"/>
  <c r="EP22" i="8"/>
  <c r="D25" i="10"/>
  <c r="F25" i="7"/>
  <c r="H26" i="5"/>
  <c r="B23" i="9"/>
  <c r="AI23" i="5"/>
  <c r="A23" i="10"/>
  <c r="AA23" i="10" s="1"/>
  <c r="AH23" i="5"/>
  <c r="AC23" i="10" s="1"/>
  <c r="BN23" i="8"/>
  <c r="CR23" i="8" s="1"/>
  <c r="AB23" i="8"/>
  <c r="Q23" i="1"/>
  <c r="E23" i="14" s="1"/>
  <c r="A23" i="11"/>
  <c r="EO23" i="8"/>
  <c r="AU23" i="5"/>
  <c r="B23" i="7"/>
  <c r="AE23" i="7" s="1"/>
  <c r="AF23" i="7" s="1"/>
  <c r="AL22" i="5"/>
  <c r="AB22" i="2"/>
  <c r="C23" i="14"/>
  <c r="BS23" i="5"/>
  <c r="AV23" i="5"/>
  <c r="BO23" i="8"/>
  <c r="DM23" i="8" s="1"/>
  <c r="DB22" i="8"/>
  <c r="EC22" i="8" s="1"/>
  <c r="ED22" i="8" s="1"/>
  <c r="CV22" i="8"/>
  <c r="DX22" i="8" s="1"/>
  <c r="EB22" i="8" s="1"/>
  <c r="AE22" i="7"/>
  <c r="AF22" i="7" s="1"/>
  <c r="AC22" i="10"/>
  <c r="X22" i="10" s="1"/>
  <c r="Y22" i="10" s="1"/>
  <c r="CX22" i="8"/>
  <c r="DG22" i="8"/>
  <c r="EG22" i="8" s="1"/>
  <c r="CY22" i="8"/>
  <c r="EA22" i="8" s="1"/>
  <c r="V24" i="2"/>
  <c r="CW22" i="8"/>
  <c r="N22" i="7"/>
  <c r="AN22" i="5"/>
  <c r="I24" i="7"/>
  <c r="K25" i="5"/>
  <c r="DD24" i="5"/>
  <c r="G24" i="10"/>
  <c r="DE24" i="5"/>
  <c r="H24" i="10"/>
  <c r="L25" i="5"/>
  <c r="J24" i="7"/>
  <c r="I26" i="5"/>
  <c r="G25" i="7"/>
  <c r="E25" i="10"/>
  <c r="DB25" i="5"/>
  <c r="P22" i="1"/>
  <c r="EE20" i="8"/>
  <c r="EF20" i="8" s="1"/>
  <c r="D19" i="11"/>
  <c r="BM19" i="1"/>
  <c r="AQ19" i="1"/>
  <c r="U19" i="1" s="1"/>
  <c r="J20" i="1" s="1"/>
  <c r="AQ21" i="5"/>
  <c r="AU21" i="1" s="1"/>
  <c r="DY21" i="8"/>
  <c r="DZ21" i="8" s="1"/>
  <c r="CY26" i="5"/>
  <c r="F29" i="5"/>
  <c r="D28" i="7"/>
  <c r="B28" i="10"/>
  <c r="O27" i="2"/>
  <c r="DE27" i="8"/>
  <c r="DD22" i="8"/>
  <c r="DC22" i="8"/>
  <c r="EI21" i="8"/>
  <c r="H6" i="2"/>
  <c r="I6" i="2"/>
  <c r="AA6" i="1" s="1"/>
  <c r="S6" i="1" s="1"/>
  <c r="H7" i="1" s="1"/>
  <c r="F6" i="2"/>
  <c r="F6" i="1"/>
  <c r="EB21" i="8"/>
  <c r="J27" i="8"/>
  <c r="B44" i="4" s="1"/>
  <c r="R26" i="2"/>
  <c r="AP21" i="5"/>
  <c r="K26" i="10"/>
  <c r="AA26" i="7"/>
  <c r="AE26" i="8" s="1"/>
  <c r="BC26" i="8" s="1"/>
  <c r="K28" i="8"/>
  <c r="S27" i="2"/>
  <c r="AH21" i="7"/>
  <c r="AG21" i="7"/>
  <c r="AI21" i="7" s="1"/>
  <c r="P28" i="2"/>
  <c r="H29" i="8"/>
  <c r="N26" i="2"/>
  <c r="E25" i="7"/>
  <c r="CZ25" i="5"/>
  <c r="C25" i="10"/>
  <c r="G26" i="5"/>
  <c r="M27" i="2"/>
  <c r="DF27" i="8"/>
  <c r="J27" i="5"/>
  <c r="DC26" i="5"/>
  <c r="H26" i="7"/>
  <c r="F26" i="10"/>
  <c r="DC21" i="8"/>
  <c r="DD21" i="8"/>
  <c r="X26" i="1"/>
  <c r="DG26" i="5"/>
  <c r="DA25" i="5"/>
  <c r="DF24" i="5"/>
  <c r="CA23" i="8" l="1"/>
  <c r="CH23" i="8"/>
  <c r="AO19" i="8"/>
  <c r="E19" i="11"/>
  <c r="BT21" i="8"/>
  <c r="BY21" i="8"/>
  <c r="BZ21" i="8"/>
  <c r="BQ21" i="8"/>
  <c r="CG21" i="8"/>
  <c r="CF21" i="8"/>
  <c r="BP21" i="8"/>
  <c r="BU21" i="8"/>
  <c r="AE22" i="11"/>
  <c r="AC22" i="8" s="1"/>
  <c r="AF22" i="11"/>
  <c r="L20" i="1"/>
  <c r="BO20" i="1" s="1"/>
  <c r="AU20" i="8"/>
  <c r="AT20" i="1" s="1"/>
  <c r="AO26" i="11"/>
  <c r="L26" i="11"/>
  <c r="E25" i="9"/>
  <c r="AG25" i="5"/>
  <c r="B25" i="2"/>
  <c r="B25" i="1"/>
  <c r="BI25" i="1" s="1"/>
  <c r="AO20" i="8"/>
  <c r="AR19" i="8"/>
  <c r="AR19" i="1"/>
  <c r="V19" i="1" s="1"/>
  <c r="K20" i="1" s="1"/>
  <c r="BN19" i="1"/>
  <c r="C19" i="9"/>
  <c r="AC26" i="1"/>
  <c r="BC27" i="5"/>
  <c r="BE27" i="5"/>
  <c r="AE25" i="1"/>
  <c r="AZ30" i="5"/>
  <c r="BP28" i="5"/>
  <c r="AB27" i="1"/>
  <c r="BN30" i="5"/>
  <c r="AF28" i="1"/>
  <c r="BK29" i="5"/>
  <c r="AD27" i="1"/>
  <c r="O27" i="1"/>
  <c r="DI26" i="8"/>
  <c r="DJ26" i="8"/>
  <c r="AD23" i="9"/>
  <c r="AV23" i="1" s="1"/>
  <c r="N26" i="1"/>
  <c r="AC22" i="11"/>
  <c r="T22" i="8" s="1"/>
  <c r="Y22" i="11"/>
  <c r="AH22" i="1" s="1"/>
  <c r="AA22" i="11"/>
  <c r="AD22" i="11"/>
  <c r="AI22" i="1" s="1"/>
  <c r="Z22" i="11"/>
  <c r="AC22" i="2" s="1"/>
  <c r="AB22" i="11"/>
  <c r="P22" i="8" s="1"/>
  <c r="AT22" i="8"/>
  <c r="AQ22" i="8"/>
  <c r="F22" i="11"/>
  <c r="M23" i="1"/>
  <c r="AW22" i="8"/>
  <c r="AK20" i="5"/>
  <c r="AP20" i="8"/>
  <c r="CM28" i="8"/>
  <c r="AJ29" i="14"/>
  <c r="A28" i="2"/>
  <c r="M28" i="5"/>
  <c r="J29" i="10"/>
  <c r="B28" i="14"/>
  <c r="K28" i="11"/>
  <c r="AD28" i="8"/>
  <c r="A28" i="7"/>
  <c r="A28" i="9"/>
  <c r="A28" i="8"/>
  <c r="DR23" i="8"/>
  <c r="DS23" i="8"/>
  <c r="EI22" i="8"/>
  <c r="EP23" i="8"/>
  <c r="DT23" i="8"/>
  <c r="DG23" i="8"/>
  <c r="EG23" i="8" s="1"/>
  <c r="DN23" i="8"/>
  <c r="DO23" i="8"/>
  <c r="A24" i="10"/>
  <c r="AA24" i="10" s="1"/>
  <c r="CU24" i="8"/>
  <c r="CS24" i="8"/>
  <c r="DP24" i="8" s="1"/>
  <c r="CT24" i="8"/>
  <c r="DQ24" i="8" s="1"/>
  <c r="Y26" i="1"/>
  <c r="AH22" i="7"/>
  <c r="Q23" i="7"/>
  <c r="Q29" i="2"/>
  <c r="I30" i="8"/>
  <c r="AB23" i="2"/>
  <c r="X23" i="10"/>
  <c r="Y23" i="10" s="1"/>
  <c r="AL23" i="5"/>
  <c r="CO23" i="8"/>
  <c r="W24" i="8"/>
  <c r="CN23" i="8"/>
  <c r="AQ22" i="5"/>
  <c r="AU22" i="1" s="1"/>
  <c r="AM23" i="5"/>
  <c r="D24" i="9"/>
  <c r="BN24" i="8"/>
  <c r="CR24" i="8" s="1"/>
  <c r="AH24" i="5"/>
  <c r="AC24" i="10" s="1"/>
  <c r="AP22" i="5"/>
  <c r="AO23" i="5"/>
  <c r="N23" i="11"/>
  <c r="E24" i="1"/>
  <c r="AI24" i="5"/>
  <c r="DH23" i="8"/>
  <c r="EH23" i="8" s="1"/>
  <c r="DL24" i="8"/>
  <c r="BO24" i="8"/>
  <c r="DM24" i="8" s="1"/>
  <c r="A24" i="11"/>
  <c r="AB24" i="8"/>
  <c r="B24" i="9"/>
  <c r="Q24" i="1"/>
  <c r="E24" i="14" s="1"/>
  <c r="AG22" i="7"/>
  <c r="AI22" i="7" s="1"/>
  <c r="EO24" i="8"/>
  <c r="B24" i="7"/>
  <c r="AE24" i="7" s="1"/>
  <c r="AF24" i="7" s="1"/>
  <c r="AV24" i="5"/>
  <c r="BS24" i="5"/>
  <c r="C24" i="14"/>
  <c r="CQ24" i="8"/>
  <c r="DA24" i="8" s="1"/>
  <c r="AU24" i="5"/>
  <c r="DB23" i="8"/>
  <c r="EC23" i="8" s="1"/>
  <c r="ED23" i="8" s="1"/>
  <c r="AN23" i="5"/>
  <c r="CW23" i="8"/>
  <c r="CV23" i="8"/>
  <c r="DX23" i="8" s="1"/>
  <c r="EB23" i="8" s="1"/>
  <c r="CX23" i="8"/>
  <c r="DY22" i="8"/>
  <c r="DZ22" i="8" s="1"/>
  <c r="CY23" i="8"/>
  <c r="EA23" i="8" s="1"/>
  <c r="F26" i="7"/>
  <c r="D26" i="10"/>
  <c r="H27" i="5"/>
  <c r="N23" i="7"/>
  <c r="P23" i="1"/>
  <c r="D23" i="14" s="1"/>
  <c r="AR26" i="5"/>
  <c r="V25" i="2"/>
  <c r="A25" i="5"/>
  <c r="E25" i="5" s="1"/>
  <c r="EQ25" i="8" s="1"/>
  <c r="CZ25" i="8" s="1"/>
  <c r="DD25" i="5"/>
  <c r="I25" i="7"/>
  <c r="K26" i="5"/>
  <c r="G25" i="10"/>
  <c r="H25" i="10"/>
  <c r="L26" i="5"/>
  <c r="DE25" i="5"/>
  <c r="J25" i="7"/>
  <c r="I27" i="5"/>
  <c r="E26" i="10"/>
  <c r="G26" i="7"/>
  <c r="DB26" i="5"/>
  <c r="BM20" i="1"/>
  <c r="D22" i="14"/>
  <c r="AQ20" i="1"/>
  <c r="U20" i="1" s="1"/>
  <c r="J21" i="1" s="1"/>
  <c r="D20" i="11"/>
  <c r="EE22" i="8"/>
  <c r="EF22" i="8" s="1"/>
  <c r="M28" i="2"/>
  <c r="DF28" i="8"/>
  <c r="H30" i="8"/>
  <c r="P29" i="2"/>
  <c r="EE21" i="8"/>
  <c r="EF21" i="8" s="1"/>
  <c r="K29" i="8"/>
  <c r="S28" i="2"/>
  <c r="DG27" i="5"/>
  <c r="O28" i="2"/>
  <c r="DE28" i="8"/>
  <c r="W25" i="1"/>
  <c r="DA26" i="5"/>
  <c r="CY27" i="5"/>
  <c r="BK7" i="1"/>
  <c r="C7" i="11"/>
  <c r="AC7" i="7"/>
  <c r="V7" i="10"/>
  <c r="AJ7" i="5"/>
  <c r="AN7" i="8"/>
  <c r="X27" i="1"/>
  <c r="D29" i="7"/>
  <c r="F30" i="5"/>
  <c r="B29" i="10"/>
  <c r="DD23" i="8"/>
  <c r="DC23" i="8"/>
  <c r="J28" i="8"/>
  <c r="R27" i="2"/>
  <c r="J26" i="2"/>
  <c r="N27" i="2"/>
  <c r="CZ26" i="5"/>
  <c r="G27" i="5"/>
  <c r="E26" i="7"/>
  <c r="C26" i="10"/>
  <c r="I6" i="11"/>
  <c r="O6" i="7"/>
  <c r="AG23" i="7"/>
  <c r="AI23" i="7" s="1"/>
  <c r="AH23" i="7"/>
  <c r="J28" i="5"/>
  <c r="H27" i="7"/>
  <c r="DC27" i="5"/>
  <c r="F27" i="10"/>
  <c r="K27" i="10"/>
  <c r="AA27" i="7"/>
  <c r="AE27" i="8" s="1"/>
  <c r="BC27" i="8" s="1"/>
  <c r="J6" i="11"/>
  <c r="AP6" i="1"/>
  <c r="T6" i="1" s="1"/>
  <c r="I7" i="1" s="1"/>
  <c r="G6" i="2"/>
  <c r="Z6" i="2" s="1"/>
  <c r="Z7" i="8" s="1"/>
  <c r="DF25" i="5"/>
  <c r="E20" i="11" l="1"/>
  <c r="AV21" i="8"/>
  <c r="AW21" i="1" s="1"/>
  <c r="AU21" i="8"/>
  <c r="AT21" i="1" s="1"/>
  <c r="AE23" i="11"/>
  <c r="AC23" i="8" s="1"/>
  <c r="AF23" i="11"/>
  <c r="CA24" i="8"/>
  <c r="CH24" i="8"/>
  <c r="L21" i="1"/>
  <c r="AO21" i="8" s="1"/>
  <c r="BQ22" i="8"/>
  <c r="BU22" i="8"/>
  <c r="CG22" i="8"/>
  <c r="CF22" i="8"/>
  <c r="BP22" i="8"/>
  <c r="BT22" i="8"/>
  <c r="BZ22" i="8"/>
  <c r="BY22" i="8"/>
  <c r="AO27" i="11"/>
  <c r="L27" i="11"/>
  <c r="AG26" i="5"/>
  <c r="E26" i="9"/>
  <c r="B26" i="2"/>
  <c r="B26" i="1"/>
  <c r="BI26" i="1" s="1"/>
  <c r="E21" i="11"/>
  <c r="AR20" i="8"/>
  <c r="AR20" i="1"/>
  <c r="V20" i="1" s="1"/>
  <c r="K21" i="1" s="1"/>
  <c r="BN20" i="1"/>
  <c r="C20" i="9"/>
  <c r="AC27" i="1"/>
  <c r="BC28" i="5"/>
  <c r="D81" i="4"/>
  <c r="DK27" i="8"/>
  <c r="C92" i="4"/>
  <c r="D93" i="4"/>
  <c r="BK30" i="5"/>
  <c r="AD28" i="1"/>
  <c r="BE28" i="5"/>
  <c r="AE26" i="1"/>
  <c r="W26" i="1" s="1"/>
  <c r="AZ31" i="5"/>
  <c r="BP29" i="5"/>
  <c r="AB28" i="1"/>
  <c r="BN31" i="5"/>
  <c r="AF29" i="1"/>
  <c r="O28" i="1"/>
  <c r="DK28" i="8" s="1"/>
  <c r="DI27" i="8"/>
  <c r="DJ27" i="8"/>
  <c r="AD24" i="9"/>
  <c r="AV24" i="1" s="1"/>
  <c r="N27" i="1"/>
  <c r="B47" i="4" s="1"/>
  <c r="AC23" i="11"/>
  <c r="T23" i="8" s="1"/>
  <c r="Y23" i="11"/>
  <c r="AH23" i="1" s="1"/>
  <c r="AA23" i="11"/>
  <c r="Z23" i="11"/>
  <c r="AC23" i="2" s="1"/>
  <c r="AD23" i="11"/>
  <c r="AI23" i="1" s="1"/>
  <c r="AB23" i="11"/>
  <c r="P23" i="8" s="1"/>
  <c r="AT23" i="8"/>
  <c r="AW23" i="8"/>
  <c r="AQ23" i="8"/>
  <c r="M24" i="1"/>
  <c r="F23" i="11"/>
  <c r="AK21" i="5"/>
  <c r="AP21" i="8"/>
  <c r="AJ30" i="14"/>
  <c r="CM29" i="8"/>
  <c r="A29" i="2"/>
  <c r="M29" i="5"/>
  <c r="A29" i="9"/>
  <c r="A29" i="7"/>
  <c r="A29" i="8"/>
  <c r="K29" i="11"/>
  <c r="B29" i="14"/>
  <c r="AD29" i="8"/>
  <c r="J30" i="10"/>
  <c r="DR24" i="8"/>
  <c r="DS24" i="8"/>
  <c r="EP24" i="8"/>
  <c r="DT24" i="8"/>
  <c r="EI23" i="8"/>
  <c r="DB24" i="8"/>
  <c r="EC24" i="8" s="1"/>
  <c r="ED24" i="8" s="1"/>
  <c r="DN24" i="8"/>
  <c r="DO24" i="8"/>
  <c r="X24" i="10"/>
  <c r="Y24" i="10" s="1"/>
  <c r="CS25" i="8"/>
  <c r="DP25" i="8" s="1"/>
  <c r="CT25" i="8"/>
  <c r="DQ25" i="8" s="1"/>
  <c r="CU25" i="8"/>
  <c r="Y27" i="1"/>
  <c r="I31" i="8"/>
  <c r="Q31" i="2" s="1"/>
  <c r="Q30" i="2"/>
  <c r="CQ25" i="8"/>
  <c r="DA25" i="8" s="1"/>
  <c r="AQ23" i="5"/>
  <c r="AU23" i="1" s="1"/>
  <c r="DH24" i="8"/>
  <c r="EH24" i="8" s="1"/>
  <c r="AP23" i="5"/>
  <c r="Q24" i="7"/>
  <c r="AO24" i="5"/>
  <c r="D25" i="9"/>
  <c r="CX24" i="8"/>
  <c r="CY24" i="8"/>
  <c r="EA24" i="8" s="1"/>
  <c r="N24" i="7"/>
  <c r="N24" i="11"/>
  <c r="AN24" i="5"/>
  <c r="P24" i="1"/>
  <c r="D24" i="14" s="1"/>
  <c r="AR27" i="5"/>
  <c r="CW24" i="8"/>
  <c r="CV24" i="8"/>
  <c r="DX24" i="8" s="1"/>
  <c r="EB24" i="8" s="1"/>
  <c r="AL24" i="5"/>
  <c r="DG24" i="8"/>
  <c r="EG24" i="8" s="1"/>
  <c r="AM24" i="5"/>
  <c r="CN24" i="8"/>
  <c r="CO24" i="8"/>
  <c r="DY23" i="8"/>
  <c r="DZ23" i="8" s="1"/>
  <c r="Q25" i="1"/>
  <c r="E25" i="14" s="1"/>
  <c r="AI25" i="5"/>
  <c r="BO25" i="8"/>
  <c r="DM25" i="8" s="1"/>
  <c r="EO25" i="8"/>
  <c r="BM21" i="1"/>
  <c r="D27" i="10"/>
  <c r="H28" i="5"/>
  <c r="F27" i="7"/>
  <c r="A26" i="5"/>
  <c r="E26" i="5" s="1"/>
  <c r="EQ26" i="8" s="1"/>
  <c r="CZ26" i="8" s="1"/>
  <c r="DL25" i="8"/>
  <c r="BS25" i="5"/>
  <c r="V26" i="2"/>
  <c r="BN25" i="8"/>
  <c r="CO25" i="8" s="1"/>
  <c r="C25" i="14"/>
  <c r="AH25" i="5"/>
  <c r="AC25" i="10" s="1"/>
  <c r="AV25" i="5"/>
  <c r="AU25" i="5"/>
  <c r="A25" i="11"/>
  <c r="B25" i="9"/>
  <c r="E25" i="1"/>
  <c r="W25" i="8"/>
  <c r="A25" i="10"/>
  <c r="AA25" i="10" s="1"/>
  <c r="AB25" i="8"/>
  <c r="AB24" i="2"/>
  <c r="B25" i="7"/>
  <c r="Q25" i="7" s="1"/>
  <c r="G26" i="10"/>
  <c r="K27" i="5"/>
  <c r="DD26" i="5"/>
  <c r="I26" i="7"/>
  <c r="L27" i="5"/>
  <c r="H26" i="10"/>
  <c r="DE26" i="5"/>
  <c r="J26" i="7"/>
  <c r="G27" i="7"/>
  <c r="I28" i="5"/>
  <c r="E27" i="10"/>
  <c r="DB27" i="5"/>
  <c r="D21" i="11"/>
  <c r="AQ21" i="1"/>
  <c r="U21" i="1" s="1"/>
  <c r="J22" i="1" s="1"/>
  <c r="DC24" i="8"/>
  <c r="DD24" i="8"/>
  <c r="CY28" i="5"/>
  <c r="F28" i="10"/>
  <c r="J29" i="5"/>
  <c r="H28" i="7"/>
  <c r="DC28" i="5"/>
  <c r="R28" i="2"/>
  <c r="J29" i="8"/>
  <c r="DA27" i="5"/>
  <c r="S29" i="2"/>
  <c r="K30" i="8"/>
  <c r="AA28" i="7"/>
  <c r="AE28" i="8" s="1"/>
  <c r="BC28" i="8" s="1"/>
  <c r="K28" i="10"/>
  <c r="DF29" i="8"/>
  <c r="M29" i="2"/>
  <c r="J27" i="2"/>
  <c r="P6" i="7"/>
  <c r="F6" i="9"/>
  <c r="G28" i="5"/>
  <c r="C27" i="10"/>
  <c r="E27" i="7"/>
  <c r="CZ27" i="5"/>
  <c r="N28" i="2"/>
  <c r="DG28" i="5"/>
  <c r="F31" i="5"/>
  <c r="D30" i="7"/>
  <c r="B30" i="10"/>
  <c r="EE23" i="8"/>
  <c r="EF23" i="8" s="1"/>
  <c r="X28" i="1"/>
  <c r="C6" i="8"/>
  <c r="B27" i="5"/>
  <c r="H31" i="8"/>
  <c r="P31" i="2" s="1"/>
  <c r="P30" i="2"/>
  <c r="AH24" i="7"/>
  <c r="AG24" i="7"/>
  <c r="AI24" i="7" s="1"/>
  <c r="O29" i="2"/>
  <c r="DE29" i="8"/>
  <c r="DF26" i="5"/>
  <c r="AU22" i="8" l="1"/>
  <c r="AT22" i="1" s="1"/>
  <c r="AV22" i="8"/>
  <c r="AW22" i="1" s="1"/>
  <c r="L22" i="1" s="1"/>
  <c r="BO22" i="1" s="1"/>
  <c r="BO21" i="1"/>
  <c r="AF24" i="11"/>
  <c r="AE24" i="11"/>
  <c r="AC24" i="8" s="1"/>
  <c r="CF23" i="8"/>
  <c r="CG23" i="8"/>
  <c r="BT23" i="8"/>
  <c r="BY23" i="8"/>
  <c r="BQ23" i="8"/>
  <c r="BP23" i="8"/>
  <c r="BZ23" i="8"/>
  <c r="BU23" i="8"/>
  <c r="CA25" i="8"/>
  <c r="CH25" i="8"/>
  <c r="AO28" i="11"/>
  <c r="L28" i="11"/>
  <c r="E27" i="9"/>
  <c r="AG27" i="5"/>
  <c r="B27" i="1"/>
  <c r="BI27" i="1" s="1"/>
  <c r="B27" i="2"/>
  <c r="E22" i="11"/>
  <c r="AO22" i="8"/>
  <c r="AR21" i="8"/>
  <c r="BN21" i="1"/>
  <c r="AR21" i="1"/>
  <c r="V21" i="1" s="1"/>
  <c r="K22" i="1" s="1"/>
  <c r="C21" i="9"/>
  <c r="AC28" i="1"/>
  <c r="BC29" i="5"/>
  <c r="BP30" i="5"/>
  <c r="AB29" i="1"/>
  <c r="BK31" i="5"/>
  <c r="AD29" i="1"/>
  <c r="BN32" i="5"/>
  <c r="AF30" i="1"/>
  <c r="BE29" i="5"/>
  <c r="AE27" i="1"/>
  <c r="W27" i="1" s="1"/>
  <c r="AZ32" i="5"/>
  <c r="O29" i="1"/>
  <c r="DK29" i="8" s="1"/>
  <c r="DJ28" i="8"/>
  <c r="DI28" i="8"/>
  <c r="AS7" i="8"/>
  <c r="AO7" i="1"/>
  <c r="AD25" i="9"/>
  <c r="AV25" i="1" s="1"/>
  <c r="N28" i="1"/>
  <c r="BL7" i="1"/>
  <c r="AC24" i="11"/>
  <c r="T24" i="8" s="1"/>
  <c r="Y24" i="11"/>
  <c r="AH24" i="1" s="1"/>
  <c r="AA24" i="11"/>
  <c r="AB24" i="11"/>
  <c r="P24" i="8" s="1"/>
  <c r="AD24" i="11"/>
  <c r="AI24" i="1" s="1"/>
  <c r="Z24" i="11"/>
  <c r="AC24" i="2" s="1"/>
  <c r="AT24" i="8"/>
  <c r="AQ24" i="8"/>
  <c r="F24" i="11"/>
  <c r="M25" i="1"/>
  <c r="AW24" i="8"/>
  <c r="D22" i="11"/>
  <c r="AP22" i="8"/>
  <c r="AJ31" i="14"/>
  <c r="CM30" i="8"/>
  <c r="A30" i="2"/>
  <c r="A30" i="8"/>
  <c r="K30" i="11"/>
  <c r="A30" i="7"/>
  <c r="B30" i="14"/>
  <c r="A30" i="9"/>
  <c r="M30" i="5"/>
  <c r="J31" i="10"/>
  <c r="A31" i="2" s="1"/>
  <c r="AD30" i="8"/>
  <c r="EP25" i="8"/>
  <c r="DT25" i="8"/>
  <c r="DR25" i="8"/>
  <c r="DS25" i="8"/>
  <c r="CY25" i="8"/>
  <c r="EA25" i="8" s="1"/>
  <c r="DN25" i="8"/>
  <c r="DO25" i="8"/>
  <c r="CS26" i="8"/>
  <c r="DP26" i="8" s="1"/>
  <c r="CT26" i="8"/>
  <c r="DQ26" i="8" s="1"/>
  <c r="CU26" i="8"/>
  <c r="Y28" i="1"/>
  <c r="AQ24" i="5"/>
  <c r="AU24" i="1" s="1"/>
  <c r="I32" i="8"/>
  <c r="CX25" i="8"/>
  <c r="DG25" i="8"/>
  <c r="EG25" i="8" s="1"/>
  <c r="CV25" i="8"/>
  <c r="DX25" i="8" s="1"/>
  <c r="EB25" i="8" s="1"/>
  <c r="CW25" i="8"/>
  <c r="DB25" i="8"/>
  <c r="EC25" i="8" s="1"/>
  <c r="ED25" i="8" s="1"/>
  <c r="CQ26" i="8"/>
  <c r="DA26" i="8" s="1"/>
  <c r="EI24" i="8"/>
  <c r="B26" i="7"/>
  <c r="AE26" i="7" s="1"/>
  <c r="AF26" i="7" s="1"/>
  <c r="AB25" i="2"/>
  <c r="DL26" i="8"/>
  <c r="A26" i="10"/>
  <c r="AA26" i="10" s="1"/>
  <c r="DY24" i="8"/>
  <c r="DZ24" i="8" s="1"/>
  <c r="AP24" i="5"/>
  <c r="DH25" i="8"/>
  <c r="EH25" i="8" s="1"/>
  <c r="CN25" i="8"/>
  <c r="AN25" i="5"/>
  <c r="E26" i="1"/>
  <c r="AV26" i="5"/>
  <c r="AU26" i="5"/>
  <c r="X25" i="10"/>
  <c r="Y25" i="10" s="1"/>
  <c r="W26" i="8"/>
  <c r="EO26" i="8"/>
  <c r="B26" i="9"/>
  <c r="AH26" i="5"/>
  <c r="AC26" i="10" s="1"/>
  <c r="P25" i="1"/>
  <c r="D25" i="14" s="1"/>
  <c r="BN26" i="8"/>
  <c r="CR26" i="8" s="1"/>
  <c r="AI26" i="5"/>
  <c r="A26" i="11"/>
  <c r="BO26" i="8"/>
  <c r="DM26" i="8" s="1"/>
  <c r="BS26" i="5"/>
  <c r="AB26" i="8"/>
  <c r="C26" i="14"/>
  <c r="Q26" i="1"/>
  <c r="E26" i="14" s="1"/>
  <c r="AL25" i="5"/>
  <c r="AR28" i="5"/>
  <c r="H29" i="5"/>
  <c r="F28" i="7"/>
  <c r="D28" i="10"/>
  <c r="AO25" i="5"/>
  <c r="A27" i="5"/>
  <c r="E27" i="5" s="1"/>
  <c r="EQ27" i="8" s="1"/>
  <c r="CZ27" i="8" s="1"/>
  <c r="N25" i="7"/>
  <c r="AM25" i="5"/>
  <c r="AE25" i="7"/>
  <c r="AF25" i="7" s="1"/>
  <c r="N25" i="11"/>
  <c r="D26" i="9"/>
  <c r="V27" i="2"/>
  <c r="CR25" i="8"/>
  <c r="DD25" i="8" s="1"/>
  <c r="DD27" i="5"/>
  <c r="G27" i="10"/>
  <c r="K28" i="5"/>
  <c r="I27" i="7"/>
  <c r="J27" i="7"/>
  <c r="L28" i="5"/>
  <c r="H27" i="10"/>
  <c r="DE27" i="5"/>
  <c r="DB28" i="5"/>
  <c r="E28" i="10"/>
  <c r="I29" i="5"/>
  <c r="G28" i="7"/>
  <c r="BM22" i="1"/>
  <c r="AK22" i="5"/>
  <c r="AQ22" i="1"/>
  <c r="U22" i="1" s="1"/>
  <c r="J23" i="1" s="1"/>
  <c r="EE24" i="8"/>
  <c r="EF24" i="8" s="1"/>
  <c r="B31" i="10"/>
  <c r="D31" i="7"/>
  <c r="F32" i="5"/>
  <c r="J30" i="8"/>
  <c r="R29" i="2"/>
  <c r="CY29" i="5"/>
  <c r="Y6" i="2"/>
  <c r="X6" i="2" s="1"/>
  <c r="X29" i="1"/>
  <c r="O30" i="2"/>
  <c r="DE30" i="8"/>
  <c r="DG29" i="5"/>
  <c r="S30" i="2"/>
  <c r="K31" i="8"/>
  <c r="S31" i="2" s="1"/>
  <c r="H32" i="8"/>
  <c r="N29" i="2"/>
  <c r="B28" i="5"/>
  <c r="J28" i="2"/>
  <c r="G29" i="5"/>
  <c r="CZ28" i="5"/>
  <c r="E28" i="7"/>
  <c r="C28" i="10"/>
  <c r="M30" i="2"/>
  <c r="DF30" i="8"/>
  <c r="J30" i="5"/>
  <c r="H29" i="7"/>
  <c r="F29" i="10"/>
  <c r="DC29" i="5"/>
  <c r="DA28" i="5"/>
  <c r="AA29" i="7"/>
  <c r="AE29" i="8" s="1"/>
  <c r="BC29" i="8" s="1"/>
  <c r="K29" i="10"/>
  <c r="DF27" i="5"/>
  <c r="AV23" i="8" l="1"/>
  <c r="AW23" i="1" s="1"/>
  <c r="L23" i="1" s="1"/>
  <c r="E23" i="11" s="1"/>
  <c r="AE25" i="11"/>
  <c r="AC25" i="8" s="1"/>
  <c r="AF25" i="11"/>
  <c r="CA26" i="8"/>
  <c r="CH26" i="8"/>
  <c r="BQ24" i="8"/>
  <c r="BU24" i="8"/>
  <c r="CF24" i="8"/>
  <c r="BT24" i="8"/>
  <c r="CG24" i="8"/>
  <c r="BZ24" i="8"/>
  <c r="BY24" i="8"/>
  <c r="BP24" i="8"/>
  <c r="AU23" i="8"/>
  <c r="AT23" i="1" s="1"/>
  <c r="AO29" i="11"/>
  <c r="L29" i="11"/>
  <c r="AG28" i="5"/>
  <c r="E28" i="9"/>
  <c r="B28" i="1"/>
  <c r="BI28" i="1" s="1"/>
  <c r="B28" i="2"/>
  <c r="AO23" i="8"/>
  <c r="AR22" i="1"/>
  <c r="V22" i="1" s="1"/>
  <c r="K23" i="1" s="1"/>
  <c r="AR22" i="8"/>
  <c r="BN22" i="1"/>
  <c r="C22" i="9"/>
  <c r="J29" i="2"/>
  <c r="AC29" i="1"/>
  <c r="BC30" i="5"/>
  <c r="BP31" i="5"/>
  <c r="AB30" i="1"/>
  <c r="AZ33" i="5"/>
  <c r="BK32" i="5"/>
  <c r="AD30" i="1"/>
  <c r="BN33" i="5"/>
  <c r="AF31" i="1"/>
  <c r="BE30" i="5"/>
  <c r="AE28" i="1"/>
  <c r="W28" i="1" s="1"/>
  <c r="O30" i="1"/>
  <c r="DK30" i="8" s="1"/>
  <c r="DI29" i="8"/>
  <c r="DJ29" i="8"/>
  <c r="AD26" i="9"/>
  <c r="AV26" i="1" s="1"/>
  <c r="N29" i="1"/>
  <c r="Y25" i="11"/>
  <c r="AH25" i="1" s="1"/>
  <c r="AC25" i="11"/>
  <c r="T25" i="8" s="1"/>
  <c r="AA25" i="11"/>
  <c r="AD25" i="11"/>
  <c r="AI25" i="1" s="1"/>
  <c r="AB25" i="11"/>
  <c r="P25" i="8" s="1"/>
  <c r="Z25" i="11"/>
  <c r="AC25" i="2" s="1"/>
  <c r="AT25" i="8"/>
  <c r="AW25" i="8"/>
  <c r="AQ25" i="8"/>
  <c r="F25" i="11"/>
  <c r="M26" i="1"/>
  <c r="AQ23" i="1"/>
  <c r="U23" i="1" s="1"/>
  <c r="J24" i="1" s="1"/>
  <c r="AP23" i="8"/>
  <c r="N26" i="7"/>
  <c r="CM31" i="8"/>
  <c r="AJ32" i="14"/>
  <c r="A31" i="7"/>
  <c r="K31" i="11"/>
  <c r="A31" i="8"/>
  <c r="A31" i="9"/>
  <c r="B31" i="14"/>
  <c r="AD31" i="8"/>
  <c r="J32" i="10"/>
  <c r="M31" i="5"/>
  <c r="EP26" i="8"/>
  <c r="DT26" i="8"/>
  <c r="DR26" i="8"/>
  <c r="DS26" i="8"/>
  <c r="DB26" i="8"/>
  <c r="EC26" i="8" s="1"/>
  <c r="ED26" i="8" s="1"/>
  <c r="DN26" i="8"/>
  <c r="DO26" i="8"/>
  <c r="CT27" i="8"/>
  <c r="DQ27" i="8" s="1"/>
  <c r="CU27" i="8"/>
  <c r="CS27" i="8"/>
  <c r="DP27" i="8" s="1"/>
  <c r="Y29" i="1"/>
  <c r="X26" i="10"/>
  <c r="Y26" i="10" s="1"/>
  <c r="AH25" i="7"/>
  <c r="CX26" i="8"/>
  <c r="CV26" i="8"/>
  <c r="DX26" i="8" s="1"/>
  <c r="EB26" i="8" s="1"/>
  <c r="I33" i="8"/>
  <c r="Q32" i="2"/>
  <c r="CY26" i="8"/>
  <c r="EA26" i="8" s="1"/>
  <c r="DG26" i="8"/>
  <c r="EG26" i="8" s="1"/>
  <c r="CW26" i="8"/>
  <c r="DY25" i="8"/>
  <c r="DZ25" i="8" s="1"/>
  <c r="EI25" i="8"/>
  <c r="Q26" i="7"/>
  <c r="CO26" i="8"/>
  <c r="N26" i="11"/>
  <c r="AO26" i="5"/>
  <c r="AL26" i="5"/>
  <c r="AP25" i="5"/>
  <c r="AM26" i="5"/>
  <c r="D27" i="9"/>
  <c r="AN26" i="5"/>
  <c r="CN26" i="8"/>
  <c r="AQ25" i="5"/>
  <c r="AU25" i="1" s="1"/>
  <c r="DH26" i="8"/>
  <c r="EH26" i="8" s="1"/>
  <c r="P26" i="1"/>
  <c r="D26" i="14" s="1"/>
  <c r="H30" i="5"/>
  <c r="D29" i="10"/>
  <c r="F29" i="7"/>
  <c r="DC25" i="8"/>
  <c r="EE25" i="8" s="1"/>
  <c r="EF25" i="8" s="1"/>
  <c r="AR29" i="5"/>
  <c r="AG25" i="7"/>
  <c r="AI25" i="7" s="1"/>
  <c r="V28" i="2"/>
  <c r="A28" i="5"/>
  <c r="E28" i="5" s="1"/>
  <c r="EQ28" i="8" s="1"/>
  <c r="CZ28" i="8" s="1"/>
  <c r="DD28" i="5"/>
  <c r="I28" i="7"/>
  <c r="K29" i="5"/>
  <c r="G28" i="10"/>
  <c r="J28" i="7"/>
  <c r="H28" i="10"/>
  <c r="L29" i="5"/>
  <c r="DE28" i="5"/>
  <c r="DB29" i="5"/>
  <c r="E29" i="10"/>
  <c r="I30" i="5"/>
  <c r="G29" i="7"/>
  <c r="BM23" i="1"/>
  <c r="D23" i="11"/>
  <c r="AK23" i="5"/>
  <c r="X30" i="1"/>
  <c r="K30" i="10"/>
  <c r="AA30" i="7"/>
  <c r="AE30" i="8" s="1"/>
  <c r="BC30" i="8" s="1"/>
  <c r="H7" i="11"/>
  <c r="B7" i="8"/>
  <c r="D7" i="2" s="1"/>
  <c r="AB7" i="7"/>
  <c r="BD7" i="8"/>
  <c r="E7" i="2"/>
  <c r="L7" i="2"/>
  <c r="J31" i="8"/>
  <c r="R31" i="2" s="1"/>
  <c r="R30" i="2"/>
  <c r="B29" i="5"/>
  <c r="DC30" i="5"/>
  <c r="H30" i="7"/>
  <c r="F30" i="10"/>
  <c r="J31" i="5"/>
  <c r="AH26" i="7"/>
  <c r="AG26" i="7"/>
  <c r="AI26" i="7" s="1"/>
  <c r="DF31" i="8"/>
  <c r="DE31" i="8"/>
  <c r="DG30" i="5"/>
  <c r="A27" i="11"/>
  <c r="BN27" i="8"/>
  <c r="Q27" i="1"/>
  <c r="E27" i="14" s="1"/>
  <c r="AV27" i="5"/>
  <c r="AH27" i="5"/>
  <c r="E27" i="1"/>
  <c r="B27" i="9"/>
  <c r="A27" i="10"/>
  <c r="AA27" i="10" s="1"/>
  <c r="AI27" i="5"/>
  <c r="C27" i="14"/>
  <c r="BS27" i="5"/>
  <c r="W27" i="8"/>
  <c r="B27" i="7"/>
  <c r="AU27" i="5"/>
  <c r="AB26" i="2"/>
  <c r="BO27" i="8"/>
  <c r="DM27" i="8" s="1"/>
  <c r="EO27" i="8"/>
  <c r="DT27" i="8" s="1"/>
  <c r="AB27" i="8"/>
  <c r="DL27" i="8"/>
  <c r="CQ27" i="8"/>
  <c r="DA27" i="8" s="1"/>
  <c r="N30" i="2"/>
  <c r="K32" i="8"/>
  <c r="CY30" i="5"/>
  <c r="DC26" i="8"/>
  <c r="DD26" i="8"/>
  <c r="P32" i="2"/>
  <c r="H33" i="8"/>
  <c r="DA29" i="5"/>
  <c r="E29" i="7"/>
  <c r="G30" i="5"/>
  <c r="CZ29" i="5"/>
  <c r="C29" i="10"/>
  <c r="D32" i="7"/>
  <c r="F33" i="5"/>
  <c r="B32" i="10"/>
  <c r="DF28" i="5"/>
  <c r="BO23" i="1" l="1"/>
  <c r="AU24" i="8"/>
  <c r="AT24" i="1" s="1"/>
  <c r="CA27" i="8"/>
  <c r="CH27" i="8"/>
  <c r="AV24" i="8"/>
  <c r="AW24" i="1" s="1"/>
  <c r="L24" i="1" s="1"/>
  <c r="E24" i="11" s="1"/>
  <c r="AF26" i="11"/>
  <c r="AE26" i="11"/>
  <c r="AC26" i="8" s="1"/>
  <c r="CF25" i="8"/>
  <c r="BQ25" i="8"/>
  <c r="BP25" i="8"/>
  <c r="BY25" i="8"/>
  <c r="BU25" i="8"/>
  <c r="BZ25" i="8"/>
  <c r="BT25" i="8"/>
  <c r="CG25" i="8"/>
  <c r="AO30" i="11"/>
  <c r="L30" i="11"/>
  <c r="AG29" i="5"/>
  <c r="E29" i="9"/>
  <c r="B29" i="2"/>
  <c r="B29" i="1"/>
  <c r="BI29" i="1" s="1"/>
  <c r="BN23" i="1"/>
  <c r="AR23" i="1"/>
  <c r="V23" i="1" s="1"/>
  <c r="K24" i="1" s="1"/>
  <c r="C23" i="9"/>
  <c r="AR23" i="8"/>
  <c r="AC30" i="1"/>
  <c r="BC31" i="5"/>
  <c r="B30" i="5"/>
  <c r="BN34" i="5"/>
  <c r="AF32" i="1"/>
  <c r="BE31" i="5"/>
  <c r="AE29" i="1"/>
  <c r="W29" i="1" s="1"/>
  <c r="BP32" i="5"/>
  <c r="AB31" i="1"/>
  <c r="AZ34" i="5"/>
  <c r="BK33" i="5"/>
  <c r="AD31" i="1"/>
  <c r="O31" i="1"/>
  <c r="DK31" i="8" s="1"/>
  <c r="DI30" i="8"/>
  <c r="DJ30" i="8"/>
  <c r="AD27" i="9"/>
  <c r="AV27" i="1" s="1"/>
  <c r="N30" i="1"/>
  <c r="AA26" i="11"/>
  <c r="AC26" i="11"/>
  <c r="T26" i="8" s="1"/>
  <c r="Y26" i="11"/>
  <c r="AH26" i="1" s="1"/>
  <c r="AD26" i="11"/>
  <c r="AI26" i="1" s="1"/>
  <c r="AB26" i="11"/>
  <c r="P26" i="8" s="1"/>
  <c r="Z26" i="11"/>
  <c r="AC26" i="2" s="1"/>
  <c r="AT26" i="8"/>
  <c r="AQ26" i="8"/>
  <c r="F26" i="11"/>
  <c r="M27" i="1"/>
  <c r="AW26" i="8"/>
  <c r="AQ24" i="1"/>
  <c r="U24" i="1" s="1"/>
  <c r="J25" i="1" s="1"/>
  <c r="AP24" i="8"/>
  <c r="AJ33" i="14"/>
  <c r="CM32" i="8"/>
  <c r="A32" i="2"/>
  <c r="M32" i="5"/>
  <c r="A32" i="9"/>
  <c r="K32" i="11"/>
  <c r="AD32" i="8"/>
  <c r="A32" i="7"/>
  <c r="J33" i="10"/>
  <c r="B32" i="14"/>
  <c r="A32" i="8"/>
  <c r="DR27" i="8"/>
  <c r="DS27" i="8"/>
  <c r="DN27" i="8"/>
  <c r="DO27" i="8"/>
  <c r="CS28" i="8"/>
  <c r="DP28" i="8" s="1"/>
  <c r="CT28" i="8"/>
  <c r="DQ28" i="8" s="1"/>
  <c r="CU28" i="8"/>
  <c r="Y30" i="1"/>
  <c r="BM24" i="1"/>
  <c r="D24" i="11"/>
  <c r="AK24" i="5"/>
  <c r="DY26" i="8"/>
  <c r="DZ26" i="8" s="1"/>
  <c r="I34" i="8"/>
  <c r="Q33" i="2"/>
  <c r="EI26" i="8"/>
  <c r="CQ28" i="8"/>
  <c r="DA28" i="8" s="1"/>
  <c r="AP26" i="5"/>
  <c r="D28" i="9"/>
  <c r="AQ26" i="5"/>
  <c r="AU26" i="1" s="1"/>
  <c r="AI28" i="5"/>
  <c r="V29" i="2"/>
  <c r="AU28" i="5"/>
  <c r="D30" i="10"/>
  <c r="F30" i="7"/>
  <c r="H31" i="5"/>
  <c r="A29" i="5"/>
  <c r="E29" i="5" s="1"/>
  <c r="EQ29" i="8" s="1"/>
  <c r="CZ29" i="8" s="1"/>
  <c r="AB27" i="2"/>
  <c r="W28" i="8"/>
  <c r="BO28" i="8"/>
  <c r="DM28" i="8" s="1"/>
  <c r="BN28" i="8"/>
  <c r="AR30" i="5"/>
  <c r="AB28" i="8"/>
  <c r="C28" i="14"/>
  <c r="Q28" i="1"/>
  <c r="E28" i="14" s="1"/>
  <c r="EO28" i="8"/>
  <c r="E28" i="1"/>
  <c r="AH28" i="5"/>
  <c r="AC28" i="10" s="1"/>
  <c r="BS28" i="5"/>
  <c r="B28" i="7"/>
  <c r="AE28" i="7" s="1"/>
  <c r="AF28" i="7" s="1"/>
  <c r="DL28" i="8"/>
  <c r="A28" i="10"/>
  <c r="AA28" i="10" s="1"/>
  <c r="B28" i="9"/>
  <c r="AV28" i="5"/>
  <c r="A28" i="11"/>
  <c r="DD29" i="5"/>
  <c r="I29" i="7"/>
  <c r="G29" i="10"/>
  <c r="K30" i="5"/>
  <c r="L30" i="5"/>
  <c r="H29" i="10"/>
  <c r="DE29" i="5"/>
  <c r="J29" i="7"/>
  <c r="E30" i="10"/>
  <c r="G30" i="7"/>
  <c r="DB30" i="5"/>
  <c r="I31" i="5"/>
  <c r="AN27" i="5"/>
  <c r="P27" i="1"/>
  <c r="DG31" i="5"/>
  <c r="DH27" i="8"/>
  <c r="EH27" i="8" s="1"/>
  <c r="EP27" i="8"/>
  <c r="CR27" i="8"/>
  <c r="CN27" i="8"/>
  <c r="CO27" i="8"/>
  <c r="J32" i="8"/>
  <c r="DA30" i="5"/>
  <c r="CY31" i="5"/>
  <c r="N27" i="7"/>
  <c r="O32" i="2"/>
  <c r="DE32" i="8"/>
  <c r="U7" i="2"/>
  <c r="W6" i="2" s="1"/>
  <c r="C7" i="2" s="1"/>
  <c r="X31" i="1"/>
  <c r="CV27" i="8"/>
  <c r="DX27" i="8" s="1"/>
  <c r="CW27" i="8"/>
  <c r="DG27" i="8"/>
  <c r="EG27" i="8" s="1"/>
  <c r="CX27" i="8"/>
  <c r="DB27" i="8"/>
  <c r="EC27" i="8" s="1"/>
  <c r="ED27" i="8" s="1"/>
  <c r="CY27" i="8"/>
  <c r="EA27" i="8" s="1"/>
  <c r="AM27" i="5"/>
  <c r="AO27" i="5"/>
  <c r="AC27" i="10"/>
  <c r="X27" i="10" s="1"/>
  <c r="Y27" i="10" s="1"/>
  <c r="AL27" i="5"/>
  <c r="M32" i="2"/>
  <c r="DF32" i="8"/>
  <c r="J30" i="2"/>
  <c r="N27" i="11"/>
  <c r="H34" i="8"/>
  <c r="P33" i="2"/>
  <c r="B33" i="10"/>
  <c r="D33" i="7"/>
  <c r="F34" i="5"/>
  <c r="Q27" i="7"/>
  <c r="AE27" i="7"/>
  <c r="AF27" i="7" s="1"/>
  <c r="CZ30" i="5"/>
  <c r="C30" i="10"/>
  <c r="E30" i="7"/>
  <c r="G31" i="5"/>
  <c r="K33" i="8"/>
  <c r="S32" i="2"/>
  <c r="F31" i="10"/>
  <c r="H31" i="7"/>
  <c r="J32" i="5"/>
  <c r="DC31" i="5"/>
  <c r="AA31" i="7"/>
  <c r="AE31" i="8" s="1"/>
  <c r="BC31" i="8" s="1"/>
  <c r="K31" i="10"/>
  <c r="EE26" i="8"/>
  <c r="EF26" i="8" s="1"/>
  <c r="DF29" i="5"/>
  <c r="BO24" i="1" l="1"/>
  <c r="AO24" i="8"/>
  <c r="BQ26" i="8"/>
  <c r="BU26" i="8"/>
  <c r="BP26" i="8"/>
  <c r="BZ26" i="8"/>
  <c r="BY26" i="8"/>
  <c r="CF26" i="8"/>
  <c r="CG26" i="8"/>
  <c r="BT26" i="8"/>
  <c r="AE27" i="11"/>
  <c r="AC27" i="8" s="1"/>
  <c r="AF27" i="11"/>
  <c r="CA28" i="8"/>
  <c r="CH28" i="8"/>
  <c r="AU25" i="8"/>
  <c r="AT25" i="1" s="1"/>
  <c r="AV25" i="8"/>
  <c r="AW25" i="1" s="1"/>
  <c r="L25" i="1" s="1"/>
  <c r="AO25" i="8" s="1"/>
  <c r="AO31" i="11"/>
  <c r="L31" i="11"/>
  <c r="AG30" i="5"/>
  <c r="E30" i="9"/>
  <c r="B30" i="2"/>
  <c r="B30" i="1"/>
  <c r="BI30" i="1" s="1"/>
  <c r="J31" i="2"/>
  <c r="B31" i="5"/>
  <c r="AR24" i="8"/>
  <c r="C24" i="9"/>
  <c r="AR24" i="1"/>
  <c r="V24" i="1" s="1"/>
  <c r="K25" i="1" s="1"/>
  <c r="BN24" i="1"/>
  <c r="AC31" i="1"/>
  <c r="BC32" i="5"/>
  <c r="AZ35" i="5"/>
  <c r="BN35" i="5"/>
  <c r="AF33" i="1"/>
  <c r="BK34" i="5"/>
  <c r="AD32" i="1"/>
  <c r="BE32" i="5"/>
  <c r="AE30" i="1"/>
  <c r="W30" i="1" s="1"/>
  <c r="BP33" i="5"/>
  <c r="AB32" i="1"/>
  <c r="O32" i="1"/>
  <c r="DK32" i="8" s="1"/>
  <c r="DI31" i="8"/>
  <c r="DJ31" i="8"/>
  <c r="AD28" i="9"/>
  <c r="AV28" i="1" s="1"/>
  <c r="N31" i="1"/>
  <c r="AA27" i="11"/>
  <c r="Y27" i="11"/>
  <c r="AH27" i="1" s="1"/>
  <c r="AC27" i="11"/>
  <c r="T27" i="8" s="1"/>
  <c r="AD27" i="11"/>
  <c r="AI27" i="1" s="1"/>
  <c r="Z27" i="11"/>
  <c r="AC27" i="2" s="1"/>
  <c r="AB27" i="11"/>
  <c r="P27" i="8" s="1"/>
  <c r="AT27" i="8"/>
  <c r="AQ27" i="8"/>
  <c r="M28" i="1"/>
  <c r="F27" i="11"/>
  <c r="AW27" i="8"/>
  <c r="AQ25" i="1"/>
  <c r="U25" i="1" s="1"/>
  <c r="J26" i="1" s="1"/>
  <c r="AP25" i="8"/>
  <c r="AJ34" i="14"/>
  <c r="CM33" i="8"/>
  <c r="A33" i="2"/>
  <c r="K33" i="11"/>
  <c r="B33" i="14"/>
  <c r="M33" i="5"/>
  <c r="AD33" i="8"/>
  <c r="A33" i="9"/>
  <c r="J34" i="10"/>
  <c r="A33" i="7"/>
  <c r="A33" i="8"/>
  <c r="EP28" i="8"/>
  <c r="DT28" i="8"/>
  <c r="DR28" i="8"/>
  <c r="DS28" i="8"/>
  <c r="CX28" i="8"/>
  <c r="DN28" i="8"/>
  <c r="DO28" i="8"/>
  <c r="CU29" i="8"/>
  <c r="CS29" i="8"/>
  <c r="DP29" i="8" s="1"/>
  <c r="CT29" i="8"/>
  <c r="DQ29" i="8" s="1"/>
  <c r="Y31" i="1"/>
  <c r="I35" i="8"/>
  <c r="Q34" i="2"/>
  <c r="CY28" i="8"/>
  <c r="EA28" i="8" s="1"/>
  <c r="CW28" i="8"/>
  <c r="DB28" i="8"/>
  <c r="EC28" i="8" s="1"/>
  <c r="ED28" i="8" s="1"/>
  <c r="CV28" i="8"/>
  <c r="DX28" i="8" s="1"/>
  <c r="EB28" i="8" s="1"/>
  <c r="DL29" i="8"/>
  <c r="DG28" i="8"/>
  <c r="EG28" i="8" s="1"/>
  <c r="BM25" i="1"/>
  <c r="DH28" i="8"/>
  <c r="EH28" i="8" s="1"/>
  <c r="D25" i="11"/>
  <c r="D29" i="9"/>
  <c r="AK25" i="5"/>
  <c r="CQ29" i="8"/>
  <c r="DA29" i="8" s="1"/>
  <c r="CR28" i="8"/>
  <c r="DD28" i="8" s="1"/>
  <c r="N28" i="11"/>
  <c r="CN28" i="8"/>
  <c r="CO28" i="8"/>
  <c r="AL28" i="5"/>
  <c r="W29" i="8"/>
  <c r="AO28" i="5"/>
  <c r="Q29" i="1"/>
  <c r="E29" i="14" s="1"/>
  <c r="AN28" i="5"/>
  <c r="AM28" i="5"/>
  <c r="D31" i="10"/>
  <c r="H32" i="5"/>
  <c r="F31" i="7"/>
  <c r="BN29" i="8"/>
  <c r="CR29" i="8" s="1"/>
  <c r="C29" i="14"/>
  <c r="V30" i="2"/>
  <c r="AU29" i="5"/>
  <c r="AH29" i="5"/>
  <c r="AC29" i="10" s="1"/>
  <c r="AB28" i="2"/>
  <c r="A29" i="11"/>
  <c r="B29" i="9"/>
  <c r="BO29" i="8"/>
  <c r="DM29" i="8" s="1"/>
  <c r="BS29" i="5"/>
  <c r="N28" i="7"/>
  <c r="B29" i="7"/>
  <c r="Q29" i="7" s="1"/>
  <c r="Q28" i="7"/>
  <c r="AB29" i="8"/>
  <c r="A29" i="10"/>
  <c r="AA29" i="10" s="1"/>
  <c r="AI29" i="5"/>
  <c r="AN29" i="5" s="1"/>
  <c r="EO29" i="8"/>
  <c r="AV29" i="5"/>
  <c r="E29" i="1"/>
  <c r="A30" i="5"/>
  <c r="E30" i="5" s="1"/>
  <c r="EQ30" i="8" s="1"/>
  <c r="CZ30" i="8" s="1"/>
  <c r="AR31" i="5"/>
  <c r="X28" i="10"/>
  <c r="Y28" i="10" s="1"/>
  <c r="P28" i="1"/>
  <c r="D28" i="14" s="1"/>
  <c r="DD30" i="5"/>
  <c r="I30" i="7"/>
  <c r="G30" i="10"/>
  <c r="K31" i="5"/>
  <c r="DE30" i="5"/>
  <c r="H30" i="10"/>
  <c r="L31" i="5"/>
  <c r="J30" i="7"/>
  <c r="DB31" i="5"/>
  <c r="E31" i="10"/>
  <c r="I32" i="5"/>
  <c r="G31" i="7"/>
  <c r="EI27" i="8"/>
  <c r="D27" i="14"/>
  <c r="AP27" i="5"/>
  <c r="DY27" i="8"/>
  <c r="DZ27" i="8" s="1"/>
  <c r="CY32" i="5"/>
  <c r="R32" i="2"/>
  <c r="J33" i="8"/>
  <c r="G32" i="5"/>
  <c r="C31" i="10"/>
  <c r="E31" i="7"/>
  <c r="CZ31" i="5"/>
  <c r="H35" i="8"/>
  <c r="P34" i="2"/>
  <c r="DF33" i="8"/>
  <c r="M33" i="2"/>
  <c r="X32" i="1"/>
  <c r="I7" i="2"/>
  <c r="F7" i="2"/>
  <c r="F7" i="1"/>
  <c r="H7" i="2"/>
  <c r="N32" i="2"/>
  <c r="DG32" i="5"/>
  <c r="EB27" i="8"/>
  <c r="B34" i="10"/>
  <c r="D34" i="7"/>
  <c r="F35" i="5"/>
  <c r="AA32" i="7"/>
  <c r="AE32" i="8" s="1"/>
  <c r="BC32" i="8" s="1"/>
  <c r="K32" i="10"/>
  <c r="K34" i="8"/>
  <c r="S33" i="2"/>
  <c r="DA31" i="5"/>
  <c r="O33" i="2"/>
  <c r="DE33" i="8"/>
  <c r="J33" i="5"/>
  <c r="F32" i="10"/>
  <c r="DC32" i="5"/>
  <c r="H32" i="7"/>
  <c r="AG27" i="7"/>
  <c r="AI27" i="7" s="1"/>
  <c r="AH27" i="7"/>
  <c r="AG28" i="7"/>
  <c r="AI28" i="7" s="1"/>
  <c r="AH28" i="7"/>
  <c r="DD27" i="8"/>
  <c r="DC27" i="8"/>
  <c r="AQ27" i="5"/>
  <c r="AU27" i="1" s="1"/>
  <c r="DF30" i="5"/>
  <c r="AV26" i="8" l="1"/>
  <c r="AW26" i="1" s="1"/>
  <c r="L26" i="1" s="1"/>
  <c r="AO26" i="8" s="1"/>
  <c r="AE28" i="11"/>
  <c r="AC28" i="8" s="1"/>
  <c r="AF28" i="11"/>
  <c r="CA29" i="8"/>
  <c r="CH29" i="8"/>
  <c r="E25" i="11"/>
  <c r="BO25" i="1"/>
  <c r="BY27" i="8"/>
  <c r="BT27" i="8"/>
  <c r="CF27" i="8"/>
  <c r="BU27" i="8"/>
  <c r="CG27" i="8"/>
  <c r="BQ27" i="8"/>
  <c r="BP27" i="8"/>
  <c r="BZ27" i="8"/>
  <c r="AU26" i="8"/>
  <c r="AT26" i="1" s="1"/>
  <c r="AO32" i="11"/>
  <c r="AG31" i="5"/>
  <c r="E31" i="9"/>
  <c r="B31" i="2"/>
  <c r="L32" i="11"/>
  <c r="B31" i="1"/>
  <c r="BI31" i="1" s="1"/>
  <c r="V31" i="2"/>
  <c r="BN25" i="1"/>
  <c r="AR25" i="1"/>
  <c r="V25" i="1" s="1"/>
  <c r="K26" i="1" s="1"/>
  <c r="C25" i="9"/>
  <c r="AR25" i="8"/>
  <c r="B32" i="5"/>
  <c r="AC32" i="1"/>
  <c r="BC33" i="5"/>
  <c r="BE33" i="5"/>
  <c r="AE31" i="1"/>
  <c r="W31" i="1" s="1"/>
  <c r="AZ36" i="5"/>
  <c r="BP34" i="5"/>
  <c r="AB33" i="1"/>
  <c r="BN36" i="5"/>
  <c r="AF34" i="1"/>
  <c r="BK35" i="5"/>
  <c r="AD33" i="1"/>
  <c r="O33" i="1"/>
  <c r="DK33" i="8" s="1"/>
  <c r="DJ32" i="8"/>
  <c r="DI32" i="8"/>
  <c r="AD29" i="9"/>
  <c r="AV29" i="1" s="1"/>
  <c r="N32" i="1"/>
  <c r="AC28" i="11"/>
  <c r="T28" i="8" s="1"/>
  <c r="Y28" i="11"/>
  <c r="AH28" i="1" s="1"/>
  <c r="AA28" i="11"/>
  <c r="AB28" i="11"/>
  <c r="P28" i="8" s="1"/>
  <c r="AD28" i="11"/>
  <c r="AI28" i="1" s="1"/>
  <c r="Z28" i="11"/>
  <c r="AC28" i="2" s="1"/>
  <c r="AT28" i="8"/>
  <c r="AQ28" i="8"/>
  <c r="F28" i="11"/>
  <c r="M29" i="1"/>
  <c r="AW28" i="8"/>
  <c r="D26" i="11"/>
  <c r="AP26" i="8"/>
  <c r="DC28" i="8"/>
  <c r="EE28" i="8" s="1"/>
  <c r="EF28" i="8" s="1"/>
  <c r="CM34" i="8"/>
  <c r="AJ35" i="14"/>
  <c r="A34" i="2"/>
  <c r="K34" i="11"/>
  <c r="A34" i="7"/>
  <c r="AD34" i="8"/>
  <c r="J35" i="10"/>
  <c r="M34" i="5"/>
  <c r="B34" i="14"/>
  <c r="A34" i="9"/>
  <c r="A34" i="8"/>
  <c r="DH29" i="8"/>
  <c r="EH29" i="8" s="1"/>
  <c r="DT29" i="8"/>
  <c r="DR29" i="8"/>
  <c r="DS29" i="8"/>
  <c r="DG29" i="8"/>
  <c r="EG29" i="8" s="1"/>
  <c r="DN29" i="8"/>
  <c r="DO29" i="8"/>
  <c r="DY28" i="8"/>
  <c r="DZ28" i="8" s="1"/>
  <c r="CS30" i="8"/>
  <c r="DP30" i="8" s="1"/>
  <c r="CT30" i="8"/>
  <c r="DQ30" i="8" s="1"/>
  <c r="CU30" i="8"/>
  <c r="Y32" i="1"/>
  <c r="I36" i="8"/>
  <c r="Q35" i="2"/>
  <c r="DL30" i="8"/>
  <c r="EI28" i="8"/>
  <c r="DB29" i="8"/>
  <c r="EC29" i="8" s="1"/>
  <c r="ED29" i="8" s="1"/>
  <c r="CX29" i="8"/>
  <c r="CV29" i="8"/>
  <c r="DX29" i="8" s="1"/>
  <c r="EB29" i="8" s="1"/>
  <c r="CW29" i="8"/>
  <c r="CY29" i="8"/>
  <c r="EA29" i="8" s="1"/>
  <c r="BM26" i="1"/>
  <c r="AK26" i="5"/>
  <c r="AQ26" i="1"/>
  <c r="U26" i="1" s="1"/>
  <c r="AP28" i="5"/>
  <c r="EP29" i="8"/>
  <c r="AO29" i="5"/>
  <c r="AL29" i="5"/>
  <c r="AP29" i="5" s="1"/>
  <c r="AI30" i="5"/>
  <c r="AM29" i="5"/>
  <c r="AQ28" i="5"/>
  <c r="AU28" i="1" s="1"/>
  <c r="N29" i="11"/>
  <c r="D32" i="10"/>
  <c r="H33" i="5"/>
  <c r="F32" i="7"/>
  <c r="P29" i="1"/>
  <c r="D29" i="14" s="1"/>
  <c r="N29" i="7"/>
  <c r="CO29" i="8"/>
  <c r="AR32" i="5"/>
  <c r="D30" i="9"/>
  <c r="CN29" i="8"/>
  <c r="X29" i="10"/>
  <c r="Y29" i="10" s="1"/>
  <c r="AE29" i="7"/>
  <c r="AF29" i="7" s="1"/>
  <c r="AB29" i="2"/>
  <c r="BO30" i="8"/>
  <c r="DM30" i="8" s="1"/>
  <c r="Q30" i="1"/>
  <c r="E30" i="14" s="1"/>
  <c r="EO30" i="8"/>
  <c r="E30" i="1"/>
  <c r="A30" i="11"/>
  <c r="CQ30" i="8"/>
  <c r="DA30" i="8" s="1"/>
  <c r="AB30" i="8"/>
  <c r="BS30" i="5"/>
  <c r="B30" i="9"/>
  <c r="BN30" i="8"/>
  <c r="CO30" i="8" s="1"/>
  <c r="B30" i="7"/>
  <c r="AE30" i="7" s="1"/>
  <c r="AF30" i="7" s="1"/>
  <c r="AV30" i="5"/>
  <c r="C30" i="14"/>
  <c r="AU30" i="5"/>
  <c r="AH30" i="5"/>
  <c r="AC30" i="10" s="1"/>
  <c r="W30" i="8"/>
  <c r="A30" i="10"/>
  <c r="AA30" i="10" s="1"/>
  <c r="A31" i="5"/>
  <c r="E31" i="5" s="1"/>
  <c r="EQ31" i="8" s="1"/>
  <c r="CZ31" i="8" s="1"/>
  <c r="I31" i="7"/>
  <c r="G31" i="10"/>
  <c r="K32" i="5"/>
  <c r="DD31" i="5"/>
  <c r="J31" i="7"/>
  <c r="L32" i="5"/>
  <c r="DE31" i="5"/>
  <c r="H31" i="10"/>
  <c r="I33" i="5"/>
  <c r="E32" i="10"/>
  <c r="G32" i="7"/>
  <c r="DB32" i="5"/>
  <c r="J34" i="8"/>
  <c r="R33" i="2"/>
  <c r="DG33" i="5"/>
  <c r="AP7" i="1"/>
  <c r="T7" i="1" s="1"/>
  <c r="I8" i="1" s="1"/>
  <c r="J7" i="11"/>
  <c r="G7" i="2"/>
  <c r="Z7" i="2" s="1"/>
  <c r="Z8" i="8" s="1"/>
  <c r="DF34" i="8"/>
  <c r="M34" i="2"/>
  <c r="K35" i="8"/>
  <c r="S34" i="2"/>
  <c r="F36" i="5"/>
  <c r="D35" i="7"/>
  <c r="B35" i="10"/>
  <c r="G33" i="5"/>
  <c r="C32" i="10"/>
  <c r="CZ32" i="5"/>
  <c r="E32" i="7"/>
  <c r="CY33" i="5"/>
  <c r="K33" i="10"/>
  <c r="AA33" i="7"/>
  <c r="AE33" i="8" s="1"/>
  <c r="BC33" i="8" s="1"/>
  <c r="EE27" i="8"/>
  <c r="EF27" i="8" s="1"/>
  <c r="H33" i="7"/>
  <c r="F33" i="10"/>
  <c r="DC33" i="5"/>
  <c r="J34" i="5"/>
  <c r="O34" i="2"/>
  <c r="DE34" i="8"/>
  <c r="DC29" i="8"/>
  <c r="DD29" i="8"/>
  <c r="N33" i="2"/>
  <c r="DA32" i="5"/>
  <c r="H36" i="8"/>
  <c r="P35" i="2"/>
  <c r="AA7" i="1"/>
  <c r="S7" i="1" s="1"/>
  <c r="H8" i="1" s="1"/>
  <c r="I7" i="11"/>
  <c r="O7" i="7"/>
  <c r="X33" i="1"/>
  <c r="J32" i="2"/>
  <c r="DF31" i="5"/>
  <c r="BO26" i="1" l="1"/>
  <c r="AU27" i="8"/>
  <c r="AT27" i="1" s="1"/>
  <c r="E26" i="11"/>
  <c r="AV27" i="8"/>
  <c r="AW27" i="1" s="1"/>
  <c r="L27" i="1" s="1"/>
  <c r="E27" i="11" s="1"/>
  <c r="AE29" i="11"/>
  <c r="AC29" i="8" s="1"/>
  <c r="AF29" i="11"/>
  <c r="BQ28" i="8"/>
  <c r="CF28" i="8"/>
  <c r="BY28" i="8"/>
  <c r="CG28" i="8"/>
  <c r="BU28" i="8"/>
  <c r="BZ28" i="8"/>
  <c r="BT28" i="8"/>
  <c r="BP28" i="8"/>
  <c r="CA30" i="8"/>
  <c r="CH30" i="8"/>
  <c r="AO33" i="11"/>
  <c r="L33" i="11"/>
  <c r="E32" i="9"/>
  <c r="AG32" i="5"/>
  <c r="B32" i="1"/>
  <c r="BI32" i="1" s="1"/>
  <c r="B32" i="2"/>
  <c r="BO27" i="1"/>
  <c r="J27" i="1"/>
  <c r="AP27" i="8" s="1"/>
  <c r="AR26" i="1"/>
  <c r="V26" i="1" s="1"/>
  <c r="K27" i="1" s="1"/>
  <c r="BN26" i="1"/>
  <c r="C26" i="9"/>
  <c r="AR26" i="8"/>
  <c r="AC33" i="1"/>
  <c r="BC34" i="5"/>
  <c r="BK36" i="5"/>
  <c r="AD34" i="1"/>
  <c r="BE34" i="5"/>
  <c r="AE32" i="1"/>
  <c r="W32" i="1" s="1"/>
  <c r="AZ37" i="5"/>
  <c r="BP35" i="5"/>
  <c r="AB34" i="1"/>
  <c r="BN37" i="5"/>
  <c r="AF35" i="1"/>
  <c r="O34" i="1"/>
  <c r="DK34" i="8" s="1"/>
  <c r="DI33" i="8"/>
  <c r="DJ33" i="8"/>
  <c r="AD30" i="9"/>
  <c r="AV30" i="1" s="1"/>
  <c r="N33" i="1"/>
  <c r="AA29" i="11"/>
  <c r="Y29" i="11"/>
  <c r="AH29" i="1" s="1"/>
  <c r="AC29" i="11"/>
  <c r="T29" i="8" s="1"/>
  <c r="AB29" i="11"/>
  <c r="P29" i="8" s="1"/>
  <c r="Z29" i="11"/>
  <c r="AC29" i="2" s="1"/>
  <c r="AD29" i="11"/>
  <c r="AI29" i="1" s="1"/>
  <c r="AT29" i="8"/>
  <c r="AQ29" i="8"/>
  <c r="F29" i="11"/>
  <c r="M30" i="1"/>
  <c r="AW29" i="8"/>
  <c r="Q30" i="7"/>
  <c r="AJ36" i="14"/>
  <c r="CM35" i="8"/>
  <c r="A35" i="2"/>
  <c r="K35" i="11"/>
  <c r="B35" i="14"/>
  <c r="M35" i="5"/>
  <c r="A35" i="7"/>
  <c r="J36" i="10"/>
  <c r="AD35" i="8"/>
  <c r="A35" i="8"/>
  <c r="A35" i="9"/>
  <c r="DR30" i="8"/>
  <c r="DS30" i="8"/>
  <c r="EI29" i="8"/>
  <c r="EP30" i="8"/>
  <c r="DT30" i="8"/>
  <c r="CY30" i="8"/>
  <c r="EA30" i="8" s="1"/>
  <c r="DN30" i="8"/>
  <c r="DO30" i="8"/>
  <c r="CS31" i="8"/>
  <c r="DP31" i="8" s="1"/>
  <c r="CT31" i="8"/>
  <c r="DQ31" i="8" s="1"/>
  <c r="CU31" i="8"/>
  <c r="Y33" i="1"/>
  <c r="AG29" i="7"/>
  <c r="AI29" i="7" s="1"/>
  <c r="AH29" i="7"/>
  <c r="I37" i="8"/>
  <c r="Q36" i="2"/>
  <c r="CQ31" i="8"/>
  <c r="DA31" i="8" s="1"/>
  <c r="DY29" i="8"/>
  <c r="DZ29" i="8" s="1"/>
  <c r="AQ29" i="5"/>
  <c r="AU29" i="1" s="1"/>
  <c r="DH30" i="8"/>
  <c r="EH30" i="8" s="1"/>
  <c r="A31" i="11"/>
  <c r="AN30" i="5"/>
  <c r="AM30" i="5"/>
  <c r="DL31" i="8"/>
  <c r="E31" i="1"/>
  <c r="N30" i="7"/>
  <c r="AO30" i="5"/>
  <c r="D31" i="9"/>
  <c r="CW30" i="8"/>
  <c r="V32" i="2"/>
  <c r="N30" i="11"/>
  <c r="BS31" i="5"/>
  <c r="AU31" i="5"/>
  <c r="CN30" i="8"/>
  <c r="AL30" i="5"/>
  <c r="BO31" i="8"/>
  <c r="DM31" i="8" s="1"/>
  <c r="DG30" i="8"/>
  <c r="EG30" i="8" s="1"/>
  <c r="F33" i="7"/>
  <c r="H34" i="5"/>
  <c r="D33" i="10"/>
  <c r="CR30" i="8"/>
  <c r="DC30" i="8" s="1"/>
  <c r="AV31" i="5"/>
  <c r="P30" i="1"/>
  <c r="BN31" i="8"/>
  <c r="CR31" i="8" s="1"/>
  <c r="B31" i="7"/>
  <c r="Q31" i="7" s="1"/>
  <c r="CX30" i="8"/>
  <c r="AB30" i="2"/>
  <c r="AH31" i="5"/>
  <c r="AC31" i="10" s="1"/>
  <c r="CV30" i="8"/>
  <c r="DX30" i="8" s="1"/>
  <c r="EB30" i="8" s="1"/>
  <c r="EO31" i="8"/>
  <c r="A31" i="10"/>
  <c r="AA31" i="10" s="1"/>
  <c r="B31" i="9"/>
  <c r="AI31" i="5"/>
  <c r="Q31" i="1"/>
  <c r="E31" i="14" s="1"/>
  <c r="AR33" i="5"/>
  <c r="A32" i="5"/>
  <c r="E32" i="5" s="1"/>
  <c r="X30" i="10"/>
  <c r="Y30" i="10" s="1"/>
  <c r="AB31" i="8"/>
  <c r="W31" i="8"/>
  <c r="C31" i="14"/>
  <c r="DB30" i="8"/>
  <c r="EC30" i="8" s="1"/>
  <c r="ED30" i="8" s="1"/>
  <c r="I32" i="7"/>
  <c r="K33" i="5"/>
  <c r="DD32" i="5"/>
  <c r="G32" i="10"/>
  <c r="J32" i="7"/>
  <c r="L33" i="5"/>
  <c r="DE32" i="5"/>
  <c r="H32" i="10"/>
  <c r="E33" i="10"/>
  <c r="G33" i="7"/>
  <c r="I34" i="5"/>
  <c r="DB33" i="5"/>
  <c r="EE29" i="8"/>
  <c r="EF29" i="8" s="1"/>
  <c r="DG34" i="5"/>
  <c r="CY34" i="5"/>
  <c r="AH30" i="7"/>
  <c r="AG30" i="7"/>
  <c r="AI30" i="7" s="1"/>
  <c r="J35" i="5"/>
  <c r="F34" i="10"/>
  <c r="DC34" i="5"/>
  <c r="H34" i="7"/>
  <c r="BK8" i="1"/>
  <c r="AC8" i="7"/>
  <c r="C8" i="11"/>
  <c r="AJ8" i="5"/>
  <c r="AN8" i="8"/>
  <c r="V8" i="10"/>
  <c r="F7" i="9"/>
  <c r="P7" i="7"/>
  <c r="DA33" i="5"/>
  <c r="X34" i="1"/>
  <c r="K34" i="10"/>
  <c r="AA34" i="7"/>
  <c r="AE34" i="8" s="1"/>
  <c r="BC34" i="8" s="1"/>
  <c r="C33" i="10"/>
  <c r="CZ33" i="5"/>
  <c r="E33" i="7"/>
  <c r="G34" i="5"/>
  <c r="B36" i="10"/>
  <c r="F37" i="5"/>
  <c r="D36" i="7"/>
  <c r="C7" i="8"/>
  <c r="J33" i="2"/>
  <c r="N34" i="2"/>
  <c r="S35" i="2"/>
  <c r="K36" i="8"/>
  <c r="DF35" i="8"/>
  <c r="M35" i="2"/>
  <c r="J35" i="8"/>
  <c r="R34" i="2"/>
  <c r="P36" i="2"/>
  <c r="H37" i="8"/>
  <c r="O35" i="2"/>
  <c r="DE35" i="8"/>
  <c r="B33" i="5"/>
  <c r="DF32" i="5"/>
  <c r="AO27" i="8" l="1"/>
  <c r="AU28" i="8"/>
  <c r="AT28" i="1" s="1"/>
  <c r="CA31" i="8"/>
  <c r="CH31" i="8"/>
  <c r="AV28" i="8"/>
  <c r="AW28" i="1" s="1"/>
  <c r="L28" i="1" s="1"/>
  <c r="E28" i="11" s="1"/>
  <c r="AF30" i="11"/>
  <c r="AE30" i="11"/>
  <c r="AC30" i="8" s="1"/>
  <c r="BP29" i="8"/>
  <c r="BY29" i="8"/>
  <c r="CG29" i="8"/>
  <c r="BZ29" i="8"/>
  <c r="BT29" i="8"/>
  <c r="CF29" i="8"/>
  <c r="BU29" i="8"/>
  <c r="BQ29" i="8"/>
  <c r="AO34" i="11"/>
  <c r="AG33" i="5"/>
  <c r="L34" i="11"/>
  <c r="E33" i="9"/>
  <c r="B33" i="2"/>
  <c r="B33" i="1"/>
  <c r="BI33" i="1" s="1"/>
  <c r="AQ27" i="1"/>
  <c r="U27" i="1" s="1"/>
  <c r="J28" i="1" s="1"/>
  <c r="D28" i="11" s="1"/>
  <c r="EQ32" i="8"/>
  <c r="CZ32" i="8" s="1"/>
  <c r="AB31" i="2"/>
  <c r="D27" i="11"/>
  <c r="BM27" i="1"/>
  <c r="AK27" i="5"/>
  <c r="AR27" i="8"/>
  <c r="AR27" i="1"/>
  <c r="V27" i="1" s="1"/>
  <c r="K28" i="1" s="1"/>
  <c r="BN27" i="1"/>
  <c r="C27" i="9"/>
  <c r="BC35" i="5"/>
  <c r="AC34" i="1"/>
  <c r="BP36" i="5"/>
  <c r="AB35" i="1"/>
  <c r="BK37" i="5"/>
  <c r="AD35" i="1"/>
  <c r="BN38" i="5"/>
  <c r="AF36" i="1"/>
  <c r="BE35" i="5"/>
  <c r="AE33" i="1"/>
  <c r="W33" i="1" s="1"/>
  <c r="AZ38" i="5"/>
  <c r="O35" i="1"/>
  <c r="DK35" i="8" s="1"/>
  <c r="DI34" i="8"/>
  <c r="DJ34" i="8"/>
  <c r="AS8" i="8"/>
  <c r="AO8" i="1"/>
  <c r="AD31" i="9"/>
  <c r="AV31" i="1" s="1"/>
  <c r="N34" i="1"/>
  <c r="AA30" i="11"/>
  <c r="Y30" i="11"/>
  <c r="AH30" i="1" s="1"/>
  <c r="AC30" i="11"/>
  <c r="T30" i="8" s="1"/>
  <c r="AD30" i="11"/>
  <c r="AI30" i="1" s="1"/>
  <c r="AB30" i="11"/>
  <c r="P30" i="8" s="1"/>
  <c r="Z30" i="11"/>
  <c r="AC30" i="2" s="1"/>
  <c r="BL8" i="1"/>
  <c r="AT30" i="8"/>
  <c r="AQ30" i="8"/>
  <c r="M31" i="1"/>
  <c r="F30" i="11"/>
  <c r="AW30" i="8"/>
  <c r="N31" i="7"/>
  <c r="AJ37" i="14"/>
  <c r="CM36" i="8"/>
  <c r="A36" i="2"/>
  <c r="K36" i="11"/>
  <c r="A36" i="7"/>
  <c r="AD36" i="8"/>
  <c r="M36" i="5"/>
  <c r="J37" i="10"/>
  <c r="A36" i="9"/>
  <c r="A36" i="8"/>
  <c r="B36" i="14"/>
  <c r="DR31" i="8"/>
  <c r="DS31" i="8"/>
  <c r="DH31" i="8"/>
  <c r="EH31" i="8" s="1"/>
  <c r="DT31" i="8"/>
  <c r="CW31" i="8"/>
  <c r="DN31" i="8"/>
  <c r="DO31" i="8"/>
  <c r="CU32" i="8"/>
  <c r="CT32" i="8"/>
  <c r="DQ32" i="8" s="1"/>
  <c r="CS32" i="8"/>
  <c r="DP32" i="8" s="1"/>
  <c r="Y34" i="1"/>
  <c r="I38" i="8"/>
  <c r="Q37" i="2"/>
  <c r="CX31" i="8"/>
  <c r="CY31" i="8"/>
  <c r="EA31" i="8" s="1"/>
  <c r="CV31" i="8"/>
  <c r="DX31" i="8" s="1"/>
  <c r="EB31" i="8" s="1"/>
  <c r="DG31" i="8"/>
  <c r="EG31" i="8" s="1"/>
  <c r="DB31" i="8"/>
  <c r="EC31" i="8" s="1"/>
  <c r="ED31" i="8" s="1"/>
  <c r="DL32" i="8"/>
  <c r="W32" i="8"/>
  <c r="A32" i="10"/>
  <c r="AA32" i="10" s="1"/>
  <c r="DD30" i="8"/>
  <c r="EE30" i="8" s="1"/>
  <c r="EF30" i="8" s="1"/>
  <c r="AP30" i="5"/>
  <c r="AU32" i="5"/>
  <c r="CO31" i="8"/>
  <c r="AQ30" i="5"/>
  <c r="AU30" i="1" s="1"/>
  <c r="AO31" i="5"/>
  <c r="EI30" i="8"/>
  <c r="Q32" i="1"/>
  <c r="E32" i="14" s="1"/>
  <c r="AL31" i="5"/>
  <c r="AE31" i="7"/>
  <c r="AF31" i="7" s="1"/>
  <c r="N31" i="11"/>
  <c r="AH32" i="5"/>
  <c r="AC32" i="10" s="1"/>
  <c r="D32" i="9"/>
  <c r="DY30" i="8"/>
  <c r="DZ30" i="8" s="1"/>
  <c r="BN32" i="8"/>
  <c r="CR32" i="8" s="1"/>
  <c r="BS32" i="5"/>
  <c r="AN31" i="5"/>
  <c r="X31" i="10"/>
  <c r="Y31" i="10" s="1"/>
  <c r="BO32" i="8"/>
  <c r="DM32" i="8" s="1"/>
  <c r="AV32" i="5"/>
  <c r="CN31" i="8"/>
  <c r="EO32" i="8"/>
  <c r="A32" i="11"/>
  <c r="CQ32" i="8"/>
  <c r="DA32" i="8" s="1"/>
  <c r="C32" i="14"/>
  <c r="E32" i="1"/>
  <c r="AM31" i="5"/>
  <c r="P31" i="1"/>
  <c r="D31" i="14" s="1"/>
  <c r="D30" i="14"/>
  <c r="AI32" i="5"/>
  <c r="AB32" i="8"/>
  <c r="B32" i="9"/>
  <c r="B32" i="7"/>
  <c r="Q32" i="7" s="1"/>
  <c r="EP31" i="8"/>
  <c r="H35" i="5"/>
  <c r="D34" i="10"/>
  <c r="F34" i="7"/>
  <c r="AR34" i="5"/>
  <c r="V33" i="2"/>
  <c r="A33" i="5"/>
  <c r="E33" i="5" s="1"/>
  <c r="EQ33" i="8" s="1"/>
  <c r="CZ33" i="8" s="1"/>
  <c r="DD33" i="5"/>
  <c r="K34" i="5"/>
  <c r="G33" i="10"/>
  <c r="I33" i="7"/>
  <c r="DE33" i="5"/>
  <c r="L34" i="5"/>
  <c r="H33" i="10"/>
  <c r="J33" i="7"/>
  <c r="G34" i="7"/>
  <c r="E34" i="10"/>
  <c r="I35" i="5"/>
  <c r="DB34" i="5"/>
  <c r="R35" i="2"/>
  <c r="J36" i="8"/>
  <c r="DF36" i="8"/>
  <c r="M36" i="2"/>
  <c r="N35" i="2"/>
  <c r="DA34" i="5"/>
  <c r="O36" i="2"/>
  <c r="DE36" i="8"/>
  <c r="DD31" i="8"/>
  <c r="DC31" i="8"/>
  <c r="CY35" i="5"/>
  <c r="DG35" i="5"/>
  <c r="P37" i="2"/>
  <c r="H38" i="8"/>
  <c r="E34" i="7"/>
  <c r="G35" i="5"/>
  <c r="C34" i="10"/>
  <c r="CZ34" i="5"/>
  <c r="X35" i="1"/>
  <c r="B37" i="10"/>
  <c r="F38" i="5"/>
  <c r="D37" i="7"/>
  <c r="J36" i="5"/>
  <c r="DC35" i="5"/>
  <c r="F35" i="10"/>
  <c r="H35" i="7"/>
  <c r="B34" i="5"/>
  <c r="Y7" i="2"/>
  <c r="X7" i="2" s="1"/>
  <c r="K37" i="8"/>
  <c r="S36" i="2"/>
  <c r="AA35" i="7"/>
  <c r="AE35" i="8" s="1"/>
  <c r="BC35" i="8" s="1"/>
  <c r="K35" i="10"/>
  <c r="J34" i="2"/>
  <c r="DF33" i="5"/>
  <c r="BO28" i="1" l="1"/>
  <c r="AO28" i="8"/>
  <c r="CA32" i="8"/>
  <c r="CH32" i="8"/>
  <c r="BY30" i="8"/>
  <c r="BT30" i="8"/>
  <c r="BU30" i="8"/>
  <c r="CF30" i="8"/>
  <c r="BZ30" i="8"/>
  <c r="BQ30" i="8"/>
  <c r="BP30" i="8"/>
  <c r="CG30" i="8"/>
  <c r="AE31" i="11"/>
  <c r="AC31" i="8" s="1"/>
  <c r="AF31" i="11"/>
  <c r="AU29" i="8"/>
  <c r="AT29" i="1" s="1"/>
  <c r="AV29" i="8"/>
  <c r="AW29" i="1" s="1"/>
  <c r="L29" i="1" s="1"/>
  <c r="AO35" i="11"/>
  <c r="L35" i="11"/>
  <c r="E34" i="9"/>
  <c r="AG34" i="5"/>
  <c r="B34" i="1"/>
  <c r="BI34" i="1" s="1"/>
  <c r="B34" i="2"/>
  <c r="BM28" i="1"/>
  <c r="AQ28" i="1"/>
  <c r="U28" i="1" s="1"/>
  <c r="J29" i="1" s="1"/>
  <c r="AK28" i="5"/>
  <c r="AP28" i="8"/>
  <c r="C28" i="9"/>
  <c r="AR28" i="1"/>
  <c r="V28" i="1" s="1"/>
  <c r="K29" i="1" s="1"/>
  <c r="BN28" i="1"/>
  <c r="AR28" i="8"/>
  <c r="AC35" i="1"/>
  <c r="BC36" i="5"/>
  <c r="B35" i="5"/>
  <c r="BP37" i="5"/>
  <c r="AB36" i="1"/>
  <c r="AZ39" i="5"/>
  <c r="BK38" i="5"/>
  <c r="AD36" i="1"/>
  <c r="BN39" i="5"/>
  <c r="AF37" i="1"/>
  <c r="BE36" i="5"/>
  <c r="AE34" i="1"/>
  <c r="W34" i="1" s="1"/>
  <c r="O36" i="1"/>
  <c r="DK36" i="8" s="1"/>
  <c r="DI35" i="8"/>
  <c r="DJ35" i="8"/>
  <c r="AD32" i="9"/>
  <c r="AV32" i="1" s="1"/>
  <c r="N35" i="1"/>
  <c r="AA31" i="11"/>
  <c r="Y31" i="11"/>
  <c r="AH31" i="1" s="1"/>
  <c r="AC31" i="11"/>
  <c r="T31" i="8" s="1"/>
  <c r="AD31" i="11"/>
  <c r="AI31" i="1" s="1"/>
  <c r="AB31" i="11"/>
  <c r="P31" i="8" s="1"/>
  <c r="Z31" i="11"/>
  <c r="AC31" i="2" s="1"/>
  <c r="AT31" i="8"/>
  <c r="AQ31" i="8"/>
  <c r="M32" i="1"/>
  <c r="F31" i="11"/>
  <c r="AW31" i="8"/>
  <c r="EI31" i="8"/>
  <c r="N32" i="7"/>
  <c r="AJ38" i="14"/>
  <c r="CM37" i="8"/>
  <c r="A37" i="2"/>
  <c r="K37" i="11"/>
  <c r="AD37" i="8"/>
  <c r="J38" i="10"/>
  <c r="B37" i="14"/>
  <c r="A37" i="9"/>
  <c r="A37" i="7"/>
  <c r="A37" i="8"/>
  <c r="M37" i="5"/>
  <c r="EP32" i="8"/>
  <c r="DT32" i="8"/>
  <c r="DR32" i="8"/>
  <c r="DS32" i="8"/>
  <c r="CV32" i="8"/>
  <c r="DX32" i="8" s="1"/>
  <c r="EB32" i="8" s="1"/>
  <c r="DN32" i="8"/>
  <c r="DO32" i="8"/>
  <c r="DY31" i="8"/>
  <c r="DZ31" i="8" s="1"/>
  <c r="CS33" i="8"/>
  <c r="DP33" i="8" s="1"/>
  <c r="CT33" i="8"/>
  <c r="DQ33" i="8" s="1"/>
  <c r="CU33" i="8"/>
  <c r="Y35" i="1"/>
  <c r="J35" i="2"/>
  <c r="AH31" i="7"/>
  <c r="Q38" i="2"/>
  <c r="I39" i="8"/>
  <c r="AN32" i="5"/>
  <c r="AO32" i="5"/>
  <c r="X32" i="10"/>
  <c r="Y32" i="10" s="1"/>
  <c r="AL32" i="5"/>
  <c r="CN32" i="8"/>
  <c r="DH32" i="8"/>
  <c r="EH32" i="8" s="1"/>
  <c r="AP31" i="5"/>
  <c r="CO32" i="8"/>
  <c r="D33" i="9"/>
  <c r="DG32" i="8"/>
  <c r="EG32" i="8" s="1"/>
  <c r="AM32" i="5"/>
  <c r="AQ31" i="5"/>
  <c r="AU31" i="1" s="1"/>
  <c r="AG31" i="7"/>
  <c r="AI31" i="7" s="1"/>
  <c r="CY32" i="8"/>
  <c r="EA32" i="8" s="1"/>
  <c r="N32" i="11"/>
  <c r="CW32" i="8"/>
  <c r="DB32" i="8"/>
  <c r="EC32" i="8" s="1"/>
  <c r="ED32" i="8" s="1"/>
  <c r="P32" i="1"/>
  <c r="D32" i="14" s="1"/>
  <c r="CX32" i="8"/>
  <c r="AE32" i="7"/>
  <c r="AF32" i="7" s="1"/>
  <c r="D35" i="10"/>
  <c r="F35" i="7"/>
  <c r="H36" i="5"/>
  <c r="V34" i="2"/>
  <c r="AR35" i="5"/>
  <c r="A34" i="5"/>
  <c r="E34" i="5" s="1"/>
  <c r="EQ34" i="8" s="1"/>
  <c r="CZ34" i="8" s="1"/>
  <c r="G34" i="10"/>
  <c r="I34" i="7"/>
  <c r="K35" i="5"/>
  <c r="DD34" i="5"/>
  <c r="L35" i="5"/>
  <c r="J34" i="7"/>
  <c r="H34" i="10"/>
  <c r="DE34" i="5"/>
  <c r="I36" i="5"/>
  <c r="G35" i="7"/>
  <c r="DB35" i="5"/>
  <c r="E35" i="10"/>
  <c r="EE31" i="8"/>
  <c r="EF31" i="8" s="1"/>
  <c r="W33" i="8"/>
  <c r="AH33" i="5"/>
  <c r="BS33" i="5"/>
  <c r="A33" i="10"/>
  <c r="AA33" i="10" s="1"/>
  <c r="B33" i="9"/>
  <c r="Q33" i="1"/>
  <c r="E33" i="14" s="1"/>
  <c r="AU33" i="5"/>
  <c r="A33" i="11"/>
  <c r="BN33" i="8"/>
  <c r="AV33" i="5"/>
  <c r="C33" i="14"/>
  <c r="AI33" i="5"/>
  <c r="E33" i="1"/>
  <c r="B33" i="7"/>
  <c r="AB32" i="2"/>
  <c r="BO33" i="8"/>
  <c r="DM33" i="8" s="1"/>
  <c r="EO33" i="8"/>
  <c r="DT33" i="8" s="1"/>
  <c r="AB33" i="8"/>
  <c r="CQ33" i="8"/>
  <c r="DA33" i="8" s="1"/>
  <c r="DL33" i="8"/>
  <c r="H39" i="8"/>
  <c r="P38" i="2"/>
  <c r="M37" i="2"/>
  <c r="DF37" i="8"/>
  <c r="F39" i="5"/>
  <c r="B38" i="10"/>
  <c r="D38" i="7"/>
  <c r="S37" i="2"/>
  <c r="K38" i="8"/>
  <c r="DC32" i="8"/>
  <c r="DD32" i="8"/>
  <c r="X36" i="1"/>
  <c r="DG36" i="5"/>
  <c r="CY36" i="5"/>
  <c r="N36" i="2"/>
  <c r="K36" i="10"/>
  <c r="AA36" i="7"/>
  <c r="AE36" i="8" s="1"/>
  <c r="BC36" i="8" s="1"/>
  <c r="BD8" i="8"/>
  <c r="L8" i="2"/>
  <c r="B8" i="8"/>
  <c r="D8" i="2" s="1"/>
  <c r="H8" i="11"/>
  <c r="AB8" i="7"/>
  <c r="E8" i="2"/>
  <c r="DE37" i="8"/>
  <c r="O37" i="2"/>
  <c r="DC36" i="5"/>
  <c r="J37" i="5"/>
  <c r="F36" i="10"/>
  <c r="H36" i="7"/>
  <c r="DA35" i="5"/>
  <c r="J37" i="8"/>
  <c r="R36" i="2"/>
  <c r="C35" i="10"/>
  <c r="CZ35" i="5"/>
  <c r="G36" i="5"/>
  <c r="E35" i="7"/>
  <c r="DF34" i="5"/>
  <c r="AV30" i="8" l="1"/>
  <c r="AW30" i="1" s="1"/>
  <c r="L30" i="1" s="1"/>
  <c r="AO30" i="8" s="1"/>
  <c r="AU30" i="8"/>
  <c r="AT30" i="1" s="1"/>
  <c r="BO29" i="1"/>
  <c r="AO29" i="8"/>
  <c r="E29" i="11"/>
  <c r="AF32" i="11"/>
  <c r="AE32" i="11"/>
  <c r="AC32" i="8" s="1"/>
  <c r="CA33" i="8"/>
  <c r="CH33" i="8"/>
  <c r="CG31" i="8"/>
  <c r="BY31" i="8"/>
  <c r="CF31" i="8"/>
  <c r="BZ31" i="8"/>
  <c r="BU31" i="8"/>
  <c r="BT31" i="8"/>
  <c r="BQ31" i="8"/>
  <c r="BP31" i="8"/>
  <c r="AO36" i="11"/>
  <c r="L36" i="11"/>
  <c r="E35" i="9"/>
  <c r="AG35" i="5"/>
  <c r="B35" i="2"/>
  <c r="B35" i="1"/>
  <c r="BI35" i="1" s="1"/>
  <c r="AQ29" i="1"/>
  <c r="U29" i="1" s="1"/>
  <c r="J30" i="1" s="1"/>
  <c r="D30" i="11" s="1"/>
  <c r="D29" i="11"/>
  <c r="AK29" i="5"/>
  <c r="BM29" i="1"/>
  <c r="AP29" i="8"/>
  <c r="AR29" i="8"/>
  <c r="C29" i="9"/>
  <c r="AR29" i="1"/>
  <c r="V29" i="1" s="1"/>
  <c r="K30" i="1" s="1"/>
  <c r="BN29" i="1"/>
  <c r="AC36" i="1"/>
  <c r="BC37" i="5"/>
  <c r="BN40" i="5"/>
  <c r="AF38" i="1"/>
  <c r="BE37" i="5"/>
  <c r="AE35" i="1"/>
  <c r="W35" i="1" s="1"/>
  <c r="BP38" i="5"/>
  <c r="AB37" i="1"/>
  <c r="AZ40" i="5"/>
  <c r="BK39" i="5"/>
  <c r="AD37" i="1"/>
  <c r="O37" i="1"/>
  <c r="DK37" i="8" s="1"/>
  <c r="DJ36" i="8"/>
  <c r="DI36" i="8"/>
  <c r="AD33" i="9"/>
  <c r="AV33" i="1" s="1"/>
  <c r="N36" i="1"/>
  <c r="AA32" i="11"/>
  <c r="AC32" i="11"/>
  <c r="T32" i="8" s="1"/>
  <c r="Y32" i="11"/>
  <c r="AH32" i="1" s="1"/>
  <c r="AB32" i="11"/>
  <c r="P32" i="8" s="1"/>
  <c r="AD32" i="11"/>
  <c r="AI32" i="1" s="1"/>
  <c r="Z32" i="11"/>
  <c r="AC32" i="2" s="1"/>
  <c r="AT32" i="8"/>
  <c r="AQ32" i="8"/>
  <c r="F32" i="11"/>
  <c r="M33" i="1"/>
  <c r="AW32" i="8"/>
  <c r="AJ39" i="14"/>
  <c r="CM38" i="8"/>
  <c r="A38" i="2"/>
  <c r="K38" i="11"/>
  <c r="A38" i="7"/>
  <c r="A38" i="9"/>
  <c r="M38" i="5"/>
  <c r="J39" i="10"/>
  <c r="A38" i="8"/>
  <c r="B38" i="14"/>
  <c r="AD38" i="8"/>
  <c r="DR33" i="8"/>
  <c r="DS33" i="8"/>
  <c r="DN33" i="8"/>
  <c r="DO33" i="8"/>
  <c r="CS34" i="8"/>
  <c r="DP34" i="8" s="1"/>
  <c r="CT34" i="8"/>
  <c r="DQ34" i="8" s="1"/>
  <c r="CU34" i="8"/>
  <c r="Y36" i="1"/>
  <c r="AG32" i="7"/>
  <c r="AI32" i="7" s="1"/>
  <c r="AH32" i="7"/>
  <c r="Q39" i="2"/>
  <c r="I40" i="8"/>
  <c r="CQ34" i="8"/>
  <c r="DA34" i="8" s="1"/>
  <c r="AP32" i="5"/>
  <c r="AQ32" i="5"/>
  <c r="AU32" i="1" s="1"/>
  <c r="EI32" i="8"/>
  <c r="DY32" i="8"/>
  <c r="DZ32" i="8" s="1"/>
  <c r="A35" i="5"/>
  <c r="E35" i="5" s="1"/>
  <c r="EQ35" i="8" s="1"/>
  <c r="CZ35" i="8" s="1"/>
  <c r="AV34" i="5"/>
  <c r="B34" i="7"/>
  <c r="Q34" i="7" s="1"/>
  <c r="AU34" i="5"/>
  <c r="AB33" i="2"/>
  <c r="BN34" i="8"/>
  <c r="CO34" i="8" s="1"/>
  <c r="BO34" i="8"/>
  <c r="DM34" i="8" s="1"/>
  <c r="A34" i="11"/>
  <c r="AB34" i="8"/>
  <c r="BS34" i="5"/>
  <c r="EO34" i="8"/>
  <c r="AI34" i="5"/>
  <c r="E34" i="1"/>
  <c r="W34" i="8"/>
  <c r="V35" i="2"/>
  <c r="D36" i="10"/>
  <c r="H37" i="5"/>
  <c r="F36" i="7"/>
  <c r="AR36" i="5"/>
  <c r="AH34" i="5"/>
  <c r="A34" i="10"/>
  <c r="AA34" i="10" s="1"/>
  <c r="Q34" i="1"/>
  <c r="E34" i="14" s="1"/>
  <c r="C34" i="14"/>
  <c r="B34" i="9"/>
  <c r="DL34" i="8"/>
  <c r="G35" i="10"/>
  <c r="DD35" i="5"/>
  <c r="I35" i="7"/>
  <c r="K36" i="5"/>
  <c r="J35" i="7"/>
  <c r="L36" i="5"/>
  <c r="H35" i="10"/>
  <c r="DE35" i="5"/>
  <c r="E36" i="10"/>
  <c r="DB36" i="5"/>
  <c r="G36" i="7"/>
  <c r="I37" i="5"/>
  <c r="AN33" i="5"/>
  <c r="P33" i="1"/>
  <c r="D33" i="14" s="1"/>
  <c r="EE32" i="8"/>
  <c r="EF32" i="8" s="1"/>
  <c r="DH33" i="8"/>
  <c r="EH33" i="8" s="1"/>
  <c r="EP33" i="8"/>
  <c r="D39" i="7"/>
  <c r="B39" i="10"/>
  <c r="F40" i="5"/>
  <c r="DA36" i="5"/>
  <c r="O38" i="2"/>
  <c r="DE38" i="8"/>
  <c r="CY37" i="5"/>
  <c r="CY33" i="8"/>
  <c r="EA33" i="8" s="1"/>
  <c r="DB33" i="8"/>
  <c r="EC33" i="8" s="1"/>
  <c r="ED33" i="8" s="1"/>
  <c r="CV33" i="8"/>
  <c r="DX33" i="8" s="1"/>
  <c r="CW33" i="8"/>
  <c r="DG33" i="8"/>
  <c r="EG33" i="8" s="1"/>
  <c r="CX33" i="8"/>
  <c r="G37" i="5"/>
  <c r="C36" i="10"/>
  <c r="E36" i="7"/>
  <c r="CZ36" i="5"/>
  <c r="N37" i="2"/>
  <c r="U8" i="2"/>
  <c r="W7" i="2" s="1"/>
  <c r="C8" i="2" s="1"/>
  <c r="AC33" i="10"/>
  <c r="X33" i="10" s="1"/>
  <c r="Y33" i="10" s="1"/>
  <c r="AO33" i="5"/>
  <c r="AM33" i="5"/>
  <c r="AL33" i="5"/>
  <c r="X37" i="1"/>
  <c r="DF38" i="8"/>
  <c r="M38" i="2"/>
  <c r="DG37" i="5"/>
  <c r="H40" i="8"/>
  <c r="P39" i="2"/>
  <c r="Q33" i="7"/>
  <c r="AE33" i="7"/>
  <c r="AF33" i="7" s="1"/>
  <c r="J36" i="2"/>
  <c r="J38" i="8"/>
  <c r="R37" i="2"/>
  <c r="N33" i="11"/>
  <c r="K39" i="8"/>
  <c r="S38" i="2"/>
  <c r="N33" i="7"/>
  <c r="F37" i="10"/>
  <c r="J38" i="5"/>
  <c r="H37" i="7"/>
  <c r="DC37" i="5"/>
  <c r="AA37" i="7"/>
  <c r="AE37" i="8" s="1"/>
  <c r="BC37" i="8" s="1"/>
  <c r="K37" i="10"/>
  <c r="CN33" i="8"/>
  <c r="CO33" i="8"/>
  <c r="CR33" i="8"/>
  <c r="D34" i="9"/>
  <c r="B36" i="5"/>
  <c r="DF35" i="5"/>
  <c r="E30" i="11" l="1"/>
  <c r="AV31" i="8"/>
  <c r="AW31" i="1" s="1"/>
  <c r="L31" i="1" s="1"/>
  <c r="BO31" i="1" s="1"/>
  <c r="BO30" i="1"/>
  <c r="AU31" i="8"/>
  <c r="AT31" i="1" s="1"/>
  <c r="CA34" i="8"/>
  <c r="CH34" i="8"/>
  <c r="AF33" i="11"/>
  <c r="AE33" i="11"/>
  <c r="AC33" i="8" s="1"/>
  <c r="BZ32" i="8"/>
  <c r="BQ32" i="8"/>
  <c r="CF32" i="8"/>
  <c r="BT32" i="8"/>
  <c r="BP32" i="8"/>
  <c r="BY32" i="8"/>
  <c r="BU32" i="8"/>
  <c r="CG32" i="8"/>
  <c r="AO37" i="11"/>
  <c r="L37" i="11"/>
  <c r="E36" i="9"/>
  <c r="AG36" i="5"/>
  <c r="B36" i="2"/>
  <c r="B36" i="1"/>
  <c r="BI36" i="1" s="1"/>
  <c r="AQ30" i="1"/>
  <c r="U30" i="1" s="1"/>
  <c r="J31" i="1" s="1"/>
  <c r="BM30" i="1"/>
  <c r="AK30" i="5"/>
  <c r="E31" i="11"/>
  <c r="AP30" i="8"/>
  <c r="AR30" i="8"/>
  <c r="BN30" i="1"/>
  <c r="C30" i="9"/>
  <c r="AR30" i="1"/>
  <c r="V30" i="1" s="1"/>
  <c r="K31" i="1" s="1"/>
  <c r="J37" i="2"/>
  <c r="B37" i="5"/>
  <c r="AC37" i="1"/>
  <c r="BC38" i="5"/>
  <c r="AZ41" i="5"/>
  <c r="BN41" i="5"/>
  <c r="AF39" i="1"/>
  <c r="BK40" i="5"/>
  <c r="AD38" i="1"/>
  <c r="BE38" i="5"/>
  <c r="AE36" i="1"/>
  <c r="W36" i="1" s="1"/>
  <c r="BP39" i="5"/>
  <c r="AB38" i="1"/>
  <c r="O38" i="1"/>
  <c r="DK38" i="8" s="1"/>
  <c r="DI37" i="8"/>
  <c r="DJ37" i="8"/>
  <c r="AD34" i="9"/>
  <c r="AV34" i="1" s="1"/>
  <c r="N37" i="1"/>
  <c r="AC33" i="11"/>
  <c r="T33" i="8" s="1"/>
  <c r="Y33" i="11"/>
  <c r="AH33" i="1" s="1"/>
  <c r="AA33" i="11"/>
  <c r="AB33" i="11"/>
  <c r="P33" i="8" s="1"/>
  <c r="Z33" i="11"/>
  <c r="AC33" i="2" s="1"/>
  <c r="AD33" i="11"/>
  <c r="AI33" i="1" s="1"/>
  <c r="AT33" i="8"/>
  <c r="AW33" i="8"/>
  <c r="AQ33" i="8"/>
  <c r="F33" i="11"/>
  <c r="M34" i="1"/>
  <c r="A39" i="2"/>
  <c r="A39" i="7"/>
  <c r="A39" i="9"/>
  <c r="K39" i="11"/>
  <c r="M39" i="5"/>
  <c r="J40" i="10"/>
  <c r="AD39" i="8"/>
  <c r="B39" i="14"/>
  <c r="A39" i="8"/>
  <c r="AJ40" i="14"/>
  <c r="CM39" i="8"/>
  <c r="EP34" i="8"/>
  <c r="DT34" i="8"/>
  <c r="DR34" i="8"/>
  <c r="DS34" i="8"/>
  <c r="DG34" i="8"/>
  <c r="EG34" i="8" s="1"/>
  <c r="DN34" i="8"/>
  <c r="DO34" i="8"/>
  <c r="CT35" i="8"/>
  <c r="DQ35" i="8" s="1"/>
  <c r="CU35" i="8"/>
  <c r="CS35" i="8"/>
  <c r="DP35" i="8" s="1"/>
  <c r="Y37" i="1"/>
  <c r="I41" i="8"/>
  <c r="Q40" i="2"/>
  <c r="N34" i="7"/>
  <c r="AE34" i="7"/>
  <c r="AF34" i="7" s="1"/>
  <c r="DB34" i="8"/>
  <c r="EC34" i="8" s="1"/>
  <c r="ED34" i="8" s="1"/>
  <c r="CX34" i="8"/>
  <c r="CW34" i="8"/>
  <c r="CY34" i="8"/>
  <c r="EA34" i="8" s="1"/>
  <c r="CV34" i="8"/>
  <c r="DX34" i="8" s="1"/>
  <c r="EB34" i="8" s="1"/>
  <c r="DL35" i="8"/>
  <c r="AU35" i="5"/>
  <c r="DH34" i="8"/>
  <c r="EH34" i="8" s="1"/>
  <c r="AN34" i="5"/>
  <c r="AL34" i="5"/>
  <c r="A35" i="11"/>
  <c r="AB34" i="2"/>
  <c r="BO35" i="8"/>
  <c r="DM35" i="8" s="1"/>
  <c r="E35" i="1"/>
  <c r="AB35" i="8"/>
  <c r="AH35" i="5"/>
  <c r="B35" i="9"/>
  <c r="CR34" i="8"/>
  <c r="DC34" i="8" s="1"/>
  <c r="CQ35" i="8"/>
  <c r="DA35" i="8" s="1"/>
  <c r="D35" i="9"/>
  <c r="BN35" i="8"/>
  <c r="CN35" i="8" s="1"/>
  <c r="C35" i="14"/>
  <c r="CN34" i="8"/>
  <c r="EO35" i="8"/>
  <c r="W35" i="8"/>
  <c r="AI35" i="5"/>
  <c r="BS35" i="5"/>
  <c r="Q35" i="1"/>
  <c r="E35" i="14" s="1"/>
  <c r="AV35" i="5"/>
  <c r="A35" i="10"/>
  <c r="AA35" i="10" s="1"/>
  <c r="B35" i="7"/>
  <c r="Q35" i="7" s="1"/>
  <c r="N34" i="11"/>
  <c r="AR37" i="5"/>
  <c r="H38" i="5"/>
  <c r="F37" i="7"/>
  <c r="D37" i="10"/>
  <c r="AO34" i="5"/>
  <c r="A36" i="5"/>
  <c r="E36" i="5" s="1"/>
  <c r="EQ36" i="8" s="1"/>
  <c r="CZ36" i="8" s="1"/>
  <c r="AC34" i="10"/>
  <c r="X34" i="10" s="1"/>
  <c r="Y34" i="10" s="1"/>
  <c r="AM34" i="5"/>
  <c r="P34" i="1"/>
  <c r="V36" i="2"/>
  <c r="DD36" i="5"/>
  <c r="G36" i="10"/>
  <c r="K37" i="5"/>
  <c r="I36" i="7"/>
  <c r="H36" i="10"/>
  <c r="DE36" i="5"/>
  <c r="J36" i="7"/>
  <c r="L37" i="5"/>
  <c r="I38" i="5"/>
  <c r="G37" i="7"/>
  <c r="E37" i="10"/>
  <c r="DB37" i="5"/>
  <c r="AP33" i="5"/>
  <c r="AQ33" i="5"/>
  <c r="AU33" i="1" s="1"/>
  <c r="CY38" i="5"/>
  <c r="H8" i="2"/>
  <c r="I8" i="2"/>
  <c r="F8" i="1"/>
  <c r="F8" i="2"/>
  <c r="C37" i="10"/>
  <c r="E37" i="7"/>
  <c r="G38" i="5"/>
  <c r="CZ37" i="5"/>
  <c r="M39" i="2"/>
  <c r="DF39" i="8"/>
  <c r="D40" i="7"/>
  <c r="B40" i="10"/>
  <c r="F41" i="5"/>
  <c r="DA37" i="5"/>
  <c r="X38" i="1"/>
  <c r="EB33" i="8"/>
  <c r="DC33" i="8"/>
  <c r="DD33" i="8"/>
  <c r="K40" i="8"/>
  <c r="S39" i="2"/>
  <c r="DG38" i="5"/>
  <c r="N38" i="2"/>
  <c r="O39" i="2"/>
  <c r="DE39" i="8"/>
  <c r="DY33" i="8"/>
  <c r="DZ33" i="8" s="1"/>
  <c r="H38" i="7"/>
  <c r="F38" i="10"/>
  <c r="DC38" i="5"/>
  <c r="J39" i="5"/>
  <c r="P40" i="2"/>
  <c r="H41" i="8"/>
  <c r="K38" i="10"/>
  <c r="AA38" i="7"/>
  <c r="AE38" i="8" s="1"/>
  <c r="BC38" i="8" s="1"/>
  <c r="R38" i="2"/>
  <c r="J39" i="8"/>
  <c r="AH33" i="7"/>
  <c r="AG33" i="7"/>
  <c r="AI33" i="7" s="1"/>
  <c r="EI33" i="8"/>
  <c r="DF36" i="5"/>
  <c r="AO31" i="8" l="1"/>
  <c r="CF33" i="8"/>
  <c r="BT33" i="8"/>
  <c r="CG33" i="8"/>
  <c r="BQ33" i="8"/>
  <c r="BY33" i="8"/>
  <c r="BZ33" i="8"/>
  <c r="BU33" i="8"/>
  <c r="BP33" i="8"/>
  <c r="AU33" i="8" s="1"/>
  <c r="CA35" i="8"/>
  <c r="CH35" i="8"/>
  <c r="AE34" i="11"/>
  <c r="AC34" i="8" s="1"/>
  <c r="AF34" i="11"/>
  <c r="AV32" i="8"/>
  <c r="AW32" i="1" s="1"/>
  <c r="L32" i="1" s="1"/>
  <c r="AO32" i="8" s="1"/>
  <c r="AU32" i="8"/>
  <c r="AT32" i="1" s="1"/>
  <c r="AO38" i="11"/>
  <c r="L38" i="11"/>
  <c r="E37" i="9"/>
  <c r="AG37" i="5"/>
  <c r="B37" i="2"/>
  <c r="B37" i="1"/>
  <c r="BI37" i="1" s="1"/>
  <c r="BM31" i="1"/>
  <c r="AK31" i="5"/>
  <c r="D31" i="11"/>
  <c r="AQ31" i="1"/>
  <c r="U31" i="1" s="1"/>
  <c r="J32" i="1" s="1"/>
  <c r="AP31" i="8"/>
  <c r="AR31" i="8"/>
  <c r="AR31" i="1"/>
  <c r="V31" i="1" s="1"/>
  <c r="K32" i="1" s="1"/>
  <c r="C31" i="9"/>
  <c r="BN31" i="1"/>
  <c r="J38" i="2"/>
  <c r="AC38" i="1"/>
  <c r="BC39" i="5"/>
  <c r="BE39" i="5"/>
  <c r="AE37" i="1"/>
  <c r="AZ42" i="5"/>
  <c r="BP40" i="5"/>
  <c r="AB39" i="1"/>
  <c r="BN42" i="5"/>
  <c r="AF40" i="1"/>
  <c r="BK41" i="5"/>
  <c r="AD39" i="1"/>
  <c r="O39" i="1"/>
  <c r="DK39" i="8" s="1"/>
  <c r="DI38" i="8"/>
  <c r="DJ38" i="8"/>
  <c r="AD35" i="9"/>
  <c r="AV35" i="1" s="1"/>
  <c r="N38" i="1"/>
  <c r="AC34" i="11"/>
  <c r="T34" i="8" s="1"/>
  <c r="Y34" i="11"/>
  <c r="AH34" i="1" s="1"/>
  <c r="AA34" i="11"/>
  <c r="AB34" i="11"/>
  <c r="P34" i="8" s="1"/>
  <c r="Z34" i="11"/>
  <c r="AC34" i="2" s="1"/>
  <c r="AD34" i="11"/>
  <c r="AI34" i="1" s="1"/>
  <c r="AT34" i="8"/>
  <c r="AQ34" i="8"/>
  <c r="M35" i="1"/>
  <c r="F34" i="11"/>
  <c r="AW34" i="8"/>
  <c r="CM40" i="8"/>
  <c r="AJ41" i="14"/>
  <c r="A40" i="2"/>
  <c r="M40" i="5"/>
  <c r="A40" i="9"/>
  <c r="AD40" i="8"/>
  <c r="B40" i="14"/>
  <c r="A40" i="7"/>
  <c r="J41" i="10"/>
  <c r="K40" i="11"/>
  <c r="A40" i="8"/>
  <c r="DR35" i="8"/>
  <c r="DS35" i="8"/>
  <c r="EP35" i="8"/>
  <c r="DT35" i="8"/>
  <c r="CY35" i="8"/>
  <c r="EA35" i="8" s="1"/>
  <c r="DN35" i="8"/>
  <c r="DO35" i="8"/>
  <c r="EI34" i="8"/>
  <c r="CS36" i="8"/>
  <c r="DP36" i="8" s="1"/>
  <c r="CT36" i="8"/>
  <c r="DQ36" i="8" s="1"/>
  <c r="CU36" i="8"/>
  <c r="Y38" i="1"/>
  <c r="B38" i="5"/>
  <c r="AG34" i="7"/>
  <c r="AI34" i="7" s="1"/>
  <c r="AH34" i="7"/>
  <c r="Q41" i="2"/>
  <c r="I42" i="8"/>
  <c r="N35" i="7"/>
  <c r="AL35" i="5"/>
  <c r="AN35" i="5"/>
  <c r="DY34" i="8"/>
  <c r="DZ34" i="8" s="1"/>
  <c r="DH35" i="8"/>
  <c r="EH35" i="8" s="1"/>
  <c r="DD34" i="8"/>
  <c r="EE34" i="8" s="1"/>
  <c r="EF34" i="8" s="1"/>
  <c r="N35" i="11"/>
  <c r="DB35" i="8"/>
  <c r="EC35" i="8" s="1"/>
  <c r="ED35" i="8" s="1"/>
  <c r="CX35" i="8"/>
  <c r="AE35" i="7"/>
  <c r="AF35" i="7" s="1"/>
  <c r="CV35" i="8"/>
  <c r="DX35" i="8" s="1"/>
  <c r="EB35" i="8" s="1"/>
  <c r="DG35" i="8"/>
  <c r="EG35" i="8" s="1"/>
  <c r="CW35" i="8"/>
  <c r="AP34" i="5"/>
  <c r="CO35" i="8"/>
  <c r="CR35" i="8"/>
  <c r="DC35" i="8" s="1"/>
  <c r="AC35" i="10"/>
  <c r="X35" i="10" s="1"/>
  <c r="Y35" i="10" s="1"/>
  <c r="D36" i="9"/>
  <c r="AO35" i="5"/>
  <c r="AM35" i="5"/>
  <c r="P35" i="1"/>
  <c r="D35" i="14" s="1"/>
  <c r="D38" i="10"/>
  <c r="F38" i="7"/>
  <c r="H39" i="5"/>
  <c r="AQ34" i="5"/>
  <c r="AU34" i="1" s="1"/>
  <c r="V37" i="2"/>
  <c r="EE33" i="8"/>
  <c r="EF33" i="8" s="1"/>
  <c r="D34" i="14"/>
  <c r="DE37" i="5"/>
  <c r="H37" i="10"/>
  <c r="L38" i="5"/>
  <c r="J37" i="7"/>
  <c r="DD37" i="5"/>
  <c r="K38" i="5"/>
  <c r="I37" i="7"/>
  <c r="G37" i="10"/>
  <c r="A37" i="5"/>
  <c r="E37" i="5" s="1"/>
  <c r="EQ37" i="8" s="1"/>
  <c r="CZ37" i="8" s="1"/>
  <c r="AR38" i="5"/>
  <c r="E38" i="10"/>
  <c r="G38" i="7"/>
  <c r="DB38" i="5"/>
  <c r="I39" i="5"/>
  <c r="AT33" i="1"/>
  <c r="F42" i="5"/>
  <c r="B41" i="10"/>
  <c r="D41" i="7"/>
  <c r="H39" i="7"/>
  <c r="J40" i="5"/>
  <c r="F39" i="10"/>
  <c r="DC39" i="5"/>
  <c r="DG39" i="5"/>
  <c r="P41" i="2"/>
  <c r="H42" i="8"/>
  <c r="X39" i="1"/>
  <c r="AA8" i="1"/>
  <c r="S8" i="1" s="1"/>
  <c r="H9" i="1" s="1"/>
  <c r="O8" i="7"/>
  <c r="I8" i="11"/>
  <c r="K41" i="8"/>
  <c r="S40" i="2"/>
  <c r="W37" i="1"/>
  <c r="DA38" i="5"/>
  <c r="DF40" i="8"/>
  <c r="M40" i="2"/>
  <c r="R39" i="2"/>
  <c r="J40" i="8"/>
  <c r="N39" i="2"/>
  <c r="J8" i="11"/>
  <c r="AP8" i="1"/>
  <c r="T8" i="1" s="1"/>
  <c r="I9" i="1" s="1"/>
  <c r="G8" i="2"/>
  <c r="Z8" i="2" s="1"/>
  <c r="Z9" i="8" s="1"/>
  <c r="CY39" i="5"/>
  <c r="G39" i="5"/>
  <c r="C38" i="10"/>
  <c r="E38" i="7"/>
  <c r="CZ38" i="5"/>
  <c r="AU36" i="5"/>
  <c r="AV36" i="5"/>
  <c r="E36" i="1"/>
  <c r="BN36" i="8"/>
  <c r="AH36" i="5"/>
  <c r="C36" i="14"/>
  <c r="B36" i="9"/>
  <c r="AI36" i="5"/>
  <c r="A36" i="11"/>
  <c r="A36" i="10"/>
  <c r="AA36" i="10" s="1"/>
  <c r="BS36" i="5"/>
  <c r="B36" i="7"/>
  <c r="Q36" i="1"/>
  <c r="E36" i="14" s="1"/>
  <c r="W36" i="8"/>
  <c r="AB35" i="2"/>
  <c r="BO36" i="8"/>
  <c r="DM36" i="8" s="1"/>
  <c r="EO36" i="8"/>
  <c r="DT36" i="8" s="1"/>
  <c r="AB36" i="8"/>
  <c r="DL36" i="8"/>
  <c r="CQ36" i="8"/>
  <c r="DA36" i="8" s="1"/>
  <c r="DE40" i="8"/>
  <c r="O40" i="2"/>
  <c r="AA39" i="7"/>
  <c r="AE39" i="8" s="1"/>
  <c r="BC39" i="8" s="1"/>
  <c r="K39" i="10"/>
  <c r="DF37" i="5"/>
  <c r="CA36" i="8" l="1"/>
  <c r="CH36" i="8"/>
  <c r="AF35" i="11"/>
  <c r="AE35" i="11"/>
  <c r="AC35" i="8" s="1"/>
  <c r="CG34" i="8"/>
  <c r="BU34" i="8"/>
  <c r="BT34" i="8"/>
  <c r="BQ34" i="8"/>
  <c r="BZ34" i="8"/>
  <c r="BP34" i="8"/>
  <c r="CF34" i="8"/>
  <c r="BY34" i="8"/>
  <c r="AV33" i="8"/>
  <c r="AW33" i="1" s="1"/>
  <c r="L33" i="1" s="1"/>
  <c r="BO32" i="1"/>
  <c r="E32" i="11"/>
  <c r="AO39" i="11"/>
  <c r="L39" i="11"/>
  <c r="E38" i="9"/>
  <c r="AG38" i="5"/>
  <c r="B38" i="2"/>
  <c r="B38" i="1"/>
  <c r="BI38" i="1" s="1"/>
  <c r="D32" i="11"/>
  <c r="AK32" i="5"/>
  <c r="AQ32" i="1"/>
  <c r="U32" i="1" s="1"/>
  <c r="J33" i="1" s="1"/>
  <c r="BM32" i="1"/>
  <c r="AP32" i="8"/>
  <c r="AR32" i="8"/>
  <c r="AR32" i="1"/>
  <c r="V32" i="1" s="1"/>
  <c r="K33" i="1" s="1"/>
  <c r="BN32" i="1"/>
  <c r="C32" i="9"/>
  <c r="J39" i="2"/>
  <c r="AC39" i="1"/>
  <c r="BC40" i="5"/>
  <c r="BK42" i="5"/>
  <c r="AD40" i="1"/>
  <c r="BE40" i="5"/>
  <c r="AE38" i="1"/>
  <c r="W38" i="1" s="1"/>
  <c r="AZ43" i="5"/>
  <c r="BP41" i="5"/>
  <c r="AB40" i="1"/>
  <c r="BN43" i="5"/>
  <c r="AF41" i="1"/>
  <c r="O40" i="1"/>
  <c r="DK40" i="8" s="1"/>
  <c r="DI39" i="8"/>
  <c r="DJ39" i="8"/>
  <c r="AD36" i="9"/>
  <c r="AV36" i="1" s="1"/>
  <c r="N39" i="1"/>
  <c r="Y35" i="11"/>
  <c r="AH35" i="1" s="1"/>
  <c r="AC35" i="11"/>
  <c r="T35" i="8" s="1"/>
  <c r="AA35" i="11"/>
  <c r="Z35" i="11"/>
  <c r="AC35" i="2" s="1"/>
  <c r="AB35" i="11"/>
  <c r="P35" i="8" s="1"/>
  <c r="AD35" i="11"/>
  <c r="AI35" i="1" s="1"/>
  <c r="AT35" i="8"/>
  <c r="AQ35" i="8"/>
  <c r="M36" i="1"/>
  <c r="F35" i="11"/>
  <c r="AW35" i="8"/>
  <c r="A41" i="2"/>
  <c r="A41" i="7"/>
  <c r="K41" i="11"/>
  <c r="J42" i="10"/>
  <c r="AD41" i="8"/>
  <c r="B41" i="14"/>
  <c r="A41" i="9"/>
  <c r="M41" i="5"/>
  <c r="A41" i="8"/>
  <c r="AJ42" i="14"/>
  <c r="CM41" i="8"/>
  <c r="DR36" i="8"/>
  <c r="DS36" i="8"/>
  <c r="DN36" i="8"/>
  <c r="DO36" i="8"/>
  <c r="CU37" i="8"/>
  <c r="CS37" i="8"/>
  <c r="DP37" i="8" s="1"/>
  <c r="CT37" i="8"/>
  <c r="DQ37" i="8" s="1"/>
  <c r="Y39" i="1"/>
  <c r="AH35" i="7"/>
  <c r="I43" i="8"/>
  <c r="Q42" i="2"/>
  <c r="AP35" i="5"/>
  <c r="EI35" i="8"/>
  <c r="DL37" i="8"/>
  <c r="AG35" i="7"/>
  <c r="AI35" i="7" s="1"/>
  <c r="DY35" i="8"/>
  <c r="DZ35" i="8" s="1"/>
  <c r="DD35" i="8"/>
  <c r="EE35" i="8" s="1"/>
  <c r="EF35" i="8" s="1"/>
  <c r="AR39" i="5"/>
  <c r="AQ35" i="5"/>
  <c r="AU35" i="1" s="1"/>
  <c r="F39" i="7"/>
  <c r="H40" i="5"/>
  <c r="D39" i="10"/>
  <c r="V38" i="2"/>
  <c r="A38" i="5"/>
  <c r="E38" i="5" s="1"/>
  <c r="EQ38" i="8" s="1"/>
  <c r="CZ38" i="8" s="1"/>
  <c r="AB36" i="2"/>
  <c r="BN37" i="8"/>
  <c r="CR37" i="8" s="1"/>
  <c r="BO37" i="8"/>
  <c r="DM37" i="8" s="1"/>
  <c r="CQ37" i="8"/>
  <c r="DA37" i="8" s="1"/>
  <c r="B37" i="9"/>
  <c r="C37" i="14"/>
  <c r="AU37" i="5"/>
  <c r="Q37" i="1"/>
  <c r="E37" i="14" s="1"/>
  <c r="H38" i="10"/>
  <c r="DE38" i="5"/>
  <c r="L39" i="5"/>
  <c r="J38" i="7"/>
  <c r="BS37" i="5"/>
  <c r="EO37" i="8"/>
  <c r="E37" i="1"/>
  <c r="AH37" i="5"/>
  <c r="AC37" i="10" s="1"/>
  <c r="AB37" i="8"/>
  <c r="A37" i="11"/>
  <c r="A37" i="10"/>
  <c r="AA37" i="10" s="1"/>
  <c r="K39" i="5"/>
  <c r="G38" i="10"/>
  <c r="I38" i="7"/>
  <c r="DD38" i="5"/>
  <c r="B37" i="7"/>
  <c r="Q37" i="7" s="1"/>
  <c r="AV37" i="5"/>
  <c r="W37" i="8"/>
  <c r="AI37" i="5"/>
  <c r="G39" i="7"/>
  <c r="DB39" i="5"/>
  <c r="E39" i="10"/>
  <c r="I40" i="5"/>
  <c r="AN36" i="5"/>
  <c r="P36" i="1"/>
  <c r="D36" i="14" s="1"/>
  <c r="DG40" i="5"/>
  <c r="CY36" i="8"/>
  <c r="EA36" i="8" s="1"/>
  <c r="CX36" i="8"/>
  <c r="CV36" i="8"/>
  <c r="DX36" i="8" s="1"/>
  <c r="CW36" i="8"/>
  <c r="DG36" i="8"/>
  <c r="EG36" i="8" s="1"/>
  <c r="DB36" i="8"/>
  <c r="EC36" i="8" s="1"/>
  <c r="ED36" i="8" s="1"/>
  <c r="AE36" i="7"/>
  <c r="AF36" i="7" s="1"/>
  <c r="Q36" i="7"/>
  <c r="AM36" i="5"/>
  <c r="AO36" i="5"/>
  <c r="AC36" i="10"/>
  <c r="X36" i="10" s="1"/>
  <c r="Y36" i="10" s="1"/>
  <c r="AL36" i="5"/>
  <c r="C8" i="8"/>
  <c r="DF41" i="8"/>
  <c r="M41" i="2"/>
  <c r="CY40" i="5"/>
  <c r="DC40" i="5"/>
  <c r="F40" i="10"/>
  <c r="J41" i="5"/>
  <c r="H40" i="7"/>
  <c r="AA40" i="7"/>
  <c r="AE40" i="8" s="1"/>
  <c r="BC40" i="8" s="1"/>
  <c r="K40" i="10"/>
  <c r="P8" i="7"/>
  <c r="F8" i="9"/>
  <c r="CO36" i="8"/>
  <c r="CR36" i="8"/>
  <c r="CN36" i="8"/>
  <c r="D37" i="9"/>
  <c r="O41" i="2"/>
  <c r="DE41" i="8"/>
  <c r="AC9" i="7"/>
  <c r="C9" i="11"/>
  <c r="V9" i="10"/>
  <c r="AJ9" i="5"/>
  <c r="AN9" i="8"/>
  <c r="BK9" i="1"/>
  <c r="D42" i="7"/>
  <c r="F43" i="5"/>
  <c r="B42" i="10"/>
  <c r="N40" i="2"/>
  <c r="C39" i="10"/>
  <c r="E39" i="7"/>
  <c r="G40" i="5"/>
  <c r="CZ39" i="5"/>
  <c r="R40" i="2"/>
  <c r="J41" i="8"/>
  <c r="K42" i="8"/>
  <c r="S41" i="2"/>
  <c r="X40" i="1"/>
  <c r="N36" i="7"/>
  <c r="H43" i="8"/>
  <c r="P42" i="2"/>
  <c r="DH36" i="8"/>
  <c r="EH36" i="8" s="1"/>
  <c r="EP36" i="8"/>
  <c r="N36" i="11"/>
  <c r="DA39" i="5"/>
  <c r="B39" i="5"/>
  <c r="DF38" i="5"/>
  <c r="AO33" i="8" l="1"/>
  <c r="E33" i="11"/>
  <c r="BO33" i="1"/>
  <c r="AF36" i="11"/>
  <c r="AE36" i="11"/>
  <c r="AC36" i="8" s="1"/>
  <c r="CA37" i="8"/>
  <c r="CH37" i="8"/>
  <c r="AU34" i="8"/>
  <c r="AT34" i="1" s="1"/>
  <c r="CF35" i="8"/>
  <c r="BU35" i="8"/>
  <c r="BY35" i="8"/>
  <c r="CG35" i="8"/>
  <c r="BQ35" i="8"/>
  <c r="BT35" i="8"/>
  <c r="BZ35" i="8"/>
  <c r="BP35" i="8"/>
  <c r="AV34" i="8"/>
  <c r="AW34" i="1" s="1"/>
  <c r="L34" i="1" s="1"/>
  <c r="AO40" i="11"/>
  <c r="E39" i="9"/>
  <c r="AG39" i="5"/>
  <c r="L40" i="11"/>
  <c r="B39" i="1"/>
  <c r="BI39" i="1" s="1"/>
  <c r="B39" i="2"/>
  <c r="D33" i="11"/>
  <c r="AK33" i="5"/>
  <c r="BM33" i="1"/>
  <c r="AQ33" i="1"/>
  <c r="U33" i="1" s="1"/>
  <c r="J34" i="1" s="1"/>
  <c r="AP33" i="8"/>
  <c r="AR33" i="8"/>
  <c r="AR33" i="1"/>
  <c r="V33" i="1" s="1"/>
  <c r="K34" i="1" s="1"/>
  <c r="BN33" i="1"/>
  <c r="C33" i="9"/>
  <c r="BC41" i="5"/>
  <c r="AC40" i="1"/>
  <c r="BP42" i="5"/>
  <c r="AB41" i="1"/>
  <c r="BK43" i="5"/>
  <c r="AD41" i="1"/>
  <c r="BN44" i="5"/>
  <c r="AF42" i="1"/>
  <c r="BE41" i="5"/>
  <c r="AE39" i="1"/>
  <c r="W39" i="1" s="1"/>
  <c r="AZ44" i="5"/>
  <c r="AB38" i="8"/>
  <c r="O41" i="1"/>
  <c r="DK41" i="8" s="1"/>
  <c r="DJ40" i="8"/>
  <c r="DI40" i="8"/>
  <c r="AS9" i="8"/>
  <c r="AO9" i="1"/>
  <c r="AD37" i="9"/>
  <c r="AV37" i="1" s="1"/>
  <c r="N40" i="1"/>
  <c r="Y36" i="11"/>
  <c r="AH36" i="1" s="1"/>
  <c r="AA36" i="11"/>
  <c r="AC36" i="11"/>
  <c r="T36" i="8" s="1"/>
  <c r="Z36" i="11"/>
  <c r="AC36" i="2" s="1"/>
  <c r="AB36" i="11"/>
  <c r="P36" i="8" s="1"/>
  <c r="AD36" i="11"/>
  <c r="AI36" i="1" s="1"/>
  <c r="BL9" i="1"/>
  <c r="AT36" i="8"/>
  <c r="AW36" i="8"/>
  <c r="AQ36" i="8"/>
  <c r="F36" i="11"/>
  <c r="M37" i="1"/>
  <c r="CM42" i="8"/>
  <c r="AJ43" i="14"/>
  <c r="A42" i="2"/>
  <c r="K42" i="11"/>
  <c r="AD42" i="8"/>
  <c r="A42" i="7"/>
  <c r="M42" i="5"/>
  <c r="A42" i="9"/>
  <c r="B42" i="14"/>
  <c r="J43" i="10"/>
  <c r="A42" i="8"/>
  <c r="EP37" i="8"/>
  <c r="DT37" i="8"/>
  <c r="DR37" i="8"/>
  <c r="DS37" i="8"/>
  <c r="DG37" i="8"/>
  <c r="EG37" i="8" s="1"/>
  <c r="DN37" i="8"/>
  <c r="DO37" i="8"/>
  <c r="AH38" i="5"/>
  <c r="AC38" i="10" s="1"/>
  <c r="CS38" i="8"/>
  <c r="DP38" i="8" s="1"/>
  <c r="CT38" i="8"/>
  <c r="DQ38" i="8" s="1"/>
  <c r="CU38" i="8"/>
  <c r="Y40" i="1"/>
  <c r="Q43" i="2"/>
  <c r="I44" i="8"/>
  <c r="N37" i="7"/>
  <c r="C38" i="14"/>
  <c r="CQ38" i="8"/>
  <c r="DA38" i="8" s="1"/>
  <c r="B38" i="9"/>
  <c r="BS38" i="5"/>
  <c r="EO38" i="8"/>
  <c r="X37" i="10"/>
  <c r="Y37" i="10" s="1"/>
  <c r="B38" i="7"/>
  <c r="AE38" i="7" s="1"/>
  <c r="AF38" i="7" s="1"/>
  <c r="AI38" i="5"/>
  <c r="A38" i="11"/>
  <c r="A38" i="10"/>
  <c r="AA38" i="10" s="1"/>
  <c r="Q38" i="1"/>
  <c r="E38" i="14" s="1"/>
  <c r="E38" i="1"/>
  <c r="AB37" i="2"/>
  <c r="W38" i="8"/>
  <c r="BN38" i="8"/>
  <c r="CR38" i="8" s="1"/>
  <c r="AU38" i="5"/>
  <c r="BO38" i="8"/>
  <c r="DM38" i="8" s="1"/>
  <c r="AV38" i="5"/>
  <c r="V39" i="2"/>
  <c r="CN37" i="8"/>
  <c r="CO37" i="8"/>
  <c r="D38" i="9"/>
  <c r="DH37" i="8"/>
  <c r="EH37" i="8" s="1"/>
  <c r="F40" i="7"/>
  <c r="D40" i="10"/>
  <c r="H41" i="5"/>
  <c r="AR40" i="5"/>
  <c r="CY37" i="8"/>
  <c r="EA37" i="8" s="1"/>
  <c r="DB37" i="8"/>
  <c r="EC37" i="8" s="1"/>
  <c r="ED37" i="8" s="1"/>
  <c r="P37" i="1"/>
  <c r="DL38" i="8"/>
  <c r="AN37" i="5"/>
  <c r="A39" i="5"/>
  <c r="E39" i="5" s="1"/>
  <c r="EQ39" i="8" s="1"/>
  <c r="CZ39" i="8" s="1"/>
  <c r="AM37" i="5"/>
  <c r="N37" i="11"/>
  <c r="CX37" i="8"/>
  <c r="CW37" i="8"/>
  <c r="CV37" i="8"/>
  <c r="DX37" i="8" s="1"/>
  <c r="EB37" i="8" s="1"/>
  <c r="AO37" i="5"/>
  <c r="AL37" i="5"/>
  <c r="DE39" i="5"/>
  <c r="J39" i="7"/>
  <c r="H39" i="10"/>
  <c r="L40" i="5"/>
  <c r="DD39" i="5"/>
  <c r="K40" i="5"/>
  <c r="I39" i="7"/>
  <c r="G39" i="10"/>
  <c r="AE37" i="7"/>
  <c r="AF37" i="7" s="1"/>
  <c r="G40" i="7"/>
  <c r="DB40" i="5"/>
  <c r="E40" i="10"/>
  <c r="I41" i="5"/>
  <c r="AP36" i="5"/>
  <c r="AQ36" i="5"/>
  <c r="AU36" i="1" s="1"/>
  <c r="N41" i="2"/>
  <c r="O42" i="2"/>
  <c r="DE42" i="8"/>
  <c r="M42" i="2"/>
  <c r="DF42" i="8"/>
  <c r="R41" i="2"/>
  <c r="J42" i="8"/>
  <c r="CZ40" i="5"/>
  <c r="G41" i="5"/>
  <c r="C40" i="10"/>
  <c r="E40" i="7"/>
  <c r="F44" i="5"/>
  <c r="B43" i="10"/>
  <c r="D43" i="7"/>
  <c r="DG41" i="5"/>
  <c r="EB36" i="8"/>
  <c r="B40" i="5"/>
  <c r="DC37" i="8"/>
  <c r="DD37" i="8"/>
  <c r="K43" i="8"/>
  <c r="S42" i="2"/>
  <c r="DC36" i="8"/>
  <c r="DD36" i="8"/>
  <c r="H41" i="7"/>
  <c r="F41" i="10"/>
  <c r="DC41" i="5"/>
  <c r="J42" i="5"/>
  <c r="CY41" i="5"/>
  <c r="DY36" i="8"/>
  <c r="DZ36" i="8" s="1"/>
  <c r="AG36" i="7"/>
  <c r="AI36" i="7" s="1"/>
  <c r="AH36" i="7"/>
  <c r="K41" i="10"/>
  <c r="AA41" i="7"/>
  <c r="AE41" i="8" s="1"/>
  <c r="BC41" i="8" s="1"/>
  <c r="X41" i="1"/>
  <c r="Y8" i="2"/>
  <c r="X8" i="2" s="1"/>
  <c r="EI36" i="8"/>
  <c r="DA40" i="5"/>
  <c r="H44" i="8"/>
  <c r="P43" i="2"/>
  <c r="J40" i="2"/>
  <c r="DF39" i="5"/>
  <c r="AV35" i="8" l="1"/>
  <c r="AW35" i="1" s="1"/>
  <c r="L35" i="1" s="1"/>
  <c r="E34" i="11"/>
  <c r="AO34" i="8"/>
  <c r="BO34" i="1"/>
  <c r="BT36" i="8"/>
  <c r="BQ36" i="8"/>
  <c r="BY36" i="8"/>
  <c r="BZ36" i="8"/>
  <c r="CG36" i="8"/>
  <c r="BU36" i="8"/>
  <c r="CF36" i="8"/>
  <c r="BP36" i="8"/>
  <c r="CA38" i="8"/>
  <c r="CH38" i="8"/>
  <c r="AE37" i="11"/>
  <c r="AC37" i="8" s="1"/>
  <c r="AF37" i="11"/>
  <c r="AU35" i="8"/>
  <c r="AT35" i="1" s="1"/>
  <c r="AO41" i="11"/>
  <c r="L41" i="11"/>
  <c r="AG40" i="5"/>
  <c r="E40" i="9"/>
  <c r="B40" i="2"/>
  <c r="B40" i="1"/>
  <c r="BI40" i="1" s="1"/>
  <c r="D34" i="11"/>
  <c r="BM34" i="1"/>
  <c r="AP34" i="8"/>
  <c r="AK34" i="5"/>
  <c r="AQ34" i="1"/>
  <c r="U34" i="1" s="1"/>
  <c r="J35" i="1" s="1"/>
  <c r="AR34" i="8"/>
  <c r="BN34" i="1"/>
  <c r="C34" i="9"/>
  <c r="AR34" i="1"/>
  <c r="V34" i="1" s="1"/>
  <c r="K35" i="1" s="1"/>
  <c r="AC41" i="1"/>
  <c r="BC42" i="5"/>
  <c r="BP43" i="5"/>
  <c r="AB42" i="1"/>
  <c r="AZ45" i="5"/>
  <c r="BK44" i="5"/>
  <c r="AD42" i="1"/>
  <c r="BN45" i="5"/>
  <c r="AF43" i="1"/>
  <c r="BE42" i="5"/>
  <c r="AE40" i="1"/>
  <c r="W40" i="1" s="1"/>
  <c r="N38" i="7"/>
  <c r="O42" i="1"/>
  <c r="DK42" i="8" s="1"/>
  <c r="DI41" i="8"/>
  <c r="DJ41" i="8"/>
  <c r="AD38" i="9"/>
  <c r="AV38" i="1" s="1"/>
  <c r="N41" i="1"/>
  <c r="AA37" i="11"/>
  <c r="Y37" i="11"/>
  <c r="AH37" i="1" s="1"/>
  <c r="AC37" i="11"/>
  <c r="T37" i="8" s="1"/>
  <c r="Z37" i="11"/>
  <c r="AC37" i="2" s="1"/>
  <c r="AD37" i="11"/>
  <c r="AI37" i="1" s="1"/>
  <c r="AB37" i="11"/>
  <c r="P37" i="8" s="1"/>
  <c r="AT37" i="8"/>
  <c r="AQ37" i="8"/>
  <c r="F37" i="11"/>
  <c r="M38" i="1"/>
  <c r="AW37" i="8"/>
  <c r="N38" i="11"/>
  <c r="A43" i="2"/>
  <c r="M43" i="5"/>
  <c r="J44" i="10"/>
  <c r="A43" i="7"/>
  <c r="A43" i="8"/>
  <c r="A43" i="9"/>
  <c r="K43" i="11"/>
  <c r="B43" i="14"/>
  <c r="AD43" i="8"/>
  <c r="AJ44" i="14"/>
  <c r="CM43" i="8"/>
  <c r="EP38" i="8"/>
  <c r="DT38" i="8"/>
  <c r="DR38" i="8"/>
  <c r="DS38" i="8"/>
  <c r="CX38" i="8"/>
  <c r="DN38" i="8"/>
  <c r="DO38" i="8"/>
  <c r="EI37" i="8"/>
  <c r="CS39" i="8"/>
  <c r="DP39" i="8" s="1"/>
  <c r="CT39" i="8"/>
  <c r="DQ39" i="8" s="1"/>
  <c r="CU39" i="8"/>
  <c r="AL38" i="5"/>
  <c r="AO38" i="5"/>
  <c r="Y41" i="1"/>
  <c r="AH37" i="7"/>
  <c r="AM38" i="5"/>
  <c r="X38" i="10"/>
  <c r="Y38" i="10" s="1"/>
  <c r="Q44" i="2"/>
  <c r="I45" i="8"/>
  <c r="CO38" i="8"/>
  <c r="DH38" i="8"/>
  <c r="EH38" i="8" s="1"/>
  <c r="Q38" i="7"/>
  <c r="CV38" i="8"/>
  <c r="DX38" i="8" s="1"/>
  <c r="EB38" i="8" s="1"/>
  <c r="DB38" i="8"/>
  <c r="EC38" i="8" s="1"/>
  <c r="ED38" i="8" s="1"/>
  <c r="CY38" i="8"/>
  <c r="EA38" i="8" s="1"/>
  <c r="CW38" i="8"/>
  <c r="DG38" i="8"/>
  <c r="EG38" i="8" s="1"/>
  <c r="AN38" i="5"/>
  <c r="P38" i="1"/>
  <c r="D38" i="14" s="1"/>
  <c r="D39" i="9"/>
  <c r="CN38" i="8"/>
  <c r="A40" i="5"/>
  <c r="E40" i="5" s="1"/>
  <c r="EQ40" i="8" s="1"/>
  <c r="CZ40" i="8" s="1"/>
  <c r="AP37" i="5"/>
  <c r="D37" i="14"/>
  <c r="F41" i="7"/>
  <c r="D41" i="10"/>
  <c r="H42" i="5"/>
  <c r="DY37" i="8"/>
  <c r="DZ37" i="8" s="1"/>
  <c r="AG37" i="7"/>
  <c r="AI37" i="7" s="1"/>
  <c r="AQ37" i="5"/>
  <c r="AU37" i="1" s="1"/>
  <c r="V40" i="2"/>
  <c r="AR41" i="5"/>
  <c r="J40" i="7"/>
  <c r="L41" i="5"/>
  <c r="H40" i="10"/>
  <c r="DE40" i="5"/>
  <c r="I40" i="7"/>
  <c r="DD40" i="5"/>
  <c r="K41" i="5"/>
  <c r="G40" i="10"/>
  <c r="E41" i="10"/>
  <c r="G41" i="7"/>
  <c r="I42" i="5"/>
  <c r="DB41" i="5"/>
  <c r="EE36" i="8"/>
  <c r="EF36" i="8" s="1"/>
  <c r="EE37" i="8"/>
  <c r="EF37" i="8" s="1"/>
  <c r="DA41" i="5"/>
  <c r="H42" i="7"/>
  <c r="J43" i="5"/>
  <c r="F42" i="10"/>
  <c r="DC42" i="5"/>
  <c r="J41" i="2"/>
  <c r="B39" i="7"/>
  <c r="W39" i="8"/>
  <c r="B39" i="9"/>
  <c r="AH39" i="5"/>
  <c r="A39" i="11"/>
  <c r="C39" i="14"/>
  <c r="AU39" i="5"/>
  <c r="Q39" i="1"/>
  <c r="E39" i="14" s="1"/>
  <c r="A39" i="10"/>
  <c r="AA39" i="10" s="1"/>
  <c r="E39" i="1"/>
  <c r="AI39" i="5"/>
  <c r="AV39" i="5"/>
  <c r="BS39" i="5"/>
  <c r="AB38" i="2"/>
  <c r="BN39" i="8"/>
  <c r="BO39" i="8"/>
  <c r="DM39" i="8" s="1"/>
  <c r="EO39" i="8"/>
  <c r="DT39" i="8" s="1"/>
  <c r="AB39" i="8"/>
  <c r="DL39" i="8"/>
  <c r="CQ39" i="8"/>
  <c r="DA39" i="8" s="1"/>
  <c r="H45" i="8"/>
  <c r="P44" i="2"/>
  <c r="DE43" i="8"/>
  <c r="O43" i="2"/>
  <c r="N42" i="2"/>
  <c r="S43" i="2"/>
  <c r="K44" i="8"/>
  <c r="DC38" i="8"/>
  <c r="DD38" i="8"/>
  <c r="X42" i="1"/>
  <c r="K42" i="10"/>
  <c r="AA42" i="7"/>
  <c r="AE42" i="8" s="1"/>
  <c r="BC42" i="8" s="1"/>
  <c r="R42" i="2"/>
  <c r="J43" i="8"/>
  <c r="CY42" i="5"/>
  <c r="AB9" i="7"/>
  <c r="L9" i="2"/>
  <c r="BD9" i="8"/>
  <c r="H9" i="11"/>
  <c r="B9" i="8"/>
  <c r="D9" i="2" s="1"/>
  <c r="E9" i="2"/>
  <c r="AH38" i="7"/>
  <c r="AG38" i="7"/>
  <c r="AI38" i="7" s="1"/>
  <c r="DF43" i="8"/>
  <c r="M43" i="2"/>
  <c r="E61" i="4"/>
  <c r="DG42" i="5"/>
  <c r="D44" i="7"/>
  <c r="B44" i="10"/>
  <c r="F45" i="5"/>
  <c r="CZ41" i="5"/>
  <c r="E41" i="7"/>
  <c r="G42" i="5"/>
  <c r="C41" i="10"/>
  <c r="B41" i="5"/>
  <c r="DF40" i="5"/>
  <c r="BO35" i="1" l="1"/>
  <c r="AO35" i="8"/>
  <c r="E35" i="11"/>
  <c r="CA39" i="8"/>
  <c r="CH39" i="8"/>
  <c r="AU36" i="8"/>
  <c r="AT36" i="1" s="1"/>
  <c r="AE38" i="11"/>
  <c r="AC38" i="8" s="1"/>
  <c r="AF38" i="11"/>
  <c r="AV36" i="8"/>
  <c r="AW36" i="1" s="1"/>
  <c r="L36" i="1" s="1"/>
  <c r="AO36" i="8" s="1"/>
  <c r="CF37" i="8"/>
  <c r="BT37" i="8"/>
  <c r="BU37" i="8"/>
  <c r="BY37" i="8"/>
  <c r="BQ37" i="8"/>
  <c r="BZ37" i="8"/>
  <c r="CG37" i="8"/>
  <c r="BP37" i="8"/>
  <c r="AO42" i="11"/>
  <c r="L42" i="11"/>
  <c r="E41" i="9"/>
  <c r="AG41" i="5"/>
  <c r="B41" i="1"/>
  <c r="BI41" i="1" s="1"/>
  <c r="B41" i="2"/>
  <c r="AQ35" i="1"/>
  <c r="U35" i="1" s="1"/>
  <c r="J36" i="1" s="1"/>
  <c r="D35" i="11"/>
  <c r="BM35" i="1"/>
  <c r="AK35" i="5"/>
  <c r="AP35" i="8"/>
  <c r="BN35" i="1"/>
  <c r="AR35" i="1"/>
  <c r="V35" i="1" s="1"/>
  <c r="K36" i="1" s="1"/>
  <c r="AR35" i="8"/>
  <c r="C35" i="9"/>
  <c r="AC42" i="1"/>
  <c r="BC43" i="5"/>
  <c r="J42" i="2"/>
  <c r="BN46" i="5"/>
  <c r="AF44" i="1"/>
  <c r="BE43" i="5"/>
  <c r="AE41" i="1"/>
  <c r="BP44" i="5"/>
  <c r="AB43" i="1"/>
  <c r="AZ46" i="5"/>
  <c r="BK45" i="5"/>
  <c r="AD43" i="1"/>
  <c r="AW38" i="8"/>
  <c r="O43" i="1"/>
  <c r="DK43" i="8" s="1"/>
  <c r="DI42" i="8"/>
  <c r="DJ42" i="8"/>
  <c r="AD39" i="9"/>
  <c r="AV39" i="1" s="1"/>
  <c r="N42" i="1"/>
  <c r="Y38" i="11"/>
  <c r="AH38" i="1" s="1"/>
  <c r="AA38" i="11"/>
  <c r="AC38" i="11"/>
  <c r="T38" i="8" s="1"/>
  <c r="AD38" i="11"/>
  <c r="AI38" i="1" s="1"/>
  <c r="AB38" i="11"/>
  <c r="P38" i="8" s="1"/>
  <c r="Z38" i="11"/>
  <c r="AC38" i="2" s="1"/>
  <c r="AT38" i="8"/>
  <c r="AQ38" i="8"/>
  <c r="F38" i="11"/>
  <c r="M39" i="1"/>
  <c r="A44" i="2"/>
  <c r="K44" i="11"/>
  <c r="A44" i="7"/>
  <c r="AD44" i="8"/>
  <c r="J45" i="10"/>
  <c r="M44" i="5"/>
  <c r="A44" i="9"/>
  <c r="A44" i="8"/>
  <c r="B44" i="14"/>
  <c r="AJ45" i="14"/>
  <c r="CM44" i="8"/>
  <c r="AQ38" i="5"/>
  <c r="AU38" i="1" s="1"/>
  <c r="DR39" i="8"/>
  <c r="DS39" i="8"/>
  <c r="B42" i="5"/>
  <c r="AP38" i="5"/>
  <c r="DY38" i="8"/>
  <c r="DZ38" i="8" s="1"/>
  <c r="DN39" i="8"/>
  <c r="DO39" i="8"/>
  <c r="CU40" i="8"/>
  <c r="CS40" i="8"/>
  <c r="DP40" i="8" s="1"/>
  <c r="CT40" i="8"/>
  <c r="DQ40" i="8" s="1"/>
  <c r="Y42" i="1"/>
  <c r="I46" i="8"/>
  <c r="Q45" i="2"/>
  <c r="EI38" i="8"/>
  <c r="D40" i="9"/>
  <c r="A41" i="5"/>
  <c r="E41" i="5" s="1"/>
  <c r="EQ41" i="8" s="1"/>
  <c r="CZ41" i="8" s="1"/>
  <c r="H43" i="5"/>
  <c r="F42" i="7"/>
  <c r="D42" i="10"/>
  <c r="AR42" i="5"/>
  <c r="V41" i="2"/>
  <c r="J41" i="7"/>
  <c r="L42" i="5"/>
  <c r="DE41" i="5"/>
  <c r="H41" i="10"/>
  <c r="I41" i="7"/>
  <c r="K42" i="5"/>
  <c r="G41" i="10"/>
  <c r="DD41" i="5"/>
  <c r="I43" i="5"/>
  <c r="DB42" i="5"/>
  <c r="E42" i="10"/>
  <c r="G42" i="7"/>
  <c r="EE38" i="8"/>
  <c r="EF38" i="8" s="1"/>
  <c r="P39" i="1"/>
  <c r="D39" i="14" s="1"/>
  <c r="AN39" i="5"/>
  <c r="DH39" i="8"/>
  <c r="EH39" i="8" s="1"/>
  <c r="EP39" i="8"/>
  <c r="N39" i="7"/>
  <c r="DG43" i="5"/>
  <c r="X43" i="1"/>
  <c r="A40" i="10"/>
  <c r="AA40" i="10" s="1"/>
  <c r="B40" i="9"/>
  <c r="AH40" i="5"/>
  <c r="E40" i="1"/>
  <c r="Q40" i="1"/>
  <c r="E40" i="14" s="1"/>
  <c r="AU40" i="5"/>
  <c r="B40" i="7"/>
  <c r="BS40" i="5"/>
  <c r="AV40" i="5"/>
  <c r="W40" i="8"/>
  <c r="C40" i="14"/>
  <c r="A40" i="11"/>
  <c r="AI40" i="5"/>
  <c r="AB39" i="2"/>
  <c r="BN40" i="8"/>
  <c r="BO40" i="8"/>
  <c r="DM40" i="8" s="1"/>
  <c r="AB40" i="8"/>
  <c r="EO40" i="8"/>
  <c r="DT40" i="8" s="1"/>
  <c r="CQ40" i="8"/>
  <c r="DA40" i="8" s="1"/>
  <c r="DL40" i="8"/>
  <c r="AM39" i="5"/>
  <c r="AO39" i="5"/>
  <c r="AC39" i="10"/>
  <c r="X39" i="10" s="1"/>
  <c r="Y39" i="10" s="1"/>
  <c r="AL39" i="5"/>
  <c r="N43" i="2"/>
  <c r="D45" i="7"/>
  <c r="B45" i="10"/>
  <c r="F46" i="5"/>
  <c r="U9" i="2"/>
  <c r="W8" i="2" s="1"/>
  <c r="C9" i="2" s="1"/>
  <c r="DB39" i="8"/>
  <c r="EC39" i="8" s="1"/>
  <c r="ED39" i="8" s="1"/>
  <c r="CX39" i="8"/>
  <c r="CY39" i="8"/>
  <c r="EA39" i="8" s="1"/>
  <c r="CW39" i="8"/>
  <c r="DG39" i="8"/>
  <c r="EG39" i="8" s="1"/>
  <c r="CV39" i="8"/>
  <c r="DX39" i="8" s="1"/>
  <c r="N39" i="11"/>
  <c r="J44" i="5"/>
  <c r="F43" i="10"/>
  <c r="H43" i="7"/>
  <c r="DC43" i="5"/>
  <c r="CZ42" i="5"/>
  <c r="G43" i="5"/>
  <c r="C42" i="10"/>
  <c r="E42" i="7"/>
  <c r="DF44" i="8"/>
  <c r="M44" i="2"/>
  <c r="R43" i="2"/>
  <c r="J44" i="8"/>
  <c r="S44" i="2"/>
  <c r="K45" i="8"/>
  <c r="DE44" i="8"/>
  <c r="O44" i="2"/>
  <c r="CY43" i="5"/>
  <c r="AA43" i="7"/>
  <c r="AE43" i="8" s="1"/>
  <c r="BC43" i="8" s="1"/>
  <c r="K43" i="10"/>
  <c r="W41" i="1"/>
  <c r="DA42" i="5"/>
  <c r="AE39" i="7"/>
  <c r="AF39" i="7" s="1"/>
  <c r="Q39" i="7"/>
  <c r="P45" i="2"/>
  <c r="H46" i="8"/>
  <c r="CR39" i="8"/>
  <c r="CN39" i="8"/>
  <c r="CO39" i="8"/>
  <c r="DF41" i="5"/>
  <c r="E36" i="11" l="1"/>
  <c r="BO36" i="1"/>
  <c r="CA40" i="8"/>
  <c r="CH40" i="8"/>
  <c r="AV37" i="8"/>
  <c r="AW37" i="1" s="1"/>
  <c r="L37" i="1" s="1"/>
  <c r="AO37" i="8" s="1"/>
  <c r="AE39" i="11"/>
  <c r="AC39" i="8" s="1"/>
  <c r="AF39" i="11"/>
  <c r="AU37" i="8"/>
  <c r="AT37" i="1" s="1"/>
  <c r="BY38" i="8"/>
  <c r="BU38" i="8"/>
  <c r="BQ38" i="8"/>
  <c r="CG38" i="8"/>
  <c r="BZ38" i="8"/>
  <c r="BP38" i="8"/>
  <c r="BT38" i="8"/>
  <c r="CF38" i="8"/>
  <c r="AO43" i="11"/>
  <c r="L43" i="11"/>
  <c r="E42" i="9"/>
  <c r="AG42" i="5"/>
  <c r="B42" i="2"/>
  <c r="B42" i="1"/>
  <c r="BI42" i="1" s="1"/>
  <c r="AP36" i="8"/>
  <c r="AQ36" i="1"/>
  <c r="U36" i="1" s="1"/>
  <c r="J37" i="1" s="1"/>
  <c r="D36" i="11"/>
  <c r="AK36" i="5"/>
  <c r="BM36" i="1"/>
  <c r="C36" i="9"/>
  <c r="AR36" i="1"/>
  <c r="V36" i="1" s="1"/>
  <c r="K37" i="1" s="1"/>
  <c r="BN36" i="1"/>
  <c r="AR36" i="8"/>
  <c r="AC43" i="1"/>
  <c r="BC44" i="5"/>
  <c r="AZ47" i="5"/>
  <c r="BN47" i="5"/>
  <c r="AF45" i="1"/>
  <c r="BK46" i="5"/>
  <c r="AD44" i="1"/>
  <c r="BE44" i="5"/>
  <c r="AE42" i="1"/>
  <c r="W42" i="1" s="1"/>
  <c r="BP45" i="5"/>
  <c r="AB44" i="1"/>
  <c r="O44" i="1"/>
  <c r="DK44" i="8" s="1"/>
  <c r="DI43" i="8"/>
  <c r="DJ43" i="8"/>
  <c r="AD40" i="9"/>
  <c r="AV40" i="1" s="1"/>
  <c r="N43" i="1"/>
  <c r="AA39" i="11"/>
  <c r="AC39" i="11"/>
  <c r="T39" i="8" s="1"/>
  <c r="Y39" i="11"/>
  <c r="AH39" i="1" s="1"/>
  <c r="AB39" i="11"/>
  <c r="P39" i="8" s="1"/>
  <c r="Z39" i="11"/>
  <c r="AC39" i="2" s="1"/>
  <c r="AD39" i="11"/>
  <c r="AI39" i="1" s="1"/>
  <c r="AT39" i="8"/>
  <c r="AQ39" i="8"/>
  <c r="F39" i="11"/>
  <c r="M40" i="1"/>
  <c r="AW39" i="8"/>
  <c r="AJ46" i="14"/>
  <c r="CM45" i="8"/>
  <c r="A45" i="2"/>
  <c r="K45" i="11"/>
  <c r="AD45" i="8"/>
  <c r="B45" i="14"/>
  <c r="J46" i="10"/>
  <c r="A45" i="9"/>
  <c r="A45" i="7"/>
  <c r="A45" i="8"/>
  <c r="M45" i="5"/>
  <c r="DR40" i="8"/>
  <c r="DS40" i="8"/>
  <c r="DN40" i="8"/>
  <c r="DO40" i="8"/>
  <c r="CS41" i="8"/>
  <c r="DP41" i="8" s="1"/>
  <c r="CT41" i="8"/>
  <c r="DQ41" i="8" s="1"/>
  <c r="CU41" i="8"/>
  <c r="Y43" i="1"/>
  <c r="I47" i="8"/>
  <c r="Q46" i="2"/>
  <c r="EI39" i="8"/>
  <c r="D43" i="10"/>
  <c r="H44" i="5"/>
  <c r="F43" i="7"/>
  <c r="AQ39" i="5"/>
  <c r="AU39" i="1" s="1"/>
  <c r="V42" i="2"/>
  <c r="AR43" i="5"/>
  <c r="A42" i="5"/>
  <c r="E42" i="5" s="1"/>
  <c r="EQ42" i="8" s="1"/>
  <c r="CZ42" i="8" s="1"/>
  <c r="L43" i="5"/>
  <c r="H42" i="10"/>
  <c r="J42" i="7"/>
  <c r="DE42" i="5"/>
  <c r="DD42" i="5"/>
  <c r="G42" i="10"/>
  <c r="I42" i="7"/>
  <c r="K43" i="5"/>
  <c r="I44" i="5"/>
  <c r="E43" i="10"/>
  <c r="G43" i="7"/>
  <c r="DB43" i="5"/>
  <c r="AP39" i="5"/>
  <c r="P40" i="1"/>
  <c r="D40" i="14" s="1"/>
  <c r="AG39" i="7"/>
  <c r="AI39" i="7" s="1"/>
  <c r="AH39" i="7"/>
  <c r="G44" i="5"/>
  <c r="C43" i="10"/>
  <c r="E43" i="7"/>
  <c r="CZ43" i="5"/>
  <c r="B46" i="10"/>
  <c r="F47" i="5"/>
  <c r="D46" i="7"/>
  <c r="CR40" i="8"/>
  <c r="CN40" i="8"/>
  <c r="CO40" i="8"/>
  <c r="X44" i="1"/>
  <c r="Q40" i="7"/>
  <c r="AE40" i="7"/>
  <c r="AF40" i="7" s="1"/>
  <c r="A41" i="11"/>
  <c r="BS41" i="5"/>
  <c r="AU41" i="5"/>
  <c r="B41" i="9"/>
  <c r="W41" i="8"/>
  <c r="B41" i="7"/>
  <c r="AV41" i="5"/>
  <c r="C41" i="14"/>
  <c r="AH41" i="5"/>
  <c r="E41" i="1"/>
  <c r="A41" i="10"/>
  <c r="AA41" i="10" s="1"/>
  <c r="AI41" i="5"/>
  <c r="Q41" i="1"/>
  <c r="E41" i="14" s="1"/>
  <c r="AB40" i="2"/>
  <c r="BN41" i="8"/>
  <c r="BO41" i="8"/>
  <c r="DM41" i="8" s="1"/>
  <c r="AB41" i="8"/>
  <c r="EO41" i="8"/>
  <c r="DT41" i="8" s="1"/>
  <c r="DL41" i="8"/>
  <c r="CQ41" i="8"/>
  <c r="DA41" i="8" s="1"/>
  <c r="DA43" i="5"/>
  <c r="R44" i="2"/>
  <c r="J45" i="8"/>
  <c r="H44" i="7"/>
  <c r="F44" i="10"/>
  <c r="J45" i="5"/>
  <c r="DC44" i="5"/>
  <c r="DG44" i="5"/>
  <c r="D41" i="9"/>
  <c r="DD39" i="8"/>
  <c r="DC39" i="8"/>
  <c r="F9" i="2"/>
  <c r="H9" i="2"/>
  <c r="I9" i="2"/>
  <c r="F9" i="1"/>
  <c r="N44" i="2"/>
  <c r="N40" i="7"/>
  <c r="B43" i="5"/>
  <c r="AA44" i="7"/>
  <c r="AE44" i="8" s="1"/>
  <c r="BC44" i="8" s="1"/>
  <c r="K44" i="10"/>
  <c r="CY44" i="5"/>
  <c r="DH40" i="8"/>
  <c r="EH40" i="8" s="1"/>
  <c r="EP40" i="8"/>
  <c r="AM40" i="5"/>
  <c r="AC40" i="10"/>
  <c r="X40" i="10" s="1"/>
  <c r="Y40" i="10" s="1"/>
  <c r="AO40" i="5"/>
  <c r="AL40" i="5"/>
  <c r="DY39" i="8"/>
  <c r="DZ39" i="8" s="1"/>
  <c r="K46" i="8"/>
  <c r="S45" i="2"/>
  <c r="DG40" i="8"/>
  <c r="EG40" i="8" s="1"/>
  <c r="CX40" i="8"/>
  <c r="CV40" i="8"/>
  <c r="DX40" i="8" s="1"/>
  <c r="CY40" i="8"/>
  <c r="EA40" i="8" s="1"/>
  <c r="DB40" i="8"/>
  <c r="EC40" i="8" s="1"/>
  <c r="ED40" i="8" s="1"/>
  <c r="CW40" i="8"/>
  <c r="N40" i="11"/>
  <c r="DF45" i="8"/>
  <c r="M45" i="2"/>
  <c r="P46" i="2"/>
  <c r="H47" i="8"/>
  <c r="DE45" i="8"/>
  <c r="O45" i="2"/>
  <c r="EB39" i="8"/>
  <c r="J43" i="2"/>
  <c r="AN40" i="5"/>
  <c r="DF42" i="5"/>
  <c r="E37" i="11" l="1"/>
  <c r="BO37" i="1"/>
  <c r="AV38" i="8"/>
  <c r="AW38" i="1" s="1"/>
  <c r="L38" i="1" s="1"/>
  <c r="AO38" i="8" s="1"/>
  <c r="BQ39" i="8"/>
  <c r="CG39" i="8"/>
  <c r="CF39" i="8"/>
  <c r="BP39" i="8"/>
  <c r="BZ39" i="8"/>
  <c r="BY39" i="8"/>
  <c r="BT39" i="8"/>
  <c r="BU39" i="8"/>
  <c r="AU38" i="8"/>
  <c r="AT38" i="1" s="1"/>
  <c r="CA41" i="8"/>
  <c r="CH41" i="8"/>
  <c r="AF40" i="11"/>
  <c r="AE40" i="11"/>
  <c r="AC40" i="8" s="1"/>
  <c r="AO44" i="11"/>
  <c r="L44" i="11"/>
  <c r="E43" i="9"/>
  <c r="AG43" i="5"/>
  <c r="B43" i="1"/>
  <c r="BI43" i="1" s="1"/>
  <c r="B43" i="2"/>
  <c r="E38" i="11"/>
  <c r="AK37" i="5"/>
  <c r="AQ37" i="1"/>
  <c r="U37" i="1" s="1"/>
  <c r="J38" i="1" s="1"/>
  <c r="D37" i="11"/>
  <c r="BO38" i="1"/>
  <c r="BM37" i="1"/>
  <c r="AP37" i="8"/>
  <c r="AR37" i="1"/>
  <c r="V37" i="1" s="1"/>
  <c r="K38" i="1" s="1"/>
  <c r="C37" i="9"/>
  <c r="AR37" i="8"/>
  <c r="BN37" i="1"/>
  <c r="AC44" i="1"/>
  <c r="BC45" i="5"/>
  <c r="BE45" i="5"/>
  <c r="AE43" i="1"/>
  <c r="W43" i="1" s="1"/>
  <c r="AZ48" i="5"/>
  <c r="BP46" i="5"/>
  <c r="AB45" i="1"/>
  <c r="BN48" i="5"/>
  <c r="AF46" i="1"/>
  <c r="BK47" i="5"/>
  <c r="AD45" i="1"/>
  <c r="O45" i="1"/>
  <c r="DK45" i="8" s="1"/>
  <c r="DJ44" i="8"/>
  <c r="DI44" i="8"/>
  <c r="AD41" i="9"/>
  <c r="AV41" i="1" s="1"/>
  <c r="N44" i="1"/>
  <c r="AA40" i="11"/>
  <c r="AC40" i="11"/>
  <c r="T40" i="8" s="1"/>
  <c r="Y40" i="11"/>
  <c r="AH40" i="1" s="1"/>
  <c r="Z40" i="11"/>
  <c r="AC40" i="2" s="1"/>
  <c r="AB40" i="11"/>
  <c r="P40" i="8" s="1"/>
  <c r="AD40" i="11"/>
  <c r="AI40" i="1" s="1"/>
  <c r="AT40" i="8"/>
  <c r="AW40" i="8"/>
  <c r="AQ40" i="8"/>
  <c r="M41" i="1"/>
  <c r="F40" i="11"/>
  <c r="AJ47" i="14"/>
  <c r="CM46" i="8"/>
  <c r="A46" i="2"/>
  <c r="A46" i="7"/>
  <c r="A46" i="9"/>
  <c r="J47" i="10"/>
  <c r="B46" i="14"/>
  <c r="A46" i="8"/>
  <c r="AD46" i="8"/>
  <c r="M46" i="5"/>
  <c r="K46" i="11"/>
  <c r="DR41" i="8"/>
  <c r="DS41" i="8"/>
  <c r="DN41" i="8"/>
  <c r="DO41" i="8"/>
  <c r="CS42" i="8"/>
  <c r="DP42" i="8" s="1"/>
  <c r="CT42" i="8"/>
  <c r="DQ42" i="8" s="1"/>
  <c r="CU42" i="8"/>
  <c r="Y44" i="1"/>
  <c r="Q47" i="2"/>
  <c r="I48" i="8"/>
  <c r="DL42" i="8"/>
  <c r="CQ42" i="8"/>
  <c r="DA42" i="8" s="1"/>
  <c r="B42" i="9"/>
  <c r="D44" i="10"/>
  <c r="F44" i="7"/>
  <c r="H45" i="5"/>
  <c r="C42" i="14"/>
  <c r="A42" i="10"/>
  <c r="AA42" i="10" s="1"/>
  <c r="AB42" i="8"/>
  <c r="AI42" i="5"/>
  <c r="AR44" i="5"/>
  <c r="BS42" i="5"/>
  <c r="AU42" i="5"/>
  <c r="AH42" i="5"/>
  <c r="AC42" i="10" s="1"/>
  <c r="Q42" i="1"/>
  <c r="E42" i="14" s="1"/>
  <c r="AB41" i="2"/>
  <c r="W42" i="8"/>
  <c r="BN42" i="8"/>
  <c r="CO42" i="8" s="1"/>
  <c r="AV42" i="5"/>
  <c r="BO42" i="8"/>
  <c r="DM42" i="8" s="1"/>
  <c r="B42" i="7"/>
  <c r="AE42" i="7" s="1"/>
  <c r="AF42" i="7" s="1"/>
  <c r="EO42" i="8"/>
  <c r="E42" i="1"/>
  <c r="A42" i="11"/>
  <c r="DE43" i="5"/>
  <c r="J43" i="7"/>
  <c r="L44" i="5"/>
  <c r="H43" i="10"/>
  <c r="DD43" i="5"/>
  <c r="G43" i="10"/>
  <c r="K44" i="5"/>
  <c r="I43" i="7"/>
  <c r="V43" i="2"/>
  <c r="A43" i="5"/>
  <c r="E43" i="5" s="1"/>
  <c r="EQ43" i="8" s="1"/>
  <c r="CZ43" i="8" s="1"/>
  <c r="G44" i="7"/>
  <c r="I45" i="5"/>
  <c r="E44" i="10"/>
  <c r="DB44" i="5"/>
  <c r="EE39" i="8"/>
  <c r="EF39" i="8" s="1"/>
  <c r="P41" i="1"/>
  <c r="D41" i="14" s="1"/>
  <c r="AN41" i="5"/>
  <c r="AP40" i="5"/>
  <c r="DA44" i="5"/>
  <c r="N45" i="2"/>
  <c r="DG45" i="5"/>
  <c r="F45" i="10"/>
  <c r="DC45" i="5"/>
  <c r="H45" i="7"/>
  <c r="J46" i="5"/>
  <c r="J44" i="2"/>
  <c r="AM41" i="5"/>
  <c r="AC41" i="10"/>
  <c r="X41" i="10" s="1"/>
  <c r="Y41" i="10" s="1"/>
  <c r="AO41" i="5"/>
  <c r="AL41" i="5"/>
  <c r="N41" i="11"/>
  <c r="X45" i="1"/>
  <c r="F48" i="5"/>
  <c r="B47" i="10"/>
  <c r="D47" i="7"/>
  <c r="EB40" i="8"/>
  <c r="H48" i="8"/>
  <c r="P47" i="2"/>
  <c r="J9" i="11"/>
  <c r="AP9" i="1"/>
  <c r="T9" i="1" s="1"/>
  <c r="I10" i="1" s="1"/>
  <c r="G9" i="2"/>
  <c r="Z9" i="2" s="1"/>
  <c r="Z10" i="8" s="1"/>
  <c r="J46" i="8"/>
  <c r="R45" i="2"/>
  <c r="N41" i="7"/>
  <c r="B44" i="5"/>
  <c r="DY40" i="8"/>
  <c r="DZ40" i="8" s="1"/>
  <c r="D42" i="9"/>
  <c r="Q41" i="7"/>
  <c r="AE41" i="7"/>
  <c r="AF41" i="7" s="1"/>
  <c r="CR41" i="8"/>
  <c r="CO41" i="8"/>
  <c r="CN41" i="8"/>
  <c r="O46" i="2"/>
  <c r="DE46" i="8"/>
  <c r="DF46" i="8"/>
  <c r="M46" i="2"/>
  <c r="K45" i="10"/>
  <c r="AA45" i="7"/>
  <c r="AE45" i="8" s="1"/>
  <c r="BC45" i="8" s="1"/>
  <c r="DH41" i="8"/>
  <c r="EH41" i="8" s="1"/>
  <c r="EP41" i="8"/>
  <c r="AQ40" i="5"/>
  <c r="AU40" i="1" s="1"/>
  <c r="AA9" i="1"/>
  <c r="S9" i="1" s="1"/>
  <c r="H10" i="1" s="1"/>
  <c r="O9" i="7"/>
  <c r="I9" i="11"/>
  <c r="S46" i="2"/>
  <c r="K47" i="8"/>
  <c r="CY45" i="5"/>
  <c r="CY41" i="8"/>
  <c r="EA41" i="8" s="1"/>
  <c r="CX41" i="8"/>
  <c r="DG41" i="8"/>
  <c r="EG41" i="8" s="1"/>
  <c r="CW41" i="8"/>
  <c r="DB41" i="8"/>
  <c r="EC41" i="8" s="1"/>
  <c r="ED41" i="8" s="1"/>
  <c r="CV41" i="8"/>
  <c r="DX41" i="8" s="1"/>
  <c r="AH40" i="7"/>
  <c r="AG40" i="7"/>
  <c r="AI40" i="7" s="1"/>
  <c r="DD40" i="8"/>
  <c r="DC40" i="8"/>
  <c r="G45" i="5"/>
  <c r="C44" i="10"/>
  <c r="E44" i="7"/>
  <c r="CZ44" i="5"/>
  <c r="EI40" i="8"/>
  <c r="DF43" i="5"/>
  <c r="AE41" i="11" l="1"/>
  <c r="AC41" i="8" s="1"/>
  <c r="AF41" i="11"/>
  <c r="AV39" i="8"/>
  <c r="AW39" i="1" s="1"/>
  <c r="L39" i="1" s="1"/>
  <c r="BO39" i="1" s="1"/>
  <c r="CF40" i="8"/>
  <c r="BT40" i="8"/>
  <c r="BZ40" i="8"/>
  <c r="BU40" i="8"/>
  <c r="BY40" i="8"/>
  <c r="CG40" i="8"/>
  <c r="BP40" i="8"/>
  <c r="BQ40" i="8"/>
  <c r="AU39" i="8"/>
  <c r="AT39" i="1" s="1"/>
  <c r="CA42" i="8"/>
  <c r="CH42" i="8"/>
  <c r="AO45" i="11"/>
  <c r="L45" i="11"/>
  <c r="AG44" i="5"/>
  <c r="E44" i="9"/>
  <c r="B44" i="1"/>
  <c r="BI44" i="1" s="1"/>
  <c r="B44" i="2"/>
  <c r="AK38" i="5"/>
  <c r="AP38" i="8"/>
  <c r="BM38" i="1"/>
  <c r="AQ38" i="1"/>
  <c r="U38" i="1" s="1"/>
  <c r="J39" i="1" s="1"/>
  <c r="D38" i="11"/>
  <c r="AR38" i="8"/>
  <c r="C38" i="9"/>
  <c r="BN38" i="1"/>
  <c r="AR38" i="1"/>
  <c r="V38" i="1" s="1"/>
  <c r="K39" i="1" s="1"/>
  <c r="J45" i="2"/>
  <c r="AC45" i="1"/>
  <c r="BC46" i="5"/>
  <c r="BK48" i="5"/>
  <c r="AD46" i="1"/>
  <c r="BE46" i="5"/>
  <c r="B46" i="5" s="1"/>
  <c r="AE44" i="1"/>
  <c r="W44" i="1" s="1"/>
  <c r="AZ49" i="5"/>
  <c r="BP47" i="5"/>
  <c r="AB46" i="1"/>
  <c r="BN49" i="5"/>
  <c r="AF47" i="1"/>
  <c r="O46" i="1"/>
  <c r="DK46" i="8" s="1"/>
  <c r="DI45" i="8"/>
  <c r="DJ45" i="8"/>
  <c r="AD42" i="9"/>
  <c r="AV42" i="1" s="1"/>
  <c r="N45" i="1"/>
  <c r="AA41" i="11"/>
  <c r="Y41" i="11"/>
  <c r="AH41" i="1" s="1"/>
  <c r="AC41" i="11"/>
  <c r="T41" i="8" s="1"/>
  <c r="Z41" i="11"/>
  <c r="AC41" i="2" s="1"/>
  <c r="AB41" i="11"/>
  <c r="P41" i="8" s="1"/>
  <c r="AD41" i="11"/>
  <c r="AI41" i="1" s="1"/>
  <c r="AT41" i="8"/>
  <c r="AQ41" i="8"/>
  <c r="F41" i="11"/>
  <c r="M42" i="1"/>
  <c r="AW41" i="8"/>
  <c r="A47" i="2"/>
  <c r="A47" i="7"/>
  <c r="K47" i="11"/>
  <c r="A47" i="9"/>
  <c r="M47" i="5"/>
  <c r="B47" i="14"/>
  <c r="AD47" i="8"/>
  <c r="J48" i="10"/>
  <c r="A47" i="8"/>
  <c r="AJ48" i="14"/>
  <c r="CM47" i="8"/>
  <c r="EP42" i="8"/>
  <c r="DT42" i="8"/>
  <c r="DR42" i="8"/>
  <c r="DS42" i="8"/>
  <c r="CV42" i="8"/>
  <c r="DX42" i="8" s="1"/>
  <c r="EB42" i="8" s="1"/>
  <c r="DN42" i="8"/>
  <c r="DO42" i="8"/>
  <c r="CT43" i="8"/>
  <c r="DQ43" i="8" s="1"/>
  <c r="CU43" i="8"/>
  <c r="CS43" i="8"/>
  <c r="DP43" i="8" s="1"/>
  <c r="X42" i="10"/>
  <c r="Y42" i="10" s="1"/>
  <c r="Y45" i="1"/>
  <c r="Q48" i="2"/>
  <c r="I49" i="8"/>
  <c r="DB42" i="8"/>
  <c r="EC42" i="8" s="1"/>
  <c r="ED42" i="8" s="1"/>
  <c r="CY42" i="8"/>
  <c r="EA42" i="8" s="1"/>
  <c r="DG42" i="8"/>
  <c r="EG42" i="8" s="1"/>
  <c r="CX42" i="8"/>
  <c r="CW42" i="8"/>
  <c r="A44" i="5"/>
  <c r="E44" i="5" s="1"/>
  <c r="CR42" i="8"/>
  <c r="DD42" i="8" s="1"/>
  <c r="N42" i="11"/>
  <c r="CN42" i="8"/>
  <c r="AL42" i="5"/>
  <c r="AN42" i="5"/>
  <c r="V44" i="2"/>
  <c r="AR45" i="5"/>
  <c r="N42" i="7"/>
  <c r="D45" i="10"/>
  <c r="F45" i="7"/>
  <c r="H46" i="5"/>
  <c r="AO42" i="5"/>
  <c r="D43" i="9"/>
  <c r="AM42" i="5"/>
  <c r="Q42" i="7"/>
  <c r="DH42" i="8"/>
  <c r="EH42" i="8" s="1"/>
  <c r="L45" i="5"/>
  <c r="J44" i="7"/>
  <c r="DE44" i="5"/>
  <c r="H44" i="10"/>
  <c r="I44" i="7"/>
  <c r="G44" i="10"/>
  <c r="DD44" i="5"/>
  <c r="K45" i="5"/>
  <c r="I46" i="5"/>
  <c r="DB45" i="5"/>
  <c r="E45" i="10"/>
  <c r="G45" i="7"/>
  <c r="EI41" i="8"/>
  <c r="AP41" i="5"/>
  <c r="EE40" i="8"/>
  <c r="EF40" i="8" s="1"/>
  <c r="P42" i="1"/>
  <c r="D42" i="14" s="1"/>
  <c r="AQ41" i="5"/>
  <c r="AU41" i="1" s="1"/>
  <c r="DA45" i="5"/>
  <c r="N46" i="2"/>
  <c r="DY41" i="8"/>
  <c r="DZ41" i="8" s="1"/>
  <c r="K46" i="10"/>
  <c r="AA46" i="7"/>
  <c r="AE46" i="8" s="1"/>
  <c r="BC46" i="8" s="1"/>
  <c r="M47" i="2"/>
  <c r="DF47" i="8"/>
  <c r="DC41" i="8"/>
  <c r="DD41" i="8"/>
  <c r="X46" i="1"/>
  <c r="AH41" i="7"/>
  <c r="AG41" i="7"/>
  <c r="AI41" i="7" s="1"/>
  <c r="EB41" i="8"/>
  <c r="J47" i="8"/>
  <c r="R46" i="2"/>
  <c r="O47" i="2"/>
  <c r="DE47" i="8"/>
  <c r="E45" i="7"/>
  <c r="CZ45" i="5"/>
  <c r="G46" i="5"/>
  <c r="C45" i="10"/>
  <c r="K48" i="8"/>
  <c r="S47" i="2"/>
  <c r="C10" i="11"/>
  <c r="AN10" i="8"/>
  <c r="AC10" i="7"/>
  <c r="V10" i="10"/>
  <c r="AJ10" i="5"/>
  <c r="BK10" i="1"/>
  <c r="P9" i="7"/>
  <c r="F9" i="9"/>
  <c r="B43" i="7"/>
  <c r="C43" i="14"/>
  <c r="A43" i="10"/>
  <c r="AA43" i="10" s="1"/>
  <c r="AH43" i="5"/>
  <c r="W43" i="8"/>
  <c r="AI43" i="5"/>
  <c r="BS43" i="5"/>
  <c r="A43" i="11"/>
  <c r="AV43" i="5"/>
  <c r="B43" i="9"/>
  <c r="Q43" i="1"/>
  <c r="E43" i="14" s="1"/>
  <c r="E43" i="1"/>
  <c r="AU43" i="5"/>
  <c r="AB42" i="2"/>
  <c r="BN43" i="8"/>
  <c r="BO43" i="8"/>
  <c r="DM43" i="8" s="1"/>
  <c r="AB43" i="8"/>
  <c r="EO43" i="8"/>
  <c r="DT43" i="8" s="1"/>
  <c r="CQ43" i="8"/>
  <c r="DA43" i="8" s="1"/>
  <c r="DL43" i="8"/>
  <c r="D48" i="7"/>
  <c r="F49" i="5"/>
  <c r="B48" i="10"/>
  <c r="J47" i="5"/>
  <c r="H46" i="7"/>
  <c r="F46" i="10"/>
  <c r="DC46" i="5"/>
  <c r="AH42" i="7"/>
  <c r="AG42" i="7"/>
  <c r="AI42" i="7" s="1"/>
  <c r="H49" i="8"/>
  <c r="P48" i="2"/>
  <c r="CY46" i="5"/>
  <c r="B45" i="5"/>
  <c r="C9" i="8"/>
  <c r="DG46" i="5"/>
  <c r="DF44" i="5"/>
  <c r="AU40" i="8" l="1"/>
  <c r="AT40" i="1" s="1"/>
  <c r="AO39" i="8"/>
  <c r="AE42" i="11"/>
  <c r="AC42" i="8" s="1"/>
  <c r="AF42" i="11"/>
  <c r="CA43" i="8"/>
  <c r="CH43" i="8"/>
  <c r="E39" i="11"/>
  <c r="AV40" i="8"/>
  <c r="AW40" i="1" s="1"/>
  <c r="L40" i="1" s="1"/>
  <c r="BY41" i="8"/>
  <c r="CF41" i="8"/>
  <c r="BP41" i="8"/>
  <c r="BU41" i="8"/>
  <c r="CG41" i="8"/>
  <c r="BT41" i="8"/>
  <c r="BQ41" i="8"/>
  <c r="BZ41" i="8"/>
  <c r="AO46" i="11"/>
  <c r="L46" i="11"/>
  <c r="E45" i="9"/>
  <c r="AG45" i="5"/>
  <c r="B45" i="1"/>
  <c r="BI45" i="1" s="1"/>
  <c r="B45" i="2"/>
  <c r="J46" i="2"/>
  <c r="AP39" i="8"/>
  <c r="BM39" i="1"/>
  <c r="AQ39" i="1"/>
  <c r="U39" i="1" s="1"/>
  <c r="J40" i="1" s="1"/>
  <c r="AK39" i="5"/>
  <c r="D39" i="11"/>
  <c r="AR39" i="8"/>
  <c r="C39" i="9"/>
  <c r="BN39" i="1"/>
  <c r="AR39" i="1"/>
  <c r="V39" i="1" s="1"/>
  <c r="K40" i="1" s="1"/>
  <c r="BC47" i="5"/>
  <c r="AC46" i="1"/>
  <c r="BP48" i="5"/>
  <c r="AB47" i="1"/>
  <c r="BK49" i="5"/>
  <c r="AD47" i="1"/>
  <c r="BN50" i="5"/>
  <c r="AF48" i="1"/>
  <c r="BE47" i="5"/>
  <c r="AE45" i="1"/>
  <c r="W45" i="1" s="1"/>
  <c r="AZ50" i="5"/>
  <c r="O47" i="1"/>
  <c r="DK47" i="8" s="1"/>
  <c r="DI46" i="8"/>
  <c r="DJ46" i="8"/>
  <c r="AB44" i="8"/>
  <c r="EQ44" i="8"/>
  <c r="CZ44" i="8" s="1"/>
  <c r="AS10" i="8"/>
  <c r="AO10" i="1"/>
  <c r="AD43" i="9"/>
  <c r="AV43" i="1" s="1"/>
  <c r="Q44" i="1"/>
  <c r="E44" i="14" s="1"/>
  <c r="N46" i="1"/>
  <c r="AB43" i="2"/>
  <c r="BL10" i="1"/>
  <c r="AC42" i="11"/>
  <c r="T42" i="8" s="1"/>
  <c r="AA42" i="11"/>
  <c r="Y42" i="11"/>
  <c r="AH42" i="1" s="1"/>
  <c r="Z42" i="11"/>
  <c r="AC42" i="2" s="1"/>
  <c r="AB42" i="11"/>
  <c r="P42" i="8" s="1"/>
  <c r="AD42" i="11"/>
  <c r="AI42" i="1" s="1"/>
  <c r="B44" i="7"/>
  <c r="Q44" i="7" s="1"/>
  <c r="A44" i="11"/>
  <c r="BO44" i="8"/>
  <c r="DM44" i="8" s="1"/>
  <c r="AT42" i="8"/>
  <c r="AQ42" i="8"/>
  <c r="M43" i="1"/>
  <c r="F42" i="11"/>
  <c r="AW42" i="8"/>
  <c r="A48" i="2"/>
  <c r="K48" i="11"/>
  <c r="A48" i="7"/>
  <c r="AD48" i="8"/>
  <c r="J49" i="10"/>
  <c r="M48" i="5"/>
  <c r="A48" i="9"/>
  <c r="A48" i="8"/>
  <c r="B48" i="14"/>
  <c r="AJ49" i="14"/>
  <c r="CM48" i="8"/>
  <c r="DR43" i="8"/>
  <c r="DS43" i="8"/>
  <c r="DN43" i="8"/>
  <c r="DO43" i="8"/>
  <c r="C44" i="14"/>
  <c r="CS44" i="8"/>
  <c r="DP44" i="8" s="1"/>
  <c r="CT44" i="8"/>
  <c r="DQ44" i="8" s="1"/>
  <c r="CU44" i="8"/>
  <c r="Y46" i="1"/>
  <c r="AH44" i="5"/>
  <c r="W44" i="8"/>
  <c r="B44" i="9"/>
  <c r="EO44" i="8"/>
  <c r="A44" i="10"/>
  <c r="AA44" i="10" s="1"/>
  <c r="BS44" i="5"/>
  <c r="BN44" i="8"/>
  <c r="CR44" i="8" s="1"/>
  <c r="AI44" i="5"/>
  <c r="E44" i="1"/>
  <c r="AV44" i="5"/>
  <c r="AU44" i="5"/>
  <c r="Q49" i="2"/>
  <c r="I50" i="8"/>
  <c r="DY42" i="8"/>
  <c r="DZ42" i="8" s="1"/>
  <c r="EI42" i="8"/>
  <c r="CQ44" i="8"/>
  <c r="DA44" i="8" s="1"/>
  <c r="DL44" i="8"/>
  <c r="DC42" i="8"/>
  <c r="EE42" i="8" s="1"/>
  <c r="EF42" i="8" s="1"/>
  <c r="AP42" i="5"/>
  <c r="V45" i="2"/>
  <c r="D44" i="9"/>
  <c r="D46" i="10"/>
  <c r="F46" i="7"/>
  <c r="H47" i="5"/>
  <c r="AQ42" i="5"/>
  <c r="AU42" i="1" s="1"/>
  <c r="H45" i="10"/>
  <c r="DE45" i="5"/>
  <c r="J45" i="7"/>
  <c r="L46" i="5"/>
  <c r="AR46" i="5"/>
  <c r="I45" i="7"/>
  <c r="K46" i="5"/>
  <c r="G45" i="10"/>
  <c r="DD45" i="5"/>
  <c r="A45" i="5"/>
  <c r="E45" i="5" s="1"/>
  <c r="EQ45" i="8" s="1"/>
  <c r="CZ45" i="8" s="1"/>
  <c r="DB46" i="5"/>
  <c r="I47" i="5"/>
  <c r="G46" i="7"/>
  <c r="E46" i="10"/>
  <c r="P43" i="1"/>
  <c r="D43" i="14" s="1"/>
  <c r="X47" i="1"/>
  <c r="N47" i="2"/>
  <c r="AN43" i="5"/>
  <c r="AA47" i="7"/>
  <c r="AE47" i="8" s="1"/>
  <c r="BC47" i="8" s="1"/>
  <c r="K47" i="10"/>
  <c r="D49" i="7"/>
  <c r="B49" i="10"/>
  <c r="F50" i="5"/>
  <c r="CR43" i="8"/>
  <c r="CO43" i="8"/>
  <c r="CN43" i="8"/>
  <c r="S48" i="2"/>
  <c r="K49" i="8"/>
  <c r="Y9" i="2"/>
  <c r="X9" i="2" s="1"/>
  <c r="N43" i="11"/>
  <c r="R47" i="2"/>
  <c r="J48" i="8"/>
  <c r="CY47" i="5"/>
  <c r="AE43" i="7"/>
  <c r="AF43" i="7" s="1"/>
  <c r="Q43" i="7"/>
  <c r="DF48" i="8"/>
  <c r="M48" i="2"/>
  <c r="H50" i="8"/>
  <c r="P49" i="2"/>
  <c r="N43" i="7"/>
  <c r="DG47" i="5"/>
  <c r="DH43" i="8"/>
  <c r="EH43" i="8" s="1"/>
  <c r="EP43" i="8"/>
  <c r="C46" i="10"/>
  <c r="G47" i="5"/>
  <c r="E46" i="7"/>
  <c r="CZ46" i="5"/>
  <c r="DA46" i="5"/>
  <c r="DC47" i="5"/>
  <c r="J48" i="5"/>
  <c r="H47" i="7"/>
  <c r="F47" i="10"/>
  <c r="DG43" i="8"/>
  <c r="EG43" i="8" s="1"/>
  <c r="CV43" i="8"/>
  <c r="DX43" i="8" s="1"/>
  <c r="DB43" i="8"/>
  <c r="EC43" i="8" s="1"/>
  <c r="ED43" i="8" s="1"/>
  <c r="CY43" i="8"/>
  <c r="EA43" i="8" s="1"/>
  <c r="CX43" i="8"/>
  <c r="CW43" i="8"/>
  <c r="AC43" i="10"/>
  <c r="X43" i="10" s="1"/>
  <c r="Y43" i="10" s="1"/>
  <c r="AO43" i="5"/>
  <c r="AM43" i="5"/>
  <c r="AL43" i="5"/>
  <c r="O48" i="2"/>
  <c r="DE48" i="8"/>
  <c r="EE41" i="8"/>
  <c r="EF41" i="8" s="1"/>
  <c r="DF45" i="5"/>
  <c r="AU41" i="8" l="1"/>
  <c r="AT41" i="1" s="1"/>
  <c r="E40" i="11"/>
  <c r="BO40" i="1"/>
  <c r="AO40" i="8"/>
  <c r="AF43" i="11"/>
  <c r="AE43" i="11"/>
  <c r="AC43" i="8" s="1"/>
  <c r="CA44" i="8"/>
  <c r="CH44" i="8"/>
  <c r="AV41" i="8"/>
  <c r="AW41" i="1" s="1"/>
  <c r="L41" i="1" s="1"/>
  <c r="E41" i="11" s="1"/>
  <c r="BQ42" i="8"/>
  <c r="CF42" i="8"/>
  <c r="CG42" i="8"/>
  <c r="BT42" i="8"/>
  <c r="BU42" i="8"/>
  <c r="BP42" i="8"/>
  <c r="BZ42" i="8"/>
  <c r="BY42" i="8"/>
  <c r="AO47" i="11"/>
  <c r="N44" i="11"/>
  <c r="L47" i="11"/>
  <c r="E46" i="9"/>
  <c r="AG46" i="5"/>
  <c r="B46" i="1"/>
  <c r="BI46" i="1" s="1"/>
  <c r="B46" i="2"/>
  <c r="D40" i="11"/>
  <c r="AK40" i="5"/>
  <c r="AQ40" i="1"/>
  <c r="U40" i="1" s="1"/>
  <c r="J41" i="1" s="1"/>
  <c r="BM40" i="1"/>
  <c r="AP40" i="8"/>
  <c r="AR40" i="8"/>
  <c r="BN40" i="1"/>
  <c r="AR40" i="1"/>
  <c r="V40" i="1" s="1"/>
  <c r="K41" i="1" s="1"/>
  <c r="C40" i="9"/>
  <c r="J47" i="2"/>
  <c r="N44" i="7"/>
  <c r="AC47" i="1"/>
  <c r="BC48" i="5"/>
  <c r="BP49" i="5"/>
  <c r="AB48" i="1"/>
  <c r="AZ51" i="5"/>
  <c r="BK50" i="5"/>
  <c r="AD48" i="1"/>
  <c r="BN51" i="5"/>
  <c r="AF49" i="1"/>
  <c r="BE48" i="5"/>
  <c r="AE46" i="1"/>
  <c r="W46" i="1" s="1"/>
  <c r="O48" i="1"/>
  <c r="DK48" i="8" s="1"/>
  <c r="DI47" i="8"/>
  <c r="DJ47" i="8"/>
  <c r="AD44" i="9"/>
  <c r="AV44" i="1" s="1"/>
  <c r="N47" i="1"/>
  <c r="AE44" i="7"/>
  <c r="AA43" i="11"/>
  <c r="AC43" i="11"/>
  <c r="T43" i="8" s="1"/>
  <c r="Y43" i="11"/>
  <c r="AH43" i="1" s="1"/>
  <c r="AB43" i="11"/>
  <c r="P43" i="8" s="1"/>
  <c r="AD43" i="11"/>
  <c r="AI43" i="1" s="1"/>
  <c r="Z43" i="11"/>
  <c r="AC43" i="2" s="1"/>
  <c r="AT43" i="8"/>
  <c r="AQ43" i="8"/>
  <c r="M44" i="1"/>
  <c r="F43" i="11"/>
  <c r="AW43" i="8"/>
  <c r="AJ50" i="14"/>
  <c r="CM49" i="8"/>
  <c r="A49" i="2"/>
  <c r="A49" i="9"/>
  <c r="A49" i="7"/>
  <c r="A49" i="8"/>
  <c r="B49" i="14"/>
  <c r="AD49" i="8"/>
  <c r="M49" i="5"/>
  <c r="K49" i="11"/>
  <c r="J50" i="10"/>
  <c r="EP44" i="8"/>
  <c r="DT44" i="8"/>
  <c r="DR44" i="8"/>
  <c r="DS44" i="8"/>
  <c r="CY44" i="8"/>
  <c r="EA44" i="8" s="1"/>
  <c r="DN44" i="8"/>
  <c r="DO44" i="8"/>
  <c r="CS45" i="8"/>
  <c r="DP45" i="8" s="1"/>
  <c r="CU45" i="8"/>
  <c r="CT45" i="8"/>
  <c r="DQ45" i="8" s="1"/>
  <c r="AL44" i="5"/>
  <c r="CO44" i="8"/>
  <c r="Y47" i="1"/>
  <c r="AM44" i="5"/>
  <c r="AC44" i="10"/>
  <c r="X44" i="10" s="1"/>
  <c r="Y44" i="10" s="1"/>
  <c r="AN44" i="5"/>
  <c r="CN44" i="8"/>
  <c r="DH44" i="8"/>
  <c r="EH44" i="8" s="1"/>
  <c r="D45" i="9"/>
  <c r="AO44" i="5"/>
  <c r="I51" i="8"/>
  <c r="Q50" i="2"/>
  <c r="CW44" i="8"/>
  <c r="DB44" i="8"/>
  <c r="EC44" i="8" s="1"/>
  <c r="ED44" i="8" s="1"/>
  <c r="DG44" i="8"/>
  <c r="EG44" i="8" s="1"/>
  <c r="CX44" i="8"/>
  <c r="CV44" i="8"/>
  <c r="DX44" i="8" s="1"/>
  <c r="EB44" i="8" s="1"/>
  <c r="AR47" i="5"/>
  <c r="F47" i="7"/>
  <c r="D47" i="10"/>
  <c r="H48" i="5"/>
  <c r="A46" i="5"/>
  <c r="E46" i="5" s="1"/>
  <c r="EQ46" i="8" s="1"/>
  <c r="CZ46" i="8" s="1"/>
  <c r="V46" i="2"/>
  <c r="L47" i="5"/>
  <c r="H46" i="10"/>
  <c r="DE46" i="5"/>
  <c r="J46" i="7"/>
  <c r="K47" i="5"/>
  <c r="DD46" i="5"/>
  <c r="I46" i="7"/>
  <c r="G46" i="10"/>
  <c r="G47" i="7"/>
  <c r="E47" i="10"/>
  <c r="DB47" i="5"/>
  <c r="I48" i="5"/>
  <c r="EI43" i="8"/>
  <c r="AQ43" i="5"/>
  <c r="AU43" i="1" s="1"/>
  <c r="P44" i="1"/>
  <c r="D44" i="14" s="1"/>
  <c r="DY43" i="8"/>
  <c r="DZ43" i="8" s="1"/>
  <c r="AP43" i="5"/>
  <c r="M49" i="2"/>
  <c r="DF49" i="8"/>
  <c r="K48" i="10"/>
  <c r="AA48" i="7"/>
  <c r="AE48" i="8" s="1"/>
  <c r="BC48" i="8" s="1"/>
  <c r="CZ47" i="5"/>
  <c r="G48" i="5"/>
  <c r="C47" i="10"/>
  <c r="E47" i="7"/>
  <c r="Q45" i="1"/>
  <c r="E45" i="14" s="1"/>
  <c r="B45" i="7"/>
  <c r="A45" i="11"/>
  <c r="BS45" i="5"/>
  <c r="AH45" i="5"/>
  <c r="AI45" i="5"/>
  <c r="B45" i="9"/>
  <c r="W45" i="8"/>
  <c r="C45" i="14"/>
  <c r="A45" i="10"/>
  <c r="AA45" i="10" s="1"/>
  <c r="AV45" i="5"/>
  <c r="AU45" i="5"/>
  <c r="E45" i="1"/>
  <c r="AB44" i="2"/>
  <c r="BN45" i="8"/>
  <c r="BO45" i="8"/>
  <c r="DM45" i="8" s="1"/>
  <c r="AB45" i="8"/>
  <c r="EO45" i="8"/>
  <c r="DT45" i="8" s="1"/>
  <c r="CQ45" i="8"/>
  <c r="DA45" i="8" s="1"/>
  <c r="DL45" i="8"/>
  <c r="DA47" i="5"/>
  <c r="J49" i="8"/>
  <c r="R48" i="2"/>
  <c r="K50" i="8"/>
  <c r="S49" i="2"/>
  <c r="DD44" i="8"/>
  <c r="DC44" i="8"/>
  <c r="P50" i="2"/>
  <c r="H51" i="8"/>
  <c r="H10" i="11"/>
  <c r="B10" i="8"/>
  <c r="D10" i="2" s="1"/>
  <c r="L10" i="2"/>
  <c r="BD10" i="8"/>
  <c r="E10" i="2"/>
  <c r="AB10" i="7"/>
  <c r="B47" i="5"/>
  <c r="EB43" i="8"/>
  <c r="O49" i="2"/>
  <c r="DE49" i="8"/>
  <c r="DG48" i="5"/>
  <c r="D50" i="7"/>
  <c r="B50" i="10"/>
  <c r="F51" i="5"/>
  <c r="X48" i="1"/>
  <c r="DC48" i="5"/>
  <c r="F48" i="10"/>
  <c r="J49" i="5"/>
  <c r="H48" i="7"/>
  <c r="AG43" i="7"/>
  <c r="AI43" i="7" s="1"/>
  <c r="AH43" i="7"/>
  <c r="CY48" i="5"/>
  <c r="DC43" i="8"/>
  <c r="DD43" i="8"/>
  <c r="N48" i="2"/>
  <c r="DF46" i="5"/>
  <c r="AU42" i="8" l="1"/>
  <c r="AT42" i="1" s="1"/>
  <c r="AW44" i="8"/>
  <c r="AO41" i="8"/>
  <c r="CA45" i="8"/>
  <c r="CH45" i="8"/>
  <c r="AV42" i="8"/>
  <c r="AW42" i="1" s="1"/>
  <c r="L42" i="1" s="1"/>
  <c r="BQ43" i="8"/>
  <c r="CF43" i="8"/>
  <c r="CG43" i="8"/>
  <c r="BU43" i="8"/>
  <c r="BP43" i="8"/>
  <c r="BT43" i="8"/>
  <c r="BZ43" i="8"/>
  <c r="BY43" i="8"/>
  <c r="AF44" i="11"/>
  <c r="AE44" i="11"/>
  <c r="AC44" i="8" s="1"/>
  <c r="BO41" i="1"/>
  <c r="AO48" i="11"/>
  <c r="L48" i="11"/>
  <c r="E47" i="9"/>
  <c r="AG47" i="5"/>
  <c r="B47" i="1"/>
  <c r="BI47" i="1" s="1"/>
  <c r="B47" i="2"/>
  <c r="AP41" i="8"/>
  <c r="AQ41" i="1"/>
  <c r="U41" i="1" s="1"/>
  <c r="J42" i="1" s="1"/>
  <c r="BM41" i="1"/>
  <c r="AK41" i="5"/>
  <c r="D41" i="11"/>
  <c r="AR41" i="8"/>
  <c r="AR41" i="1"/>
  <c r="V41" i="1" s="1"/>
  <c r="K42" i="1" s="1"/>
  <c r="BN41" i="1"/>
  <c r="C41" i="9"/>
  <c r="J48" i="2"/>
  <c r="AC48" i="1"/>
  <c r="BC49" i="5"/>
  <c r="BN52" i="5"/>
  <c r="AF50" i="1"/>
  <c r="BE49" i="5"/>
  <c r="AE47" i="1"/>
  <c r="W47" i="1" s="1"/>
  <c r="BP50" i="5"/>
  <c r="AB49" i="1"/>
  <c r="AZ52" i="5"/>
  <c r="BK51" i="5"/>
  <c r="AD49" i="1"/>
  <c r="O49" i="1"/>
  <c r="DK49" i="8" s="1"/>
  <c r="DJ48" i="8"/>
  <c r="DI48" i="8"/>
  <c r="AD45" i="9"/>
  <c r="AV45" i="1" s="1"/>
  <c r="N48" i="1"/>
  <c r="AF44" i="7"/>
  <c r="AH44" i="7" s="1"/>
  <c r="AG44" i="7"/>
  <c r="AI44" i="7" s="1"/>
  <c r="Y44" i="11"/>
  <c r="AH44" i="1" s="1"/>
  <c r="AC44" i="11"/>
  <c r="T44" i="8" s="1"/>
  <c r="AA44" i="11"/>
  <c r="Z44" i="11"/>
  <c r="AC44" i="2" s="1"/>
  <c r="AB44" i="11"/>
  <c r="P44" i="8" s="1"/>
  <c r="AD44" i="11"/>
  <c r="AI44" i="1" s="1"/>
  <c r="AT44" i="8"/>
  <c r="AQ44" i="8"/>
  <c r="M45" i="1"/>
  <c r="F44" i="11"/>
  <c r="AQ44" i="5"/>
  <c r="AU44" i="1" s="1"/>
  <c r="CM50" i="8"/>
  <c r="AJ51" i="14"/>
  <c r="A50" i="2"/>
  <c r="K50" i="11"/>
  <c r="AD50" i="8"/>
  <c r="A50" i="7"/>
  <c r="M50" i="5"/>
  <c r="A50" i="9"/>
  <c r="B50" i="14"/>
  <c r="J51" i="10"/>
  <c r="A50" i="8"/>
  <c r="DR45" i="8"/>
  <c r="DS45" i="8"/>
  <c r="DN45" i="8"/>
  <c r="DO45" i="8"/>
  <c r="CS46" i="8"/>
  <c r="DP46" i="8" s="1"/>
  <c r="CT46" i="8"/>
  <c r="DQ46" i="8" s="1"/>
  <c r="CU46" i="8"/>
  <c r="AP44" i="5"/>
  <c r="B48" i="5"/>
  <c r="Y48" i="1"/>
  <c r="EI44" i="8"/>
  <c r="Q51" i="2"/>
  <c r="I52" i="8"/>
  <c r="DY44" i="8"/>
  <c r="DZ44" i="8" s="1"/>
  <c r="CQ46" i="8"/>
  <c r="DA46" i="8" s="1"/>
  <c r="A46" i="10"/>
  <c r="AA46" i="10" s="1"/>
  <c r="BS46" i="5"/>
  <c r="BN46" i="8"/>
  <c r="CN46" i="8" s="1"/>
  <c r="A46" i="11"/>
  <c r="AB46" i="8"/>
  <c r="C46" i="14"/>
  <c r="AV46" i="5"/>
  <c r="B46" i="7"/>
  <c r="AE46" i="7" s="1"/>
  <c r="AF46" i="7" s="1"/>
  <c r="E46" i="1"/>
  <c r="EO46" i="8"/>
  <c r="B46" i="9"/>
  <c r="W46" i="8"/>
  <c r="Q46" i="1"/>
  <c r="E46" i="14" s="1"/>
  <c r="AI46" i="5"/>
  <c r="AR48" i="5"/>
  <c r="AB45" i="2"/>
  <c r="AH46" i="5"/>
  <c r="AC46" i="10" s="1"/>
  <c r="X46" i="10" s="1"/>
  <c r="Y46" i="10" s="1"/>
  <c r="BO46" i="8"/>
  <c r="DM46" i="8" s="1"/>
  <c r="AU46" i="5"/>
  <c r="F48" i="7"/>
  <c r="D48" i="10"/>
  <c r="H49" i="5"/>
  <c r="V47" i="2"/>
  <c r="DL46" i="8"/>
  <c r="J47" i="7"/>
  <c r="L48" i="5"/>
  <c r="DE47" i="5"/>
  <c r="H47" i="10"/>
  <c r="DD47" i="5"/>
  <c r="I47" i="7"/>
  <c r="G47" i="10"/>
  <c r="K48" i="5"/>
  <c r="A47" i="5"/>
  <c r="E47" i="5" s="1"/>
  <c r="EQ47" i="8" s="1"/>
  <c r="CZ47" i="8" s="1"/>
  <c r="DB48" i="5"/>
  <c r="G48" i="7"/>
  <c r="E48" i="10"/>
  <c r="I49" i="5"/>
  <c r="AN45" i="5"/>
  <c r="B51" i="10"/>
  <c r="F52" i="5"/>
  <c r="D51" i="7"/>
  <c r="DA48" i="5"/>
  <c r="CN45" i="8"/>
  <c r="CR45" i="8"/>
  <c r="CO45" i="8"/>
  <c r="D46" i="9"/>
  <c r="K49" i="10"/>
  <c r="AA49" i="7"/>
  <c r="AE49" i="8" s="1"/>
  <c r="BC49" i="8" s="1"/>
  <c r="P45" i="1"/>
  <c r="CY49" i="5"/>
  <c r="DG49" i="5"/>
  <c r="O50" i="2"/>
  <c r="DE50" i="8"/>
  <c r="K51" i="8"/>
  <c r="S50" i="2"/>
  <c r="F49" i="10"/>
  <c r="DC49" i="5"/>
  <c r="J50" i="5"/>
  <c r="H49" i="7"/>
  <c r="N45" i="7"/>
  <c r="AE45" i="7"/>
  <c r="AF45" i="7" s="1"/>
  <c r="Q45" i="7"/>
  <c r="E48" i="7"/>
  <c r="CZ48" i="5"/>
  <c r="C48" i="10"/>
  <c r="G49" i="5"/>
  <c r="EE43" i="8"/>
  <c r="EF43" i="8" s="1"/>
  <c r="EE44" i="8"/>
  <c r="EF44" i="8" s="1"/>
  <c r="U10" i="2"/>
  <c r="W9" i="2" s="1"/>
  <c r="C10" i="2" s="1"/>
  <c r="R49" i="2"/>
  <c r="J50" i="8"/>
  <c r="DH45" i="8"/>
  <c r="EH45" i="8" s="1"/>
  <c r="EP45" i="8"/>
  <c r="N45" i="11"/>
  <c r="X49" i="1"/>
  <c r="H52" i="8"/>
  <c r="P51" i="2"/>
  <c r="CV45" i="8"/>
  <c r="DX45" i="8" s="1"/>
  <c r="DB45" i="8"/>
  <c r="EC45" i="8" s="1"/>
  <c r="ED45" i="8" s="1"/>
  <c r="CY45" i="8"/>
  <c r="EA45" i="8" s="1"/>
  <c r="CX45" i="8"/>
  <c r="CW45" i="8"/>
  <c r="DG45" i="8"/>
  <c r="EG45" i="8" s="1"/>
  <c r="N49" i="2"/>
  <c r="AM45" i="5"/>
  <c r="AC45" i="10"/>
  <c r="X45" i="10" s="1"/>
  <c r="Y45" i="10" s="1"/>
  <c r="AO45" i="5"/>
  <c r="AL45" i="5"/>
  <c r="M50" i="2"/>
  <c r="DF50" i="8"/>
  <c r="DF47" i="5"/>
  <c r="AU43" i="8" l="1"/>
  <c r="AT43" i="1" s="1"/>
  <c r="AO42" i="8"/>
  <c r="BO42" i="1"/>
  <c r="E42" i="11"/>
  <c r="BY44" i="8"/>
  <c r="BZ44" i="8"/>
  <c r="CF44" i="8"/>
  <c r="BP44" i="8"/>
  <c r="CG44" i="8"/>
  <c r="BQ44" i="8"/>
  <c r="BT44" i="8"/>
  <c r="BU44" i="8"/>
  <c r="AV43" i="8"/>
  <c r="AW43" i="1" s="1"/>
  <c r="L43" i="1" s="1"/>
  <c r="CA46" i="8"/>
  <c r="CH46" i="8"/>
  <c r="AE45" i="11"/>
  <c r="AC45" i="8" s="1"/>
  <c r="AF45" i="11"/>
  <c r="AO49" i="11"/>
  <c r="L49" i="11"/>
  <c r="E48" i="9"/>
  <c r="AG48" i="5"/>
  <c r="B48" i="2"/>
  <c r="B48" i="1"/>
  <c r="BI48" i="1" s="1"/>
  <c r="B49" i="5"/>
  <c r="D42" i="11"/>
  <c r="BM42" i="1"/>
  <c r="AQ42" i="1"/>
  <c r="U42" i="1" s="1"/>
  <c r="J43" i="1" s="1"/>
  <c r="AK42" i="5"/>
  <c r="AP42" i="8"/>
  <c r="AR42" i="1"/>
  <c r="V42" i="1" s="1"/>
  <c r="K43" i="1" s="1"/>
  <c r="BN42" i="1"/>
  <c r="C42" i="9"/>
  <c r="AR42" i="8"/>
  <c r="AC49" i="1"/>
  <c r="BC50" i="5"/>
  <c r="AZ53" i="5"/>
  <c r="BN53" i="5"/>
  <c r="AF51" i="1"/>
  <c r="BK52" i="5"/>
  <c r="AD50" i="1"/>
  <c r="BE50" i="5"/>
  <c r="AE48" i="1"/>
  <c r="W48" i="1" s="1"/>
  <c r="BP51" i="5"/>
  <c r="AB50" i="1"/>
  <c r="O50" i="1"/>
  <c r="DK50" i="8" s="1"/>
  <c r="DI49" i="8"/>
  <c r="DJ49" i="8"/>
  <c r="AD46" i="9"/>
  <c r="AV46" i="1" s="1"/>
  <c r="N49" i="1"/>
  <c r="Y45" i="11"/>
  <c r="AH45" i="1" s="1"/>
  <c r="AA45" i="11"/>
  <c r="AC45" i="11"/>
  <c r="T45" i="8" s="1"/>
  <c r="Z45" i="11"/>
  <c r="AC45" i="2" s="1"/>
  <c r="AB45" i="11"/>
  <c r="P45" i="8" s="1"/>
  <c r="AD45" i="11"/>
  <c r="AI45" i="1" s="1"/>
  <c r="AT45" i="8"/>
  <c r="AQ45" i="8"/>
  <c r="F45" i="11"/>
  <c r="M46" i="1"/>
  <c r="AW45" i="8"/>
  <c r="A51" i="2"/>
  <c r="A51" i="7"/>
  <c r="J52" i="10"/>
  <c r="AD51" i="8"/>
  <c r="A51" i="8"/>
  <c r="B51" i="14"/>
  <c r="A51" i="9"/>
  <c r="M51" i="5"/>
  <c r="K51" i="11"/>
  <c r="AJ52" i="14"/>
  <c r="CM51" i="8"/>
  <c r="EP46" i="8"/>
  <c r="DT46" i="8"/>
  <c r="DR46" i="8"/>
  <c r="DS46" i="8"/>
  <c r="DG46" i="8"/>
  <c r="EG46" i="8" s="1"/>
  <c r="DN46" i="8"/>
  <c r="DO46" i="8"/>
  <c r="CS47" i="8"/>
  <c r="DP47" i="8" s="1"/>
  <c r="CT47" i="8"/>
  <c r="DQ47" i="8" s="1"/>
  <c r="CU47" i="8"/>
  <c r="CR46" i="8"/>
  <c r="DC46" i="8" s="1"/>
  <c r="CO46" i="8"/>
  <c r="N46" i="11"/>
  <c r="J49" i="2"/>
  <c r="Y49" i="1"/>
  <c r="D47" i="9"/>
  <c r="AM46" i="5"/>
  <c r="I53" i="8"/>
  <c r="Q52" i="2"/>
  <c r="AN46" i="5"/>
  <c r="AO46" i="5"/>
  <c r="CV46" i="8"/>
  <c r="DX46" i="8" s="1"/>
  <c r="EB46" i="8" s="1"/>
  <c r="CW46" i="8"/>
  <c r="CY46" i="8"/>
  <c r="EA46" i="8" s="1"/>
  <c r="CX46" i="8"/>
  <c r="DB46" i="8"/>
  <c r="EC46" i="8" s="1"/>
  <c r="ED46" i="8" s="1"/>
  <c r="N46" i="7"/>
  <c r="AL46" i="5"/>
  <c r="Q46" i="7"/>
  <c r="A48" i="5"/>
  <c r="E48" i="5" s="1"/>
  <c r="EQ48" i="8" s="1"/>
  <c r="CZ48" i="8" s="1"/>
  <c r="DH46" i="8"/>
  <c r="EH46" i="8" s="1"/>
  <c r="AR49" i="5"/>
  <c r="V48" i="2"/>
  <c r="H50" i="5"/>
  <c r="D49" i="10"/>
  <c r="F49" i="7"/>
  <c r="H48" i="10"/>
  <c r="DE48" i="5"/>
  <c r="L49" i="5"/>
  <c r="J48" i="7"/>
  <c r="DD48" i="5"/>
  <c r="G48" i="10"/>
  <c r="K49" i="5"/>
  <c r="I48" i="7"/>
  <c r="G49" i="7"/>
  <c r="I50" i="5"/>
  <c r="DB49" i="5"/>
  <c r="E49" i="10"/>
  <c r="EI45" i="8"/>
  <c r="AP45" i="5"/>
  <c r="CY50" i="5"/>
  <c r="F10" i="2"/>
  <c r="H10" i="2"/>
  <c r="F10" i="1"/>
  <c r="I10" i="2"/>
  <c r="AA10" i="1" s="1"/>
  <c r="S10" i="1" s="1"/>
  <c r="H11" i="1" s="1"/>
  <c r="K52" i="8"/>
  <c r="S51" i="2"/>
  <c r="P46" i="1"/>
  <c r="D45" i="14"/>
  <c r="DD45" i="8"/>
  <c r="DC45" i="8"/>
  <c r="G50" i="5"/>
  <c r="CZ49" i="5"/>
  <c r="E49" i="7"/>
  <c r="C49" i="10"/>
  <c r="N50" i="2"/>
  <c r="H53" i="8"/>
  <c r="P52" i="2"/>
  <c r="J51" i="8"/>
  <c r="R50" i="2"/>
  <c r="AH46" i="7"/>
  <c r="AG46" i="7"/>
  <c r="AI46" i="7" s="1"/>
  <c r="AQ45" i="5"/>
  <c r="AU45" i="1" s="1"/>
  <c r="F50" i="10"/>
  <c r="J51" i="5"/>
  <c r="H50" i="7"/>
  <c r="DC50" i="5"/>
  <c r="AI47" i="5"/>
  <c r="AV47" i="5"/>
  <c r="E47" i="1"/>
  <c r="B47" i="7"/>
  <c r="BS47" i="5"/>
  <c r="AU47" i="5"/>
  <c r="W47" i="8"/>
  <c r="A47" i="10"/>
  <c r="AA47" i="10" s="1"/>
  <c r="A47" i="11"/>
  <c r="B47" i="9"/>
  <c r="C47" i="14"/>
  <c r="Q47" i="1"/>
  <c r="E47" i="14" s="1"/>
  <c r="AH47" i="5"/>
  <c r="AB46" i="2"/>
  <c r="BN47" i="8"/>
  <c r="BO47" i="8"/>
  <c r="DM47" i="8" s="1"/>
  <c r="AB47" i="8"/>
  <c r="EO47" i="8"/>
  <c r="DT47" i="8" s="1"/>
  <c r="DL47" i="8"/>
  <c r="CQ47" i="8"/>
  <c r="DA47" i="8" s="1"/>
  <c r="AH45" i="7"/>
  <c r="AG45" i="7"/>
  <c r="AI45" i="7" s="1"/>
  <c r="DY45" i="8"/>
  <c r="DZ45" i="8" s="1"/>
  <c r="AA50" i="7"/>
  <c r="AE50" i="8" s="1"/>
  <c r="BC50" i="8" s="1"/>
  <c r="K50" i="10"/>
  <c r="DA49" i="5"/>
  <c r="B52" i="10"/>
  <c r="D52" i="7"/>
  <c r="F53" i="5"/>
  <c r="O51" i="2"/>
  <c r="DE51" i="8"/>
  <c r="M51" i="2"/>
  <c r="DF51" i="8"/>
  <c r="EB45" i="8"/>
  <c r="X50" i="1"/>
  <c r="DG50" i="5"/>
  <c r="DF48" i="5"/>
  <c r="AV44" i="8" l="1"/>
  <c r="AW44" i="1" s="1"/>
  <c r="L44" i="1" s="1"/>
  <c r="E43" i="11"/>
  <c r="BO43" i="1"/>
  <c r="AO43" i="8"/>
  <c r="CA47" i="8"/>
  <c r="CH47" i="8"/>
  <c r="AF46" i="11"/>
  <c r="AE46" i="11"/>
  <c r="AC46" i="8" s="1"/>
  <c r="AU44" i="8"/>
  <c r="AT44" i="1" s="1"/>
  <c r="BP45" i="8"/>
  <c r="CF45" i="8"/>
  <c r="BU45" i="8"/>
  <c r="CG45" i="8"/>
  <c r="BT45" i="8"/>
  <c r="BY45" i="8"/>
  <c r="BZ45" i="8"/>
  <c r="BQ45" i="8"/>
  <c r="AO50" i="11"/>
  <c r="L50" i="11"/>
  <c r="E49" i="9"/>
  <c r="AG49" i="5"/>
  <c r="B49" i="1"/>
  <c r="BI49" i="1" s="1"/>
  <c r="B49" i="2"/>
  <c r="BM43" i="1"/>
  <c r="D43" i="11"/>
  <c r="AQ43" i="1"/>
  <c r="U43" i="1" s="1"/>
  <c r="J44" i="1" s="1"/>
  <c r="AK43" i="5"/>
  <c r="AP43" i="8"/>
  <c r="AR43" i="8"/>
  <c r="BN43" i="1"/>
  <c r="AR43" i="1"/>
  <c r="V43" i="1" s="1"/>
  <c r="K44" i="1" s="1"/>
  <c r="C43" i="9"/>
  <c r="B50" i="5"/>
  <c r="AC50" i="1"/>
  <c r="BC51" i="5"/>
  <c r="BE51" i="5"/>
  <c r="AE49" i="1"/>
  <c r="W49" i="1" s="1"/>
  <c r="AZ54" i="5"/>
  <c r="BP52" i="5"/>
  <c r="AB51" i="1"/>
  <c r="BN54" i="5"/>
  <c r="AF52" i="1"/>
  <c r="BK53" i="5"/>
  <c r="AD51" i="1"/>
  <c r="O51" i="1"/>
  <c r="DK51" i="8" s="1"/>
  <c r="DI50" i="8"/>
  <c r="DJ50" i="8"/>
  <c r="AD47" i="9"/>
  <c r="AV47" i="1" s="1"/>
  <c r="N50" i="1"/>
  <c r="AA46" i="11"/>
  <c r="AC46" i="11"/>
  <c r="T46" i="8" s="1"/>
  <c r="Y46" i="11"/>
  <c r="AH46" i="1" s="1"/>
  <c r="AB46" i="11"/>
  <c r="P46" i="8" s="1"/>
  <c r="AD46" i="11"/>
  <c r="AI46" i="1" s="1"/>
  <c r="Z46" i="11"/>
  <c r="AC46" i="2" s="1"/>
  <c r="AT46" i="8"/>
  <c r="AQ46" i="8"/>
  <c r="F46" i="11"/>
  <c r="M47" i="1"/>
  <c r="AW46" i="8"/>
  <c r="A52" i="2"/>
  <c r="A52" i="7"/>
  <c r="J53" i="10"/>
  <c r="A52" i="9"/>
  <c r="B52" i="14"/>
  <c r="AD52" i="8"/>
  <c r="K52" i="11"/>
  <c r="M52" i="5"/>
  <c r="A52" i="8"/>
  <c r="CM52" i="8"/>
  <c r="AJ53" i="14"/>
  <c r="DR47" i="8"/>
  <c r="DS47" i="8"/>
  <c r="EI46" i="8"/>
  <c r="DN47" i="8"/>
  <c r="DO47" i="8"/>
  <c r="CU48" i="8"/>
  <c r="CT48" i="8"/>
  <c r="DQ48" i="8" s="1"/>
  <c r="CS48" i="8"/>
  <c r="DP48" i="8" s="1"/>
  <c r="DD46" i="8"/>
  <c r="EE46" i="8" s="1"/>
  <c r="EF46" i="8" s="1"/>
  <c r="Y50" i="1"/>
  <c r="AQ46" i="5"/>
  <c r="AU46" i="1" s="1"/>
  <c r="I54" i="8"/>
  <c r="Q53" i="2"/>
  <c r="AP46" i="5"/>
  <c r="DY46" i="8"/>
  <c r="DZ46" i="8" s="1"/>
  <c r="CQ48" i="8"/>
  <c r="DA48" i="8" s="1"/>
  <c r="W48" i="8"/>
  <c r="BS48" i="5"/>
  <c r="DL48" i="8"/>
  <c r="AV48" i="5"/>
  <c r="AU48" i="5"/>
  <c r="E48" i="1"/>
  <c r="BN48" i="8"/>
  <c r="CR48" i="8" s="1"/>
  <c r="BO48" i="8"/>
  <c r="DM48" i="8" s="1"/>
  <c r="C48" i="14"/>
  <c r="AB47" i="2"/>
  <c r="Q48" i="1"/>
  <c r="E48" i="14" s="1"/>
  <c r="A48" i="11"/>
  <c r="EO48" i="8"/>
  <c r="A48" i="10"/>
  <c r="AA48" i="10" s="1"/>
  <c r="AB48" i="8"/>
  <c r="AI48" i="5"/>
  <c r="B48" i="7"/>
  <c r="AE48" i="7" s="1"/>
  <c r="AF48" i="7" s="1"/>
  <c r="AH48" i="5"/>
  <c r="AC48" i="10" s="1"/>
  <c r="B48" i="9"/>
  <c r="A49" i="5"/>
  <c r="E49" i="5" s="1"/>
  <c r="EQ49" i="8" s="1"/>
  <c r="CZ49" i="8" s="1"/>
  <c r="V49" i="2"/>
  <c r="F50" i="7"/>
  <c r="D50" i="10"/>
  <c r="H51" i="5"/>
  <c r="AR50" i="5"/>
  <c r="DE49" i="5"/>
  <c r="J49" i="7"/>
  <c r="L50" i="5"/>
  <c r="H49" i="10"/>
  <c r="G49" i="10"/>
  <c r="DD49" i="5"/>
  <c r="K50" i="5"/>
  <c r="I49" i="7"/>
  <c r="G50" i="7"/>
  <c r="I51" i="5"/>
  <c r="DB50" i="5"/>
  <c r="E50" i="10"/>
  <c r="BK11" i="1"/>
  <c r="AN11" i="8"/>
  <c r="AC11" i="7"/>
  <c r="V11" i="10"/>
  <c r="AJ11" i="5"/>
  <c r="C11" i="11"/>
  <c r="K51" i="10"/>
  <c r="AA51" i="7"/>
  <c r="AE51" i="8" s="1"/>
  <c r="BC51" i="8" s="1"/>
  <c r="J52" i="8"/>
  <c r="R51" i="2"/>
  <c r="CY51" i="5"/>
  <c r="DH47" i="8"/>
  <c r="EH47" i="8" s="1"/>
  <c r="EP47" i="8"/>
  <c r="AE47" i="7"/>
  <c r="AF47" i="7" s="1"/>
  <c r="Q47" i="7"/>
  <c r="D46" i="14"/>
  <c r="P47" i="1"/>
  <c r="CV47" i="8"/>
  <c r="DX47" i="8" s="1"/>
  <c r="DB47" i="8"/>
  <c r="EC47" i="8" s="1"/>
  <c r="ED47" i="8" s="1"/>
  <c r="CW47" i="8"/>
  <c r="DG47" i="8"/>
  <c r="EG47" i="8" s="1"/>
  <c r="CX47" i="8"/>
  <c r="CY47" i="8"/>
  <c r="EA47" i="8" s="1"/>
  <c r="DG51" i="5"/>
  <c r="M52" i="2"/>
  <c r="DF52" i="8"/>
  <c r="DA50" i="5"/>
  <c r="CO47" i="8"/>
  <c r="CR47" i="8"/>
  <c r="CN47" i="8"/>
  <c r="EE45" i="8"/>
  <c r="EF45" i="8" s="1"/>
  <c r="F54" i="5"/>
  <c r="D53" i="7"/>
  <c r="B53" i="10"/>
  <c r="N51" i="2"/>
  <c r="E50" i="7"/>
  <c r="CZ50" i="5"/>
  <c r="G51" i="5"/>
  <c r="C50" i="10"/>
  <c r="K53" i="8"/>
  <c r="S52" i="2"/>
  <c r="J50" i="2"/>
  <c r="DE52" i="8"/>
  <c r="O52" i="2"/>
  <c r="H54" i="8"/>
  <c r="P53" i="2"/>
  <c r="AO47" i="5"/>
  <c r="AC47" i="10"/>
  <c r="X47" i="10" s="1"/>
  <c r="Y47" i="10" s="1"/>
  <c r="AM47" i="5"/>
  <c r="AL47" i="5"/>
  <c r="I10" i="11"/>
  <c r="O10" i="7"/>
  <c r="X51" i="1"/>
  <c r="N47" i="11"/>
  <c r="J52" i="5"/>
  <c r="H51" i="7"/>
  <c r="F51" i="10"/>
  <c r="DC51" i="5"/>
  <c r="AN47" i="5"/>
  <c r="N47" i="7"/>
  <c r="J10" i="11"/>
  <c r="AP10" i="1"/>
  <c r="T10" i="1" s="1"/>
  <c r="I11" i="1" s="1"/>
  <c r="G10" i="2"/>
  <c r="Z10" i="2" s="1"/>
  <c r="Z11" i="8" s="1"/>
  <c r="D48" i="9"/>
  <c r="DF49" i="5"/>
  <c r="AO44" i="8" l="1"/>
  <c r="BO44" i="1"/>
  <c r="E44" i="11"/>
  <c r="AU45" i="8"/>
  <c r="AT45" i="1" s="1"/>
  <c r="AV45" i="8"/>
  <c r="AW45" i="1" s="1"/>
  <c r="L45" i="1" s="1"/>
  <c r="E45" i="11" s="1"/>
  <c r="AE47" i="11"/>
  <c r="AC47" i="8" s="1"/>
  <c r="AF47" i="11"/>
  <c r="BT46" i="8"/>
  <c r="CF46" i="8"/>
  <c r="BQ46" i="8"/>
  <c r="BP46" i="8"/>
  <c r="BY46" i="8"/>
  <c r="CG46" i="8"/>
  <c r="BZ46" i="8"/>
  <c r="BU46" i="8"/>
  <c r="CA48" i="8"/>
  <c r="CH48" i="8"/>
  <c r="AO51" i="11"/>
  <c r="L51" i="11"/>
  <c r="E50" i="9"/>
  <c r="AG50" i="5"/>
  <c r="B50" i="2"/>
  <c r="B50" i="1"/>
  <c r="BI50" i="1" s="1"/>
  <c r="AQ44" i="1"/>
  <c r="U44" i="1" s="1"/>
  <c r="J45" i="1" s="1"/>
  <c r="D44" i="11"/>
  <c r="AP44" i="8"/>
  <c r="AK44" i="5"/>
  <c r="BM44" i="1"/>
  <c r="BO45" i="1"/>
  <c r="BN44" i="1"/>
  <c r="C44" i="9"/>
  <c r="AR44" i="1"/>
  <c r="V44" i="1" s="1"/>
  <c r="K45" i="1" s="1"/>
  <c r="AR44" i="8"/>
  <c r="J51" i="2"/>
  <c r="AC51" i="1"/>
  <c r="BC52" i="5"/>
  <c r="BK54" i="5"/>
  <c r="AD52" i="1"/>
  <c r="BE52" i="5"/>
  <c r="AE50" i="1"/>
  <c r="W50" i="1" s="1"/>
  <c r="AZ55" i="5"/>
  <c r="BP53" i="5"/>
  <c r="AB52" i="1"/>
  <c r="BN55" i="5"/>
  <c r="AF53" i="1"/>
  <c r="O52" i="1"/>
  <c r="DK52" i="8" s="1"/>
  <c r="DI51" i="8"/>
  <c r="DJ51" i="8"/>
  <c r="AD48" i="9"/>
  <c r="AV48" i="1" s="1"/>
  <c r="N51" i="1"/>
  <c r="Y47" i="11"/>
  <c r="AH47" i="1" s="1"/>
  <c r="AC47" i="11"/>
  <c r="T47" i="8" s="1"/>
  <c r="AA47" i="11"/>
  <c r="Z47" i="11"/>
  <c r="AC47" i="2" s="1"/>
  <c r="AD47" i="11"/>
  <c r="AI47" i="1" s="1"/>
  <c r="AB47" i="11"/>
  <c r="P47" i="8" s="1"/>
  <c r="AT47" i="8"/>
  <c r="AQ47" i="8"/>
  <c r="F47" i="11"/>
  <c r="M48" i="1"/>
  <c r="AW47" i="8"/>
  <c r="N48" i="11"/>
  <c r="D49" i="9"/>
  <c r="AJ54" i="14"/>
  <c r="CM53" i="8"/>
  <c r="A53" i="2"/>
  <c r="M53" i="5"/>
  <c r="B53" i="14"/>
  <c r="A53" i="9"/>
  <c r="A53" i="8"/>
  <c r="K53" i="11"/>
  <c r="J54" i="10"/>
  <c r="AD53" i="8"/>
  <c r="A53" i="7"/>
  <c r="EP48" i="8"/>
  <c r="DT48" i="8"/>
  <c r="DR48" i="8"/>
  <c r="DS48" i="8"/>
  <c r="CY48" i="8"/>
  <c r="EA48" i="8" s="1"/>
  <c r="DN48" i="8"/>
  <c r="DO48" i="8"/>
  <c r="CS49" i="8"/>
  <c r="DP49" i="8" s="1"/>
  <c r="CT49" i="8"/>
  <c r="DQ49" i="8" s="1"/>
  <c r="CU49" i="8"/>
  <c r="Y51" i="1"/>
  <c r="N48" i="7"/>
  <c r="AM48" i="5"/>
  <c r="I55" i="8"/>
  <c r="Q54" i="2"/>
  <c r="AL48" i="5"/>
  <c r="CN48" i="8"/>
  <c r="Q48" i="7"/>
  <c r="AN48" i="5"/>
  <c r="DH48" i="8"/>
  <c r="EH48" i="8" s="1"/>
  <c r="CO48" i="8"/>
  <c r="CV48" i="8"/>
  <c r="DX48" i="8" s="1"/>
  <c r="EB48" i="8" s="1"/>
  <c r="DB48" i="8"/>
  <c r="EC48" i="8" s="1"/>
  <c r="ED48" i="8" s="1"/>
  <c r="DG48" i="8"/>
  <c r="EG48" i="8" s="1"/>
  <c r="CW48" i="8"/>
  <c r="CX48" i="8"/>
  <c r="DL49" i="8"/>
  <c r="AO48" i="5"/>
  <c r="X48" i="10"/>
  <c r="Y48" i="10" s="1"/>
  <c r="AR51" i="5"/>
  <c r="W49" i="8"/>
  <c r="AH49" i="5"/>
  <c r="E49" i="1"/>
  <c r="B49" i="9"/>
  <c r="AI49" i="5"/>
  <c r="AB48" i="2"/>
  <c r="BS49" i="5"/>
  <c r="B49" i="7"/>
  <c r="Q49" i="7" s="1"/>
  <c r="BN49" i="8"/>
  <c r="AV49" i="5"/>
  <c r="BO49" i="8"/>
  <c r="DM49" i="8" s="1"/>
  <c r="A49" i="11"/>
  <c r="EO49" i="8"/>
  <c r="C49" i="14"/>
  <c r="A49" i="10"/>
  <c r="AA49" i="10" s="1"/>
  <c r="CQ49" i="8"/>
  <c r="DA49" i="8" s="1"/>
  <c r="AB49" i="8"/>
  <c r="Q49" i="1"/>
  <c r="E49" i="14" s="1"/>
  <c r="AU49" i="5"/>
  <c r="H52" i="5"/>
  <c r="D51" i="10"/>
  <c r="F51" i="7"/>
  <c r="A50" i="5"/>
  <c r="E50" i="5" s="1"/>
  <c r="EQ50" i="8" s="1"/>
  <c r="CZ50" i="8" s="1"/>
  <c r="V50" i="2"/>
  <c r="H50" i="10"/>
  <c r="L51" i="5"/>
  <c r="DE50" i="5"/>
  <c r="J50" i="7"/>
  <c r="DD50" i="5"/>
  <c r="G50" i="10"/>
  <c r="I50" i="7"/>
  <c r="K51" i="5"/>
  <c r="G51" i="7"/>
  <c r="DB51" i="5"/>
  <c r="I52" i="5"/>
  <c r="E51" i="10"/>
  <c r="AQ47" i="5"/>
  <c r="AU47" i="1" s="1"/>
  <c r="EI47" i="8"/>
  <c r="DY47" i="8"/>
  <c r="DZ47" i="8" s="1"/>
  <c r="AP47" i="5"/>
  <c r="C10" i="8"/>
  <c r="DE53" i="8"/>
  <c r="O53" i="2"/>
  <c r="CZ51" i="5"/>
  <c r="C51" i="10"/>
  <c r="E51" i="7"/>
  <c r="G52" i="5"/>
  <c r="DF53" i="8"/>
  <c r="M53" i="2"/>
  <c r="AA52" i="7"/>
  <c r="AE52" i="8" s="1"/>
  <c r="BC52" i="8" s="1"/>
  <c r="K52" i="10"/>
  <c r="DC48" i="8"/>
  <c r="DD48" i="8"/>
  <c r="AH48" i="7"/>
  <c r="AG48" i="7"/>
  <c r="AI48" i="7" s="1"/>
  <c r="J53" i="8"/>
  <c r="R52" i="2"/>
  <c r="DC47" i="8"/>
  <c r="DD47" i="8"/>
  <c r="H55" i="8"/>
  <c r="P54" i="2"/>
  <c r="S53" i="2"/>
  <c r="K54" i="8"/>
  <c r="N52" i="2"/>
  <c r="AG47" i="7"/>
  <c r="AI47" i="7" s="1"/>
  <c r="AH47" i="7"/>
  <c r="CY52" i="5"/>
  <c r="B54" i="10"/>
  <c r="F55" i="5"/>
  <c r="D54" i="7"/>
  <c r="D47" i="14"/>
  <c r="P48" i="1"/>
  <c r="B51" i="5"/>
  <c r="P10" i="7"/>
  <c r="F10" i="9"/>
  <c r="DA51" i="5"/>
  <c r="DG52" i="5"/>
  <c r="EB47" i="8"/>
  <c r="J53" i="5"/>
  <c r="H52" i="7"/>
  <c r="DC52" i="5"/>
  <c r="F52" i="10"/>
  <c r="X52" i="1"/>
  <c r="DF50" i="5"/>
  <c r="AO45" i="8" l="1"/>
  <c r="AU46" i="8"/>
  <c r="AT46" i="1" s="1"/>
  <c r="AV46" i="8"/>
  <c r="AW46" i="1" s="1"/>
  <c r="L46" i="1" s="1"/>
  <c r="AO46" i="8" s="1"/>
  <c r="CF47" i="8"/>
  <c r="BT47" i="8"/>
  <c r="BZ47" i="8"/>
  <c r="BP47" i="8"/>
  <c r="BU47" i="8"/>
  <c r="BY47" i="8"/>
  <c r="BQ47" i="8"/>
  <c r="CG47" i="8"/>
  <c r="AF48" i="11"/>
  <c r="AE48" i="11"/>
  <c r="AC48" i="8" s="1"/>
  <c r="CA49" i="8"/>
  <c r="CH49" i="8"/>
  <c r="AO52" i="11"/>
  <c r="L52" i="11"/>
  <c r="E51" i="9"/>
  <c r="AG51" i="5"/>
  <c r="B51" i="2"/>
  <c r="B51" i="1"/>
  <c r="BI51" i="1" s="1"/>
  <c r="J52" i="2"/>
  <c r="E46" i="11"/>
  <c r="AQ45" i="1"/>
  <c r="U45" i="1" s="1"/>
  <c r="J46" i="1" s="1"/>
  <c r="AK45" i="5"/>
  <c r="BM45" i="1"/>
  <c r="D45" i="11"/>
  <c r="AP45" i="8"/>
  <c r="C45" i="9"/>
  <c r="BN45" i="1"/>
  <c r="AR45" i="1"/>
  <c r="V45" i="1" s="1"/>
  <c r="K46" i="1" s="1"/>
  <c r="AR45" i="8"/>
  <c r="BC53" i="5"/>
  <c r="AC52" i="1"/>
  <c r="BP54" i="5"/>
  <c r="AB53" i="1"/>
  <c r="BK55" i="5"/>
  <c r="AD53" i="1"/>
  <c r="BN56" i="5"/>
  <c r="AF54" i="1"/>
  <c r="BE53" i="5"/>
  <c r="AE51" i="1"/>
  <c r="W51" i="1" s="1"/>
  <c r="AZ56" i="5"/>
  <c r="O53" i="1"/>
  <c r="DK53" i="8" s="1"/>
  <c r="DJ52" i="8"/>
  <c r="DI52" i="8"/>
  <c r="AS11" i="8"/>
  <c r="AO11" i="1"/>
  <c r="AD49" i="9"/>
  <c r="AV49" i="1" s="1"/>
  <c r="N52" i="1"/>
  <c r="AA48" i="11"/>
  <c r="AC48" i="11"/>
  <c r="T48" i="8" s="1"/>
  <c r="Y48" i="11"/>
  <c r="AH48" i="1" s="1"/>
  <c r="AB48" i="11"/>
  <c r="P48" i="8" s="1"/>
  <c r="AD48" i="11"/>
  <c r="AI48" i="1" s="1"/>
  <c r="Z48" i="11"/>
  <c r="AC48" i="2" s="1"/>
  <c r="BL11" i="1"/>
  <c r="AT48" i="8"/>
  <c r="AQ48" i="8"/>
  <c r="M49" i="1"/>
  <c r="F48" i="11"/>
  <c r="AW48" i="8"/>
  <c r="CM54" i="8"/>
  <c r="AJ55" i="14"/>
  <c r="D50" i="9"/>
  <c r="A54" i="2"/>
  <c r="M54" i="5"/>
  <c r="K54" i="11"/>
  <c r="B54" i="14"/>
  <c r="A54" i="9"/>
  <c r="J55" i="10"/>
  <c r="A54" i="8"/>
  <c r="A54" i="7"/>
  <c r="AD54" i="8"/>
  <c r="DR49" i="8"/>
  <c r="DS49" i="8"/>
  <c r="EP49" i="8"/>
  <c r="DT49" i="8"/>
  <c r="DB49" i="8"/>
  <c r="EC49" i="8" s="1"/>
  <c r="ED49" i="8" s="1"/>
  <c r="DN49" i="8"/>
  <c r="DO49" i="8"/>
  <c r="CS50" i="8"/>
  <c r="DP50" i="8" s="1"/>
  <c r="CT50" i="8"/>
  <c r="DQ50" i="8" s="1"/>
  <c r="CU50" i="8"/>
  <c r="B52" i="5"/>
  <c r="Y52" i="1"/>
  <c r="AQ48" i="5"/>
  <c r="AU48" i="1" s="1"/>
  <c r="Q55" i="2"/>
  <c r="I56" i="8"/>
  <c r="AP48" i="5"/>
  <c r="EI48" i="8"/>
  <c r="DY48" i="8"/>
  <c r="DZ48" i="8" s="1"/>
  <c r="DL50" i="8"/>
  <c r="EO50" i="8"/>
  <c r="CY49" i="8"/>
  <c r="EA49" i="8" s="1"/>
  <c r="AE49" i="7"/>
  <c r="AF49" i="7" s="1"/>
  <c r="CW49" i="8"/>
  <c r="AO49" i="5"/>
  <c r="N49" i="11"/>
  <c r="CV49" i="8"/>
  <c r="DX49" i="8" s="1"/>
  <c r="EB49" i="8" s="1"/>
  <c r="CX49" i="8"/>
  <c r="DG49" i="8"/>
  <c r="EG49" i="8" s="1"/>
  <c r="AM49" i="5"/>
  <c r="AN49" i="5"/>
  <c r="AC49" i="10"/>
  <c r="X49" i="10" s="1"/>
  <c r="Y49" i="10" s="1"/>
  <c r="DH49" i="8"/>
  <c r="EH49" i="8" s="1"/>
  <c r="CR49" i="8"/>
  <c r="DC49" i="8" s="1"/>
  <c r="CO49" i="8"/>
  <c r="N49" i="7"/>
  <c r="CN49" i="8"/>
  <c r="A51" i="5"/>
  <c r="E51" i="5" s="1"/>
  <c r="EQ51" i="8" s="1"/>
  <c r="CZ51" i="8" s="1"/>
  <c r="AL49" i="5"/>
  <c r="H53" i="5"/>
  <c r="D52" i="10"/>
  <c r="F52" i="7"/>
  <c r="B50" i="7"/>
  <c r="AE50" i="7" s="1"/>
  <c r="AF50" i="7" s="1"/>
  <c r="A50" i="11"/>
  <c r="AI50" i="5"/>
  <c r="AU50" i="5"/>
  <c r="CQ50" i="8"/>
  <c r="DA50" i="8" s="1"/>
  <c r="E50" i="1"/>
  <c r="A50" i="10"/>
  <c r="AA50" i="10" s="1"/>
  <c r="AB49" i="2"/>
  <c r="Q50" i="1"/>
  <c r="E50" i="14" s="1"/>
  <c r="AH50" i="5"/>
  <c r="AC50" i="10" s="1"/>
  <c r="BN50" i="8"/>
  <c r="CR50" i="8" s="1"/>
  <c r="C50" i="14"/>
  <c r="B50" i="9"/>
  <c r="AB50" i="8"/>
  <c r="W50" i="8"/>
  <c r="BO50" i="8"/>
  <c r="DM50" i="8" s="1"/>
  <c r="BS50" i="5"/>
  <c r="AV50" i="5"/>
  <c r="AO50" i="5" s="1"/>
  <c r="AR52" i="5"/>
  <c r="V51" i="2"/>
  <c r="L52" i="5"/>
  <c r="H51" i="10"/>
  <c r="J51" i="7"/>
  <c r="DE51" i="5"/>
  <c r="DD51" i="5"/>
  <c r="I51" i="7"/>
  <c r="G51" i="10"/>
  <c r="K52" i="5"/>
  <c r="I53" i="5"/>
  <c r="E52" i="10"/>
  <c r="DB52" i="5"/>
  <c r="G52" i="7"/>
  <c r="EE47" i="8"/>
  <c r="EF47" i="8" s="1"/>
  <c r="P49" i="1"/>
  <c r="D48" i="14"/>
  <c r="CY53" i="5"/>
  <c r="H56" i="8"/>
  <c r="P55" i="2"/>
  <c r="M54" i="2"/>
  <c r="DF54" i="8"/>
  <c r="J54" i="5"/>
  <c r="F53" i="10"/>
  <c r="DC53" i="5"/>
  <c r="H53" i="7"/>
  <c r="X53" i="1"/>
  <c r="DA52" i="5"/>
  <c r="K53" i="10"/>
  <c r="AA53" i="7"/>
  <c r="AE53" i="8" s="1"/>
  <c r="BC53" i="8" s="1"/>
  <c r="C52" i="10"/>
  <c r="G53" i="5"/>
  <c r="E52" i="7"/>
  <c r="CZ52" i="5"/>
  <c r="EE48" i="8"/>
  <c r="EF48" i="8" s="1"/>
  <c r="N53" i="2"/>
  <c r="S54" i="2"/>
  <c r="K55" i="8"/>
  <c r="Y10" i="2"/>
  <c r="X10" i="2" s="1"/>
  <c r="DG53" i="5"/>
  <c r="D55" i="7"/>
  <c r="F56" i="5"/>
  <c r="B55" i="10"/>
  <c r="DE54" i="8"/>
  <c r="O54" i="2"/>
  <c r="R53" i="2"/>
  <c r="J54" i="8"/>
  <c r="DF51" i="5"/>
  <c r="BO46" i="1" l="1"/>
  <c r="AU47" i="8"/>
  <c r="AT47" i="1" s="1"/>
  <c r="AV47" i="8"/>
  <c r="AW47" i="1" s="1"/>
  <c r="L47" i="1" s="1"/>
  <c r="BO47" i="1" s="1"/>
  <c r="CA50" i="8"/>
  <c r="CH50" i="8"/>
  <c r="AF49" i="11"/>
  <c r="AE49" i="11"/>
  <c r="AC49" i="8" s="1"/>
  <c r="BY48" i="8"/>
  <c r="BU48" i="8"/>
  <c r="BZ48" i="8"/>
  <c r="BQ48" i="8"/>
  <c r="BP48" i="8"/>
  <c r="CF48" i="8"/>
  <c r="BT48" i="8"/>
  <c r="CG48" i="8"/>
  <c r="AO53" i="11"/>
  <c r="E52" i="9"/>
  <c r="AG52" i="5"/>
  <c r="L53" i="11"/>
  <c r="B52" i="1"/>
  <c r="BI52" i="1" s="1"/>
  <c r="B52" i="2"/>
  <c r="BM46" i="1"/>
  <c r="AK46" i="5"/>
  <c r="AQ46" i="1"/>
  <c r="U46" i="1" s="1"/>
  <c r="J47" i="1" s="1"/>
  <c r="D46" i="11"/>
  <c r="AP46" i="8"/>
  <c r="AR46" i="8"/>
  <c r="C46" i="9"/>
  <c r="AR46" i="1"/>
  <c r="V46" i="1" s="1"/>
  <c r="K47" i="1" s="1"/>
  <c r="BN46" i="1"/>
  <c r="B53" i="5"/>
  <c r="AC53" i="1"/>
  <c r="BC54" i="5"/>
  <c r="BP55" i="5"/>
  <c r="AB54" i="1"/>
  <c r="AZ57" i="5"/>
  <c r="BK56" i="5"/>
  <c r="AD54" i="1"/>
  <c r="BN57" i="5"/>
  <c r="AF55" i="1"/>
  <c r="BE54" i="5"/>
  <c r="AE52" i="1"/>
  <c r="W52" i="1" s="1"/>
  <c r="O54" i="1"/>
  <c r="DK54" i="8" s="1"/>
  <c r="DI53" i="8"/>
  <c r="DJ53" i="8"/>
  <c r="AD50" i="9"/>
  <c r="AV50" i="1" s="1"/>
  <c r="N53" i="1"/>
  <c r="Y49" i="11"/>
  <c r="AH49" i="1" s="1"/>
  <c r="AA49" i="11"/>
  <c r="AC49" i="11"/>
  <c r="T49" i="8" s="1"/>
  <c r="AD49" i="11"/>
  <c r="AI49" i="1" s="1"/>
  <c r="AB49" i="11"/>
  <c r="P49" i="8" s="1"/>
  <c r="Z49" i="11"/>
  <c r="AC49" i="2" s="1"/>
  <c r="AT49" i="8"/>
  <c r="AQ49" i="8"/>
  <c r="M50" i="1"/>
  <c r="F49" i="11"/>
  <c r="AW49" i="8"/>
  <c r="A55" i="2"/>
  <c r="A55" i="7"/>
  <c r="K55" i="11"/>
  <c r="A55" i="8"/>
  <c r="M55" i="5"/>
  <c r="B55" i="14"/>
  <c r="AD55" i="8"/>
  <c r="A55" i="9"/>
  <c r="J56" i="10"/>
  <c r="AJ56" i="14"/>
  <c r="CM55" i="8"/>
  <c r="DR50" i="8"/>
  <c r="DS50" i="8"/>
  <c r="EP50" i="8"/>
  <c r="DT50" i="8"/>
  <c r="CV50" i="8"/>
  <c r="DX50" i="8" s="1"/>
  <c r="EB50" i="8" s="1"/>
  <c r="DN50" i="8"/>
  <c r="DO50" i="8"/>
  <c r="CT51" i="8"/>
  <c r="DQ51" i="8" s="1"/>
  <c r="CU51" i="8"/>
  <c r="CS51" i="8"/>
  <c r="DP51" i="8" s="1"/>
  <c r="Y53" i="1"/>
  <c r="J53" i="2"/>
  <c r="AG49" i="7"/>
  <c r="AI49" i="7" s="1"/>
  <c r="AH49" i="7"/>
  <c r="Q56" i="2"/>
  <c r="I57" i="8"/>
  <c r="DH50" i="8"/>
  <c r="EH50" i="8" s="1"/>
  <c r="DD49" i="8"/>
  <c r="EE49" i="8" s="1"/>
  <c r="EF49" i="8" s="1"/>
  <c r="DY49" i="8"/>
  <c r="DZ49" i="8" s="1"/>
  <c r="EI49" i="8"/>
  <c r="AQ49" i="5"/>
  <c r="AU49" i="1" s="1"/>
  <c r="AN50" i="5"/>
  <c r="AP49" i="5"/>
  <c r="X50" i="10"/>
  <c r="Y50" i="10" s="1"/>
  <c r="Q50" i="7"/>
  <c r="N50" i="11"/>
  <c r="DG50" i="8"/>
  <c r="EG50" i="8" s="1"/>
  <c r="DB50" i="8"/>
  <c r="EC50" i="8" s="1"/>
  <c r="ED50" i="8" s="1"/>
  <c r="CY50" i="8"/>
  <c r="EA50" i="8" s="1"/>
  <c r="CX50" i="8"/>
  <c r="N50" i="7"/>
  <c r="F53" i="7"/>
  <c r="D53" i="10"/>
  <c r="H54" i="5"/>
  <c r="V52" i="2"/>
  <c r="AL50" i="5"/>
  <c r="AR53" i="5"/>
  <c r="CN50" i="8"/>
  <c r="D51" i="9"/>
  <c r="CO50" i="8"/>
  <c r="AM50" i="5"/>
  <c r="AQ50" i="5" s="1"/>
  <c r="AU50" i="1" s="1"/>
  <c r="CW50" i="8"/>
  <c r="DE52" i="5"/>
  <c r="H52" i="10"/>
  <c r="L53" i="5"/>
  <c r="J52" i="7"/>
  <c r="A52" i="5"/>
  <c r="E52" i="5" s="1"/>
  <c r="EQ52" i="8" s="1"/>
  <c r="CZ52" i="8" s="1"/>
  <c r="DD52" i="5"/>
  <c r="I52" i="7"/>
  <c r="K53" i="5"/>
  <c r="G52" i="10"/>
  <c r="E53" i="10"/>
  <c r="DB53" i="5"/>
  <c r="G53" i="7"/>
  <c r="I54" i="5"/>
  <c r="X54" i="1"/>
  <c r="R54" i="2"/>
  <c r="J55" i="8"/>
  <c r="DA53" i="5"/>
  <c r="M55" i="2"/>
  <c r="DF55" i="8"/>
  <c r="DG54" i="5"/>
  <c r="AB11" i="7"/>
  <c r="L11" i="2"/>
  <c r="B11" i="8"/>
  <c r="D11" i="2" s="1"/>
  <c r="E11" i="2"/>
  <c r="BD11" i="8"/>
  <c r="H11" i="11"/>
  <c r="P56" i="2"/>
  <c r="H57" i="8"/>
  <c r="D49" i="14"/>
  <c r="P50" i="1"/>
  <c r="N54" i="2"/>
  <c r="DC50" i="8"/>
  <c r="DD50" i="8"/>
  <c r="K56" i="8"/>
  <c r="S55" i="2"/>
  <c r="Q51" i="1"/>
  <c r="E51" i="14" s="1"/>
  <c r="AU51" i="5"/>
  <c r="AI51" i="5"/>
  <c r="A51" i="10"/>
  <c r="AA51" i="10" s="1"/>
  <c r="BS51" i="5"/>
  <c r="A51" i="11"/>
  <c r="B51" i="9"/>
  <c r="AV51" i="5"/>
  <c r="W51" i="8"/>
  <c r="AH51" i="5"/>
  <c r="C51" i="14"/>
  <c r="B51" i="7"/>
  <c r="E51" i="1"/>
  <c r="AB50" i="2"/>
  <c r="BN51" i="8"/>
  <c r="BO51" i="8"/>
  <c r="DM51" i="8" s="1"/>
  <c r="EO51" i="8"/>
  <c r="DT51" i="8" s="1"/>
  <c r="AB51" i="8"/>
  <c r="CQ51" i="8"/>
  <c r="DA51" i="8" s="1"/>
  <c r="DL51" i="8"/>
  <c r="C53" i="10"/>
  <c r="E53" i="7"/>
  <c r="G54" i="5"/>
  <c r="CZ53" i="5"/>
  <c r="F54" i="10"/>
  <c r="H54" i="7"/>
  <c r="DC54" i="5"/>
  <c r="J55" i="5"/>
  <c r="AG50" i="7"/>
  <c r="AI50" i="7" s="1"/>
  <c r="AH50" i="7"/>
  <c r="K54" i="10"/>
  <c r="AA54" i="7"/>
  <c r="AE54" i="8" s="1"/>
  <c r="BC54" i="8" s="1"/>
  <c r="DE55" i="8"/>
  <c r="O55" i="2"/>
  <c r="F57" i="5"/>
  <c r="B56" i="10"/>
  <c r="D56" i="7"/>
  <c r="CY54" i="5"/>
  <c r="DF52" i="5"/>
  <c r="AO47" i="8" l="1"/>
  <c r="E47" i="11"/>
  <c r="BP49" i="8"/>
  <c r="BQ49" i="8"/>
  <c r="CG49" i="8"/>
  <c r="BZ49" i="8"/>
  <c r="BT49" i="8"/>
  <c r="CF49" i="8"/>
  <c r="BU49" i="8"/>
  <c r="BY49" i="8"/>
  <c r="CA51" i="8"/>
  <c r="CH51" i="8"/>
  <c r="AE50" i="11"/>
  <c r="AC50" i="8" s="1"/>
  <c r="AF50" i="11"/>
  <c r="AU48" i="8"/>
  <c r="AT48" i="1" s="1"/>
  <c r="AV48" i="8"/>
  <c r="AW48" i="1" s="1"/>
  <c r="L48" i="1" s="1"/>
  <c r="E48" i="11" s="1"/>
  <c r="AO54" i="11"/>
  <c r="L54" i="11"/>
  <c r="E53" i="9"/>
  <c r="AG53" i="5"/>
  <c r="B53" i="1"/>
  <c r="BI53" i="1" s="1"/>
  <c r="B53" i="2"/>
  <c r="AQ47" i="1"/>
  <c r="U47" i="1" s="1"/>
  <c r="J48" i="1" s="1"/>
  <c r="BM47" i="1"/>
  <c r="D47" i="11"/>
  <c r="AK47" i="5"/>
  <c r="AP47" i="8"/>
  <c r="AR47" i="8"/>
  <c r="C47" i="9"/>
  <c r="BN47" i="1"/>
  <c r="AR47" i="1"/>
  <c r="V47" i="1" s="1"/>
  <c r="K48" i="1" s="1"/>
  <c r="J54" i="2"/>
  <c r="AC54" i="1"/>
  <c r="BC55" i="5"/>
  <c r="BN58" i="5"/>
  <c r="AF56" i="1"/>
  <c r="BE55" i="5"/>
  <c r="AE53" i="1"/>
  <c r="W53" i="1" s="1"/>
  <c r="BP56" i="5"/>
  <c r="AB55" i="1"/>
  <c r="AZ58" i="5"/>
  <c r="BK57" i="5"/>
  <c r="AD55" i="1"/>
  <c r="O55" i="1"/>
  <c r="DK55" i="8" s="1"/>
  <c r="DI54" i="8"/>
  <c r="DJ54" i="8"/>
  <c r="AD51" i="9"/>
  <c r="AV51" i="1" s="1"/>
  <c r="N54" i="1"/>
  <c r="AA50" i="11"/>
  <c r="AC50" i="11"/>
  <c r="T50" i="8" s="1"/>
  <c r="Y50" i="11"/>
  <c r="AH50" i="1" s="1"/>
  <c r="AB50" i="11"/>
  <c r="P50" i="8" s="1"/>
  <c r="AD50" i="11"/>
  <c r="AI50" i="1" s="1"/>
  <c r="Z50" i="11"/>
  <c r="AC50" i="2" s="1"/>
  <c r="AT50" i="8"/>
  <c r="AQ50" i="8"/>
  <c r="M51" i="1"/>
  <c r="F50" i="11"/>
  <c r="AW50" i="8"/>
  <c r="AJ57" i="14"/>
  <c r="CM56" i="8"/>
  <c r="A56" i="2"/>
  <c r="A56" i="7"/>
  <c r="A56" i="8"/>
  <c r="J57" i="10"/>
  <c r="AD56" i="8"/>
  <c r="A56" i="9"/>
  <c r="K56" i="11"/>
  <c r="M56" i="5"/>
  <c r="B56" i="14"/>
  <c r="DR51" i="8"/>
  <c r="DS51" i="8"/>
  <c r="DN51" i="8"/>
  <c r="DO51" i="8"/>
  <c r="CS52" i="8"/>
  <c r="DP52" i="8" s="1"/>
  <c r="CT52" i="8"/>
  <c r="DQ52" i="8" s="1"/>
  <c r="CU52" i="8"/>
  <c r="Y54" i="1"/>
  <c r="I58" i="8"/>
  <c r="Q57" i="2"/>
  <c r="EI50" i="8"/>
  <c r="DL52" i="8"/>
  <c r="AP50" i="5"/>
  <c r="DY50" i="8"/>
  <c r="DZ50" i="8" s="1"/>
  <c r="A52" i="11"/>
  <c r="V53" i="2"/>
  <c r="AB51" i="2"/>
  <c r="H55" i="5"/>
  <c r="F54" i="7"/>
  <c r="D54" i="10"/>
  <c r="EO52" i="8"/>
  <c r="D52" i="9"/>
  <c r="A52" i="10"/>
  <c r="AA52" i="10" s="1"/>
  <c r="B52" i="9"/>
  <c r="CQ52" i="8"/>
  <c r="DA52" i="8" s="1"/>
  <c r="AI52" i="5"/>
  <c r="Q52" i="1"/>
  <c r="E52" i="14" s="1"/>
  <c r="AR54" i="5"/>
  <c r="BN52" i="8"/>
  <c r="CN52" i="8" s="1"/>
  <c r="BO52" i="8"/>
  <c r="DM52" i="8" s="1"/>
  <c r="AH52" i="5"/>
  <c r="AC52" i="10" s="1"/>
  <c r="X52" i="10" s="1"/>
  <c r="Y52" i="10" s="1"/>
  <c r="A53" i="5"/>
  <c r="E53" i="5" s="1"/>
  <c r="EQ53" i="8" s="1"/>
  <c r="CZ53" i="8" s="1"/>
  <c r="W52" i="8"/>
  <c r="BS52" i="5"/>
  <c r="AV52" i="5"/>
  <c r="C52" i="14"/>
  <c r="L54" i="5"/>
  <c r="DE53" i="5"/>
  <c r="J53" i="7"/>
  <c r="H53" i="10"/>
  <c r="E52" i="1"/>
  <c r="I53" i="7"/>
  <c r="G53" i="10"/>
  <c r="K54" i="5"/>
  <c r="DD53" i="5"/>
  <c r="AB52" i="8"/>
  <c r="B52" i="7"/>
  <c r="Q52" i="7" s="1"/>
  <c r="AU52" i="5"/>
  <c r="G54" i="7"/>
  <c r="E54" i="10"/>
  <c r="I55" i="5"/>
  <c r="DB54" i="5"/>
  <c r="EE50" i="8"/>
  <c r="EF50" i="8" s="1"/>
  <c r="AN51" i="5"/>
  <c r="N51" i="11"/>
  <c r="DA54" i="5"/>
  <c r="DE56" i="8"/>
  <c r="O56" i="2"/>
  <c r="E52" i="4"/>
  <c r="K55" i="10"/>
  <c r="AA55" i="7"/>
  <c r="AE55" i="8" s="1"/>
  <c r="BC55" i="8" s="1"/>
  <c r="CO51" i="8"/>
  <c r="CN51" i="8"/>
  <c r="CR51" i="8"/>
  <c r="K57" i="8"/>
  <c r="S56" i="2"/>
  <c r="N55" i="2"/>
  <c r="U11" i="2"/>
  <c r="W10" i="2" s="1"/>
  <c r="C11" i="2" s="1"/>
  <c r="R55" i="2"/>
  <c r="J56" i="8"/>
  <c r="B54" i="5"/>
  <c r="CX51" i="8"/>
  <c r="DB51" i="8"/>
  <c r="EC51" i="8" s="1"/>
  <c r="ED51" i="8" s="1"/>
  <c r="CY51" i="8"/>
  <c r="EA51" i="8" s="1"/>
  <c r="CV51" i="8"/>
  <c r="DX51" i="8" s="1"/>
  <c r="DG51" i="8"/>
  <c r="EG51" i="8" s="1"/>
  <c r="CW51" i="8"/>
  <c r="X55" i="1"/>
  <c r="M56" i="2"/>
  <c r="DF56" i="8"/>
  <c r="P51" i="1"/>
  <c r="D50" i="14"/>
  <c r="CY55" i="5"/>
  <c r="B57" i="10"/>
  <c r="F58" i="5"/>
  <c r="D57" i="7"/>
  <c r="J56" i="5"/>
  <c r="DC55" i="5"/>
  <c r="H55" i="7"/>
  <c r="F55" i="10"/>
  <c r="DH51" i="8"/>
  <c r="EH51" i="8" s="1"/>
  <c r="EP51" i="8"/>
  <c r="AM51" i="5"/>
  <c r="AC51" i="10"/>
  <c r="X51" i="10" s="1"/>
  <c r="Y51" i="10" s="1"/>
  <c r="AO51" i="5"/>
  <c r="AL51" i="5"/>
  <c r="H58" i="8"/>
  <c r="P57" i="2"/>
  <c r="DG55" i="5"/>
  <c r="E54" i="7"/>
  <c r="CZ54" i="5"/>
  <c r="C54" i="10"/>
  <c r="G55" i="5"/>
  <c r="Q51" i="7"/>
  <c r="AE51" i="7"/>
  <c r="AF51" i="7" s="1"/>
  <c r="N51" i="7"/>
  <c r="DF53" i="5"/>
  <c r="AO48" i="8" l="1"/>
  <c r="BO48" i="1"/>
  <c r="AF51" i="11"/>
  <c r="AE51" i="11"/>
  <c r="AC51" i="8" s="1"/>
  <c r="AV49" i="8"/>
  <c r="AW49" i="1" s="1"/>
  <c r="L49" i="1" s="1"/>
  <c r="AU49" i="8"/>
  <c r="AT49" i="1" s="1"/>
  <c r="CA52" i="8"/>
  <c r="CH52" i="8"/>
  <c r="BY50" i="8"/>
  <c r="CG50" i="8"/>
  <c r="BZ50" i="8"/>
  <c r="BU50" i="8"/>
  <c r="BT50" i="8"/>
  <c r="CF50" i="8"/>
  <c r="BP50" i="8"/>
  <c r="BQ50" i="8"/>
  <c r="AO55" i="11"/>
  <c r="L55" i="11"/>
  <c r="E54" i="9"/>
  <c r="AG54" i="5"/>
  <c r="B54" i="2"/>
  <c r="B54" i="1"/>
  <c r="BI54" i="1" s="1"/>
  <c r="B55" i="5"/>
  <c r="AK48" i="5"/>
  <c r="AQ48" i="1"/>
  <c r="U48" i="1" s="1"/>
  <c r="J49" i="1" s="1"/>
  <c r="BM48" i="1"/>
  <c r="D48" i="11"/>
  <c r="AP48" i="8"/>
  <c r="AR48" i="8"/>
  <c r="C48" i="9"/>
  <c r="AR48" i="1"/>
  <c r="V48" i="1" s="1"/>
  <c r="K49" i="1" s="1"/>
  <c r="BN48" i="1"/>
  <c r="J55" i="2"/>
  <c r="AC55" i="1"/>
  <c r="BC56" i="5"/>
  <c r="AZ59" i="5"/>
  <c r="BN59" i="5"/>
  <c r="AF57" i="1"/>
  <c r="BK58" i="5"/>
  <c r="AD56" i="1"/>
  <c r="BE56" i="5"/>
  <c r="AE54" i="1"/>
  <c r="W54" i="1" s="1"/>
  <c r="BP57" i="5"/>
  <c r="AB56" i="1"/>
  <c r="O56" i="1"/>
  <c r="DK56" i="8" s="1"/>
  <c r="DI55" i="8"/>
  <c r="DJ55" i="8"/>
  <c r="AD52" i="9"/>
  <c r="AV52" i="1" s="1"/>
  <c r="N55" i="1"/>
  <c r="N52" i="11"/>
  <c r="AA51" i="11"/>
  <c r="Y51" i="11"/>
  <c r="AH51" i="1" s="1"/>
  <c r="AC51" i="11"/>
  <c r="T51" i="8" s="1"/>
  <c r="AB51" i="11"/>
  <c r="P51" i="8" s="1"/>
  <c r="Z51" i="11"/>
  <c r="AC51" i="2" s="1"/>
  <c r="AD51" i="11"/>
  <c r="AI51" i="1" s="1"/>
  <c r="AT51" i="8"/>
  <c r="AQ51" i="8"/>
  <c r="F51" i="11"/>
  <c r="M52" i="1"/>
  <c r="AW51" i="8"/>
  <c r="AJ58" i="14"/>
  <c r="CM57" i="8"/>
  <c r="A57" i="2"/>
  <c r="M57" i="5"/>
  <c r="A57" i="9"/>
  <c r="B57" i="14"/>
  <c r="A57" i="8"/>
  <c r="K57" i="11"/>
  <c r="J58" i="10"/>
  <c r="AD57" i="8"/>
  <c r="A57" i="7"/>
  <c r="EP52" i="8"/>
  <c r="DT52" i="8"/>
  <c r="DR52" i="8"/>
  <c r="DS52" i="8"/>
  <c r="DG52" i="8"/>
  <c r="EG52" i="8" s="1"/>
  <c r="DN52" i="8"/>
  <c r="DO52" i="8"/>
  <c r="CU53" i="8"/>
  <c r="CS53" i="8"/>
  <c r="DP53" i="8" s="1"/>
  <c r="CT53" i="8"/>
  <c r="DQ53" i="8" s="1"/>
  <c r="Y55" i="1"/>
  <c r="Q58" i="2"/>
  <c r="I59" i="8"/>
  <c r="DL53" i="8"/>
  <c r="AO52" i="5"/>
  <c r="CX52" i="8"/>
  <c r="CW52" i="8"/>
  <c r="CV52" i="8"/>
  <c r="DX52" i="8" s="1"/>
  <c r="EB52" i="8" s="1"/>
  <c r="CY52" i="8"/>
  <c r="EA52" i="8" s="1"/>
  <c r="DB52" i="8"/>
  <c r="EC52" i="8" s="1"/>
  <c r="ED52" i="8" s="1"/>
  <c r="AN52" i="5"/>
  <c r="N52" i="7"/>
  <c r="AM52" i="5"/>
  <c r="V54" i="2"/>
  <c r="F55" i="7"/>
  <c r="H56" i="5"/>
  <c r="D55" i="10"/>
  <c r="E53" i="1"/>
  <c r="AI53" i="5"/>
  <c r="AB53" i="8"/>
  <c r="DH52" i="8"/>
  <c r="EH52" i="8" s="1"/>
  <c r="CO52" i="8"/>
  <c r="CR52" i="8"/>
  <c r="DD52" i="8" s="1"/>
  <c r="D53" i="9"/>
  <c r="CQ53" i="8"/>
  <c r="DA53" i="8" s="1"/>
  <c r="BS53" i="5"/>
  <c r="C53" i="14"/>
  <c r="AL52" i="5"/>
  <c r="AE52" i="7"/>
  <c r="AF52" i="7" s="1"/>
  <c r="W53" i="8"/>
  <c r="B53" i="7"/>
  <c r="AE53" i="7" s="1"/>
  <c r="AF53" i="7" s="1"/>
  <c r="AB52" i="2"/>
  <c r="BN53" i="8"/>
  <c r="AH53" i="5"/>
  <c r="AU53" i="5"/>
  <c r="AN53" i="5" s="1"/>
  <c r="A53" i="10"/>
  <c r="AA53" i="10" s="1"/>
  <c r="AV53" i="5"/>
  <c r="BO53" i="8"/>
  <c r="DM53" i="8" s="1"/>
  <c r="A53" i="11"/>
  <c r="EO53" i="8"/>
  <c r="B53" i="9"/>
  <c r="Q53" i="1"/>
  <c r="E53" i="14" s="1"/>
  <c r="L55" i="5"/>
  <c r="DE54" i="5"/>
  <c r="H54" i="10"/>
  <c r="J54" i="7"/>
  <c r="AR55" i="5"/>
  <c r="A54" i="5"/>
  <c r="E54" i="5" s="1"/>
  <c r="EQ54" i="8" s="1"/>
  <c r="CZ54" i="8" s="1"/>
  <c r="G54" i="10"/>
  <c r="I54" i="7"/>
  <c r="K55" i="5"/>
  <c r="A55" i="5" s="1"/>
  <c r="DD54" i="5"/>
  <c r="I56" i="5"/>
  <c r="E55" i="10"/>
  <c r="G55" i="7"/>
  <c r="DB55" i="5"/>
  <c r="AP51" i="5"/>
  <c r="EI51" i="8"/>
  <c r="DY51" i="8"/>
  <c r="DZ51" i="8" s="1"/>
  <c r="CY56" i="5"/>
  <c r="M57" i="2"/>
  <c r="DF57" i="8"/>
  <c r="DD51" i="8"/>
  <c r="DC51" i="8"/>
  <c r="DA55" i="5"/>
  <c r="AH51" i="7"/>
  <c r="AG51" i="7"/>
  <c r="AI51" i="7" s="1"/>
  <c r="H56" i="7"/>
  <c r="J57" i="5"/>
  <c r="F56" i="10"/>
  <c r="DC56" i="5"/>
  <c r="J57" i="8"/>
  <c r="R56" i="2"/>
  <c r="P52" i="1"/>
  <c r="D51" i="14"/>
  <c r="S57" i="2"/>
  <c r="K58" i="8"/>
  <c r="EB51" i="8"/>
  <c r="X56" i="1"/>
  <c r="K56" i="10"/>
  <c r="AA56" i="7"/>
  <c r="AE56" i="8" s="1"/>
  <c r="BC56" i="8" s="1"/>
  <c r="C55" i="10"/>
  <c r="G56" i="5"/>
  <c r="CZ55" i="5"/>
  <c r="E55" i="7"/>
  <c r="P58" i="2"/>
  <c r="H59" i="8"/>
  <c r="B58" i="10"/>
  <c r="F59" i="5"/>
  <c r="D58" i="7"/>
  <c r="N56" i="2"/>
  <c r="I11" i="2"/>
  <c r="F11" i="2"/>
  <c r="H11" i="2"/>
  <c r="F11" i="1"/>
  <c r="DG56" i="5"/>
  <c r="B40" i="4"/>
  <c r="DE57" i="8"/>
  <c r="O57" i="2"/>
  <c r="AQ51" i="5"/>
  <c r="AU51" i="1" s="1"/>
  <c r="DF54" i="5"/>
  <c r="AV50" i="8" l="1"/>
  <c r="AW50" i="1" s="1"/>
  <c r="AO49" i="8"/>
  <c r="BO49" i="1"/>
  <c r="E49" i="11"/>
  <c r="L50" i="1"/>
  <c r="E50" i="11" s="1"/>
  <c r="AF52" i="11"/>
  <c r="AE52" i="11"/>
  <c r="AC52" i="8" s="1"/>
  <c r="AU50" i="8"/>
  <c r="AT50" i="1" s="1"/>
  <c r="CA53" i="8"/>
  <c r="CH53" i="8"/>
  <c r="CF51" i="8"/>
  <c r="BZ51" i="8"/>
  <c r="BT51" i="8"/>
  <c r="CG51" i="8"/>
  <c r="BQ51" i="8"/>
  <c r="BU51" i="8"/>
  <c r="BP51" i="8"/>
  <c r="BY51" i="8"/>
  <c r="AO56" i="11"/>
  <c r="L56" i="11"/>
  <c r="E55" i="9"/>
  <c r="AG55" i="5"/>
  <c r="B55" i="2"/>
  <c r="B55" i="1"/>
  <c r="BI55" i="1" s="1"/>
  <c r="J56" i="2"/>
  <c r="E55" i="5"/>
  <c r="EQ55" i="8" s="1"/>
  <c r="CZ55" i="8" s="1"/>
  <c r="BM49" i="1"/>
  <c r="AP49" i="8"/>
  <c r="AQ49" i="1"/>
  <c r="U49" i="1" s="1"/>
  <c r="J50" i="1" s="1"/>
  <c r="D49" i="11"/>
  <c r="AK49" i="5"/>
  <c r="AR49" i="8"/>
  <c r="BN49" i="1"/>
  <c r="C49" i="9"/>
  <c r="AR49" i="1"/>
  <c r="V49" i="1" s="1"/>
  <c r="K50" i="1" s="1"/>
  <c r="AC56" i="1"/>
  <c r="BC57" i="5"/>
  <c r="BE57" i="5"/>
  <c r="AE55" i="1"/>
  <c r="W55" i="1" s="1"/>
  <c r="AZ60" i="5"/>
  <c r="BP58" i="5"/>
  <c r="AB57" i="1"/>
  <c r="BN60" i="5"/>
  <c r="AF58" i="1"/>
  <c r="BK59" i="5"/>
  <c r="AD57" i="1"/>
  <c r="O57" i="1"/>
  <c r="DK57" i="8" s="1"/>
  <c r="DJ56" i="8"/>
  <c r="DI56" i="8"/>
  <c r="AD53" i="9"/>
  <c r="AV53" i="1" s="1"/>
  <c r="N56" i="1"/>
  <c r="Y52" i="11"/>
  <c r="AH52" i="1" s="1"/>
  <c r="AA52" i="11"/>
  <c r="AC52" i="11"/>
  <c r="T52" i="8" s="1"/>
  <c r="Z52" i="11"/>
  <c r="AC52" i="2" s="1"/>
  <c r="AB52" i="11"/>
  <c r="P52" i="8" s="1"/>
  <c r="AD52" i="11"/>
  <c r="AI52" i="1" s="1"/>
  <c r="AT52" i="8"/>
  <c r="AQ52" i="8"/>
  <c r="M53" i="1"/>
  <c r="F52" i="11"/>
  <c r="AW52" i="8"/>
  <c r="A58" i="2"/>
  <c r="A58" i="7"/>
  <c r="A58" i="9"/>
  <c r="J59" i="10"/>
  <c r="B58" i="14"/>
  <c r="A58" i="8"/>
  <c r="K58" i="11"/>
  <c r="M58" i="5"/>
  <c r="AD58" i="8"/>
  <c r="AJ59" i="14"/>
  <c r="CM58" i="8"/>
  <c r="EP53" i="8"/>
  <c r="DT53" i="8"/>
  <c r="DR53" i="8"/>
  <c r="DS53" i="8"/>
  <c r="EI52" i="8"/>
  <c r="CY53" i="8"/>
  <c r="EA53" i="8" s="1"/>
  <c r="DN53" i="8"/>
  <c r="DO53" i="8"/>
  <c r="CS54" i="8"/>
  <c r="DP54" i="8" s="1"/>
  <c r="CT54" i="8"/>
  <c r="DQ54" i="8" s="1"/>
  <c r="CU54" i="8"/>
  <c r="Y56" i="1"/>
  <c r="B56" i="5"/>
  <c r="AG52" i="7"/>
  <c r="AI52" i="7" s="1"/>
  <c r="Q59" i="2"/>
  <c r="I60" i="8"/>
  <c r="AQ52" i="5"/>
  <c r="AU52" i="1" s="1"/>
  <c r="DY52" i="8"/>
  <c r="DZ52" i="8" s="1"/>
  <c r="DH53" i="8"/>
  <c r="EH53" i="8" s="1"/>
  <c r="D54" i="9"/>
  <c r="AP52" i="5"/>
  <c r="N53" i="7"/>
  <c r="CO53" i="8"/>
  <c r="H57" i="5"/>
  <c r="F56" i="7"/>
  <c r="D56" i="10"/>
  <c r="AH52" i="7"/>
  <c r="AO53" i="5"/>
  <c r="Q53" i="7"/>
  <c r="N53" i="11"/>
  <c r="DC52" i="8"/>
  <c r="EE52" i="8" s="1"/>
  <c r="EF52" i="8" s="1"/>
  <c r="CX53" i="8"/>
  <c r="CV53" i="8"/>
  <c r="DX53" i="8" s="1"/>
  <c r="EB53" i="8" s="1"/>
  <c r="AM53" i="5"/>
  <c r="DB53" i="8"/>
  <c r="EC53" i="8" s="1"/>
  <c r="ED53" i="8" s="1"/>
  <c r="CR53" i="8"/>
  <c r="DD53" i="8" s="1"/>
  <c r="AL53" i="5"/>
  <c r="AP53" i="5" s="1"/>
  <c r="DG53" i="8"/>
  <c r="EG53" i="8" s="1"/>
  <c r="AC53" i="10"/>
  <c r="X53" i="10" s="1"/>
  <c r="Y53" i="10" s="1"/>
  <c r="CW53" i="8"/>
  <c r="CN53" i="8"/>
  <c r="DD55" i="5"/>
  <c r="I55" i="7"/>
  <c r="K56" i="5"/>
  <c r="G55" i="10"/>
  <c r="V55" i="2"/>
  <c r="J55" i="7"/>
  <c r="DE55" i="5"/>
  <c r="L56" i="5"/>
  <c r="H55" i="10"/>
  <c r="AR56" i="5"/>
  <c r="G56" i="7"/>
  <c r="I57" i="5"/>
  <c r="E56" i="10"/>
  <c r="DB56" i="5"/>
  <c r="EE51" i="8"/>
  <c r="EF51" i="8" s="1"/>
  <c r="K59" i="8"/>
  <c r="S58" i="2"/>
  <c r="E54" i="1"/>
  <c r="AI54" i="5"/>
  <c r="Q54" i="1"/>
  <c r="E54" i="14" s="1"/>
  <c r="B54" i="7"/>
  <c r="C54" i="14"/>
  <c r="A54" i="10"/>
  <c r="AA54" i="10" s="1"/>
  <c r="AH54" i="5"/>
  <c r="A54" i="11"/>
  <c r="AV54" i="5"/>
  <c r="W54" i="8"/>
  <c r="BS54" i="5"/>
  <c r="B54" i="9"/>
  <c r="AU54" i="5"/>
  <c r="AB53" i="2"/>
  <c r="BN54" i="8"/>
  <c r="BO54" i="8"/>
  <c r="DM54" i="8" s="1"/>
  <c r="AB54" i="8"/>
  <c r="EO54" i="8"/>
  <c r="DT54" i="8" s="1"/>
  <c r="CQ54" i="8"/>
  <c r="DA54" i="8" s="1"/>
  <c r="DL54" i="8"/>
  <c r="AA11" i="1"/>
  <c r="S11" i="1" s="1"/>
  <c r="H12" i="1" s="1"/>
  <c r="O11" i="7"/>
  <c r="I11" i="11"/>
  <c r="AP11" i="1"/>
  <c r="T11" i="1" s="1"/>
  <c r="I12" i="1" s="1"/>
  <c r="J11" i="11"/>
  <c r="G11" i="2"/>
  <c r="Z11" i="2" s="1"/>
  <c r="Z12" i="8" s="1"/>
  <c r="BO55" i="8"/>
  <c r="DM55" i="8" s="1"/>
  <c r="AH53" i="7"/>
  <c r="AG53" i="7"/>
  <c r="AI53" i="7" s="1"/>
  <c r="K57" i="10"/>
  <c r="AA57" i="7"/>
  <c r="AE57" i="8" s="1"/>
  <c r="BC57" i="8" s="1"/>
  <c r="N57" i="2"/>
  <c r="H60" i="8"/>
  <c r="P59" i="2"/>
  <c r="J58" i="5"/>
  <c r="DC57" i="5"/>
  <c r="H57" i="7"/>
  <c r="F57" i="10"/>
  <c r="M58" i="2"/>
  <c r="DF58" i="8"/>
  <c r="DG57" i="5"/>
  <c r="D52" i="14"/>
  <c r="P53" i="1"/>
  <c r="R57" i="2"/>
  <c r="J58" i="8"/>
  <c r="X57" i="1"/>
  <c r="B59" i="10"/>
  <c r="F60" i="5"/>
  <c r="D59" i="7"/>
  <c r="E56" i="7"/>
  <c r="C56" i="10"/>
  <c r="CZ56" i="5"/>
  <c r="G57" i="5"/>
  <c r="CY57" i="5"/>
  <c r="O58" i="2"/>
  <c r="DE58" i="8"/>
  <c r="DA56" i="5"/>
  <c r="DF55" i="5"/>
  <c r="AO50" i="8" l="1"/>
  <c r="BO50" i="1"/>
  <c r="AV51" i="8"/>
  <c r="AW51" i="1" s="1"/>
  <c r="L51" i="1" s="1"/>
  <c r="AO51" i="8" s="1"/>
  <c r="BZ52" i="8"/>
  <c r="CF52" i="8"/>
  <c r="BY52" i="8"/>
  <c r="BU52" i="8"/>
  <c r="BP52" i="8"/>
  <c r="BQ52" i="8"/>
  <c r="BT52" i="8"/>
  <c r="CG52" i="8"/>
  <c r="AU51" i="8"/>
  <c r="AT51" i="1" s="1"/>
  <c r="CA54" i="8"/>
  <c r="CH54" i="8"/>
  <c r="AF53" i="11"/>
  <c r="AE53" i="11"/>
  <c r="AC53" i="8" s="1"/>
  <c r="AO57" i="11"/>
  <c r="L57" i="11"/>
  <c r="AG56" i="5"/>
  <c r="E56" i="9"/>
  <c r="B56" i="2"/>
  <c r="B56" i="1"/>
  <c r="BI56" i="1" s="1"/>
  <c r="BO51" i="1"/>
  <c r="B55" i="9"/>
  <c r="AD55" i="9" s="1"/>
  <c r="AV55" i="1" s="1"/>
  <c r="B55" i="7"/>
  <c r="AE55" i="7" s="1"/>
  <c r="AF55" i="7" s="1"/>
  <c r="AB55" i="8"/>
  <c r="AI55" i="5"/>
  <c r="EO55" i="8"/>
  <c r="DT55" i="8" s="1"/>
  <c r="A55" i="10"/>
  <c r="AA55" i="10" s="1"/>
  <c r="A55" i="11"/>
  <c r="W55" i="8"/>
  <c r="AV55" i="5"/>
  <c r="AH55" i="5"/>
  <c r="BS55" i="5"/>
  <c r="AU55" i="5"/>
  <c r="E55" i="1"/>
  <c r="CS55" i="8"/>
  <c r="DP55" i="8" s="1"/>
  <c r="AB54" i="2"/>
  <c r="Q55" i="1"/>
  <c r="E55" i="14" s="1"/>
  <c r="CT55" i="8"/>
  <c r="DQ55" i="8" s="1"/>
  <c r="BN55" i="8"/>
  <c r="CN55" i="8" s="1"/>
  <c r="C55" i="14"/>
  <c r="CU55" i="8"/>
  <c r="DR55" i="8" s="1"/>
  <c r="AP50" i="8"/>
  <c r="AQ50" i="1"/>
  <c r="U50" i="1" s="1"/>
  <c r="J51" i="1" s="1"/>
  <c r="BM50" i="1"/>
  <c r="AK50" i="5"/>
  <c r="D50" i="11"/>
  <c r="AR50" i="8"/>
  <c r="C50" i="9"/>
  <c r="AR50" i="1"/>
  <c r="V50" i="1" s="1"/>
  <c r="K51" i="1" s="1"/>
  <c r="BN50" i="1"/>
  <c r="J57" i="2"/>
  <c r="AC57" i="1"/>
  <c r="BC58" i="5"/>
  <c r="BK60" i="5"/>
  <c r="AD58" i="1"/>
  <c r="BE58" i="5"/>
  <c r="AE56" i="1"/>
  <c r="W56" i="1" s="1"/>
  <c r="AZ61" i="5"/>
  <c r="BP59" i="5"/>
  <c r="AB58" i="1"/>
  <c r="BN61" i="5"/>
  <c r="AF59" i="1"/>
  <c r="O58" i="1"/>
  <c r="DK58" i="8" s="1"/>
  <c r="DI57" i="8"/>
  <c r="DJ57" i="8"/>
  <c r="AD54" i="9"/>
  <c r="AV54" i="1" s="1"/>
  <c r="N57" i="1"/>
  <c r="AA53" i="11"/>
  <c r="AC53" i="11"/>
  <c r="T53" i="8" s="1"/>
  <c r="Y53" i="11"/>
  <c r="AH53" i="1" s="1"/>
  <c r="Z53" i="11"/>
  <c r="AC53" i="2" s="1"/>
  <c r="AD53" i="11"/>
  <c r="AI53" i="1" s="1"/>
  <c r="AB53" i="11"/>
  <c r="P53" i="8" s="1"/>
  <c r="AT53" i="8"/>
  <c r="AQ53" i="8"/>
  <c r="F53" i="11"/>
  <c r="M54" i="1"/>
  <c r="AW53" i="8"/>
  <c r="AJ60" i="14"/>
  <c r="CM59" i="8"/>
  <c r="A59" i="2"/>
  <c r="K59" i="11"/>
  <c r="A59" i="9"/>
  <c r="B59" i="14"/>
  <c r="J60" i="10"/>
  <c r="A59" i="7"/>
  <c r="AD59" i="8"/>
  <c r="A59" i="8"/>
  <c r="M59" i="5"/>
  <c r="DR54" i="8"/>
  <c r="DS54" i="8"/>
  <c r="DN54" i="8"/>
  <c r="DO54" i="8"/>
  <c r="Y57" i="1"/>
  <c r="B57" i="5"/>
  <c r="Q60" i="2"/>
  <c r="I61" i="8"/>
  <c r="DL55" i="8"/>
  <c r="CQ55" i="8"/>
  <c r="DA55" i="8" s="1"/>
  <c r="DY53" i="8"/>
  <c r="DZ53" i="8" s="1"/>
  <c r="EI53" i="8"/>
  <c r="A56" i="5"/>
  <c r="E56" i="5" s="1"/>
  <c r="EQ56" i="8" s="1"/>
  <c r="CZ56" i="8" s="1"/>
  <c r="DC53" i="8"/>
  <c r="EE53" i="8" s="1"/>
  <c r="EF53" i="8" s="1"/>
  <c r="F57" i="7"/>
  <c r="H58" i="5"/>
  <c r="D57" i="10"/>
  <c r="AQ53" i="5"/>
  <c r="AU53" i="1" s="1"/>
  <c r="AR57" i="5"/>
  <c r="V56" i="2"/>
  <c r="DD56" i="5"/>
  <c r="K57" i="5"/>
  <c r="I56" i="7"/>
  <c r="G56" i="10"/>
  <c r="L57" i="5"/>
  <c r="J56" i="7"/>
  <c r="H56" i="10"/>
  <c r="DE56" i="5"/>
  <c r="E57" i="10"/>
  <c r="G57" i="7"/>
  <c r="DB57" i="5"/>
  <c r="I58" i="5"/>
  <c r="AN55" i="5"/>
  <c r="J59" i="5"/>
  <c r="H58" i="7"/>
  <c r="DC58" i="5"/>
  <c r="F58" i="10"/>
  <c r="V12" i="10"/>
  <c r="BK12" i="1"/>
  <c r="AN12" i="8"/>
  <c r="AJ12" i="5"/>
  <c r="C12" i="11"/>
  <c r="AC12" i="7"/>
  <c r="DB54" i="8"/>
  <c r="EC54" i="8" s="1"/>
  <c r="ED54" i="8" s="1"/>
  <c r="CV54" i="8"/>
  <c r="DX54" i="8" s="1"/>
  <c r="CY54" i="8"/>
  <c r="EA54" i="8" s="1"/>
  <c r="CW54" i="8"/>
  <c r="DG54" i="8"/>
  <c r="EG54" i="8" s="1"/>
  <c r="CX54" i="8"/>
  <c r="CY58" i="5"/>
  <c r="D53" i="14"/>
  <c r="P54" i="1"/>
  <c r="AO54" i="5"/>
  <c r="AC54" i="10"/>
  <c r="X54" i="10" s="1"/>
  <c r="Y54" i="10" s="1"/>
  <c r="AM54" i="5"/>
  <c r="AL54" i="5"/>
  <c r="S59" i="2"/>
  <c r="K60" i="8"/>
  <c r="X58" i="1"/>
  <c r="DE59" i="8"/>
  <c r="O59" i="2"/>
  <c r="DA57" i="5"/>
  <c r="K58" i="10"/>
  <c r="AA58" i="7"/>
  <c r="AE58" i="8" s="1"/>
  <c r="BC58" i="8" s="1"/>
  <c r="EP55" i="8"/>
  <c r="CO54" i="8"/>
  <c r="CN54" i="8"/>
  <c r="CR54" i="8"/>
  <c r="D55" i="9"/>
  <c r="N54" i="11"/>
  <c r="AE54" i="7"/>
  <c r="AF54" i="7" s="1"/>
  <c r="Q54" i="7"/>
  <c r="N58" i="2"/>
  <c r="CZ57" i="5"/>
  <c r="G58" i="5"/>
  <c r="E57" i="7"/>
  <c r="C57" i="10"/>
  <c r="J59" i="8"/>
  <c r="R58" i="2"/>
  <c r="H61" i="8"/>
  <c r="P60" i="2"/>
  <c r="P11" i="7"/>
  <c r="F11" i="9"/>
  <c r="N54" i="7"/>
  <c r="AN54" i="5"/>
  <c r="D60" i="7"/>
  <c r="B60" i="10"/>
  <c r="F61" i="5"/>
  <c r="M59" i="2"/>
  <c r="DF59" i="8"/>
  <c r="DG58" i="5"/>
  <c r="C11" i="8"/>
  <c r="DH54" i="8"/>
  <c r="EH54" i="8" s="1"/>
  <c r="EP54" i="8"/>
  <c r="DF56" i="5"/>
  <c r="AO55" i="5" l="1"/>
  <c r="DS55" i="8"/>
  <c r="E51" i="11"/>
  <c r="AU52" i="8"/>
  <c r="AT52" i="1" s="1"/>
  <c r="BP53" i="8"/>
  <c r="BY53" i="8"/>
  <c r="CF53" i="8"/>
  <c r="BU53" i="8"/>
  <c r="BT53" i="8"/>
  <c r="BZ53" i="8"/>
  <c r="CG53" i="8"/>
  <c r="BQ53" i="8"/>
  <c r="AV52" i="8"/>
  <c r="AW52" i="1" s="1"/>
  <c r="L52" i="1" s="1"/>
  <c r="E52" i="11" s="1"/>
  <c r="AF54" i="11"/>
  <c r="AE54" i="11"/>
  <c r="AC54" i="8" s="1"/>
  <c r="N55" i="7"/>
  <c r="CA55" i="8"/>
  <c r="CH55" i="8"/>
  <c r="AO58" i="11"/>
  <c r="DH55" i="8"/>
  <c r="EH55" i="8" s="1"/>
  <c r="AC54" i="11"/>
  <c r="T54" i="8" s="1"/>
  <c r="L58" i="11"/>
  <c r="E57" i="9"/>
  <c r="AG57" i="5"/>
  <c r="B57" i="1"/>
  <c r="BI57" i="1" s="1"/>
  <c r="B57" i="2"/>
  <c r="AA54" i="11"/>
  <c r="AL55" i="5"/>
  <c r="AP55" i="5" s="1"/>
  <c r="CO55" i="8"/>
  <c r="N55" i="11"/>
  <c r="AD54" i="11"/>
  <c r="AI54" i="1" s="1"/>
  <c r="AB54" i="11"/>
  <c r="P54" i="8" s="1"/>
  <c r="Z54" i="11"/>
  <c r="AC54" i="2" s="1"/>
  <c r="Y54" i="11"/>
  <c r="AH54" i="1" s="1"/>
  <c r="Q55" i="7"/>
  <c r="D56" i="9"/>
  <c r="AM55" i="5"/>
  <c r="AC55" i="10"/>
  <c r="X55" i="10" s="1"/>
  <c r="Y55" i="10" s="1"/>
  <c r="CR55" i="8"/>
  <c r="DC55" i="8" s="1"/>
  <c r="AP51" i="8"/>
  <c r="D51" i="11"/>
  <c r="AQ51" i="1"/>
  <c r="U51" i="1" s="1"/>
  <c r="J52" i="1" s="1"/>
  <c r="BM51" i="1"/>
  <c r="AK51" i="5"/>
  <c r="AR51" i="8"/>
  <c r="AR51" i="1"/>
  <c r="V51" i="1" s="1"/>
  <c r="K52" i="1" s="1"/>
  <c r="C51" i="9"/>
  <c r="BN51" i="1"/>
  <c r="BC59" i="5"/>
  <c r="AC58" i="1"/>
  <c r="BP60" i="5"/>
  <c r="AB59" i="1"/>
  <c r="BK61" i="5"/>
  <c r="AD59" i="1"/>
  <c r="BN62" i="5"/>
  <c r="AF60" i="1"/>
  <c r="BE59" i="5"/>
  <c r="AE57" i="1"/>
  <c r="W57" i="1" s="1"/>
  <c r="AZ62" i="5"/>
  <c r="O59" i="1"/>
  <c r="DK59" i="8" s="1"/>
  <c r="DI58" i="8"/>
  <c r="DJ58" i="8"/>
  <c r="AS12" i="8"/>
  <c r="AO12" i="1"/>
  <c r="N58" i="1"/>
  <c r="BL12" i="1"/>
  <c r="AT54" i="8"/>
  <c r="AQ54" i="8"/>
  <c r="F54" i="11"/>
  <c r="M55" i="1"/>
  <c r="AW54" i="8"/>
  <c r="A60" i="2"/>
  <c r="M60" i="5"/>
  <c r="J61" i="10"/>
  <c r="A60" i="9"/>
  <c r="B60" i="14"/>
  <c r="AD60" i="8"/>
  <c r="A60" i="7"/>
  <c r="K60" i="11"/>
  <c r="A60" i="8"/>
  <c r="AJ61" i="14"/>
  <c r="CM60" i="8"/>
  <c r="DN55" i="8"/>
  <c r="DO55" i="8"/>
  <c r="B56" i="7"/>
  <c r="AE56" i="7" s="1"/>
  <c r="AF56" i="7" s="1"/>
  <c r="CU56" i="8"/>
  <c r="CS56" i="8"/>
  <c r="DP56" i="8" s="1"/>
  <c r="CT56" i="8"/>
  <c r="DQ56" i="8" s="1"/>
  <c r="Y58" i="1"/>
  <c r="I62" i="8"/>
  <c r="Q61" i="2"/>
  <c r="EO56" i="8"/>
  <c r="DL56" i="8"/>
  <c r="DG55" i="8"/>
  <c r="EG55" i="8" s="1"/>
  <c r="EI55" i="8" s="1"/>
  <c r="CV55" i="8"/>
  <c r="DX55" i="8" s="1"/>
  <c r="EB55" i="8" s="1"/>
  <c r="CY55" i="8"/>
  <c r="EA55" i="8" s="1"/>
  <c r="CX55" i="8"/>
  <c r="DB55" i="8"/>
  <c r="EC55" i="8" s="1"/>
  <c r="ED55" i="8" s="1"/>
  <c r="CW55" i="8"/>
  <c r="AV56" i="5"/>
  <c r="B56" i="9"/>
  <c r="CQ56" i="8"/>
  <c r="DA56" i="8" s="1"/>
  <c r="AU56" i="5"/>
  <c r="C56" i="14"/>
  <c r="A56" i="11"/>
  <c r="AH56" i="5"/>
  <c r="AC56" i="10" s="1"/>
  <c r="W56" i="8"/>
  <c r="A56" i="10"/>
  <c r="AA56" i="10" s="1"/>
  <c r="AB55" i="2"/>
  <c r="Q56" i="1"/>
  <c r="E56" i="14" s="1"/>
  <c r="BN56" i="8"/>
  <c r="AI56" i="5"/>
  <c r="BO56" i="8"/>
  <c r="DM56" i="8" s="1"/>
  <c r="E56" i="1"/>
  <c r="AB56" i="8"/>
  <c r="BS56" i="5"/>
  <c r="F58" i="7"/>
  <c r="D58" i="10"/>
  <c r="H59" i="5"/>
  <c r="AR58" i="5"/>
  <c r="V57" i="2"/>
  <c r="A57" i="5"/>
  <c r="E57" i="5" s="1"/>
  <c r="EQ57" i="8" s="1"/>
  <c r="CZ57" i="8" s="1"/>
  <c r="DD57" i="5"/>
  <c r="G57" i="10"/>
  <c r="K58" i="5"/>
  <c r="I57" i="7"/>
  <c r="H57" i="10"/>
  <c r="L58" i="5"/>
  <c r="DE57" i="5"/>
  <c r="J57" i="7"/>
  <c r="G58" i="7"/>
  <c r="E58" i="10"/>
  <c r="I59" i="5"/>
  <c r="DB58" i="5"/>
  <c r="DY54" i="8"/>
  <c r="DZ54" i="8" s="1"/>
  <c r="N59" i="2"/>
  <c r="D54" i="14"/>
  <c r="P55" i="1"/>
  <c r="C58" i="10"/>
  <c r="G59" i="5"/>
  <c r="CZ58" i="5"/>
  <c r="E58" i="7"/>
  <c r="AA59" i="7"/>
  <c r="AE59" i="8" s="1"/>
  <c r="BC59" i="8" s="1"/>
  <c r="K59" i="10"/>
  <c r="CY59" i="5"/>
  <c r="EB54" i="8"/>
  <c r="H59" i="7"/>
  <c r="DC59" i="5"/>
  <c r="F59" i="10"/>
  <c r="J60" i="5"/>
  <c r="AQ54" i="5"/>
  <c r="AU54" i="1" s="1"/>
  <c r="J60" i="8"/>
  <c r="R59" i="2"/>
  <c r="O60" i="2"/>
  <c r="DE60" i="8"/>
  <c r="AP54" i="5"/>
  <c r="DA58" i="5"/>
  <c r="Y11" i="2"/>
  <c r="X11" i="2" s="1"/>
  <c r="DG59" i="5"/>
  <c r="DC54" i="8"/>
  <c r="DD54" i="8"/>
  <c r="X59" i="1"/>
  <c r="J58" i="2"/>
  <c r="K61" i="8"/>
  <c r="S60" i="2"/>
  <c r="EI54" i="8"/>
  <c r="M60" i="2"/>
  <c r="DF60" i="8"/>
  <c r="B61" i="10"/>
  <c r="D61" i="7"/>
  <c r="F62" i="5"/>
  <c r="H62" i="8"/>
  <c r="P61" i="2"/>
  <c r="AH54" i="7"/>
  <c r="AG54" i="7"/>
  <c r="AI54" i="7" s="1"/>
  <c r="AH55" i="7"/>
  <c r="AG55" i="7"/>
  <c r="AI55" i="7" s="1"/>
  <c r="DD55" i="8"/>
  <c r="B58" i="5"/>
  <c r="AQ55" i="5"/>
  <c r="AU55" i="1" s="1"/>
  <c r="DF57" i="5"/>
  <c r="AO52" i="8" l="1"/>
  <c r="BO52" i="1"/>
  <c r="BY54" i="8"/>
  <c r="BU54" i="8"/>
  <c r="BZ54" i="8"/>
  <c r="BQ54" i="8"/>
  <c r="BT54" i="8"/>
  <c r="CF54" i="8"/>
  <c r="BP54" i="8"/>
  <c r="AU54" i="8" s="1"/>
  <c r="AT54" i="1" s="1"/>
  <c r="CG54" i="8"/>
  <c r="CA56" i="8"/>
  <c r="CH56" i="8"/>
  <c r="AU53" i="8"/>
  <c r="AT53" i="1" s="1"/>
  <c r="AF55" i="11"/>
  <c r="AE55" i="11"/>
  <c r="AC55" i="8" s="1"/>
  <c r="AV53" i="8"/>
  <c r="AW53" i="1" s="1"/>
  <c r="L53" i="1" s="1"/>
  <c r="AO59" i="11"/>
  <c r="AW55" i="8"/>
  <c r="L59" i="11"/>
  <c r="E58" i="9"/>
  <c r="AG58" i="5"/>
  <c r="B58" i="2"/>
  <c r="B58" i="1"/>
  <c r="BI58" i="1" s="1"/>
  <c r="D57" i="9"/>
  <c r="AK52" i="5"/>
  <c r="BM52" i="1"/>
  <c r="AQ52" i="1"/>
  <c r="U52" i="1" s="1"/>
  <c r="J53" i="1" s="1"/>
  <c r="D52" i="11"/>
  <c r="AP52" i="8"/>
  <c r="AR52" i="8"/>
  <c r="C52" i="9"/>
  <c r="BN52" i="1"/>
  <c r="AR52" i="1"/>
  <c r="V52" i="1" s="1"/>
  <c r="K53" i="1" s="1"/>
  <c r="AC59" i="1"/>
  <c r="BC60" i="5"/>
  <c r="BP61" i="5"/>
  <c r="AB60" i="1"/>
  <c r="AZ63" i="5"/>
  <c r="BK62" i="5"/>
  <c r="AD60" i="1"/>
  <c r="BN63" i="5"/>
  <c r="AF61" i="1"/>
  <c r="BE60" i="5"/>
  <c r="AE58" i="1"/>
  <c r="W58" i="1" s="1"/>
  <c r="O60" i="1"/>
  <c r="DK60" i="8" s="1"/>
  <c r="DI59" i="8"/>
  <c r="DJ59" i="8"/>
  <c r="AD56" i="9"/>
  <c r="AV56" i="1" s="1"/>
  <c r="N59" i="1"/>
  <c r="CO56" i="8"/>
  <c r="AC55" i="11"/>
  <c r="T55" i="8" s="1"/>
  <c r="Y55" i="11"/>
  <c r="AH55" i="1" s="1"/>
  <c r="AA55" i="11"/>
  <c r="AB55" i="11"/>
  <c r="P55" i="8" s="1"/>
  <c r="AD55" i="11"/>
  <c r="AI55" i="1" s="1"/>
  <c r="Z55" i="11"/>
  <c r="AC55" i="2" s="1"/>
  <c r="AT55" i="8"/>
  <c r="AQ55" i="8"/>
  <c r="M56" i="1"/>
  <c r="F55" i="11"/>
  <c r="A61" i="2"/>
  <c r="K61" i="11"/>
  <c r="J62" i="10"/>
  <c r="A61" i="9"/>
  <c r="A61" i="8"/>
  <c r="M61" i="5"/>
  <c r="B61" i="14"/>
  <c r="AD61" i="8"/>
  <c r="A61" i="7"/>
  <c r="AJ62" i="14"/>
  <c r="CM61" i="8"/>
  <c r="DR56" i="8"/>
  <c r="DS56" i="8"/>
  <c r="EP56" i="8"/>
  <c r="DT56" i="8"/>
  <c r="CW56" i="8"/>
  <c r="DN56" i="8"/>
  <c r="DO56" i="8"/>
  <c r="CN56" i="8"/>
  <c r="Q56" i="7"/>
  <c r="CS57" i="8"/>
  <c r="DP57" i="8" s="1"/>
  <c r="CT57" i="8"/>
  <c r="DQ57" i="8" s="1"/>
  <c r="CU57" i="8"/>
  <c r="Y59" i="1"/>
  <c r="N56" i="7"/>
  <c r="I63" i="8"/>
  <c r="Q62" i="2"/>
  <c r="DH56" i="8"/>
  <c r="EH56" i="8" s="1"/>
  <c r="DY55" i="8"/>
  <c r="DZ55" i="8" s="1"/>
  <c r="CQ57" i="8"/>
  <c r="DA57" i="8" s="1"/>
  <c r="AN56" i="5"/>
  <c r="A57" i="11"/>
  <c r="AB57" i="8"/>
  <c r="CR56" i="8"/>
  <c r="DD56" i="8" s="1"/>
  <c r="B57" i="9"/>
  <c r="AM56" i="5"/>
  <c r="EO57" i="8"/>
  <c r="AL56" i="5"/>
  <c r="E57" i="1"/>
  <c r="A57" i="10"/>
  <c r="AA57" i="10" s="1"/>
  <c r="AO56" i="5"/>
  <c r="X56" i="10"/>
  <c r="Y56" i="10" s="1"/>
  <c r="N56" i="11"/>
  <c r="CY56" i="8"/>
  <c r="EA56" i="8" s="1"/>
  <c r="CX56" i="8"/>
  <c r="DB56" i="8"/>
  <c r="EC56" i="8" s="1"/>
  <c r="ED56" i="8" s="1"/>
  <c r="CV56" i="8"/>
  <c r="DX56" i="8" s="1"/>
  <c r="EB56" i="8" s="1"/>
  <c r="DG56" i="8"/>
  <c r="EG56" i="8" s="1"/>
  <c r="D59" i="10"/>
  <c r="H60" i="5"/>
  <c r="F59" i="7"/>
  <c r="V58" i="2"/>
  <c r="AR59" i="5"/>
  <c r="C57" i="14"/>
  <c r="AH57" i="5"/>
  <c r="AC57" i="10" s="1"/>
  <c r="B57" i="7"/>
  <c r="AE57" i="7" s="1"/>
  <c r="AF57" i="7" s="1"/>
  <c r="DL57" i="8"/>
  <c r="BS57" i="5"/>
  <c r="W57" i="8"/>
  <c r="Q57" i="1"/>
  <c r="E57" i="14" s="1"/>
  <c r="AB56" i="2"/>
  <c r="AI57" i="5"/>
  <c r="BN57" i="8"/>
  <c r="AU57" i="5"/>
  <c r="BO57" i="8"/>
  <c r="DM57" i="8" s="1"/>
  <c r="AV57" i="5"/>
  <c r="A58" i="5"/>
  <c r="E58" i="5" s="1"/>
  <c r="EQ58" i="8" s="1"/>
  <c r="CZ58" i="8" s="1"/>
  <c r="DD58" i="5"/>
  <c r="G58" i="10"/>
  <c r="K59" i="5"/>
  <c r="I58" i="7"/>
  <c r="EE54" i="8"/>
  <c r="EF54" i="8" s="1"/>
  <c r="J58" i="7"/>
  <c r="L59" i="5"/>
  <c r="DE58" i="5"/>
  <c r="H58" i="10"/>
  <c r="E59" i="10"/>
  <c r="DB59" i="5"/>
  <c r="G59" i="7"/>
  <c r="I60" i="5"/>
  <c r="EE55" i="8"/>
  <c r="EF55" i="8" s="1"/>
  <c r="DF61" i="8"/>
  <c r="M61" i="2"/>
  <c r="L12" i="2"/>
  <c r="H12" i="11"/>
  <c r="E12" i="2"/>
  <c r="BD12" i="8"/>
  <c r="B12" i="8"/>
  <c r="D12" i="2" s="1"/>
  <c r="AB12" i="7"/>
  <c r="H63" i="8"/>
  <c r="P62" i="2"/>
  <c r="J61" i="8"/>
  <c r="R60" i="2"/>
  <c r="K62" i="8"/>
  <c r="S61" i="2"/>
  <c r="G60" i="5"/>
  <c r="CZ59" i="5"/>
  <c r="C59" i="10"/>
  <c r="E59" i="7"/>
  <c r="DA59" i="5"/>
  <c r="DG60" i="5"/>
  <c r="AH56" i="7"/>
  <c r="AG56" i="7"/>
  <c r="AI56" i="7" s="1"/>
  <c r="CY60" i="5"/>
  <c r="X60" i="1"/>
  <c r="O61" i="2"/>
  <c r="DE61" i="8"/>
  <c r="J61" i="5"/>
  <c r="F60" i="10"/>
  <c r="H60" i="7"/>
  <c r="DC60" i="5"/>
  <c r="B59" i="5"/>
  <c r="D62" i="7"/>
  <c r="B62" i="10"/>
  <c r="F63" i="5"/>
  <c r="AA60" i="7"/>
  <c r="AE60" i="8" s="1"/>
  <c r="BC60" i="8" s="1"/>
  <c r="K60" i="10"/>
  <c r="N60" i="2"/>
  <c r="J59" i="2"/>
  <c r="D55" i="14"/>
  <c r="P56" i="1"/>
  <c r="DF58" i="5"/>
  <c r="BO53" i="1" l="1"/>
  <c r="AO53" i="8"/>
  <c r="E53" i="11"/>
  <c r="BQ55" i="8"/>
  <c r="BZ55" i="8"/>
  <c r="BU55" i="8"/>
  <c r="BY55" i="8"/>
  <c r="CF55" i="8"/>
  <c r="CG55" i="8"/>
  <c r="BT55" i="8"/>
  <c r="BP55" i="8"/>
  <c r="AV54" i="8"/>
  <c r="AW54" i="1" s="1"/>
  <c r="L54" i="1" s="1"/>
  <c r="CA57" i="8"/>
  <c r="CH57" i="8"/>
  <c r="AE56" i="11"/>
  <c r="AC56" i="8" s="1"/>
  <c r="AF56" i="11"/>
  <c r="AO60" i="11"/>
  <c r="L60" i="11"/>
  <c r="E59" i="9"/>
  <c r="AG59" i="5"/>
  <c r="B59" i="1"/>
  <c r="BI59" i="1" s="1"/>
  <c r="B59" i="2"/>
  <c r="D58" i="9"/>
  <c r="AP53" i="8"/>
  <c r="BM53" i="1"/>
  <c r="AQ53" i="1"/>
  <c r="U53" i="1" s="1"/>
  <c r="J54" i="1" s="1"/>
  <c r="D53" i="11"/>
  <c r="AK53" i="5"/>
  <c r="C53" i="9"/>
  <c r="AR53" i="1"/>
  <c r="V53" i="1" s="1"/>
  <c r="K54" i="1" s="1"/>
  <c r="BN53" i="1"/>
  <c r="AR53" i="8"/>
  <c r="J60" i="2"/>
  <c r="AC60" i="1"/>
  <c r="BC61" i="5"/>
  <c r="BN64" i="5"/>
  <c r="AF62" i="1"/>
  <c r="BE61" i="5"/>
  <c r="AE59" i="1"/>
  <c r="W59" i="1" s="1"/>
  <c r="BP62" i="5"/>
  <c r="AB61" i="1"/>
  <c r="AZ64" i="5"/>
  <c r="BK63" i="5"/>
  <c r="AD61" i="1"/>
  <c r="O61" i="1"/>
  <c r="DK61" i="8" s="1"/>
  <c r="DJ60" i="8"/>
  <c r="DI60" i="8"/>
  <c r="AD57" i="9"/>
  <c r="AV57" i="1" s="1"/>
  <c r="N60" i="1"/>
  <c r="AC56" i="11"/>
  <c r="T56" i="8" s="1"/>
  <c r="AA56" i="11"/>
  <c r="Y56" i="11"/>
  <c r="AH56" i="1" s="1"/>
  <c r="AD56" i="11"/>
  <c r="AI56" i="1" s="1"/>
  <c r="Z56" i="11"/>
  <c r="AC56" i="2" s="1"/>
  <c r="AB56" i="11"/>
  <c r="P56" i="8" s="1"/>
  <c r="AT56" i="8"/>
  <c r="AQ56" i="8"/>
  <c r="F56" i="11"/>
  <c r="M57" i="1"/>
  <c r="AW56" i="8"/>
  <c r="A62" i="2"/>
  <c r="M62" i="5"/>
  <c r="A62" i="8"/>
  <c r="K62" i="11"/>
  <c r="J63" i="10"/>
  <c r="A62" i="7"/>
  <c r="B62" i="14"/>
  <c r="AD62" i="8"/>
  <c r="A62" i="9"/>
  <c r="AJ63" i="14"/>
  <c r="CM62" i="8"/>
  <c r="N57" i="11"/>
  <c r="B60" i="5"/>
  <c r="DH57" i="8"/>
  <c r="EH57" i="8" s="1"/>
  <c r="DT57" i="8"/>
  <c r="DR57" i="8"/>
  <c r="DS57" i="8"/>
  <c r="DY56" i="8"/>
  <c r="DZ56" i="8" s="1"/>
  <c r="DG57" i="8"/>
  <c r="EG57" i="8" s="1"/>
  <c r="DN57" i="8"/>
  <c r="DO57" i="8"/>
  <c r="CS58" i="8"/>
  <c r="DP58" i="8" s="1"/>
  <c r="CT58" i="8"/>
  <c r="DQ58" i="8" s="1"/>
  <c r="CU58" i="8"/>
  <c r="DC56" i="8"/>
  <c r="EE56" i="8" s="1"/>
  <c r="EF56" i="8" s="1"/>
  <c r="Y60" i="1"/>
  <c r="I64" i="8"/>
  <c r="Q63" i="2"/>
  <c r="EP57" i="8"/>
  <c r="N57" i="7"/>
  <c r="EI56" i="8"/>
  <c r="X57" i="10"/>
  <c r="Y57" i="10" s="1"/>
  <c r="DB57" i="8"/>
  <c r="EC57" i="8" s="1"/>
  <c r="ED57" i="8" s="1"/>
  <c r="CX57" i="8"/>
  <c r="CY57" i="8"/>
  <c r="EA57" i="8" s="1"/>
  <c r="CW57" i="8"/>
  <c r="CV57" i="8"/>
  <c r="DX57" i="8" s="1"/>
  <c r="EB57" i="8" s="1"/>
  <c r="AP56" i="5"/>
  <c r="AQ56" i="5"/>
  <c r="AU56" i="1" s="1"/>
  <c r="CN57" i="8"/>
  <c r="CR57" i="8"/>
  <c r="DD57" i="8" s="1"/>
  <c r="CO57" i="8"/>
  <c r="AL57" i="5"/>
  <c r="V59" i="2"/>
  <c r="AN57" i="5"/>
  <c r="AR60" i="5"/>
  <c r="F60" i="7"/>
  <c r="D60" i="10"/>
  <c r="H61" i="5"/>
  <c r="Q57" i="7"/>
  <c r="A59" i="5"/>
  <c r="E59" i="5" s="1"/>
  <c r="EQ59" i="8" s="1"/>
  <c r="CZ59" i="8" s="1"/>
  <c r="AM57" i="5"/>
  <c r="AO57" i="5"/>
  <c r="I59" i="7"/>
  <c r="K60" i="5"/>
  <c r="DD59" i="5"/>
  <c r="G59" i="10"/>
  <c r="H59" i="10"/>
  <c r="J59" i="7"/>
  <c r="DE59" i="5"/>
  <c r="L60" i="5"/>
  <c r="E60" i="10"/>
  <c r="I61" i="5"/>
  <c r="G60" i="7"/>
  <c r="DB60" i="5"/>
  <c r="DA60" i="5"/>
  <c r="A58" i="10"/>
  <c r="AA58" i="10" s="1"/>
  <c r="B58" i="7"/>
  <c r="E58" i="1"/>
  <c r="W58" i="8"/>
  <c r="AI58" i="5"/>
  <c r="BS58" i="5"/>
  <c r="Q58" i="1"/>
  <c r="E58" i="14" s="1"/>
  <c r="AU58" i="5"/>
  <c r="B58" i="9"/>
  <c r="AV58" i="5"/>
  <c r="C58" i="14"/>
  <c r="AH58" i="5"/>
  <c r="A58" i="11"/>
  <c r="AB57" i="2"/>
  <c r="BN58" i="8"/>
  <c r="BO58" i="8"/>
  <c r="DM58" i="8" s="1"/>
  <c r="EO58" i="8"/>
  <c r="DT58" i="8" s="1"/>
  <c r="AB58" i="8"/>
  <c r="DL58" i="8"/>
  <c r="CQ58" i="8"/>
  <c r="DA58" i="8" s="1"/>
  <c r="DE62" i="8"/>
  <c r="O62" i="2"/>
  <c r="DC61" i="5"/>
  <c r="J62" i="5"/>
  <c r="H61" i="7"/>
  <c r="F61" i="10"/>
  <c r="AH57" i="7"/>
  <c r="AG57" i="7"/>
  <c r="AI57" i="7" s="1"/>
  <c r="U12" i="2"/>
  <c r="W11" i="2" s="1"/>
  <c r="C12" i="2" s="1"/>
  <c r="DF62" i="8"/>
  <c r="M62" i="2"/>
  <c r="B63" i="10"/>
  <c r="F64" i="5"/>
  <c r="D63" i="7"/>
  <c r="E60" i="7"/>
  <c r="CZ60" i="5"/>
  <c r="G61" i="5"/>
  <c r="C60" i="10"/>
  <c r="K63" i="8"/>
  <c r="S62" i="2"/>
  <c r="R61" i="2"/>
  <c r="J62" i="8"/>
  <c r="H64" i="8"/>
  <c r="P63" i="2"/>
  <c r="D56" i="14"/>
  <c r="P57" i="1"/>
  <c r="K61" i="10"/>
  <c r="AA61" i="7"/>
  <c r="AE61" i="8" s="1"/>
  <c r="BC61" i="8" s="1"/>
  <c r="N61" i="2"/>
  <c r="X61" i="1"/>
  <c r="CY61" i="5"/>
  <c r="DG61" i="5"/>
  <c r="DF59" i="5"/>
  <c r="AV55" i="8" l="1"/>
  <c r="AW55" i="1" s="1"/>
  <c r="L55" i="1" s="1"/>
  <c r="AO54" i="8"/>
  <c r="E54" i="11"/>
  <c r="BO54" i="1"/>
  <c r="AE57" i="11"/>
  <c r="AC57" i="8" s="1"/>
  <c r="AF57" i="11"/>
  <c r="BT56" i="8"/>
  <c r="BY56" i="8"/>
  <c r="CF56" i="8"/>
  <c r="BZ56" i="8"/>
  <c r="BQ56" i="8"/>
  <c r="BP56" i="8"/>
  <c r="BU56" i="8"/>
  <c r="CG56" i="8"/>
  <c r="AU55" i="8"/>
  <c r="AT55" i="1" s="1"/>
  <c r="CA58" i="8"/>
  <c r="CH58" i="8"/>
  <c r="AO61" i="11"/>
  <c r="L61" i="11"/>
  <c r="AG60" i="5"/>
  <c r="E60" i="9"/>
  <c r="B60" i="1"/>
  <c r="BI60" i="1" s="1"/>
  <c r="B60" i="2"/>
  <c r="AP54" i="8"/>
  <c r="AQ54" i="1"/>
  <c r="U54" i="1" s="1"/>
  <c r="J55" i="1" s="1"/>
  <c r="BM55" i="1" s="1"/>
  <c r="D54" i="11"/>
  <c r="BM54" i="1"/>
  <c r="AK54" i="5"/>
  <c r="AR54" i="8"/>
  <c r="C54" i="9"/>
  <c r="BN54" i="1"/>
  <c r="AR54" i="1"/>
  <c r="V54" i="1" s="1"/>
  <c r="K55" i="1" s="1"/>
  <c r="AC61" i="1"/>
  <c r="BC62" i="5"/>
  <c r="B61" i="5"/>
  <c r="J61" i="2"/>
  <c r="AZ65" i="5"/>
  <c r="BN65" i="5"/>
  <c r="AF63" i="1"/>
  <c r="BK64" i="5"/>
  <c r="AD62" i="1"/>
  <c r="BE62" i="5"/>
  <c r="J62" i="2" s="1"/>
  <c r="AE60" i="1"/>
  <c r="W60" i="1" s="1"/>
  <c r="BP63" i="5"/>
  <c r="AB62" i="1"/>
  <c r="O62" i="1"/>
  <c r="DK62" i="8" s="1"/>
  <c r="DI61" i="8"/>
  <c r="DJ61" i="8"/>
  <c r="AD58" i="9"/>
  <c r="AV58" i="1" s="1"/>
  <c r="N61" i="1"/>
  <c r="Y57" i="11"/>
  <c r="AH57" i="1" s="1"/>
  <c r="AC57" i="11"/>
  <c r="T57" i="8" s="1"/>
  <c r="AA57" i="11"/>
  <c r="AD57" i="11"/>
  <c r="AI57" i="1" s="1"/>
  <c r="AB57" i="11"/>
  <c r="P57" i="8" s="1"/>
  <c r="Z57" i="11"/>
  <c r="AC57" i="2" s="1"/>
  <c r="AT57" i="8"/>
  <c r="AQ57" i="8"/>
  <c r="F57" i="11"/>
  <c r="M58" i="1"/>
  <c r="AW57" i="8"/>
  <c r="AJ64" i="14"/>
  <c r="CM63" i="8"/>
  <c r="A63" i="2"/>
  <c r="K63" i="11"/>
  <c r="A63" i="9"/>
  <c r="M63" i="5"/>
  <c r="AD63" i="8"/>
  <c r="B63" i="14"/>
  <c r="A63" i="7"/>
  <c r="J64" i="10"/>
  <c r="A63" i="8"/>
  <c r="DR58" i="8"/>
  <c r="DS58" i="8"/>
  <c r="EI57" i="8"/>
  <c r="DN58" i="8"/>
  <c r="DO58" i="8"/>
  <c r="CT59" i="8"/>
  <c r="DQ59" i="8" s="1"/>
  <c r="CU59" i="8"/>
  <c r="CS59" i="8"/>
  <c r="DP59" i="8" s="1"/>
  <c r="Y61" i="1"/>
  <c r="Q64" i="2"/>
  <c r="I65" i="8"/>
  <c r="DY57" i="8"/>
  <c r="DZ57" i="8" s="1"/>
  <c r="DL59" i="8"/>
  <c r="DC57" i="8"/>
  <c r="EE57" i="8" s="1"/>
  <c r="EF57" i="8" s="1"/>
  <c r="CQ59" i="8"/>
  <c r="DA59" i="8" s="1"/>
  <c r="B59" i="7"/>
  <c r="Q59" i="7" s="1"/>
  <c r="W59" i="8"/>
  <c r="B59" i="9"/>
  <c r="AP57" i="5"/>
  <c r="AB58" i="2"/>
  <c r="A59" i="11"/>
  <c r="BO59" i="8"/>
  <c r="DM59" i="8" s="1"/>
  <c r="Q59" i="1"/>
  <c r="E59" i="14" s="1"/>
  <c r="AU59" i="5"/>
  <c r="AH59" i="5"/>
  <c r="AC59" i="10" s="1"/>
  <c r="BS59" i="5"/>
  <c r="AV59" i="5"/>
  <c r="C59" i="14"/>
  <c r="BN59" i="8"/>
  <c r="CN59" i="8" s="1"/>
  <c r="AB59" i="8"/>
  <c r="EO59" i="8"/>
  <c r="AI59" i="5"/>
  <c r="AN59" i="5" s="1"/>
  <c r="A59" i="10"/>
  <c r="AA59" i="10" s="1"/>
  <c r="E59" i="1"/>
  <c r="AQ57" i="5"/>
  <c r="AU57" i="1" s="1"/>
  <c r="D61" i="10"/>
  <c r="H62" i="5"/>
  <c r="F61" i="7"/>
  <c r="AR61" i="5"/>
  <c r="V60" i="2"/>
  <c r="DD60" i="5"/>
  <c r="I60" i="7"/>
  <c r="G60" i="10"/>
  <c r="K61" i="5"/>
  <c r="A60" i="5"/>
  <c r="E60" i="5" s="1"/>
  <c r="EQ60" i="8" s="1"/>
  <c r="CZ60" i="8" s="1"/>
  <c r="H60" i="10"/>
  <c r="DE60" i="5"/>
  <c r="J60" i="7"/>
  <c r="L61" i="5"/>
  <c r="I62" i="5"/>
  <c r="G61" i="7"/>
  <c r="DB61" i="5"/>
  <c r="E61" i="10"/>
  <c r="P64" i="2"/>
  <c r="H65" i="8"/>
  <c r="CN58" i="8"/>
  <c r="CR58" i="8"/>
  <c r="CO58" i="8"/>
  <c r="D59" i="9"/>
  <c r="DA61" i="5"/>
  <c r="N62" i="2"/>
  <c r="J63" i="8"/>
  <c r="R62" i="2"/>
  <c r="DE63" i="8"/>
  <c r="O63" i="2"/>
  <c r="P58" i="1"/>
  <c r="D57" i="14"/>
  <c r="F62" i="10"/>
  <c r="H62" i="7"/>
  <c r="DC62" i="5"/>
  <c r="J63" i="5"/>
  <c r="DH58" i="8"/>
  <c r="EH58" i="8" s="1"/>
  <c r="EP58" i="8"/>
  <c r="Q58" i="7"/>
  <c r="AE58" i="7"/>
  <c r="AF58" i="7" s="1"/>
  <c r="F12" i="1"/>
  <c r="F12" i="2"/>
  <c r="H12" i="2"/>
  <c r="I12" i="2"/>
  <c r="AA62" i="7"/>
  <c r="AE62" i="8" s="1"/>
  <c r="BC62" i="8" s="1"/>
  <c r="K62" i="10"/>
  <c r="S63" i="2"/>
  <c r="K64" i="8"/>
  <c r="B64" i="10"/>
  <c r="D64" i="7"/>
  <c r="F65" i="5"/>
  <c r="M63" i="2"/>
  <c r="DF63" i="8"/>
  <c r="N58" i="7"/>
  <c r="X62" i="1"/>
  <c r="CY62" i="5"/>
  <c r="AO58" i="5"/>
  <c r="AC58" i="10"/>
  <c r="X58" i="10" s="1"/>
  <c r="Y58" i="10" s="1"/>
  <c r="AM58" i="5"/>
  <c r="AL58" i="5"/>
  <c r="DG62" i="5"/>
  <c r="C61" i="10"/>
  <c r="G62" i="5"/>
  <c r="E61" i="7"/>
  <c r="CZ61" i="5"/>
  <c r="DG58" i="8"/>
  <c r="EG58" i="8" s="1"/>
  <c r="CW58" i="8"/>
  <c r="CX58" i="8"/>
  <c r="CV58" i="8"/>
  <c r="DX58" i="8" s="1"/>
  <c r="CY58" i="8"/>
  <c r="EA58" i="8" s="1"/>
  <c r="DB58" i="8"/>
  <c r="EC58" i="8" s="1"/>
  <c r="ED58" i="8" s="1"/>
  <c r="N58" i="11"/>
  <c r="AN58" i="5"/>
  <c r="DF60" i="5"/>
  <c r="BO55" i="1" l="1"/>
  <c r="AO55" i="8"/>
  <c r="AV56" i="8"/>
  <c r="AW56" i="1" s="1"/>
  <c r="L56" i="1" s="1"/>
  <c r="E55" i="11"/>
  <c r="AU56" i="8"/>
  <c r="AT56" i="1" s="1"/>
  <c r="CA59" i="8"/>
  <c r="CH59" i="8"/>
  <c r="CF57" i="8"/>
  <c r="BT57" i="8"/>
  <c r="BQ57" i="8"/>
  <c r="CG57" i="8"/>
  <c r="BZ57" i="8"/>
  <c r="BY57" i="8"/>
  <c r="BP57" i="8"/>
  <c r="BU57" i="8"/>
  <c r="AE58" i="11"/>
  <c r="AC58" i="8" s="1"/>
  <c r="AF58" i="11"/>
  <c r="AO62" i="11"/>
  <c r="AG61" i="5"/>
  <c r="L62" i="11"/>
  <c r="E61" i="9"/>
  <c r="B61" i="2"/>
  <c r="B61" i="1"/>
  <c r="BI61" i="1" s="1"/>
  <c r="D55" i="11"/>
  <c r="AK55" i="5"/>
  <c r="AQ55" i="1"/>
  <c r="U55" i="1" s="1"/>
  <c r="J56" i="1" s="1"/>
  <c r="AP55" i="8"/>
  <c r="AR55" i="8"/>
  <c r="C55" i="9"/>
  <c r="BN55" i="1"/>
  <c r="AR55" i="1"/>
  <c r="V55" i="1" s="1"/>
  <c r="K56" i="1" s="1"/>
  <c r="AC62" i="1"/>
  <c r="BC63" i="5"/>
  <c r="BE63" i="5"/>
  <c r="AE61" i="1"/>
  <c r="W61" i="1" s="1"/>
  <c r="AZ66" i="5"/>
  <c r="BP64" i="5"/>
  <c r="AB63" i="1"/>
  <c r="BN66" i="5"/>
  <c r="AF64" i="1"/>
  <c r="BK65" i="5"/>
  <c r="AD63" i="1"/>
  <c r="O63" i="1"/>
  <c r="DK63" i="8" s="1"/>
  <c r="DI62" i="8"/>
  <c r="DJ62" i="8"/>
  <c r="AD59" i="9"/>
  <c r="AV59" i="1" s="1"/>
  <c r="N62" i="1"/>
  <c r="AC58" i="11"/>
  <c r="T58" i="8" s="1"/>
  <c r="Y58" i="11"/>
  <c r="AH58" i="1" s="1"/>
  <c r="AA58" i="11"/>
  <c r="Z58" i="11"/>
  <c r="AC58" i="2" s="1"/>
  <c r="AB58" i="11"/>
  <c r="P58" i="8" s="1"/>
  <c r="AD58" i="11"/>
  <c r="AI58" i="1" s="1"/>
  <c r="AT58" i="8"/>
  <c r="AW58" i="8"/>
  <c r="AQ58" i="8"/>
  <c r="M59" i="1"/>
  <c r="F58" i="11"/>
  <c r="AJ65" i="14"/>
  <c r="CM64" i="8"/>
  <c r="A64" i="2"/>
  <c r="K64" i="11"/>
  <c r="AD64" i="8"/>
  <c r="A64" i="7"/>
  <c r="M64" i="5"/>
  <c r="A64" i="8"/>
  <c r="A64" i="9"/>
  <c r="J65" i="10"/>
  <c r="B64" i="14"/>
  <c r="EP59" i="8"/>
  <c r="DT59" i="8"/>
  <c r="DR59" i="8"/>
  <c r="DS59" i="8"/>
  <c r="DG59" i="8"/>
  <c r="EG59" i="8" s="1"/>
  <c r="DN59" i="8"/>
  <c r="DO59" i="8"/>
  <c r="CS60" i="8"/>
  <c r="DP60" i="8" s="1"/>
  <c r="CT60" i="8"/>
  <c r="DQ60" i="8" s="1"/>
  <c r="CU60" i="8"/>
  <c r="Y62" i="1"/>
  <c r="B62" i="5"/>
  <c r="Q65" i="2"/>
  <c r="I66" i="8"/>
  <c r="N59" i="11"/>
  <c r="CO59" i="8"/>
  <c r="AO59" i="5"/>
  <c r="AM59" i="5"/>
  <c r="DL60" i="8"/>
  <c r="DB59" i="8"/>
  <c r="EC59" i="8" s="1"/>
  <c r="ED59" i="8" s="1"/>
  <c r="AH60" i="5"/>
  <c r="AC60" i="10" s="1"/>
  <c r="AR62" i="5"/>
  <c r="C60" i="14"/>
  <c r="B60" i="9"/>
  <c r="A60" i="11"/>
  <c r="AV60" i="5"/>
  <c r="AB59" i="2"/>
  <c r="B60" i="7"/>
  <c r="Q60" i="7" s="1"/>
  <c r="N59" i="7"/>
  <c r="BN60" i="8"/>
  <c r="CR60" i="8" s="1"/>
  <c r="A60" i="10"/>
  <c r="AA60" i="10" s="1"/>
  <c r="EO60" i="8"/>
  <c r="AI60" i="5"/>
  <c r="D60" i="9"/>
  <c r="CR59" i="8"/>
  <c r="DD59" i="8" s="1"/>
  <c r="A61" i="5"/>
  <c r="E61" i="5" s="1"/>
  <c r="CV59" i="8"/>
  <c r="DX59" i="8" s="1"/>
  <c r="EB59" i="8" s="1"/>
  <c r="CW59" i="8"/>
  <c r="CX59" i="8"/>
  <c r="CY59" i="8"/>
  <c r="EA59" i="8" s="1"/>
  <c r="DH59" i="8"/>
  <c r="EH59" i="8" s="1"/>
  <c r="AL59" i="5"/>
  <c r="AP59" i="5" s="1"/>
  <c r="X59" i="10"/>
  <c r="Y59" i="10" s="1"/>
  <c r="AE59" i="7"/>
  <c r="AF59" i="7" s="1"/>
  <c r="AU60" i="5"/>
  <c r="Q60" i="1"/>
  <c r="E60" i="14" s="1"/>
  <c r="BO60" i="8"/>
  <c r="DM60" i="8" s="1"/>
  <c r="BS60" i="5"/>
  <c r="AB60" i="8"/>
  <c r="E60" i="1"/>
  <c r="W60" i="8"/>
  <c r="F62" i="7"/>
  <c r="D62" i="10"/>
  <c r="H63" i="5"/>
  <c r="CQ60" i="8"/>
  <c r="DA60" i="8" s="1"/>
  <c r="H61" i="10"/>
  <c r="J61" i="7"/>
  <c r="DE61" i="5"/>
  <c r="L62" i="5"/>
  <c r="DD61" i="5"/>
  <c r="K62" i="5"/>
  <c r="G61" i="10"/>
  <c r="I61" i="7"/>
  <c r="V61" i="2"/>
  <c r="DB62" i="5"/>
  <c r="E62" i="10"/>
  <c r="G62" i="7"/>
  <c r="I63" i="5"/>
  <c r="EI58" i="8"/>
  <c r="AP12" i="1"/>
  <c r="T12" i="1" s="1"/>
  <c r="I13" i="1" s="1"/>
  <c r="J12" i="11"/>
  <c r="G12" i="2"/>
  <c r="Z12" i="2" s="1"/>
  <c r="Z13" i="8" s="1"/>
  <c r="O64" i="2"/>
  <c r="DE64" i="8"/>
  <c r="DF64" i="8"/>
  <c r="M64" i="2"/>
  <c r="CY63" i="5"/>
  <c r="AA63" i="7"/>
  <c r="AE63" i="8" s="1"/>
  <c r="BC63" i="8" s="1"/>
  <c r="K63" i="10"/>
  <c r="P59" i="1"/>
  <c r="D58" i="14"/>
  <c r="AQ58" i="5"/>
  <c r="AU58" i="1" s="1"/>
  <c r="EB58" i="8"/>
  <c r="I12" i="11"/>
  <c r="O12" i="7"/>
  <c r="DA62" i="5"/>
  <c r="AP58" i="5"/>
  <c r="H63" i="7"/>
  <c r="F63" i="10"/>
  <c r="J64" i="5"/>
  <c r="DC63" i="5"/>
  <c r="X63" i="1"/>
  <c r="AG58" i="7"/>
  <c r="AI58" i="7" s="1"/>
  <c r="AH58" i="7"/>
  <c r="J64" i="8"/>
  <c r="R63" i="2"/>
  <c r="AA12" i="1"/>
  <c r="S12" i="1" s="1"/>
  <c r="H13" i="1" s="1"/>
  <c r="DD58" i="8"/>
  <c r="DC58" i="8"/>
  <c r="DG63" i="5"/>
  <c r="G63" i="5"/>
  <c r="C62" i="10"/>
  <c r="E62" i="7"/>
  <c r="CZ62" i="5"/>
  <c r="K65" i="8"/>
  <c r="S64" i="2"/>
  <c r="P65" i="2"/>
  <c r="H66" i="8"/>
  <c r="DY58" i="8"/>
  <c r="DZ58" i="8" s="1"/>
  <c r="N63" i="2"/>
  <c r="B65" i="10"/>
  <c r="D65" i="7"/>
  <c r="F66" i="5"/>
  <c r="DF61" i="5"/>
  <c r="BO56" i="1" l="1"/>
  <c r="E56" i="11"/>
  <c r="AO56" i="8"/>
  <c r="BY58" i="8"/>
  <c r="CF58" i="8"/>
  <c r="BT58" i="8"/>
  <c r="BU58" i="8"/>
  <c r="BQ58" i="8"/>
  <c r="BZ58" i="8"/>
  <c r="BP58" i="8"/>
  <c r="CG58" i="8"/>
  <c r="CA60" i="8"/>
  <c r="CH60" i="8"/>
  <c r="AF59" i="11"/>
  <c r="AE59" i="11"/>
  <c r="AC59" i="8" s="1"/>
  <c r="AU57" i="8"/>
  <c r="AT57" i="1" s="1"/>
  <c r="AV57" i="8"/>
  <c r="AW57" i="1" s="1"/>
  <c r="L57" i="1" s="1"/>
  <c r="AO63" i="11"/>
  <c r="AG62" i="5"/>
  <c r="E62" i="9"/>
  <c r="L63" i="11"/>
  <c r="B62" i="1"/>
  <c r="BI62" i="1" s="1"/>
  <c r="B62" i="2"/>
  <c r="AQ56" i="1"/>
  <c r="U56" i="1" s="1"/>
  <c r="J57" i="1" s="1"/>
  <c r="AK56" i="5"/>
  <c r="BM56" i="1"/>
  <c r="AP56" i="8"/>
  <c r="D56" i="11"/>
  <c r="AR56" i="8"/>
  <c r="C56" i="9"/>
  <c r="AR56" i="1"/>
  <c r="V56" i="1" s="1"/>
  <c r="K57" i="1" s="1"/>
  <c r="BN56" i="1"/>
  <c r="AC63" i="1"/>
  <c r="BC64" i="5"/>
  <c r="BK66" i="5"/>
  <c r="AD64" i="1"/>
  <c r="BE64" i="5"/>
  <c r="AE62" i="1"/>
  <c r="AZ67" i="5"/>
  <c r="BP65" i="5"/>
  <c r="AB64" i="1"/>
  <c r="BN67" i="5"/>
  <c r="AF65" i="1"/>
  <c r="O64" i="1"/>
  <c r="DK64" i="8" s="1"/>
  <c r="DI63" i="8"/>
  <c r="DJ63" i="8"/>
  <c r="EO61" i="8"/>
  <c r="DT61" i="8" s="1"/>
  <c r="EQ61" i="8"/>
  <c r="CZ61" i="8" s="1"/>
  <c r="AD60" i="9"/>
  <c r="AV60" i="1" s="1"/>
  <c r="N63" i="1"/>
  <c r="AN60" i="5"/>
  <c r="Y59" i="11"/>
  <c r="AH59" i="1" s="1"/>
  <c r="AA59" i="11"/>
  <c r="AC59" i="11"/>
  <c r="T59" i="8" s="1"/>
  <c r="Z59" i="11"/>
  <c r="AC59" i="2" s="1"/>
  <c r="AB59" i="11"/>
  <c r="P59" i="8" s="1"/>
  <c r="AD59" i="11"/>
  <c r="AI59" i="1" s="1"/>
  <c r="AT59" i="8"/>
  <c r="AQ59" i="8"/>
  <c r="M60" i="1"/>
  <c r="F59" i="11"/>
  <c r="AW59" i="8"/>
  <c r="AV61" i="5"/>
  <c r="AJ66" i="14"/>
  <c r="CM65" i="8"/>
  <c r="A65" i="2"/>
  <c r="M65" i="5"/>
  <c r="A65" i="9"/>
  <c r="A65" i="8"/>
  <c r="A65" i="7"/>
  <c r="B65" i="14"/>
  <c r="J66" i="10"/>
  <c r="AD65" i="8"/>
  <c r="K65" i="11"/>
  <c r="DR60" i="8"/>
  <c r="DS60" i="8"/>
  <c r="DH60" i="8"/>
  <c r="EH60" i="8" s="1"/>
  <c r="DT60" i="8"/>
  <c r="EI59" i="8"/>
  <c r="CV60" i="8"/>
  <c r="DX60" i="8" s="1"/>
  <c r="EB60" i="8" s="1"/>
  <c r="DN60" i="8"/>
  <c r="DO60" i="8"/>
  <c r="Q61" i="1"/>
  <c r="E61" i="14" s="1"/>
  <c r="CU61" i="8"/>
  <c r="CS61" i="8"/>
  <c r="DP61" i="8" s="1"/>
  <c r="CT61" i="8"/>
  <c r="DQ61" i="8" s="1"/>
  <c r="DC59" i="8"/>
  <c r="EE59" i="8" s="1"/>
  <c r="EF59" i="8" s="1"/>
  <c r="Y63" i="1"/>
  <c r="AH59" i="7"/>
  <c r="Q66" i="2"/>
  <c r="I67" i="8"/>
  <c r="AQ59" i="5"/>
  <c r="AU59" i="1" s="1"/>
  <c r="AE60" i="7"/>
  <c r="AF60" i="7" s="1"/>
  <c r="CQ61" i="8"/>
  <c r="DA61" i="8" s="1"/>
  <c r="X60" i="10"/>
  <c r="Y60" i="10" s="1"/>
  <c r="AO60" i="5"/>
  <c r="A61" i="11"/>
  <c r="W61" i="8"/>
  <c r="B61" i="9"/>
  <c r="A61" i="10"/>
  <c r="AA61" i="10" s="1"/>
  <c r="CO60" i="8"/>
  <c r="AM60" i="5"/>
  <c r="AH61" i="5"/>
  <c r="AC61" i="10" s="1"/>
  <c r="C61" i="14"/>
  <c r="CN60" i="8"/>
  <c r="AB60" i="2"/>
  <c r="B61" i="7"/>
  <c r="Q61" i="7" s="1"/>
  <c r="D61" i="9"/>
  <c r="N60" i="11"/>
  <c r="BN61" i="8"/>
  <c r="CR61" i="8" s="1"/>
  <c r="BS61" i="5"/>
  <c r="BO61" i="8"/>
  <c r="DM61" i="8" s="1"/>
  <c r="E61" i="1"/>
  <c r="DL61" i="8"/>
  <c r="AB61" i="8"/>
  <c r="AU61" i="5"/>
  <c r="AI61" i="5"/>
  <c r="DY59" i="8"/>
  <c r="DZ59" i="8" s="1"/>
  <c r="AG59" i="7"/>
  <c r="AI59" i="7" s="1"/>
  <c r="EP60" i="8"/>
  <c r="V62" i="2"/>
  <c r="AL60" i="5"/>
  <c r="N60" i="7"/>
  <c r="AR63" i="5"/>
  <c r="A62" i="5"/>
  <c r="E62" i="5" s="1"/>
  <c r="EQ62" i="8" s="1"/>
  <c r="CZ62" i="8" s="1"/>
  <c r="CX60" i="8"/>
  <c r="CW60" i="8"/>
  <c r="DG60" i="8"/>
  <c r="EG60" i="8" s="1"/>
  <c r="DB60" i="8"/>
  <c r="EC60" i="8" s="1"/>
  <c r="ED60" i="8" s="1"/>
  <c r="F63" i="7"/>
  <c r="H64" i="5"/>
  <c r="D63" i="10"/>
  <c r="CY60" i="8"/>
  <c r="EA60" i="8" s="1"/>
  <c r="DE62" i="5"/>
  <c r="H62" i="10"/>
  <c r="L63" i="5"/>
  <c r="J62" i="7"/>
  <c r="DD62" i="5"/>
  <c r="I62" i="7"/>
  <c r="K63" i="5"/>
  <c r="G62" i="10"/>
  <c r="E63" i="10"/>
  <c r="I64" i="5"/>
  <c r="DB63" i="5"/>
  <c r="G63" i="7"/>
  <c r="P60" i="1"/>
  <c r="D59" i="14"/>
  <c r="P66" i="2"/>
  <c r="H67" i="8"/>
  <c r="DF65" i="8"/>
  <c r="M65" i="2"/>
  <c r="J63" i="2"/>
  <c r="EE58" i="8"/>
  <c r="EF58" i="8" s="1"/>
  <c r="DC64" i="5"/>
  <c r="H64" i="7"/>
  <c r="F64" i="10"/>
  <c r="J65" i="5"/>
  <c r="DG64" i="5"/>
  <c r="V13" i="10"/>
  <c r="AJ13" i="5"/>
  <c r="BK13" i="1"/>
  <c r="AN13" i="8"/>
  <c r="C13" i="11"/>
  <c r="AC13" i="7"/>
  <c r="D66" i="7"/>
  <c r="F67" i="5"/>
  <c r="B66" i="10"/>
  <c r="K64" i="10"/>
  <c r="AA64" i="7"/>
  <c r="AE64" i="8" s="1"/>
  <c r="BC64" i="8" s="1"/>
  <c r="R64" i="2"/>
  <c r="J65" i="8"/>
  <c r="DD60" i="8"/>
  <c r="DC60" i="8"/>
  <c r="B63" i="5"/>
  <c r="C12" i="8"/>
  <c r="N64" i="2"/>
  <c r="X64" i="1"/>
  <c r="CY64" i="5"/>
  <c r="W62" i="1"/>
  <c r="DA63" i="5"/>
  <c r="O65" i="2"/>
  <c r="DE65" i="8"/>
  <c r="K66" i="8"/>
  <c r="S65" i="2"/>
  <c r="G64" i="5"/>
  <c r="E63" i="7"/>
  <c r="CZ63" i="5"/>
  <c r="C63" i="10"/>
  <c r="P12" i="7"/>
  <c r="F12" i="9"/>
  <c r="DF62" i="5"/>
  <c r="BO57" i="1" l="1"/>
  <c r="E57" i="11"/>
  <c r="AO57" i="8"/>
  <c r="AF60" i="11"/>
  <c r="AE60" i="11"/>
  <c r="AC60" i="8" s="1"/>
  <c r="AV58" i="8"/>
  <c r="AW58" i="1" s="1"/>
  <c r="L58" i="1" s="1"/>
  <c r="CA61" i="8"/>
  <c r="CH61" i="8"/>
  <c r="BQ59" i="8"/>
  <c r="BU59" i="8"/>
  <c r="BP59" i="8"/>
  <c r="CG59" i="8"/>
  <c r="BT59" i="8"/>
  <c r="BZ59" i="8"/>
  <c r="BY59" i="8"/>
  <c r="CF59" i="8"/>
  <c r="AU58" i="8"/>
  <c r="AT58" i="1" s="1"/>
  <c r="AO64" i="11"/>
  <c r="L64" i="11"/>
  <c r="E63" i="9"/>
  <c r="AG63" i="5"/>
  <c r="B63" i="2"/>
  <c r="B63" i="1"/>
  <c r="BI63" i="1" s="1"/>
  <c r="AP57" i="8"/>
  <c r="AK57" i="5"/>
  <c r="AQ57" i="1"/>
  <c r="U57" i="1" s="1"/>
  <c r="J58" i="1" s="1"/>
  <c r="BM57" i="1"/>
  <c r="D57" i="11"/>
  <c r="AR57" i="8"/>
  <c r="AR57" i="1"/>
  <c r="V57" i="1" s="1"/>
  <c r="K58" i="1" s="1"/>
  <c r="C57" i="9"/>
  <c r="BN57" i="1"/>
  <c r="EP61" i="8"/>
  <c r="AC64" i="1"/>
  <c r="BC65" i="5"/>
  <c r="DH61" i="8"/>
  <c r="EH61" i="8" s="1"/>
  <c r="BP66" i="5"/>
  <c r="AB65" i="1"/>
  <c r="BK67" i="5"/>
  <c r="AD65" i="1"/>
  <c r="BN68" i="5"/>
  <c r="AF66" i="1"/>
  <c r="BE65" i="5"/>
  <c r="AE63" i="1"/>
  <c r="W63" i="1" s="1"/>
  <c r="AZ68" i="5"/>
  <c r="O65" i="1"/>
  <c r="DK65" i="8" s="1"/>
  <c r="DJ64" i="8"/>
  <c r="DI64" i="8"/>
  <c r="AS13" i="8"/>
  <c r="AO13" i="1"/>
  <c r="AD61" i="9"/>
  <c r="AV61" i="1" s="1"/>
  <c r="N64" i="1"/>
  <c r="AP60" i="5"/>
  <c r="AE61" i="7"/>
  <c r="Y60" i="11"/>
  <c r="AH60" i="1" s="1"/>
  <c r="AC60" i="11"/>
  <c r="T60" i="8" s="1"/>
  <c r="AA60" i="11"/>
  <c r="AB60" i="11"/>
  <c r="P60" i="8" s="1"/>
  <c r="Z60" i="11"/>
  <c r="AC60" i="2" s="1"/>
  <c r="AD60" i="11"/>
  <c r="AI60" i="1" s="1"/>
  <c r="BL13" i="1"/>
  <c r="AT60" i="8"/>
  <c r="AQ60" i="8"/>
  <c r="F60" i="11"/>
  <c r="M61" i="1"/>
  <c r="AW60" i="8"/>
  <c r="N61" i="7"/>
  <c r="EI60" i="8"/>
  <c r="A66" i="2"/>
  <c r="K66" i="11"/>
  <c r="A66" i="7"/>
  <c r="AD66" i="8"/>
  <c r="B66" i="14"/>
  <c r="J67" i="10"/>
  <c r="A66" i="8"/>
  <c r="A66" i="9"/>
  <c r="M66" i="5"/>
  <c r="CM66" i="8"/>
  <c r="AJ67" i="14"/>
  <c r="DR61" i="8"/>
  <c r="DS61" i="8"/>
  <c r="CX61" i="8"/>
  <c r="DN61" i="8"/>
  <c r="DO61" i="8"/>
  <c r="BN62" i="8"/>
  <c r="CN62" i="8" s="1"/>
  <c r="CS62" i="8"/>
  <c r="DP62" i="8" s="1"/>
  <c r="CT62" i="8"/>
  <c r="DQ62" i="8" s="1"/>
  <c r="CU62" i="8"/>
  <c r="AQ60" i="5"/>
  <c r="AU60" i="1" s="1"/>
  <c r="Y64" i="1"/>
  <c r="AG60" i="7"/>
  <c r="AI60" i="7" s="1"/>
  <c r="X61" i="10"/>
  <c r="Y61" i="10" s="1"/>
  <c r="Q67" i="2"/>
  <c r="I68" i="8"/>
  <c r="AO61" i="5"/>
  <c r="CN61" i="8"/>
  <c r="D62" i="9"/>
  <c r="CO61" i="8"/>
  <c r="AN61" i="5"/>
  <c r="AH60" i="7"/>
  <c r="AM61" i="5"/>
  <c r="N61" i="11"/>
  <c r="AL61" i="5"/>
  <c r="CW61" i="8"/>
  <c r="CY61" i="8"/>
  <c r="EA61" i="8" s="1"/>
  <c r="DG61" i="8"/>
  <c r="EG61" i="8" s="1"/>
  <c r="DB61" i="8"/>
  <c r="EC61" i="8" s="1"/>
  <c r="ED61" i="8" s="1"/>
  <c r="CV61" i="8"/>
  <c r="DX61" i="8" s="1"/>
  <c r="EB61" i="8" s="1"/>
  <c r="CQ62" i="8"/>
  <c r="DA62" i="8" s="1"/>
  <c r="AB62" i="8"/>
  <c r="A62" i="10"/>
  <c r="AA62" i="10" s="1"/>
  <c r="E62" i="1"/>
  <c r="A62" i="11"/>
  <c r="Q62" i="1"/>
  <c r="E62" i="14" s="1"/>
  <c r="W62" i="8"/>
  <c r="BO62" i="8"/>
  <c r="DM62" i="8" s="1"/>
  <c r="B62" i="7"/>
  <c r="AE62" i="7" s="1"/>
  <c r="AF62" i="7" s="1"/>
  <c r="EO62" i="8"/>
  <c r="BS62" i="5"/>
  <c r="AI62" i="5"/>
  <c r="DL62" i="8"/>
  <c r="A63" i="5"/>
  <c r="E63" i="5" s="1"/>
  <c r="EQ63" i="8" s="1"/>
  <c r="CZ63" i="8" s="1"/>
  <c r="AH62" i="5"/>
  <c r="AC62" i="10" s="1"/>
  <c r="AV62" i="5"/>
  <c r="AU62" i="5"/>
  <c r="B62" i="9"/>
  <c r="AB61" i="2"/>
  <c r="C62" i="14"/>
  <c r="DY60" i="8"/>
  <c r="DZ60" i="8" s="1"/>
  <c r="AR64" i="5"/>
  <c r="V63" i="2"/>
  <c r="H65" i="5"/>
  <c r="D64" i="10"/>
  <c r="F64" i="7"/>
  <c r="J63" i="7"/>
  <c r="DE63" i="5"/>
  <c r="L64" i="5"/>
  <c r="H63" i="10"/>
  <c r="I63" i="7"/>
  <c r="G63" i="10"/>
  <c r="DD63" i="5"/>
  <c r="K64" i="5"/>
  <c r="G64" i="7"/>
  <c r="I65" i="5"/>
  <c r="DB64" i="5"/>
  <c r="E64" i="10"/>
  <c r="EE60" i="8"/>
  <c r="EF60" i="8" s="1"/>
  <c r="B64" i="5"/>
  <c r="Y12" i="2"/>
  <c r="X12" i="2" s="1"/>
  <c r="DG65" i="5"/>
  <c r="O66" i="2"/>
  <c r="DE66" i="8"/>
  <c r="DD61" i="8"/>
  <c r="DC61" i="8"/>
  <c r="G65" i="5"/>
  <c r="CZ64" i="5"/>
  <c r="C64" i="10"/>
  <c r="E64" i="7"/>
  <c r="CY65" i="5"/>
  <c r="K65" i="10"/>
  <c r="AA65" i="7"/>
  <c r="AE65" i="8" s="1"/>
  <c r="BC65" i="8" s="1"/>
  <c r="D60" i="14"/>
  <c r="P61" i="1"/>
  <c r="B65" i="5"/>
  <c r="DA64" i="5"/>
  <c r="M66" i="2"/>
  <c r="DF66" i="8"/>
  <c r="K67" i="8"/>
  <c r="S66" i="2"/>
  <c r="N65" i="2"/>
  <c r="J66" i="8"/>
  <c r="R65" i="2"/>
  <c r="DC65" i="5"/>
  <c r="F65" i="10"/>
  <c r="J66" i="5"/>
  <c r="H65" i="7"/>
  <c r="F68" i="5"/>
  <c r="B67" i="10"/>
  <c r="D67" i="7"/>
  <c r="X65" i="1"/>
  <c r="P67" i="2"/>
  <c r="H68" i="8"/>
  <c r="J64" i="2"/>
  <c r="DF63" i="5"/>
  <c r="BO58" i="1" l="1"/>
  <c r="E58" i="11"/>
  <c r="AO58" i="8"/>
  <c r="AE61" i="11"/>
  <c r="AC61" i="8" s="1"/>
  <c r="AF61" i="11"/>
  <c r="AU59" i="8"/>
  <c r="AT59" i="1" s="1"/>
  <c r="BQ60" i="8"/>
  <c r="BU60" i="8"/>
  <c r="CG60" i="8"/>
  <c r="BT60" i="8"/>
  <c r="BY60" i="8"/>
  <c r="BZ60" i="8"/>
  <c r="BP60" i="8"/>
  <c r="AU60" i="8" s="1"/>
  <c r="AT60" i="1" s="1"/>
  <c r="CF60" i="8"/>
  <c r="CA62" i="8"/>
  <c r="CH62" i="8"/>
  <c r="AV59" i="8"/>
  <c r="AW59" i="1" s="1"/>
  <c r="L59" i="1" s="1"/>
  <c r="AO65" i="11"/>
  <c r="E64" i="9"/>
  <c r="AG64" i="5"/>
  <c r="L65" i="11"/>
  <c r="B64" i="2"/>
  <c r="B64" i="1"/>
  <c r="BI64" i="1" s="1"/>
  <c r="AQ58" i="1"/>
  <c r="U58" i="1" s="1"/>
  <c r="J59" i="1" s="1"/>
  <c r="BM58" i="1"/>
  <c r="AP58" i="8"/>
  <c r="AK58" i="5"/>
  <c r="D58" i="11"/>
  <c r="BN58" i="1"/>
  <c r="AR58" i="1"/>
  <c r="V58" i="1" s="1"/>
  <c r="K59" i="1" s="1"/>
  <c r="AR58" i="8"/>
  <c r="C58" i="9"/>
  <c r="AC65" i="1"/>
  <c r="BC66" i="5"/>
  <c r="EI61" i="8"/>
  <c r="BP67" i="5"/>
  <c r="AB66" i="1"/>
  <c r="AZ69" i="5"/>
  <c r="BK68" i="5"/>
  <c r="AD66" i="1"/>
  <c r="BN69" i="5"/>
  <c r="AF67" i="1"/>
  <c r="BE66" i="5"/>
  <c r="AE64" i="1"/>
  <c r="W64" i="1" s="1"/>
  <c r="O66" i="1"/>
  <c r="DK66" i="8" s="1"/>
  <c r="DI65" i="8"/>
  <c r="DJ65" i="8"/>
  <c r="AD62" i="9"/>
  <c r="AV62" i="1" s="1"/>
  <c r="N65" i="1"/>
  <c r="AF61" i="7"/>
  <c r="AH61" i="7" s="1"/>
  <c r="AG61" i="7"/>
  <c r="AI61" i="7" s="1"/>
  <c r="Y61" i="11"/>
  <c r="AH61" i="1" s="1"/>
  <c r="AA61" i="11"/>
  <c r="AC61" i="11"/>
  <c r="T61" i="8" s="1"/>
  <c r="AD61" i="11"/>
  <c r="AI61" i="1" s="1"/>
  <c r="Z61" i="11"/>
  <c r="AC61" i="2" s="1"/>
  <c r="AB61" i="11"/>
  <c r="P61" i="8" s="1"/>
  <c r="AQ61" i="5"/>
  <c r="AU61" i="1" s="1"/>
  <c r="AT61" i="8"/>
  <c r="AQ61" i="8"/>
  <c r="M62" i="1"/>
  <c r="F61" i="11"/>
  <c r="AW61" i="8"/>
  <c r="CR62" i="8"/>
  <c r="DD62" i="8" s="1"/>
  <c r="A67" i="2"/>
  <c r="M67" i="5"/>
  <c r="A67" i="9"/>
  <c r="B67" i="14"/>
  <c r="AD67" i="8"/>
  <c r="A67" i="7"/>
  <c r="J68" i="10"/>
  <c r="K67" i="11"/>
  <c r="A67" i="8"/>
  <c r="CM67" i="8"/>
  <c r="AJ68" i="14"/>
  <c r="EP62" i="8"/>
  <c r="DT62" i="8"/>
  <c r="DR62" i="8"/>
  <c r="DS62" i="8"/>
  <c r="DY61" i="8"/>
  <c r="DZ61" i="8" s="1"/>
  <c r="DB62" i="8"/>
  <c r="EC62" i="8" s="1"/>
  <c r="ED62" i="8" s="1"/>
  <c r="DN62" i="8"/>
  <c r="DO62" i="8"/>
  <c r="CS63" i="8"/>
  <c r="DP63" i="8" s="1"/>
  <c r="CT63" i="8"/>
  <c r="DQ63" i="8" s="1"/>
  <c r="CU63" i="8"/>
  <c r="CO62" i="8"/>
  <c r="D63" i="9"/>
  <c r="Y65" i="1"/>
  <c r="I69" i="8"/>
  <c r="Q68" i="2"/>
  <c r="N62" i="11"/>
  <c r="CX62" i="8"/>
  <c r="CW62" i="8"/>
  <c r="AP61" i="5"/>
  <c r="Q62" i="7"/>
  <c r="CV62" i="8"/>
  <c r="DX62" i="8" s="1"/>
  <c r="EB62" i="8" s="1"/>
  <c r="CY62" i="8"/>
  <c r="EA62" i="8" s="1"/>
  <c r="DL63" i="8"/>
  <c r="DG62" i="8"/>
  <c r="EG62" i="8" s="1"/>
  <c r="C63" i="14"/>
  <c r="Q63" i="1"/>
  <c r="E63" i="14" s="1"/>
  <c r="A63" i="10"/>
  <c r="AA63" i="10" s="1"/>
  <c r="AB62" i="2"/>
  <c r="X62" i="10"/>
  <c r="Y62" i="10" s="1"/>
  <c r="BN63" i="8"/>
  <c r="CR63" i="8" s="1"/>
  <c r="EO63" i="8"/>
  <c r="AI63" i="5"/>
  <c r="N62" i="7"/>
  <c r="AB63" i="8"/>
  <c r="E63" i="1"/>
  <c r="B63" i="9"/>
  <c r="W63" i="8"/>
  <c r="AH63" i="5"/>
  <c r="A63" i="11"/>
  <c r="AU63" i="5"/>
  <c r="AV63" i="5"/>
  <c r="AN62" i="5"/>
  <c r="BO63" i="8"/>
  <c r="DM63" i="8" s="1"/>
  <c r="BS63" i="5"/>
  <c r="B63" i="7"/>
  <c r="Q63" i="7" s="1"/>
  <c r="AM62" i="5"/>
  <c r="CQ63" i="8"/>
  <c r="DA63" i="8" s="1"/>
  <c r="AO62" i="5"/>
  <c r="AL62" i="5"/>
  <c r="DH62" i="8"/>
  <c r="EH62" i="8" s="1"/>
  <c r="A64" i="5"/>
  <c r="E64" i="5" s="1"/>
  <c r="EQ64" i="8" s="1"/>
  <c r="CZ64" i="8" s="1"/>
  <c r="AR65" i="5"/>
  <c r="H66" i="5"/>
  <c r="F65" i="7"/>
  <c r="D65" i="10"/>
  <c r="H64" i="10"/>
  <c r="L65" i="5"/>
  <c r="J64" i="7"/>
  <c r="DE64" i="5"/>
  <c r="V64" i="2"/>
  <c r="DD64" i="5"/>
  <c r="G64" i="10"/>
  <c r="K65" i="5"/>
  <c r="I64" i="7"/>
  <c r="DB65" i="5"/>
  <c r="I66" i="5"/>
  <c r="G65" i="7"/>
  <c r="E65" i="10"/>
  <c r="R66" i="2"/>
  <c r="J67" i="8"/>
  <c r="P68" i="2"/>
  <c r="H69" i="8"/>
  <c r="DF67" i="8"/>
  <c r="M67" i="2"/>
  <c r="DA65" i="5"/>
  <c r="S67" i="2"/>
  <c r="K68" i="8"/>
  <c r="E65" i="7"/>
  <c r="CZ65" i="5"/>
  <c r="G66" i="5"/>
  <c r="C65" i="10"/>
  <c r="E13" i="2"/>
  <c r="AB13" i="7"/>
  <c r="H13" i="11"/>
  <c r="L13" i="2"/>
  <c r="B13" i="8"/>
  <c r="D13" i="2" s="1"/>
  <c r="BD13" i="8"/>
  <c r="X66" i="1"/>
  <c r="CY66" i="5"/>
  <c r="D61" i="14"/>
  <c r="P62" i="1"/>
  <c r="DG66" i="5"/>
  <c r="DE67" i="8"/>
  <c r="O67" i="2"/>
  <c r="B68" i="10"/>
  <c r="F69" i="5"/>
  <c r="D68" i="7"/>
  <c r="J65" i="2"/>
  <c r="AH62" i="7"/>
  <c r="AG62" i="7"/>
  <c r="AI62" i="7" s="1"/>
  <c r="J67" i="5"/>
  <c r="H66" i="7"/>
  <c r="F66" i="10"/>
  <c r="DC66" i="5"/>
  <c r="N66" i="2"/>
  <c r="K66" i="10"/>
  <c r="AA66" i="7"/>
  <c r="AE66" i="8" s="1"/>
  <c r="BC66" i="8" s="1"/>
  <c r="EE61" i="8"/>
  <c r="EF61" i="8" s="1"/>
  <c r="DF64" i="5"/>
  <c r="AO59" i="8" l="1"/>
  <c r="BO59" i="1"/>
  <c r="E59" i="11"/>
  <c r="AE62" i="11"/>
  <c r="AC62" i="8" s="1"/>
  <c r="AF62" i="11"/>
  <c r="AV60" i="8"/>
  <c r="AW60" i="1" s="1"/>
  <c r="L60" i="1" s="1"/>
  <c r="BY61" i="8"/>
  <c r="BP61" i="8"/>
  <c r="BQ61" i="8"/>
  <c r="BU61" i="8"/>
  <c r="CF61" i="8"/>
  <c r="BT61" i="8"/>
  <c r="CG61" i="8"/>
  <c r="BZ61" i="8"/>
  <c r="CA63" i="8"/>
  <c r="CH63" i="8"/>
  <c r="AO66" i="11"/>
  <c r="N63" i="11"/>
  <c r="L66" i="11"/>
  <c r="E65" i="9"/>
  <c r="AG65" i="5"/>
  <c r="B65" i="1"/>
  <c r="BI65" i="1" s="1"/>
  <c r="B65" i="2"/>
  <c r="AK59" i="5"/>
  <c r="D59" i="11"/>
  <c r="AQ59" i="1"/>
  <c r="U59" i="1" s="1"/>
  <c r="J60" i="1" s="1"/>
  <c r="BM59" i="1"/>
  <c r="AP59" i="8"/>
  <c r="AR59" i="8"/>
  <c r="C59" i="9"/>
  <c r="AR59" i="1"/>
  <c r="V59" i="1" s="1"/>
  <c r="K60" i="1" s="1"/>
  <c r="BN59" i="1"/>
  <c r="AC66" i="1"/>
  <c r="BC67" i="5"/>
  <c r="BN70" i="5"/>
  <c r="AF68" i="1"/>
  <c r="BE67" i="5"/>
  <c r="AE65" i="1"/>
  <c r="W65" i="1" s="1"/>
  <c r="BP68" i="5"/>
  <c r="AB67" i="1"/>
  <c r="AZ70" i="5"/>
  <c r="BK69" i="5"/>
  <c r="AD67" i="1"/>
  <c r="O67" i="1"/>
  <c r="DK67" i="8" s="1"/>
  <c r="DI66" i="8"/>
  <c r="DJ66" i="8"/>
  <c r="AD63" i="9"/>
  <c r="AV63" i="1" s="1"/>
  <c r="N66" i="1"/>
  <c r="DC62" i="8"/>
  <c r="EE62" i="8" s="1"/>
  <c r="EF62" i="8" s="1"/>
  <c r="AC62" i="11"/>
  <c r="T62" i="8" s="1"/>
  <c r="AA62" i="11"/>
  <c r="Y62" i="11"/>
  <c r="AH62" i="1" s="1"/>
  <c r="AD62" i="11"/>
  <c r="AI62" i="1" s="1"/>
  <c r="Z62" i="11"/>
  <c r="AC62" i="2" s="1"/>
  <c r="AB62" i="11"/>
  <c r="P62" i="8" s="1"/>
  <c r="AT62" i="8"/>
  <c r="AW62" i="8"/>
  <c r="AQ62" i="8"/>
  <c r="F62" i="11"/>
  <c r="M63" i="1"/>
  <c r="N63" i="7"/>
  <c r="CM68" i="8"/>
  <c r="AJ69" i="14"/>
  <c r="A68" i="2"/>
  <c r="M68" i="5"/>
  <c r="A68" i="9"/>
  <c r="B68" i="14"/>
  <c r="AD68" i="8"/>
  <c r="J69" i="10"/>
  <c r="K68" i="11"/>
  <c r="A68" i="7"/>
  <c r="A68" i="8"/>
  <c r="DR63" i="8"/>
  <c r="DS63" i="8"/>
  <c r="EP63" i="8"/>
  <c r="DT63" i="8"/>
  <c r="CW63" i="8"/>
  <c r="DN63" i="8"/>
  <c r="DO63" i="8"/>
  <c r="CU64" i="8"/>
  <c r="CT64" i="8"/>
  <c r="DQ64" i="8" s="1"/>
  <c r="CS64" i="8"/>
  <c r="DP64" i="8" s="1"/>
  <c r="Y66" i="1"/>
  <c r="Q69" i="2"/>
  <c r="I70" i="8"/>
  <c r="AO63" i="5"/>
  <c r="DY62" i="8"/>
  <c r="DZ62" i="8" s="1"/>
  <c r="AN63" i="5"/>
  <c r="DH63" i="8"/>
  <c r="EH63" i="8" s="1"/>
  <c r="AM63" i="5"/>
  <c r="EI62" i="8"/>
  <c r="AC63" i="10"/>
  <c r="X63" i="10" s="1"/>
  <c r="Y63" i="10" s="1"/>
  <c r="D64" i="9"/>
  <c r="CO63" i="8"/>
  <c r="CN63" i="8"/>
  <c r="AL63" i="5"/>
  <c r="CX63" i="8"/>
  <c r="CY63" i="8"/>
  <c r="EA63" i="8" s="1"/>
  <c r="DG63" i="8"/>
  <c r="EG63" i="8" s="1"/>
  <c r="CV63" i="8"/>
  <c r="DX63" i="8" s="1"/>
  <c r="EB63" i="8" s="1"/>
  <c r="AE63" i="7"/>
  <c r="AF63" i="7" s="1"/>
  <c r="DB63" i="8"/>
  <c r="EC63" i="8" s="1"/>
  <c r="ED63" i="8" s="1"/>
  <c r="A65" i="5"/>
  <c r="E65" i="5" s="1"/>
  <c r="EQ65" i="8" s="1"/>
  <c r="CZ65" i="8" s="1"/>
  <c r="AP62" i="5"/>
  <c r="AQ62" i="5"/>
  <c r="AU62" i="1" s="1"/>
  <c r="H67" i="5"/>
  <c r="F66" i="7"/>
  <c r="D66" i="10"/>
  <c r="V65" i="2"/>
  <c r="AR66" i="5"/>
  <c r="L66" i="5"/>
  <c r="H65" i="10"/>
  <c r="J65" i="7"/>
  <c r="DE65" i="5"/>
  <c r="I65" i="7"/>
  <c r="DD65" i="5"/>
  <c r="K66" i="5"/>
  <c r="G65" i="10"/>
  <c r="DB66" i="5"/>
  <c r="G66" i="7"/>
  <c r="I67" i="5"/>
  <c r="E66" i="10"/>
  <c r="AA67" i="7"/>
  <c r="AE67" i="8" s="1"/>
  <c r="BC67" i="8" s="1"/>
  <c r="K67" i="10"/>
  <c r="DG67" i="5"/>
  <c r="DA66" i="5"/>
  <c r="P63" i="1"/>
  <c r="D62" i="14"/>
  <c r="X67" i="1"/>
  <c r="G67" i="5"/>
  <c r="C66" i="10"/>
  <c r="E66" i="7"/>
  <c r="CZ66" i="5"/>
  <c r="DF68" i="8"/>
  <c r="M68" i="2"/>
  <c r="N67" i="2"/>
  <c r="AU64" i="5"/>
  <c r="A64" i="10"/>
  <c r="AA64" i="10" s="1"/>
  <c r="Q64" i="1"/>
  <c r="E64" i="14" s="1"/>
  <c r="AV64" i="5"/>
  <c r="E64" i="1"/>
  <c r="BS64" i="5"/>
  <c r="AH64" i="5"/>
  <c r="C64" i="14"/>
  <c r="B64" i="7"/>
  <c r="A64" i="11"/>
  <c r="AI64" i="5"/>
  <c r="W64" i="8"/>
  <c r="B64" i="9"/>
  <c r="AB63" i="2"/>
  <c r="BN64" i="8"/>
  <c r="BO64" i="8"/>
  <c r="DM64" i="8" s="1"/>
  <c r="EO64" i="8"/>
  <c r="DT64" i="8" s="1"/>
  <c r="AB64" i="8"/>
  <c r="CQ64" i="8"/>
  <c r="DA64" i="8" s="1"/>
  <c r="DL64" i="8"/>
  <c r="DD63" i="8"/>
  <c r="DC63" i="8"/>
  <c r="R67" i="2"/>
  <c r="J68" i="8"/>
  <c r="DC67" i="5"/>
  <c r="H67" i="7"/>
  <c r="F67" i="10"/>
  <c r="J68" i="5"/>
  <c r="DE68" i="8"/>
  <c r="O68" i="2"/>
  <c r="CY67" i="5"/>
  <c r="S68" i="2"/>
  <c r="K69" i="8"/>
  <c r="U13" i="2"/>
  <c r="W12" i="2" s="1"/>
  <c r="C13" i="2" s="1"/>
  <c r="B69" i="10"/>
  <c r="D69" i="7"/>
  <c r="F70" i="5"/>
  <c r="P69" i="2"/>
  <c r="H70" i="8"/>
  <c r="B66" i="5"/>
  <c r="J66" i="2"/>
  <c r="DF65" i="5"/>
  <c r="E60" i="11" l="1"/>
  <c r="AO60" i="8"/>
  <c r="BO60" i="1"/>
  <c r="AV61" i="8"/>
  <c r="AW61" i="1" s="1"/>
  <c r="L61" i="1" s="1"/>
  <c r="CA64" i="8"/>
  <c r="CH64" i="8"/>
  <c r="AE63" i="11"/>
  <c r="AC63" i="8" s="1"/>
  <c r="AF63" i="11"/>
  <c r="AU61" i="8"/>
  <c r="AT61" i="1" s="1"/>
  <c r="BY62" i="8"/>
  <c r="CF62" i="8"/>
  <c r="BU62" i="8"/>
  <c r="BP62" i="8"/>
  <c r="CG62" i="8"/>
  <c r="BQ62" i="8"/>
  <c r="BT62" i="8"/>
  <c r="BZ62" i="8"/>
  <c r="AO67" i="11"/>
  <c r="L67" i="11"/>
  <c r="E66" i="9"/>
  <c r="AG66" i="5"/>
  <c r="B66" i="1"/>
  <c r="BI66" i="1" s="1"/>
  <c r="B66" i="2"/>
  <c r="J67" i="2"/>
  <c r="D60" i="11"/>
  <c r="BM60" i="1"/>
  <c r="AQ60" i="1"/>
  <c r="U60" i="1" s="1"/>
  <c r="J61" i="1" s="1"/>
  <c r="AK60" i="5"/>
  <c r="AP60" i="8"/>
  <c r="C60" i="9"/>
  <c r="AR60" i="1"/>
  <c r="V60" i="1" s="1"/>
  <c r="K61" i="1" s="1"/>
  <c r="BN60" i="1"/>
  <c r="AR60" i="8"/>
  <c r="AC67" i="1"/>
  <c r="BC68" i="5"/>
  <c r="AZ71" i="5"/>
  <c r="BN71" i="5"/>
  <c r="AF69" i="1"/>
  <c r="BK70" i="5"/>
  <c r="AD68" i="1"/>
  <c r="BE68" i="5"/>
  <c r="AE66" i="1"/>
  <c r="W66" i="1" s="1"/>
  <c r="BP69" i="5"/>
  <c r="AB68" i="1"/>
  <c r="O68" i="1"/>
  <c r="DK68" i="8" s="1"/>
  <c r="DI67" i="8"/>
  <c r="DJ67" i="8"/>
  <c r="AD64" i="9"/>
  <c r="AV64" i="1" s="1"/>
  <c r="N67" i="1"/>
  <c r="AA63" i="11"/>
  <c r="AC63" i="11"/>
  <c r="T63" i="8" s="1"/>
  <c r="Y63" i="11"/>
  <c r="AH63" i="1" s="1"/>
  <c r="AD63" i="11"/>
  <c r="AI63" i="1" s="1"/>
  <c r="AB63" i="11"/>
  <c r="P63" i="8" s="1"/>
  <c r="Z63" i="11"/>
  <c r="AC63" i="2" s="1"/>
  <c r="AT63" i="8"/>
  <c r="AQ63" i="8"/>
  <c r="F63" i="11"/>
  <c r="M64" i="1"/>
  <c r="AW63" i="8"/>
  <c r="A69" i="2"/>
  <c r="M69" i="5"/>
  <c r="A69" i="9"/>
  <c r="A69" i="7"/>
  <c r="A69" i="8"/>
  <c r="J70" i="10"/>
  <c r="B69" i="14"/>
  <c r="AD69" i="8"/>
  <c r="K69" i="11"/>
  <c r="CM69" i="8"/>
  <c r="AJ70" i="14"/>
  <c r="DR64" i="8"/>
  <c r="DS64" i="8"/>
  <c r="DY63" i="8"/>
  <c r="DZ63" i="8" s="1"/>
  <c r="DN64" i="8"/>
  <c r="DO64" i="8"/>
  <c r="CS65" i="8"/>
  <c r="DP65" i="8" s="1"/>
  <c r="CT65" i="8"/>
  <c r="DQ65" i="8" s="1"/>
  <c r="CU65" i="8"/>
  <c r="B67" i="5"/>
  <c r="Y67" i="1"/>
  <c r="AH63" i="7"/>
  <c r="Q70" i="2"/>
  <c r="I71" i="8"/>
  <c r="AQ63" i="5"/>
  <c r="AU63" i="1" s="1"/>
  <c r="AG63" i="7"/>
  <c r="AI63" i="7" s="1"/>
  <c r="EI63" i="8"/>
  <c r="AP63" i="5"/>
  <c r="CQ65" i="8"/>
  <c r="DA65" i="8" s="1"/>
  <c r="BS65" i="5"/>
  <c r="W65" i="8"/>
  <c r="AB65" i="8"/>
  <c r="EO65" i="8"/>
  <c r="Q65" i="1"/>
  <c r="E65" i="14" s="1"/>
  <c r="A65" i="10"/>
  <c r="AA65" i="10" s="1"/>
  <c r="B65" i="7"/>
  <c r="AE65" i="7" s="1"/>
  <c r="AF65" i="7" s="1"/>
  <c r="AV65" i="5"/>
  <c r="AH65" i="5"/>
  <c r="C65" i="14"/>
  <c r="AB64" i="2"/>
  <c r="AI65" i="5"/>
  <c r="B65" i="9"/>
  <c r="A65" i="11"/>
  <c r="BN65" i="8"/>
  <c r="CO65" i="8" s="1"/>
  <c r="E65" i="1"/>
  <c r="BO65" i="8"/>
  <c r="DM65" i="8" s="1"/>
  <c r="AU65" i="5"/>
  <c r="DL65" i="8"/>
  <c r="AR67" i="5"/>
  <c r="D67" i="10"/>
  <c r="F67" i="7"/>
  <c r="H68" i="5"/>
  <c r="J66" i="7"/>
  <c r="L67" i="5"/>
  <c r="DE66" i="5"/>
  <c r="H66" i="10"/>
  <c r="G66" i="10"/>
  <c r="K67" i="5"/>
  <c r="I66" i="7"/>
  <c r="DD66" i="5"/>
  <c r="V66" i="2"/>
  <c r="A66" i="5"/>
  <c r="E66" i="5" s="1"/>
  <c r="EQ66" i="8" s="1"/>
  <c r="CZ66" i="8" s="1"/>
  <c r="I68" i="5"/>
  <c r="DB67" i="5"/>
  <c r="G67" i="7"/>
  <c r="E67" i="10"/>
  <c r="AN64" i="5"/>
  <c r="EE63" i="8"/>
  <c r="EF63" i="8" s="1"/>
  <c r="Q64" i="7"/>
  <c r="AE64" i="7"/>
  <c r="AF64" i="7" s="1"/>
  <c r="CZ67" i="5"/>
  <c r="G68" i="5"/>
  <c r="C67" i="10"/>
  <c r="E67" i="7"/>
  <c r="X68" i="1"/>
  <c r="DH64" i="8"/>
  <c r="EH64" i="8" s="1"/>
  <c r="EP64" i="8"/>
  <c r="N64" i="11"/>
  <c r="DG68" i="5"/>
  <c r="AM64" i="5"/>
  <c r="AC64" i="10"/>
  <c r="X64" i="10" s="1"/>
  <c r="Y64" i="10" s="1"/>
  <c r="AO64" i="5"/>
  <c r="AL64" i="5"/>
  <c r="CO64" i="8"/>
  <c r="CN64" i="8"/>
  <c r="CR64" i="8"/>
  <c r="H68" i="7"/>
  <c r="DC68" i="5"/>
  <c r="J69" i="5"/>
  <c r="F68" i="10"/>
  <c r="N64" i="7"/>
  <c r="D65" i="9"/>
  <c r="H71" i="8"/>
  <c r="P70" i="2"/>
  <c r="S69" i="2"/>
  <c r="K70" i="8"/>
  <c r="O69" i="2"/>
  <c r="DE69" i="8"/>
  <c r="D70" i="7"/>
  <c r="B70" i="10"/>
  <c r="F71" i="5"/>
  <c r="I13" i="2"/>
  <c r="H13" i="2"/>
  <c r="F13" i="2"/>
  <c r="F13" i="1"/>
  <c r="DG64" i="8"/>
  <c r="EG64" i="8" s="1"/>
  <c r="CW64" i="8"/>
  <c r="CY64" i="8"/>
  <c r="EA64" i="8" s="1"/>
  <c r="CV64" i="8"/>
  <c r="DX64" i="8" s="1"/>
  <c r="DB64" i="8"/>
  <c r="EC64" i="8" s="1"/>
  <c r="ED64" i="8" s="1"/>
  <c r="CX64" i="8"/>
  <c r="M69" i="2"/>
  <c r="DF69" i="8"/>
  <c r="N68" i="2"/>
  <c r="CY68" i="5"/>
  <c r="R68" i="2"/>
  <c r="J69" i="8"/>
  <c r="D63" i="14"/>
  <c r="P64" i="1"/>
  <c r="DA67" i="5"/>
  <c r="AA68" i="7"/>
  <c r="AE68" i="8" s="1"/>
  <c r="BC68" i="8" s="1"/>
  <c r="K68" i="10"/>
  <c r="DF66" i="5"/>
  <c r="AO61" i="8" l="1"/>
  <c r="E61" i="11"/>
  <c r="BO61" i="1"/>
  <c r="AF64" i="11"/>
  <c r="AE64" i="11"/>
  <c r="AC64" i="8" s="1"/>
  <c r="AU62" i="8"/>
  <c r="AT62" i="1" s="1"/>
  <c r="AV62" i="8"/>
  <c r="AW62" i="1" s="1"/>
  <c r="L62" i="1" s="1"/>
  <c r="CF63" i="8"/>
  <c r="BZ63" i="8"/>
  <c r="BT63" i="8"/>
  <c r="CG63" i="8"/>
  <c r="BQ63" i="8"/>
  <c r="BY63" i="8"/>
  <c r="BU63" i="8"/>
  <c r="BP63" i="8"/>
  <c r="AU63" i="8" s="1"/>
  <c r="AT63" i="1" s="1"/>
  <c r="CA65" i="8"/>
  <c r="CH65" i="8"/>
  <c r="AO68" i="11"/>
  <c r="L68" i="11"/>
  <c r="E67" i="9"/>
  <c r="AG67" i="5"/>
  <c r="B67" i="1"/>
  <c r="BI67" i="1" s="1"/>
  <c r="B67" i="2"/>
  <c r="AP61" i="8"/>
  <c r="BM61" i="1"/>
  <c r="AQ61" i="1"/>
  <c r="U61" i="1" s="1"/>
  <c r="J62" i="1" s="1"/>
  <c r="AP62" i="8" s="1"/>
  <c r="AK61" i="5"/>
  <c r="D61" i="11"/>
  <c r="J68" i="2"/>
  <c r="BN61" i="1"/>
  <c r="C61" i="9"/>
  <c r="AR61" i="1"/>
  <c r="V61" i="1" s="1"/>
  <c r="K62" i="1" s="1"/>
  <c r="AR61" i="8"/>
  <c r="AC68" i="1"/>
  <c r="BC69" i="5"/>
  <c r="BE69" i="5"/>
  <c r="AE67" i="1"/>
  <c r="W67" i="1" s="1"/>
  <c r="AZ72" i="5"/>
  <c r="BP70" i="5"/>
  <c r="AB69" i="1"/>
  <c r="BN72" i="5"/>
  <c r="AF70" i="1"/>
  <c r="BK71" i="5"/>
  <c r="AD69" i="1"/>
  <c r="O69" i="1"/>
  <c r="DK69" i="8" s="1"/>
  <c r="DJ68" i="8"/>
  <c r="DI68" i="8"/>
  <c r="AD65" i="9"/>
  <c r="AV65" i="1" s="1"/>
  <c r="N68" i="1"/>
  <c r="AC64" i="11"/>
  <c r="T64" i="8" s="1"/>
  <c r="AA64" i="11"/>
  <c r="Y64" i="11"/>
  <c r="AH64" i="1" s="1"/>
  <c r="AD64" i="11"/>
  <c r="AI64" i="1" s="1"/>
  <c r="Z64" i="11"/>
  <c r="AC64" i="2" s="1"/>
  <c r="AB64" i="11"/>
  <c r="P64" i="8" s="1"/>
  <c r="AT64" i="8"/>
  <c r="AW64" i="8"/>
  <c r="AQ64" i="8"/>
  <c r="F64" i="11"/>
  <c r="M65" i="1"/>
  <c r="AJ71" i="14"/>
  <c r="CM70" i="8"/>
  <c r="A70" i="2"/>
  <c r="K70" i="11"/>
  <c r="A70" i="9"/>
  <c r="B70" i="14"/>
  <c r="A70" i="8"/>
  <c r="M70" i="5"/>
  <c r="J71" i="10"/>
  <c r="A70" i="7"/>
  <c r="AD70" i="8"/>
  <c r="EP65" i="8"/>
  <c r="DT65" i="8"/>
  <c r="DR65" i="8"/>
  <c r="DS65" i="8"/>
  <c r="DG65" i="8"/>
  <c r="EG65" i="8" s="1"/>
  <c r="DN65" i="8"/>
  <c r="DO65" i="8"/>
  <c r="CS66" i="8"/>
  <c r="DP66" i="8" s="1"/>
  <c r="CT66" i="8"/>
  <c r="DQ66" i="8" s="1"/>
  <c r="CU66" i="8"/>
  <c r="Y68" i="1"/>
  <c r="Q71" i="2"/>
  <c r="I72" i="8"/>
  <c r="Q65" i="7"/>
  <c r="D66" i="9"/>
  <c r="CR65" i="8"/>
  <c r="DC65" i="8" s="1"/>
  <c r="AN65" i="5"/>
  <c r="N65" i="7"/>
  <c r="DB65" i="8"/>
  <c r="EC65" i="8" s="1"/>
  <c r="ED65" i="8" s="1"/>
  <c r="CX65" i="8"/>
  <c r="CY65" i="8"/>
  <c r="EA65" i="8" s="1"/>
  <c r="CV65" i="8"/>
  <c r="DX65" i="8" s="1"/>
  <c r="EB65" i="8" s="1"/>
  <c r="CW65" i="8"/>
  <c r="AL65" i="5"/>
  <c r="CN65" i="8"/>
  <c r="N65" i="11"/>
  <c r="DH65" i="8"/>
  <c r="EH65" i="8" s="1"/>
  <c r="AO65" i="5"/>
  <c r="AM65" i="5"/>
  <c r="AC65" i="10"/>
  <c r="X65" i="10" s="1"/>
  <c r="Y65" i="10" s="1"/>
  <c r="V67" i="2"/>
  <c r="F68" i="7"/>
  <c r="H69" i="5"/>
  <c r="D68" i="10"/>
  <c r="A67" i="5"/>
  <c r="E67" i="5" s="1"/>
  <c r="EQ67" i="8" s="1"/>
  <c r="CZ67" i="8" s="1"/>
  <c r="AR68" i="5"/>
  <c r="L68" i="5"/>
  <c r="J67" i="7"/>
  <c r="DE67" i="5"/>
  <c r="H67" i="10"/>
  <c r="DD67" i="5"/>
  <c r="I67" i="7"/>
  <c r="K68" i="5"/>
  <c r="G67" i="10"/>
  <c r="G68" i="7"/>
  <c r="I69" i="5"/>
  <c r="DB68" i="5"/>
  <c r="E68" i="10"/>
  <c r="EI64" i="8"/>
  <c r="AP64" i="5"/>
  <c r="DY64" i="8"/>
  <c r="DZ64" i="8" s="1"/>
  <c r="AA69" i="7"/>
  <c r="AE69" i="8" s="1"/>
  <c r="BC69" i="8" s="1"/>
  <c r="K69" i="10"/>
  <c r="J70" i="8"/>
  <c r="R69" i="2"/>
  <c r="CY69" i="5"/>
  <c r="F72" i="5"/>
  <c r="D71" i="7"/>
  <c r="B71" i="10"/>
  <c r="F69" i="10"/>
  <c r="J70" i="5"/>
  <c r="DC69" i="5"/>
  <c r="H69" i="7"/>
  <c r="CZ68" i="5"/>
  <c r="C68" i="10"/>
  <c r="E68" i="7"/>
  <c r="G69" i="5"/>
  <c r="N69" i="2"/>
  <c r="EB64" i="8"/>
  <c r="AG65" i="7"/>
  <c r="AI65" i="7" s="1"/>
  <c r="AH65" i="7"/>
  <c r="DG69" i="5"/>
  <c r="S70" i="2"/>
  <c r="K71" i="8"/>
  <c r="C66" i="14"/>
  <c r="B66" i="7"/>
  <c r="A66" i="10"/>
  <c r="AA66" i="10" s="1"/>
  <c r="AV66" i="5"/>
  <c r="BS66" i="5"/>
  <c r="A66" i="11"/>
  <c r="AH66" i="5"/>
  <c r="AU66" i="5"/>
  <c r="W66" i="8"/>
  <c r="B66" i="9"/>
  <c r="Q66" i="1"/>
  <c r="E66" i="14" s="1"/>
  <c r="AI66" i="5"/>
  <c r="E66" i="1"/>
  <c r="AB65" i="2"/>
  <c r="BN66" i="8"/>
  <c r="BO66" i="8"/>
  <c r="DM66" i="8" s="1"/>
  <c r="AB66" i="8"/>
  <c r="EO66" i="8"/>
  <c r="DT66" i="8" s="1"/>
  <c r="CQ66" i="8"/>
  <c r="DA66" i="8" s="1"/>
  <c r="DL66" i="8"/>
  <c r="O70" i="2"/>
  <c r="DE70" i="8"/>
  <c r="DD64" i="8"/>
  <c r="DC64" i="8"/>
  <c r="B68" i="5"/>
  <c r="M70" i="2"/>
  <c r="DF70" i="8"/>
  <c r="DA68" i="5"/>
  <c r="P71" i="2"/>
  <c r="H72" i="8"/>
  <c r="X69" i="1"/>
  <c r="AH64" i="7"/>
  <c r="AG64" i="7"/>
  <c r="AI64" i="7" s="1"/>
  <c r="AQ64" i="5"/>
  <c r="AU64" i="1" s="1"/>
  <c r="D64" i="14"/>
  <c r="P65" i="1"/>
  <c r="AA13" i="1"/>
  <c r="S13" i="1" s="1"/>
  <c r="H14" i="1" s="1"/>
  <c r="I13" i="11"/>
  <c r="O13" i="7"/>
  <c r="AP13" i="1"/>
  <c r="T13" i="1" s="1"/>
  <c r="I14" i="1" s="1"/>
  <c r="J13" i="11"/>
  <c r="G13" i="2"/>
  <c r="Z13" i="2" s="1"/>
  <c r="Z14" i="8" s="1"/>
  <c r="DF67" i="5"/>
  <c r="AO62" i="8" l="1"/>
  <c r="E62" i="11"/>
  <c r="BO62" i="1"/>
  <c r="AF65" i="11"/>
  <c r="AE65" i="11"/>
  <c r="AC65" i="8" s="1"/>
  <c r="AV63" i="8"/>
  <c r="AW63" i="1" s="1"/>
  <c r="L63" i="1" s="1"/>
  <c r="BY64" i="8"/>
  <c r="BT64" i="8"/>
  <c r="CG64" i="8"/>
  <c r="BZ64" i="8"/>
  <c r="BQ64" i="8"/>
  <c r="BP64" i="8"/>
  <c r="BU64" i="8"/>
  <c r="CF64" i="8"/>
  <c r="CA66" i="8"/>
  <c r="CH66" i="8"/>
  <c r="AO69" i="11"/>
  <c r="L69" i="11"/>
  <c r="E68" i="9"/>
  <c r="AG68" i="5"/>
  <c r="B68" i="1"/>
  <c r="BI68" i="1" s="1"/>
  <c r="B68" i="2"/>
  <c r="BM62" i="1"/>
  <c r="AQ62" i="1"/>
  <c r="U62" i="1" s="1"/>
  <c r="J63" i="1" s="1"/>
  <c r="AP63" i="8" s="1"/>
  <c r="D62" i="11"/>
  <c r="AK62" i="5"/>
  <c r="BN62" i="1"/>
  <c r="AR62" i="1"/>
  <c r="V62" i="1" s="1"/>
  <c r="K63" i="1" s="1"/>
  <c r="C62" i="9"/>
  <c r="AR62" i="8"/>
  <c r="J69" i="2"/>
  <c r="AC69" i="1"/>
  <c r="BC70" i="5"/>
  <c r="BK72" i="5"/>
  <c r="AD70" i="1"/>
  <c r="BE70" i="5"/>
  <c r="AE68" i="1"/>
  <c r="W68" i="1" s="1"/>
  <c r="AZ73" i="5"/>
  <c r="BP71" i="5"/>
  <c r="AB70" i="1"/>
  <c r="BN73" i="5"/>
  <c r="AF71" i="1"/>
  <c r="O70" i="1"/>
  <c r="DK70" i="8" s="1"/>
  <c r="DI69" i="8"/>
  <c r="DJ69" i="8"/>
  <c r="AD66" i="9"/>
  <c r="AV66" i="1" s="1"/>
  <c r="N69" i="1"/>
  <c r="AA65" i="11"/>
  <c r="Y65" i="11"/>
  <c r="AH65" i="1" s="1"/>
  <c r="AC65" i="11"/>
  <c r="T65" i="8" s="1"/>
  <c r="AB65" i="11"/>
  <c r="P65" i="8" s="1"/>
  <c r="Z65" i="11"/>
  <c r="AC65" i="2" s="1"/>
  <c r="AD65" i="11"/>
  <c r="AI65" i="1" s="1"/>
  <c r="AT65" i="8"/>
  <c r="AQ65" i="8"/>
  <c r="F65" i="11"/>
  <c r="M66" i="1"/>
  <c r="AW65" i="8"/>
  <c r="A71" i="2"/>
  <c r="M71" i="5"/>
  <c r="AD71" i="8"/>
  <c r="B71" i="14"/>
  <c r="A71" i="7"/>
  <c r="K71" i="11"/>
  <c r="A71" i="8"/>
  <c r="A71" i="9"/>
  <c r="J72" i="10"/>
  <c r="AJ72" i="14"/>
  <c r="CM71" i="8"/>
  <c r="DR66" i="8"/>
  <c r="DS66" i="8"/>
  <c r="DN66" i="8"/>
  <c r="DO66" i="8"/>
  <c r="EI65" i="8"/>
  <c r="EO67" i="8"/>
  <c r="CT67" i="8"/>
  <c r="DQ67" i="8" s="1"/>
  <c r="CU67" i="8"/>
  <c r="CS67" i="8"/>
  <c r="DP67" i="8" s="1"/>
  <c r="B69" i="5"/>
  <c r="Y69" i="1"/>
  <c r="DD65" i="8"/>
  <c r="EE65" i="8" s="1"/>
  <c r="EF65" i="8" s="1"/>
  <c r="Q72" i="2"/>
  <c r="I73" i="8"/>
  <c r="D67" i="9"/>
  <c r="BS67" i="5"/>
  <c r="AP65" i="5"/>
  <c r="AQ65" i="5"/>
  <c r="AU65" i="1" s="1"/>
  <c r="C67" i="14"/>
  <c r="DY65" i="8"/>
  <c r="DZ65" i="8" s="1"/>
  <c r="CQ67" i="8"/>
  <c r="DA67" i="8" s="1"/>
  <c r="DL67" i="8"/>
  <c r="AB67" i="8"/>
  <c r="A67" i="10"/>
  <c r="AA67" i="10" s="1"/>
  <c r="W67" i="8"/>
  <c r="AI67" i="5"/>
  <c r="E67" i="1"/>
  <c r="AH67" i="5"/>
  <c r="AB66" i="2"/>
  <c r="A67" i="11"/>
  <c r="AU67" i="5"/>
  <c r="BN67" i="8"/>
  <c r="AV67" i="5"/>
  <c r="Q67" i="1"/>
  <c r="E67" i="14" s="1"/>
  <c r="BO67" i="8"/>
  <c r="DM67" i="8" s="1"/>
  <c r="B67" i="9"/>
  <c r="B67" i="7"/>
  <c r="Q67" i="7" s="1"/>
  <c r="V68" i="2"/>
  <c r="D69" i="10"/>
  <c r="H70" i="5"/>
  <c r="F69" i="7"/>
  <c r="DE68" i="5"/>
  <c r="H68" i="10"/>
  <c r="L69" i="5"/>
  <c r="J68" i="7"/>
  <c r="AR69" i="5"/>
  <c r="K69" i="5"/>
  <c r="I68" i="7"/>
  <c r="G68" i="10"/>
  <c r="DD68" i="5"/>
  <c r="A68" i="5"/>
  <c r="E68" i="5" s="1"/>
  <c r="EQ68" i="8" s="1"/>
  <c r="CZ68" i="8" s="1"/>
  <c r="G69" i="7"/>
  <c r="E69" i="10"/>
  <c r="DB69" i="5"/>
  <c r="I70" i="5"/>
  <c r="EE64" i="8"/>
  <c r="EF64" i="8" s="1"/>
  <c r="G70" i="5"/>
  <c r="E69" i="7"/>
  <c r="CZ69" i="5"/>
  <c r="C69" i="10"/>
  <c r="DG70" i="5"/>
  <c r="R70" i="2"/>
  <c r="J71" i="8"/>
  <c r="D72" i="7"/>
  <c r="B72" i="10"/>
  <c r="F73" i="5"/>
  <c r="H73" i="8"/>
  <c r="P72" i="2"/>
  <c r="DE71" i="8"/>
  <c r="O71" i="2"/>
  <c r="N66" i="7"/>
  <c r="Q66" i="7"/>
  <c r="AE66" i="7"/>
  <c r="AF66" i="7" s="1"/>
  <c r="X70" i="1"/>
  <c r="DH66" i="8"/>
  <c r="EH66" i="8" s="1"/>
  <c r="EP66" i="8"/>
  <c r="M71" i="2"/>
  <c r="DF71" i="8"/>
  <c r="AC66" i="10"/>
  <c r="X66" i="10" s="1"/>
  <c r="Y66" i="10" s="1"/>
  <c r="AO66" i="5"/>
  <c r="AM66" i="5"/>
  <c r="AL66" i="5"/>
  <c r="N70" i="2"/>
  <c r="F70" i="10"/>
  <c r="H70" i="7"/>
  <c r="DC70" i="5"/>
  <c r="J71" i="5"/>
  <c r="K70" i="10"/>
  <c r="AA70" i="7"/>
  <c r="AE70" i="8" s="1"/>
  <c r="BC70" i="8" s="1"/>
  <c r="D65" i="14"/>
  <c r="P66" i="1"/>
  <c r="DA69" i="5"/>
  <c r="CW66" i="8"/>
  <c r="CY66" i="8"/>
  <c r="EA66" i="8" s="1"/>
  <c r="CX66" i="8"/>
  <c r="CV66" i="8"/>
  <c r="DX66" i="8" s="1"/>
  <c r="DB66" i="8"/>
  <c r="EC66" i="8" s="1"/>
  <c r="ED66" i="8" s="1"/>
  <c r="DG66" i="8"/>
  <c r="EG66" i="8" s="1"/>
  <c r="CY70" i="5"/>
  <c r="AN66" i="5"/>
  <c r="CN66" i="8"/>
  <c r="CR66" i="8"/>
  <c r="CO66" i="8"/>
  <c r="P13" i="7"/>
  <c r="F13" i="9"/>
  <c r="AN14" i="8"/>
  <c r="V14" i="10"/>
  <c r="AJ14" i="5"/>
  <c r="AC14" i="7"/>
  <c r="BK14" i="1"/>
  <c r="C14" i="11"/>
  <c r="C13" i="8"/>
  <c r="N66" i="11"/>
  <c r="S71" i="2"/>
  <c r="K72" i="8"/>
  <c r="DF68" i="5"/>
  <c r="BO63" i="1" l="1"/>
  <c r="E63" i="11"/>
  <c r="AO63" i="8"/>
  <c r="CA67" i="8"/>
  <c r="CH67" i="8"/>
  <c r="AV64" i="8"/>
  <c r="AW64" i="1" s="1"/>
  <c r="L64" i="1" s="1"/>
  <c r="AE66" i="11"/>
  <c r="AC66" i="8" s="1"/>
  <c r="AF66" i="11"/>
  <c r="AU64" i="8"/>
  <c r="AT64" i="1" s="1"/>
  <c r="BP65" i="8"/>
  <c r="BQ65" i="8"/>
  <c r="CG65" i="8"/>
  <c r="BZ65" i="8"/>
  <c r="CF65" i="8"/>
  <c r="BT65" i="8"/>
  <c r="BU65" i="8"/>
  <c r="BY65" i="8"/>
  <c r="AO70" i="11"/>
  <c r="L70" i="11"/>
  <c r="E69" i="9"/>
  <c r="AG69" i="5"/>
  <c r="B69" i="2"/>
  <c r="B69" i="1"/>
  <c r="BI69" i="1" s="1"/>
  <c r="J70" i="2"/>
  <c r="AQ63" i="1"/>
  <c r="U63" i="1" s="1"/>
  <c r="J64" i="1" s="1"/>
  <c r="D63" i="11"/>
  <c r="BM63" i="1"/>
  <c r="AK63" i="5"/>
  <c r="AR63" i="1"/>
  <c r="V63" i="1" s="1"/>
  <c r="K64" i="1" s="1"/>
  <c r="BN63" i="1"/>
  <c r="C63" i="9"/>
  <c r="AR63" i="8"/>
  <c r="BC71" i="5"/>
  <c r="AC70" i="1"/>
  <c r="BP72" i="5"/>
  <c r="AB71" i="1"/>
  <c r="BK73" i="5"/>
  <c r="AD71" i="1"/>
  <c r="BN74" i="5"/>
  <c r="AF72" i="1"/>
  <c r="BE71" i="5"/>
  <c r="AE69" i="1"/>
  <c r="W69" i="1" s="1"/>
  <c r="AZ74" i="5"/>
  <c r="O71" i="1"/>
  <c r="DK71" i="8" s="1"/>
  <c r="DI70" i="8"/>
  <c r="DJ70" i="8"/>
  <c r="AS14" i="8"/>
  <c r="AO14" i="1"/>
  <c r="AD67" i="9"/>
  <c r="AV67" i="1" s="1"/>
  <c r="N70" i="1"/>
  <c r="AC66" i="11"/>
  <c r="T66" i="8" s="1"/>
  <c r="AA66" i="11"/>
  <c r="Y66" i="11"/>
  <c r="AH66" i="1" s="1"/>
  <c r="AD66" i="11"/>
  <c r="AI66" i="1" s="1"/>
  <c r="AB66" i="11"/>
  <c r="P66" i="8" s="1"/>
  <c r="Z66" i="11"/>
  <c r="AC66" i="2" s="1"/>
  <c r="BL14" i="1"/>
  <c r="AT66" i="8"/>
  <c r="AW66" i="8"/>
  <c r="AQ66" i="8"/>
  <c r="M67" i="1"/>
  <c r="F66" i="11"/>
  <c r="N67" i="7"/>
  <c r="A72" i="2"/>
  <c r="K72" i="11"/>
  <c r="B72" i="14"/>
  <c r="A72" i="7"/>
  <c r="M72" i="5"/>
  <c r="AD72" i="8"/>
  <c r="J73" i="10"/>
  <c r="A72" i="8"/>
  <c r="A72" i="9"/>
  <c r="AJ73" i="14"/>
  <c r="CM72" i="8"/>
  <c r="DH67" i="8"/>
  <c r="EH67" i="8" s="1"/>
  <c r="DT67" i="8"/>
  <c r="DR67" i="8"/>
  <c r="DS67" i="8"/>
  <c r="CV67" i="8"/>
  <c r="DX67" i="8" s="1"/>
  <c r="EB67" i="8" s="1"/>
  <c r="DN67" i="8"/>
  <c r="DO67" i="8"/>
  <c r="EP67" i="8"/>
  <c r="CS68" i="8"/>
  <c r="DP68" i="8" s="1"/>
  <c r="CT68" i="8"/>
  <c r="DQ68" i="8" s="1"/>
  <c r="CU68" i="8"/>
  <c r="Y70" i="1"/>
  <c r="I74" i="8"/>
  <c r="Q73" i="2"/>
  <c r="D68" i="9"/>
  <c r="CR67" i="8"/>
  <c r="DC67" i="8" s="1"/>
  <c r="CN67" i="8"/>
  <c r="CO67" i="8"/>
  <c r="AO67" i="5"/>
  <c r="DG67" i="8"/>
  <c r="EG67" i="8" s="1"/>
  <c r="CX67" i="8"/>
  <c r="CW67" i="8"/>
  <c r="DB67" i="8"/>
  <c r="EC67" i="8" s="1"/>
  <c r="ED67" i="8" s="1"/>
  <c r="CY67" i="8"/>
  <c r="EA67" i="8" s="1"/>
  <c r="AN67" i="5"/>
  <c r="N67" i="11"/>
  <c r="AE67" i="7"/>
  <c r="AF67" i="7" s="1"/>
  <c r="AM67" i="5"/>
  <c r="V69" i="2"/>
  <c r="AC67" i="10"/>
  <c r="X67" i="10" s="1"/>
  <c r="Y67" i="10" s="1"/>
  <c r="AL67" i="5"/>
  <c r="H71" i="5"/>
  <c r="F70" i="7"/>
  <c r="D70" i="10"/>
  <c r="A69" i="5"/>
  <c r="E69" i="5" s="1"/>
  <c r="EQ69" i="8" s="1"/>
  <c r="CZ69" i="8" s="1"/>
  <c r="J69" i="7"/>
  <c r="L70" i="5"/>
  <c r="H69" i="10"/>
  <c r="DE69" i="5"/>
  <c r="AR70" i="5"/>
  <c r="DD69" i="5"/>
  <c r="K70" i="5"/>
  <c r="G69" i="10"/>
  <c r="I69" i="7"/>
  <c r="E70" i="10"/>
  <c r="G70" i="7"/>
  <c r="I71" i="5"/>
  <c r="DB70" i="5"/>
  <c r="DY66" i="8"/>
  <c r="DZ66" i="8" s="1"/>
  <c r="AP66" i="5"/>
  <c r="AH66" i="7"/>
  <c r="AG66" i="7"/>
  <c r="AI66" i="7" s="1"/>
  <c r="H74" i="8"/>
  <c r="P73" i="2"/>
  <c r="J72" i="8"/>
  <c r="R71" i="2"/>
  <c r="P67" i="1"/>
  <c r="D66" i="14"/>
  <c r="CZ70" i="5"/>
  <c r="C70" i="10"/>
  <c r="G71" i="5"/>
  <c r="E70" i="7"/>
  <c r="EB66" i="8"/>
  <c r="DA70" i="5"/>
  <c r="O72" i="2"/>
  <c r="DE72" i="8"/>
  <c r="DG71" i="5"/>
  <c r="N71" i="2"/>
  <c r="AI68" i="5"/>
  <c r="W68" i="8"/>
  <c r="C68" i="14"/>
  <c r="BS68" i="5"/>
  <c r="B68" i="9"/>
  <c r="AU68" i="5"/>
  <c r="AH68" i="5"/>
  <c r="Q68" i="1"/>
  <c r="E68" i="14" s="1"/>
  <c r="A68" i="11"/>
  <c r="B68" i="7"/>
  <c r="AV68" i="5"/>
  <c r="A68" i="10"/>
  <c r="AA68" i="10" s="1"/>
  <c r="E68" i="1"/>
  <c r="AB67" i="2"/>
  <c r="BN68" i="8"/>
  <c r="BO68" i="8"/>
  <c r="DM68" i="8" s="1"/>
  <c r="AB68" i="8"/>
  <c r="EO68" i="8"/>
  <c r="DT68" i="8" s="1"/>
  <c r="CQ68" i="8"/>
  <c r="DA68" i="8" s="1"/>
  <c r="DL68" i="8"/>
  <c r="B70" i="5"/>
  <c r="K73" i="8"/>
  <c r="S72" i="2"/>
  <c r="AA71" i="7"/>
  <c r="AE71" i="8" s="1"/>
  <c r="BC71" i="8" s="1"/>
  <c r="K71" i="10"/>
  <c r="M72" i="2"/>
  <c r="DF72" i="8"/>
  <c r="DC66" i="8"/>
  <c r="DD66" i="8"/>
  <c r="H71" i="7"/>
  <c r="DC71" i="5"/>
  <c r="J72" i="5"/>
  <c r="F71" i="10"/>
  <c r="X71" i="1"/>
  <c r="EI66" i="8"/>
  <c r="F74" i="5"/>
  <c r="B73" i="10"/>
  <c r="D73" i="7"/>
  <c r="Y13" i="2"/>
  <c r="X13" i="2" s="1"/>
  <c r="CY71" i="5"/>
  <c r="AQ66" i="5"/>
  <c r="AU66" i="1" s="1"/>
  <c r="DF69" i="5"/>
  <c r="AO64" i="8" l="1"/>
  <c r="BO64" i="1"/>
  <c r="E64" i="11"/>
  <c r="AV65" i="8"/>
  <c r="AW65" i="1" s="1"/>
  <c r="L65" i="1" s="1"/>
  <c r="AU65" i="8"/>
  <c r="AT65" i="1" s="1"/>
  <c r="CA68" i="8"/>
  <c r="CH68" i="8"/>
  <c r="AE67" i="11"/>
  <c r="AC67" i="8" s="1"/>
  <c r="AF67" i="11"/>
  <c r="BY66" i="8"/>
  <c r="BP66" i="8"/>
  <c r="BU66" i="8"/>
  <c r="CF66" i="8"/>
  <c r="CG66" i="8"/>
  <c r="BQ66" i="8"/>
  <c r="BT66" i="8"/>
  <c r="BZ66" i="8"/>
  <c r="AO71" i="11"/>
  <c r="L71" i="11"/>
  <c r="E70" i="9"/>
  <c r="AG70" i="5"/>
  <c r="B70" i="1"/>
  <c r="BI70" i="1" s="1"/>
  <c r="B70" i="2"/>
  <c r="D64" i="11"/>
  <c r="BM64" i="1"/>
  <c r="AK64" i="5"/>
  <c r="AP64" i="8"/>
  <c r="AQ64" i="1"/>
  <c r="U64" i="1" s="1"/>
  <c r="J65" i="1" s="1"/>
  <c r="AR64" i="8"/>
  <c r="C64" i="9"/>
  <c r="AR64" i="1"/>
  <c r="V64" i="1" s="1"/>
  <c r="K65" i="1" s="1"/>
  <c r="BN64" i="1"/>
  <c r="AC71" i="1"/>
  <c r="BC72" i="5"/>
  <c r="B71" i="5"/>
  <c r="BP73" i="5"/>
  <c r="AB72" i="1"/>
  <c r="AZ75" i="5"/>
  <c r="BK74" i="5"/>
  <c r="AD72" i="1"/>
  <c r="BN75" i="5"/>
  <c r="AF73" i="1"/>
  <c r="BE72" i="5"/>
  <c r="AE70" i="1"/>
  <c r="W70" i="1" s="1"/>
  <c r="O72" i="1"/>
  <c r="DK72" i="8" s="1"/>
  <c r="DI71" i="8"/>
  <c r="DJ71" i="8"/>
  <c r="AD68" i="9"/>
  <c r="AV68" i="1" s="1"/>
  <c r="N71" i="1"/>
  <c r="AC67" i="11"/>
  <c r="T67" i="8" s="1"/>
  <c r="Y67" i="11"/>
  <c r="AH67" i="1" s="1"/>
  <c r="AA67" i="11"/>
  <c r="AD67" i="11"/>
  <c r="AI67" i="1" s="1"/>
  <c r="Z67" i="11"/>
  <c r="AC67" i="2" s="1"/>
  <c r="AB67" i="11"/>
  <c r="P67" i="8" s="1"/>
  <c r="AT67" i="8"/>
  <c r="AQ67" i="8"/>
  <c r="F67" i="11"/>
  <c r="M68" i="1"/>
  <c r="AW67" i="8"/>
  <c r="CM73" i="8"/>
  <c r="AJ74" i="14"/>
  <c r="A73" i="2"/>
  <c r="M73" i="5"/>
  <c r="A73" i="9"/>
  <c r="B73" i="14"/>
  <c r="A73" i="8"/>
  <c r="J74" i="10"/>
  <c r="A73" i="7"/>
  <c r="K73" i="11"/>
  <c r="AD73" i="8"/>
  <c r="J71" i="2"/>
  <c r="DR68" i="8"/>
  <c r="DS68" i="8"/>
  <c r="EI67" i="8"/>
  <c r="DN68" i="8"/>
  <c r="DO68" i="8"/>
  <c r="C69" i="14"/>
  <c r="CU69" i="8"/>
  <c r="CS69" i="8"/>
  <c r="DP69" i="8" s="1"/>
  <c r="CT69" i="8"/>
  <c r="DQ69" i="8" s="1"/>
  <c r="Y71" i="1"/>
  <c r="AG67" i="7"/>
  <c r="AI67" i="7" s="1"/>
  <c r="AH67" i="7"/>
  <c r="AP67" i="5"/>
  <c r="AB68" i="2"/>
  <c r="AI69" i="5"/>
  <c r="Q74" i="2"/>
  <c r="I75" i="8"/>
  <c r="BO69" i="8"/>
  <c r="DM69" i="8" s="1"/>
  <c r="E69" i="1"/>
  <c r="EO69" i="8"/>
  <c r="Q69" i="1"/>
  <c r="E69" i="14" s="1"/>
  <c r="W69" i="8"/>
  <c r="A69" i="10"/>
  <c r="AA69" i="10" s="1"/>
  <c r="BS69" i="5"/>
  <c r="DD67" i="8"/>
  <c r="EE67" i="8" s="1"/>
  <c r="EF67" i="8" s="1"/>
  <c r="AQ67" i="5"/>
  <c r="AU67" i="1" s="1"/>
  <c r="DY67" i="8"/>
  <c r="DZ67" i="8" s="1"/>
  <c r="DL69" i="8"/>
  <c r="B69" i="7"/>
  <c r="Q69" i="7" s="1"/>
  <c r="A69" i="11"/>
  <c r="B69" i="9"/>
  <c r="CQ69" i="8"/>
  <c r="DA69" i="8" s="1"/>
  <c r="BN69" i="8"/>
  <c r="CR69" i="8" s="1"/>
  <c r="AH69" i="5"/>
  <c r="AB69" i="8"/>
  <c r="AU69" i="5"/>
  <c r="AV69" i="5"/>
  <c r="AR71" i="5"/>
  <c r="V70" i="2"/>
  <c r="D71" i="10"/>
  <c r="H72" i="5"/>
  <c r="F71" i="7"/>
  <c r="J70" i="7"/>
  <c r="L71" i="5"/>
  <c r="H70" i="10"/>
  <c r="DE70" i="5"/>
  <c r="I70" i="7"/>
  <c r="G70" i="10"/>
  <c r="K71" i="5"/>
  <c r="DD70" i="5"/>
  <c r="A70" i="5"/>
  <c r="E70" i="5" s="1"/>
  <c r="EQ70" i="8" s="1"/>
  <c r="CZ70" i="8" s="1"/>
  <c r="E71" i="10"/>
  <c r="DB71" i="5"/>
  <c r="G71" i="7"/>
  <c r="I72" i="5"/>
  <c r="EE66" i="8"/>
  <c r="EF66" i="8" s="1"/>
  <c r="AA72" i="7"/>
  <c r="AE72" i="8" s="1"/>
  <c r="BC72" i="8" s="1"/>
  <c r="K72" i="10"/>
  <c r="H75" i="8"/>
  <c r="P74" i="2"/>
  <c r="CN68" i="8"/>
  <c r="CO68" i="8"/>
  <c r="CR68" i="8"/>
  <c r="D69" i="9"/>
  <c r="AM68" i="5"/>
  <c r="AC68" i="10"/>
  <c r="X68" i="10" s="1"/>
  <c r="Y68" i="10" s="1"/>
  <c r="AO68" i="5"/>
  <c r="AL68" i="5"/>
  <c r="N72" i="2"/>
  <c r="DA71" i="5"/>
  <c r="J73" i="8"/>
  <c r="R72" i="2"/>
  <c r="X72" i="1"/>
  <c r="CY72" i="5"/>
  <c r="D74" i="7"/>
  <c r="B74" i="10"/>
  <c r="F75" i="5"/>
  <c r="M73" i="2"/>
  <c r="DF73" i="8"/>
  <c r="K74" i="8"/>
  <c r="S73" i="2"/>
  <c r="N68" i="11"/>
  <c r="E71" i="7"/>
  <c r="G72" i="5"/>
  <c r="C71" i="10"/>
  <c r="CZ71" i="5"/>
  <c r="AN68" i="5"/>
  <c r="CV68" i="8"/>
  <c r="DX68" i="8" s="1"/>
  <c r="CW68" i="8"/>
  <c r="CY68" i="8"/>
  <c r="EA68" i="8" s="1"/>
  <c r="DG68" i="8"/>
  <c r="EG68" i="8" s="1"/>
  <c r="DB68" i="8"/>
  <c r="EC68" i="8" s="1"/>
  <c r="ED68" i="8" s="1"/>
  <c r="CX68" i="8"/>
  <c r="DG72" i="5"/>
  <c r="N68" i="7"/>
  <c r="Q68" i="7"/>
  <c r="AE68" i="7"/>
  <c r="AF68" i="7" s="1"/>
  <c r="O73" i="2"/>
  <c r="DE73" i="8"/>
  <c r="L14" i="2"/>
  <c r="B14" i="8"/>
  <c r="D14" i="2" s="1"/>
  <c r="H14" i="11"/>
  <c r="E14" i="2"/>
  <c r="AB14" i="7"/>
  <c r="BD14" i="8"/>
  <c r="DC72" i="5"/>
  <c r="H72" i="7"/>
  <c r="F72" i="10"/>
  <c r="J73" i="5"/>
  <c r="DH68" i="8"/>
  <c r="EH68" i="8" s="1"/>
  <c r="EP68" i="8"/>
  <c r="D67" i="14"/>
  <c r="P68" i="1"/>
  <c r="DF70" i="5"/>
  <c r="AV66" i="8" l="1"/>
  <c r="AW66" i="1" s="1"/>
  <c r="L66" i="1" s="1"/>
  <c r="AO65" i="8"/>
  <c r="BO65" i="1"/>
  <c r="E65" i="11"/>
  <c r="AF68" i="11"/>
  <c r="AE68" i="11"/>
  <c r="AC68" i="8" s="1"/>
  <c r="AU66" i="8"/>
  <c r="AT66" i="1" s="1"/>
  <c r="CA69" i="8"/>
  <c r="CH69" i="8"/>
  <c r="BP67" i="8"/>
  <c r="CF67" i="8"/>
  <c r="BQ67" i="8"/>
  <c r="BZ67" i="8"/>
  <c r="BT67" i="8"/>
  <c r="BY67" i="8"/>
  <c r="BU67" i="8"/>
  <c r="CG67" i="8"/>
  <c r="AO72" i="11"/>
  <c r="L72" i="11"/>
  <c r="AG71" i="5"/>
  <c r="E71" i="9"/>
  <c r="B71" i="1"/>
  <c r="BI71" i="1" s="1"/>
  <c r="B71" i="2"/>
  <c r="BM65" i="1"/>
  <c r="AK65" i="5"/>
  <c r="AQ65" i="1"/>
  <c r="U65" i="1" s="1"/>
  <c r="J66" i="1" s="1"/>
  <c r="D65" i="11"/>
  <c r="AP65" i="8"/>
  <c r="AR65" i="8"/>
  <c r="BN65" i="1"/>
  <c r="C65" i="9"/>
  <c r="AR65" i="1"/>
  <c r="V65" i="1" s="1"/>
  <c r="K66" i="1" s="1"/>
  <c r="B72" i="5"/>
  <c r="J72" i="2"/>
  <c r="AC72" i="1"/>
  <c r="BC73" i="5"/>
  <c r="BN76" i="5"/>
  <c r="AF74" i="1"/>
  <c r="BE73" i="5"/>
  <c r="AE71" i="1"/>
  <c r="W71" i="1" s="1"/>
  <c r="BP74" i="5"/>
  <c r="AB73" i="1"/>
  <c r="AZ76" i="5"/>
  <c r="BK75" i="5"/>
  <c r="AD73" i="1"/>
  <c r="O73" i="1"/>
  <c r="DK73" i="8" s="1"/>
  <c r="DJ72" i="8"/>
  <c r="DI72" i="8"/>
  <c r="AD69" i="9"/>
  <c r="AV69" i="1" s="1"/>
  <c r="N72" i="1"/>
  <c r="AC68" i="11"/>
  <c r="T68" i="8" s="1"/>
  <c r="AA68" i="11"/>
  <c r="Y68" i="11"/>
  <c r="AH68" i="1" s="1"/>
  <c r="Z68" i="11"/>
  <c r="AC68" i="2" s="1"/>
  <c r="AB68" i="11"/>
  <c r="P68" i="8" s="1"/>
  <c r="AD68" i="11"/>
  <c r="AI68" i="1" s="1"/>
  <c r="AT68" i="8"/>
  <c r="AW68" i="8"/>
  <c r="AQ68" i="8"/>
  <c r="F68" i="11"/>
  <c r="M69" i="1"/>
  <c r="AJ75" i="14"/>
  <c r="CM74" i="8"/>
  <c r="A74" i="2"/>
  <c r="K74" i="11"/>
  <c r="AD74" i="8"/>
  <c r="A74" i="7"/>
  <c r="M74" i="5"/>
  <c r="B74" i="14"/>
  <c r="A74" i="8"/>
  <c r="A74" i="9"/>
  <c r="J75" i="10"/>
  <c r="DR69" i="8"/>
  <c r="DS69" i="8"/>
  <c r="EP69" i="8"/>
  <c r="DT69" i="8"/>
  <c r="DG69" i="8"/>
  <c r="EG69" i="8" s="1"/>
  <c r="DN69" i="8"/>
  <c r="DO69" i="8"/>
  <c r="AU70" i="5"/>
  <c r="CS70" i="8"/>
  <c r="DP70" i="8" s="1"/>
  <c r="CT70" i="8"/>
  <c r="DQ70" i="8" s="1"/>
  <c r="CU70" i="8"/>
  <c r="N69" i="11"/>
  <c r="Y72" i="1"/>
  <c r="AN69" i="5"/>
  <c r="DH69" i="8"/>
  <c r="EH69" i="8" s="1"/>
  <c r="I76" i="8"/>
  <c r="Q75" i="2"/>
  <c r="AE69" i="7"/>
  <c r="AF69" i="7" s="1"/>
  <c r="CO69" i="8"/>
  <c r="AM69" i="5"/>
  <c r="CN69" i="8"/>
  <c r="D70" i="9"/>
  <c r="AL69" i="5"/>
  <c r="CX69" i="8"/>
  <c r="AC69" i="10"/>
  <c r="X69" i="10" s="1"/>
  <c r="Y69" i="10" s="1"/>
  <c r="AO69" i="5"/>
  <c r="CW69" i="8"/>
  <c r="CV69" i="8"/>
  <c r="DX69" i="8" s="1"/>
  <c r="EB69" i="8" s="1"/>
  <c r="CY69" i="8"/>
  <c r="EA69" i="8" s="1"/>
  <c r="DB69" i="8"/>
  <c r="EC69" i="8" s="1"/>
  <c r="ED69" i="8" s="1"/>
  <c r="N69" i="7"/>
  <c r="F72" i="7"/>
  <c r="D72" i="10"/>
  <c r="H73" i="5"/>
  <c r="A71" i="5"/>
  <c r="E71" i="5" s="1"/>
  <c r="EQ71" i="8" s="1"/>
  <c r="CZ71" i="8" s="1"/>
  <c r="E70" i="1"/>
  <c r="EO70" i="8"/>
  <c r="AR72" i="5"/>
  <c r="BS70" i="5"/>
  <c r="J71" i="7"/>
  <c r="L72" i="5"/>
  <c r="DE71" i="5"/>
  <c r="H71" i="10"/>
  <c r="B70" i="7"/>
  <c r="Q70" i="7" s="1"/>
  <c r="C70" i="14"/>
  <c r="AI70" i="5"/>
  <c r="AV70" i="5"/>
  <c r="AH70" i="5"/>
  <c r="A70" i="11"/>
  <c r="AB69" i="2"/>
  <c r="B70" i="9"/>
  <c r="BN70" i="8"/>
  <c r="W70" i="8"/>
  <c r="DD71" i="5"/>
  <c r="V71" i="2"/>
  <c r="G71" i="10"/>
  <c r="I71" i="7"/>
  <c r="K72" i="5"/>
  <c r="CQ70" i="8"/>
  <c r="DA70" i="8" s="1"/>
  <c r="BO70" i="8"/>
  <c r="DM70" i="8" s="1"/>
  <c r="Q70" i="1"/>
  <c r="E70" i="14" s="1"/>
  <c r="DL70" i="8"/>
  <c r="AB70" i="8"/>
  <c r="A70" i="10"/>
  <c r="AA70" i="10" s="1"/>
  <c r="I73" i="5"/>
  <c r="DB72" i="5"/>
  <c r="E72" i="10"/>
  <c r="G72" i="7"/>
  <c r="EB68" i="8"/>
  <c r="J74" i="8"/>
  <c r="R73" i="2"/>
  <c r="C72" i="10"/>
  <c r="E72" i="7"/>
  <c r="G73" i="5"/>
  <c r="CZ72" i="5"/>
  <c r="DC69" i="8"/>
  <c r="DD69" i="8"/>
  <c r="DY68" i="8"/>
  <c r="DZ68" i="8" s="1"/>
  <c r="D68" i="14"/>
  <c r="P69" i="1"/>
  <c r="X73" i="1"/>
  <c r="AA73" i="7"/>
  <c r="AE73" i="8" s="1"/>
  <c r="BC73" i="8" s="1"/>
  <c r="K73" i="10"/>
  <c r="AQ68" i="5"/>
  <c r="AU68" i="1" s="1"/>
  <c r="DC73" i="5"/>
  <c r="H73" i="7"/>
  <c r="F73" i="10"/>
  <c r="J74" i="5"/>
  <c r="S74" i="2"/>
  <c r="K75" i="8"/>
  <c r="EI68" i="8"/>
  <c r="U14" i="2"/>
  <c r="W13" i="2" s="1"/>
  <c r="C14" i="2" s="1"/>
  <c r="CY73" i="5"/>
  <c r="N73" i="2"/>
  <c r="H76" i="8"/>
  <c r="P75" i="2"/>
  <c r="E47" i="4"/>
  <c r="M74" i="2"/>
  <c r="DF74" i="8"/>
  <c r="DC68" i="8"/>
  <c r="DD68" i="8"/>
  <c r="B75" i="10"/>
  <c r="D75" i="7"/>
  <c r="F76" i="5"/>
  <c r="AP68" i="5"/>
  <c r="DG73" i="5"/>
  <c r="AH68" i="7"/>
  <c r="AG68" i="7"/>
  <c r="AI68" i="7" s="1"/>
  <c r="DE74" i="8"/>
  <c r="O74" i="2"/>
  <c r="DA72" i="5"/>
  <c r="DF71" i="5"/>
  <c r="BO66" i="1" l="1"/>
  <c r="AO66" i="8"/>
  <c r="E66" i="11"/>
  <c r="AV67" i="8"/>
  <c r="AW67" i="1" s="1"/>
  <c r="L67" i="1" s="1"/>
  <c r="AO67" i="8" s="1"/>
  <c r="AE69" i="11"/>
  <c r="AC69" i="8" s="1"/>
  <c r="AF69" i="11"/>
  <c r="CF68" i="8"/>
  <c r="BQ68" i="8"/>
  <c r="BZ68" i="8"/>
  <c r="BU68" i="8"/>
  <c r="BP68" i="8"/>
  <c r="BT68" i="8"/>
  <c r="CG68" i="8"/>
  <c r="BY68" i="8"/>
  <c r="AU67" i="8"/>
  <c r="AT67" i="1" s="1"/>
  <c r="CA70" i="8"/>
  <c r="CH70" i="8"/>
  <c r="AO73" i="11"/>
  <c r="L73" i="11"/>
  <c r="AG72" i="5"/>
  <c r="E72" i="9"/>
  <c r="B72" i="1"/>
  <c r="BI72" i="1" s="1"/>
  <c r="B72" i="2"/>
  <c r="E67" i="11"/>
  <c r="AQ66" i="1"/>
  <c r="U66" i="1" s="1"/>
  <c r="J67" i="1" s="1"/>
  <c r="AK66" i="5"/>
  <c r="D66" i="11"/>
  <c r="BM66" i="1"/>
  <c r="BO67" i="1"/>
  <c r="AP66" i="8"/>
  <c r="AR66" i="8"/>
  <c r="AR66" i="1"/>
  <c r="V66" i="1" s="1"/>
  <c r="K67" i="1" s="1"/>
  <c r="BN66" i="1"/>
  <c r="C66" i="9"/>
  <c r="AC73" i="1"/>
  <c r="BC74" i="5"/>
  <c r="AZ77" i="5"/>
  <c r="BN77" i="5"/>
  <c r="AF75" i="1"/>
  <c r="BK76" i="5"/>
  <c r="AD74" i="1"/>
  <c r="BE74" i="5"/>
  <c r="AE72" i="1"/>
  <c r="W72" i="1" s="1"/>
  <c r="BP75" i="5"/>
  <c r="AB74" i="1"/>
  <c r="O74" i="1"/>
  <c r="DK74" i="8" s="1"/>
  <c r="DI73" i="8"/>
  <c r="DJ73" i="8"/>
  <c r="AD70" i="9"/>
  <c r="AV70" i="1" s="1"/>
  <c r="N73" i="1"/>
  <c r="AN70" i="5"/>
  <c r="AC69" i="11"/>
  <c r="T69" i="8" s="1"/>
  <c r="AA69" i="11"/>
  <c r="Y69" i="11"/>
  <c r="AH69" i="1" s="1"/>
  <c r="Z69" i="11"/>
  <c r="AC69" i="2" s="1"/>
  <c r="AB69" i="11"/>
  <c r="P69" i="8" s="1"/>
  <c r="AD69" i="11"/>
  <c r="AI69" i="1" s="1"/>
  <c r="AT69" i="8"/>
  <c r="AQ69" i="8"/>
  <c r="F69" i="11"/>
  <c r="M70" i="1"/>
  <c r="AW69" i="8"/>
  <c r="A75" i="2"/>
  <c r="A75" i="7"/>
  <c r="AD75" i="8"/>
  <c r="K75" i="11"/>
  <c r="B75" i="14"/>
  <c r="M75" i="5"/>
  <c r="A75" i="8"/>
  <c r="A75" i="9"/>
  <c r="J76" i="10"/>
  <c r="AJ76" i="14"/>
  <c r="CM75" i="8"/>
  <c r="D71" i="9"/>
  <c r="DR70" i="8"/>
  <c r="DS70" i="8"/>
  <c r="DH70" i="8"/>
  <c r="EH70" i="8" s="1"/>
  <c r="DT70" i="8"/>
  <c r="CX70" i="8"/>
  <c r="DN70" i="8"/>
  <c r="DO70" i="8"/>
  <c r="EI69" i="8"/>
  <c r="AL70" i="5"/>
  <c r="CS71" i="8"/>
  <c r="DP71" i="8" s="1"/>
  <c r="CT71" i="8"/>
  <c r="DQ71" i="8" s="1"/>
  <c r="CU71" i="8"/>
  <c r="AP69" i="5"/>
  <c r="Y73" i="1"/>
  <c r="AG69" i="7"/>
  <c r="AI69" i="7" s="1"/>
  <c r="AH69" i="7"/>
  <c r="AQ69" i="5"/>
  <c r="AU69" i="1" s="1"/>
  <c r="I77" i="8"/>
  <c r="Q76" i="2"/>
  <c r="E48" i="4"/>
  <c r="A72" i="5"/>
  <c r="E72" i="5" s="1"/>
  <c r="EQ72" i="8" s="1"/>
  <c r="CZ72" i="8" s="1"/>
  <c r="AE70" i="7"/>
  <c r="AF70" i="7" s="1"/>
  <c r="DY69" i="8"/>
  <c r="DZ69" i="8" s="1"/>
  <c r="EP70" i="8"/>
  <c r="DL71" i="8"/>
  <c r="N70" i="11"/>
  <c r="CN70" i="8"/>
  <c r="D73" i="10"/>
  <c r="F73" i="7"/>
  <c r="H74" i="5"/>
  <c r="AC70" i="10"/>
  <c r="X70" i="10" s="1"/>
  <c r="Y70" i="10" s="1"/>
  <c r="AM70" i="5"/>
  <c r="DB70" i="8"/>
  <c r="EC70" i="8" s="1"/>
  <c r="ED70" i="8" s="1"/>
  <c r="B71" i="7"/>
  <c r="Q71" i="7" s="1"/>
  <c r="Q71" i="1"/>
  <c r="E71" i="14" s="1"/>
  <c r="EO71" i="8"/>
  <c r="V72" i="2"/>
  <c r="AB71" i="8"/>
  <c r="E71" i="1"/>
  <c r="AH71" i="5"/>
  <c r="AC71" i="10" s="1"/>
  <c r="AR73" i="5"/>
  <c r="AV71" i="5"/>
  <c r="W71" i="8"/>
  <c r="B71" i="9"/>
  <c r="C71" i="14"/>
  <c r="A71" i="10"/>
  <c r="AA71" i="10" s="1"/>
  <c r="AB70" i="2"/>
  <c r="AU71" i="5"/>
  <c r="A71" i="11"/>
  <c r="BN71" i="8"/>
  <c r="AI71" i="5"/>
  <c r="CQ71" i="8"/>
  <c r="DA71" i="8" s="1"/>
  <c r="BO71" i="8"/>
  <c r="DM71" i="8" s="1"/>
  <c r="BS71" i="5"/>
  <c r="CY70" i="8"/>
  <c r="EA70" i="8" s="1"/>
  <c r="DG70" i="8"/>
  <c r="EG70" i="8" s="1"/>
  <c r="CO70" i="8"/>
  <c r="CV70" i="8"/>
  <c r="DX70" i="8" s="1"/>
  <c r="EB70" i="8" s="1"/>
  <c r="CR70" i="8"/>
  <c r="DC70" i="8" s="1"/>
  <c r="CW70" i="8"/>
  <c r="L73" i="5"/>
  <c r="H72" i="10"/>
  <c r="DE72" i="5"/>
  <c r="J72" i="7"/>
  <c r="N70" i="7"/>
  <c r="I72" i="7"/>
  <c r="G72" i="10"/>
  <c r="K73" i="5"/>
  <c r="DD72" i="5"/>
  <c r="AO70" i="5"/>
  <c r="I74" i="5"/>
  <c r="DB73" i="5"/>
  <c r="E73" i="10"/>
  <c r="G73" i="7"/>
  <c r="EE69" i="8"/>
  <c r="EF69" i="8" s="1"/>
  <c r="CZ73" i="5"/>
  <c r="G74" i="5"/>
  <c r="C73" i="10"/>
  <c r="E73" i="7"/>
  <c r="EE68" i="8"/>
  <c r="EF68" i="8" s="1"/>
  <c r="DG74" i="5"/>
  <c r="DC74" i="5"/>
  <c r="J75" i="5"/>
  <c r="H74" i="7"/>
  <c r="F74" i="10"/>
  <c r="J73" i="2"/>
  <c r="M75" i="2"/>
  <c r="C100" i="4"/>
  <c r="DF75" i="8"/>
  <c r="CY74" i="5"/>
  <c r="H14" i="2"/>
  <c r="F14" i="1"/>
  <c r="F14" i="2"/>
  <c r="I14" i="2"/>
  <c r="B73" i="5"/>
  <c r="N74" i="2"/>
  <c r="K74" i="10"/>
  <c r="AA74" i="7"/>
  <c r="AE74" i="8" s="1"/>
  <c r="BC74" i="8" s="1"/>
  <c r="X74" i="1"/>
  <c r="E62" i="4"/>
  <c r="R74" i="2"/>
  <c r="J75" i="8"/>
  <c r="S75" i="2"/>
  <c r="K76" i="8"/>
  <c r="B76" i="10"/>
  <c r="D76" i="7"/>
  <c r="F77" i="5"/>
  <c r="O75" i="2"/>
  <c r="DE75" i="8"/>
  <c r="DA73" i="5"/>
  <c r="H77" i="8"/>
  <c r="P76" i="2"/>
  <c r="P70" i="1"/>
  <c r="D69" i="14"/>
  <c r="DF72" i="5"/>
  <c r="AE70" i="11" l="1"/>
  <c r="AC70" i="8" s="1"/>
  <c r="AF70" i="11"/>
  <c r="CA71" i="8"/>
  <c r="CH71" i="8"/>
  <c r="AV68" i="8"/>
  <c r="AW68" i="1" s="1"/>
  <c r="L68" i="1" s="1"/>
  <c r="E68" i="11" s="1"/>
  <c r="AU68" i="8"/>
  <c r="AT68" i="1" s="1"/>
  <c r="BT69" i="8"/>
  <c r="BQ69" i="8"/>
  <c r="CF69" i="8"/>
  <c r="BP69" i="8"/>
  <c r="BY69" i="8"/>
  <c r="BU69" i="8"/>
  <c r="CG69" i="8"/>
  <c r="BZ69" i="8"/>
  <c r="AO74" i="11"/>
  <c r="L74" i="11"/>
  <c r="E73" i="9"/>
  <c r="AG73" i="5"/>
  <c r="B73" i="1"/>
  <c r="BI73" i="1" s="1"/>
  <c r="B73" i="2"/>
  <c r="BM67" i="1"/>
  <c r="AQ67" i="1"/>
  <c r="U67" i="1" s="1"/>
  <c r="J68" i="1" s="1"/>
  <c r="D67" i="11"/>
  <c r="AK67" i="5"/>
  <c r="AO68" i="8"/>
  <c r="AP67" i="8"/>
  <c r="AR67" i="8"/>
  <c r="AR67" i="1"/>
  <c r="V67" i="1" s="1"/>
  <c r="K68" i="1" s="1"/>
  <c r="C67" i="9"/>
  <c r="BN67" i="1"/>
  <c r="J74" i="2"/>
  <c r="AC74" i="1"/>
  <c r="BC75" i="5"/>
  <c r="BE75" i="5"/>
  <c r="AE73" i="1"/>
  <c r="AZ78" i="5"/>
  <c r="BP76" i="5"/>
  <c r="AB75" i="1"/>
  <c r="BN78" i="5"/>
  <c r="AF76" i="1"/>
  <c r="BK77" i="5"/>
  <c r="AD75" i="1"/>
  <c r="O75" i="1"/>
  <c r="DK75" i="8" s="1"/>
  <c r="DI74" i="8"/>
  <c r="DJ74" i="8"/>
  <c r="AD71" i="9"/>
  <c r="AV71" i="1" s="1"/>
  <c r="N74" i="1"/>
  <c r="AP70" i="5"/>
  <c r="Y70" i="11"/>
  <c r="AH70" i="1" s="1"/>
  <c r="AC70" i="11"/>
  <c r="T70" i="8" s="1"/>
  <c r="AA70" i="11"/>
  <c r="AD70" i="11"/>
  <c r="AI70" i="1" s="1"/>
  <c r="Z70" i="11"/>
  <c r="AC70" i="2" s="1"/>
  <c r="AB70" i="11"/>
  <c r="P70" i="8" s="1"/>
  <c r="AT70" i="8"/>
  <c r="AW70" i="8"/>
  <c r="AQ70" i="8"/>
  <c r="M71" i="1"/>
  <c r="F70" i="11"/>
  <c r="N71" i="7"/>
  <c r="D72" i="9"/>
  <c r="AJ77" i="14"/>
  <c r="CM76" i="8"/>
  <c r="A76" i="2"/>
  <c r="A76" i="7"/>
  <c r="B76" i="14"/>
  <c r="J77" i="10"/>
  <c r="A76" i="9"/>
  <c r="K76" i="11"/>
  <c r="M76" i="5"/>
  <c r="AD76" i="8"/>
  <c r="A76" i="8"/>
  <c r="DR71" i="8"/>
  <c r="DS71" i="8"/>
  <c r="EI70" i="8"/>
  <c r="DH71" i="8"/>
  <c r="EH71" i="8" s="1"/>
  <c r="DT71" i="8"/>
  <c r="DY70" i="8"/>
  <c r="DZ70" i="8" s="1"/>
  <c r="CY71" i="8"/>
  <c r="EA71" i="8" s="1"/>
  <c r="DN71" i="8"/>
  <c r="DO71" i="8"/>
  <c r="AV72" i="5"/>
  <c r="CU72" i="8"/>
  <c r="CT72" i="8"/>
  <c r="DQ72" i="8" s="1"/>
  <c r="CS72" i="8"/>
  <c r="DP72" i="8" s="1"/>
  <c r="E64" i="4"/>
  <c r="Y74" i="1"/>
  <c r="AB71" i="2"/>
  <c r="AH70" i="7"/>
  <c r="Q77" i="2"/>
  <c r="I78" i="8"/>
  <c r="BS72" i="5"/>
  <c r="BN72" i="8"/>
  <c r="CO72" i="8" s="1"/>
  <c r="E72" i="1"/>
  <c r="AI72" i="5"/>
  <c r="AB72" i="8"/>
  <c r="AH72" i="5"/>
  <c r="AC72" i="10" s="1"/>
  <c r="C72" i="14"/>
  <c r="EO72" i="8"/>
  <c r="B72" i="7"/>
  <c r="AE72" i="7" s="1"/>
  <c r="AF72" i="7" s="1"/>
  <c r="BO72" i="8"/>
  <c r="DM72" i="8" s="1"/>
  <c r="A72" i="11"/>
  <c r="Q72" i="1"/>
  <c r="E72" i="14" s="1"/>
  <c r="W72" i="8"/>
  <c r="A72" i="10"/>
  <c r="AA72" i="10" s="1"/>
  <c r="AU72" i="5"/>
  <c r="B72" i="9"/>
  <c r="AG70" i="7"/>
  <c r="AI70" i="7" s="1"/>
  <c r="CQ72" i="8"/>
  <c r="DA72" i="8" s="1"/>
  <c r="DL72" i="8"/>
  <c r="CN71" i="8"/>
  <c r="EP71" i="8"/>
  <c r="CX71" i="8"/>
  <c r="DB71" i="8"/>
  <c r="EC71" i="8" s="1"/>
  <c r="ED71" i="8" s="1"/>
  <c r="CW71" i="8"/>
  <c r="DG71" i="8"/>
  <c r="EG71" i="8" s="1"/>
  <c r="AL71" i="5"/>
  <c r="AQ70" i="5"/>
  <c r="AU70" i="1" s="1"/>
  <c r="AM71" i="5"/>
  <c r="AN71" i="5"/>
  <c r="DD70" i="8"/>
  <c r="EE70" i="8" s="1"/>
  <c r="EF70" i="8" s="1"/>
  <c r="AE71" i="7"/>
  <c r="AF71" i="7" s="1"/>
  <c r="N71" i="11"/>
  <c r="CO71" i="8"/>
  <c r="H75" i="5"/>
  <c r="D74" i="10"/>
  <c r="F74" i="7"/>
  <c r="CR71" i="8"/>
  <c r="DD71" i="8" s="1"/>
  <c r="AO71" i="5"/>
  <c r="CV71" i="8"/>
  <c r="DX71" i="8" s="1"/>
  <c r="EB71" i="8" s="1"/>
  <c r="X71" i="10"/>
  <c r="Y71" i="10" s="1"/>
  <c r="J73" i="7"/>
  <c r="DE73" i="5"/>
  <c r="H73" i="10"/>
  <c r="L74" i="5"/>
  <c r="AR74" i="5"/>
  <c r="A73" i="5"/>
  <c r="E73" i="5" s="1"/>
  <c r="EQ73" i="8" s="1"/>
  <c r="CZ73" i="8" s="1"/>
  <c r="V73" i="2"/>
  <c r="DD73" i="5"/>
  <c r="G73" i="10"/>
  <c r="I73" i="7"/>
  <c r="K74" i="5"/>
  <c r="E74" i="10"/>
  <c r="I75" i="5"/>
  <c r="DB74" i="5"/>
  <c r="G74" i="7"/>
  <c r="K77" i="8"/>
  <c r="S76" i="2"/>
  <c r="X75" i="1"/>
  <c r="AA14" i="1"/>
  <c r="S14" i="1" s="1"/>
  <c r="H15" i="1" s="1"/>
  <c r="O14" i="7"/>
  <c r="I14" i="11"/>
  <c r="H78" i="8"/>
  <c r="P77" i="2"/>
  <c r="D99" i="4"/>
  <c r="N75" i="2"/>
  <c r="B74" i="5"/>
  <c r="R75" i="2"/>
  <c r="J76" i="8"/>
  <c r="DG75" i="5"/>
  <c r="E46" i="4"/>
  <c r="G75" i="5"/>
  <c r="CZ74" i="5"/>
  <c r="C74" i="10"/>
  <c r="E74" i="7"/>
  <c r="AP14" i="1"/>
  <c r="T14" i="1" s="1"/>
  <c r="I15" i="1" s="1"/>
  <c r="J14" i="11"/>
  <c r="G14" i="2"/>
  <c r="Z14" i="2" s="1"/>
  <c r="Z15" i="8" s="1"/>
  <c r="D70" i="14"/>
  <c r="P71" i="1"/>
  <c r="E59" i="4"/>
  <c r="E49" i="4"/>
  <c r="CY75" i="5"/>
  <c r="C34" i="4"/>
  <c r="F34" i="4"/>
  <c r="W73" i="1"/>
  <c r="DA74" i="5"/>
  <c r="O76" i="2"/>
  <c r="DE76" i="8"/>
  <c r="B77" i="10"/>
  <c r="D77" i="7"/>
  <c r="F78" i="5"/>
  <c r="AA75" i="7"/>
  <c r="AE75" i="8" s="1"/>
  <c r="BC75" i="8" s="1"/>
  <c r="K75" i="10"/>
  <c r="M76" i="2"/>
  <c r="DF76" i="8"/>
  <c r="F75" i="10"/>
  <c r="J76" i="5"/>
  <c r="DC75" i="5"/>
  <c r="H75" i="7"/>
  <c r="DF73" i="5"/>
  <c r="BO68" i="1" l="1"/>
  <c r="AV69" i="8"/>
  <c r="AW69" i="1" s="1"/>
  <c r="L69" i="1" s="1"/>
  <c r="E69" i="11" s="1"/>
  <c r="AE71" i="11"/>
  <c r="AC71" i="8" s="1"/>
  <c r="AF71" i="11"/>
  <c r="AU69" i="8"/>
  <c r="AT69" i="1" s="1"/>
  <c r="CA72" i="8"/>
  <c r="CH72" i="8"/>
  <c r="BY70" i="8"/>
  <c r="BT70" i="8"/>
  <c r="CG70" i="8"/>
  <c r="BZ70" i="8"/>
  <c r="BP70" i="8"/>
  <c r="CF70" i="8"/>
  <c r="BU70" i="8"/>
  <c r="BQ70" i="8"/>
  <c r="AO75" i="11"/>
  <c r="L75" i="11"/>
  <c r="E74" i="9"/>
  <c r="AG74" i="5"/>
  <c r="B74" i="1"/>
  <c r="BI74" i="1" s="1"/>
  <c r="B74" i="2"/>
  <c r="AO69" i="8"/>
  <c r="BO69" i="1"/>
  <c r="AK68" i="5"/>
  <c r="AQ68" i="1"/>
  <c r="U68" i="1" s="1"/>
  <c r="J69" i="1" s="1"/>
  <c r="D68" i="11"/>
  <c r="BM68" i="1"/>
  <c r="AP68" i="8"/>
  <c r="AR68" i="1"/>
  <c r="V68" i="1" s="1"/>
  <c r="K69" i="1" s="1"/>
  <c r="C68" i="9"/>
  <c r="BN68" i="1"/>
  <c r="AR68" i="8"/>
  <c r="AC75" i="1"/>
  <c r="BC76" i="5"/>
  <c r="E51" i="4"/>
  <c r="BK78" i="5"/>
  <c r="AD76" i="1"/>
  <c r="BE76" i="5"/>
  <c r="AE74" i="1"/>
  <c r="W74" i="1" s="1"/>
  <c r="AZ79" i="5"/>
  <c r="BP77" i="5"/>
  <c r="AB76" i="1"/>
  <c r="BN79" i="5"/>
  <c r="AF77" i="1"/>
  <c r="O76" i="1"/>
  <c r="DK76" i="8" s="1"/>
  <c r="DI75" i="8"/>
  <c r="DJ75" i="8"/>
  <c r="AD72" i="9"/>
  <c r="AV72" i="1" s="1"/>
  <c r="N75" i="1"/>
  <c r="Y71" i="11"/>
  <c r="AH71" i="1" s="1"/>
  <c r="AA71" i="11"/>
  <c r="AC71" i="11"/>
  <c r="T71" i="8" s="1"/>
  <c r="AD71" i="11"/>
  <c r="AI71" i="1" s="1"/>
  <c r="Z71" i="11"/>
  <c r="AC71" i="2" s="1"/>
  <c r="AB71" i="11"/>
  <c r="P71" i="8" s="1"/>
  <c r="AT71" i="8"/>
  <c r="AQ71" i="8"/>
  <c r="F71" i="11"/>
  <c r="M72" i="1"/>
  <c r="AW71" i="8"/>
  <c r="N72" i="7"/>
  <c r="A77" i="2"/>
  <c r="M77" i="5"/>
  <c r="AD77" i="8"/>
  <c r="B77" i="14"/>
  <c r="J78" i="10"/>
  <c r="K77" i="11"/>
  <c r="A77" i="7"/>
  <c r="A77" i="8"/>
  <c r="A77" i="9"/>
  <c r="AJ78" i="14"/>
  <c r="CM77" i="8"/>
  <c r="EI71" i="8"/>
  <c r="DR72" i="8"/>
  <c r="DS72" i="8"/>
  <c r="DC71" i="8"/>
  <c r="EE71" i="8" s="1"/>
  <c r="EF71" i="8" s="1"/>
  <c r="EP72" i="8"/>
  <c r="DT72" i="8"/>
  <c r="N72" i="11"/>
  <c r="DN72" i="8"/>
  <c r="DO72" i="8"/>
  <c r="E73" i="1"/>
  <c r="CS73" i="8"/>
  <c r="DP73" i="8" s="1"/>
  <c r="CT73" i="8"/>
  <c r="DQ73" i="8" s="1"/>
  <c r="CU73" i="8"/>
  <c r="Y75" i="1"/>
  <c r="AG71" i="7"/>
  <c r="AI71" i="7" s="1"/>
  <c r="AH71" i="7"/>
  <c r="AR75" i="5"/>
  <c r="AN72" i="5"/>
  <c r="I79" i="8"/>
  <c r="Q78" i="2"/>
  <c r="X72" i="10"/>
  <c r="Y72" i="10" s="1"/>
  <c r="AM72" i="5"/>
  <c r="AO72" i="5"/>
  <c r="AL72" i="5"/>
  <c r="DH72" i="8"/>
  <c r="EH72" i="8" s="1"/>
  <c r="Q72" i="7"/>
  <c r="CR72" i="8"/>
  <c r="DD72" i="8" s="1"/>
  <c r="CN72" i="8"/>
  <c r="D73" i="9"/>
  <c r="DG72" i="8"/>
  <c r="EG72" i="8" s="1"/>
  <c r="DB72" i="8"/>
  <c r="EC72" i="8" s="1"/>
  <c r="ED72" i="8" s="1"/>
  <c r="CY72" i="8"/>
  <c r="EA72" i="8" s="1"/>
  <c r="CW72" i="8"/>
  <c r="CV72" i="8"/>
  <c r="DX72" i="8" s="1"/>
  <c r="EB72" i="8" s="1"/>
  <c r="CX72" i="8"/>
  <c r="DL73" i="8"/>
  <c r="A74" i="5"/>
  <c r="E74" i="5" s="1"/>
  <c r="AH73" i="5"/>
  <c r="AC73" i="10" s="1"/>
  <c r="A73" i="11"/>
  <c r="AB73" i="8"/>
  <c r="BS73" i="5"/>
  <c r="W73" i="8"/>
  <c r="B73" i="9"/>
  <c r="AV73" i="5"/>
  <c r="BN73" i="8"/>
  <c r="CN73" i="8" s="1"/>
  <c r="BO73" i="8"/>
  <c r="DM73" i="8" s="1"/>
  <c r="Q73" i="1"/>
  <c r="E73" i="14" s="1"/>
  <c r="A73" i="10"/>
  <c r="AA73" i="10" s="1"/>
  <c r="B73" i="7"/>
  <c r="Q73" i="7" s="1"/>
  <c r="C73" i="14"/>
  <c r="EO73" i="8"/>
  <c r="AI73" i="5"/>
  <c r="DY71" i="8"/>
  <c r="DZ71" i="8" s="1"/>
  <c r="AP71" i="5"/>
  <c r="CQ73" i="8"/>
  <c r="DA73" i="8" s="1"/>
  <c r="AQ71" i="5"/>
  <c r="AU71" i="1" s="1"/>
  <c r="AB72" i="2"/>
  <c r="AU73" i="5"/>
  <c r="H76" i="5"/>
  <c r="D75" i="10"/>
  <c r="F75" i="7"/>
  <c r="DD74" i="5"/>
  <c r="K75" i="5"/>
  <c r="G74" i="10"/>
  <c r="I74" i="7"/>
  <c r="DE74" i="5"/>
  <c r="L75" i="5"/>
  <c r="J74" i="7"/>
  <c r="H74" i="10"/>
  <c r="V74" i="2"/>
  <c r="G75" i="7"/>
  <c r="I76" i="5"/>
  <c r="E75" i="10"/>
  <c r="DB75" i="5"/>
  <c r="AG72" i="7"/>
  <c r="AI72" i="7" s="1"/>
  <c r="AH72" i="7"/>
  <c r="E53" i="4"/>
  <c r="DA75" i="5"/>
  <c r="F14" i="9"/>
  <c r="P14" i="7"/>
  <c r="P78" i="2"/>
  <c r="H79" i="8"/>
  <c r="J75" i="2"/>
  <c r="C14" i="8"/>
  <c r="N76" i="2"/>
  <c r="B75" i="5"/>
  <c r="DG76" i="5"/>
  <c r="M77" i="2"/>
  <c r="DF77" i="8"/>
  <c r="X76" i="1"/>
  <c r="AA76" i="7"/>
  <c r="AE76" i="8" s="1"/>
  <c r="BC76" i="8" s="1"/>
  <c r="K76" i="10"/>
  <c r="P72" i="1"/>
  <c r="D71" i="14"/>
  <c r="AJ15" i="5"/>
  <c r="AC15" i="7"/>
  <c r="AN15" i="8"/>
  <c r="V15" i="10"/>
  <c r="C15" i="11"/>
  <c r="BK15" i="1"/>
  <c r="C75" i="10"/>
  <c r="E75" i="7"/>
  <c r="CZ75" i="5"/>
  <c r="G76" i="5"/>
  <c r="B78" i="10"/>
  <c r="F79" i="5"/>
  <c r="D78" i="7"/>
  <c r="J77" i="5"/>
  <c r="F76" i="10"/>
  <c r="DC76" i="5"/>
  <c r="H76" i="7"/>
  <c r="R76" i="2"/>
  <c r="J77" i="8"/>
  <c r="S77" i="2"/>
  <c r="K78" i="8"/>
  <c r="O77" i="2"/>
  <c r="DE77" i="8"/>
  <c r="CY76" i="5"/>
  <c r="DF74" i="5"/>
  <c r="AV70" i="8" l="1"/>
  <c r="AW70" i="1" s="1"/>
  <c r="L70" i="1" s="1"/>
  <c r="AE72" i="11"/>
  <c r="AC72" i="8" s="1"/>
  <c r="AF72" i="11"/>
  <c r="CA73" i="8"/>
  <c r="CH73" i="8"/>
  <c r="AU70" i="8"/>
  <c r="AT70" i="1" s="1"/>
  <c r="CF71" i="8"/>
  <c r="CG71" i="8"/>
  <c r="BT71" i="8"/>
  <c r="BU71" i="8"/>
  <c r="BP71" i="8"/>
  <c r="BQ71" i="8"/>
  <c r="BY71" i="8"/>
  <c r="BZ71" i="8"/>
  <c r="AO76" i="11"/>
  <c r="L76" i="11"/>
  <c r="E75" i="9"/>
  <c r="AG75" i="5"/>
  <c r="B75" i="2"/>
  <c r="B75" i="1"/>
  <c r="BI75" i="1" s="1"/>
  <c r="J76" i="2"/>
  <c r="AP69" i="8"/>
  <c r="BM69" i="1"/>
  <c r="AQ69" i="1"/>
  <c r="U69" i="1" s="1"/>
  <c r="J70" i="1" s="1"/>
  <c r="AK69" i="5"/>
  <c r="D69" i="11"/>
  <c r="AR69" i="8"/>
  <c r="BN69" i="1"/>
  <c r="AR69" i="1"/>
  <c r="V69" i="1" s="1"/>
  <c r="K70" i="1" s="1"/>
  <c r="C69" i="9"/>
  <c r="BC77" i="5"/>
  <c r="AC76" i="1"/>
  <c r="BP78" i="5"/>
  <c r="AB77" i="1"/>
  <c r="BK79" i="5"/>
  <c r="AD77" i="1"/>
  <c r="BN80" i="5"/>
  <c r="AF78" i="1"/>
  <c r="BE77" i="5"/>
  <c r="AE75" i="1"/>
  <c r="W75" i="1" s="1"/>
  <c r="AZ80" i="5"/>
  <c r="O77" i="1"/>
  <c r="DK77" i="8" s="1"/>
  <c r="DJ76" i="8"/>
  <c r="DI76" i="8"/>
  <c r="AI74" i="5"/>
  <c r="EQ74" i="8"/>
  <c r="CZ74" i="8" s="1"/>
  <c r="AS15" i="8"/>
  <c r="AO15" i="1"/>
  <c r="AD73" i="9"/>
  <c r="AV73" i="1" s="1"/>
  <c r="N76" i="1"/>
  <c r="W74" i="8"/>
  <c r="AC72" i="11"/>
  <c r="T72" i="8" s="1"/>
  <c r="Y72" i="11"/>
  <c r="AH72" i="1" s="1"/>
  <c r="AA72" i="11"/>
  <c r="AB72" i="11"/>
  <c r="P72" i="8" s="1"/>
  <c r="AD72" i="11"/>
  <c r="AI72" i="1" s="1"/>
  <c r="Z72" i="11"/>
  <c r="AC72" i="2" s="1"/>
  <c r="BL15" i="1"/>
  <c r="AT72" i="8"/>
  <c r="AW72" i="8"/>
  <c r="AQ72" i="8"/>
  <c r="M73" i="1"/>
  <c r="F72" i="11"/>
  <c r="EO74" i="8"/>
  <c r="DT74" i="8" s="1"/>
  <c r="AJ79" i="14"/>
  <c r="CM78" i="8"/>
  <c r="A78" i="2"/>
  <c r="K78" i="11"/>
  <c r="M78" i="5"/>
  <c r="A78" i="9"/>
  <c r="J79" i="10"/>
  <c r="A78" i="7"/>
  <c r="A78" i="8"/>
  <c r="B78" i="14"/>
  <c r="AD78" i="8"/>
  <c r="DC72" i="8"/>
  <c r="EE72" i="8" s="1"/>
  <c r="EF72" i="8" s="1"/>
  <c r="DR73" i="8"/>
  <c r="DS73" i="8"/>
  <c r="DH73" i="8"/>
  <c r="EH73" i="8" s="1"/>
  <c r="DT73" i="8"/>
  <c r="DG73" i="8"/>
  <c r="EG73" i="8" s="1"/>
  <c r="DN73" i="8"/>
  <c r="DO73" i="8"/>
  <c r="B74" i="7"/>
  <c r="AE74" i="7" s="1"/>
  <c r="AF74" i="7" s="1"/>
  <c r="CS74" i="8"/>
  <c r="DP74" i="8" s="1"/>
  <c r="CT74" i="8"/>
  <c r="DQ74" i="8" s="1"/>
  <c r="CU74" i="8"/>
  <c r="Y76" i="1"/>
  <c r="BS74" i="5"/>
  <c r="B74" i="9"/>
  <c r="EP73" i="8"/>
  <c r="B76" i="5"/>
  <c r="AQ72" i="5"/>
  <c r="AU72" i="1" s="1"/>
  <c r="AP72" i="5"/>
  <c r="Q79" i="2"/>
  <c r="I80" i="8"/>
  <c r="D74" i="9"/>
  <c r="Q74" i="1"/>
  <c r="E74" i="14" s="1"/>
  <c r="AB73" i="2"/>
  <c r="AV74" i="5"/>
  <c r="CO73" i="8"/>
  <c r="BN74" i="8"/>
  <c r="CN74" i="8" s="1"/>
  <c r="E74" i="1"/>
  <c r="CR73" i="8"/>
  <c r="DD73" i="8" s="1"/>
  <c r="AU74" i="5"/>
  <c r="BO74" i="8"/>
  <c r="DM74" i="8" s="1"/>
  <c r="C74" i="14"/>
  <c r="AH74" i="5"/>
  <c r="AC74" i="10" s="1"/>
  <c r="A74" i="11"/>
  <c r="AB74" i="8"/>
  <c r="A74" i="10"/>
  <c r="AA74" i="10" s="1"/>
  <c r="EI72" i="8"/>
  <c r="DY72" i="8"/>
  <c r="DZ72" i="8" s="1"/>
  <c r="AN73" i="5"/>
  <c r="N73" i="11"/>
  <c r="CQ74" i="8"/>
  <c r="DA74" i="8" s="1"/>
  <c r="DL74" i="8"/>
  <c r="AO73" i="5"/>
  <c r="N73" i="7"/>
  <c r="X73" i="10"/>
  <c r="Y73" i="10" s="1"/>
  <c r="AM73" i="5"/>
  <c r="CX73" i="8"/>
  <c r="AE73" i="7"/>
  <c r="AF73" i="7" s="1"/>
  <c r="AL73" i="5"/>
  <c r="CY73" i="8"/>
  <c r="EA73" i="8" s="1"/>
  <c r="CV73" i="8"/>
  <c r="DX73" i="8" s="1"/>
  <c r="EB73" i="8" s="1"/>
  <c r="CW73" i="8"/>
  <c r="DB73" i="8"/>
  <c r="EC73" i="8" s="1"/>
  <c r="ED73" i="8" s="1"/>
  <c r="V75" i="2"/>
  <c r="AR76" i="5"/>
  <c r="H77" i="5"/>
  <c r="D76" i="10"/>
  <c r="F76" i="7"/>
  <c r="A75" i="5"/>
  <c r="E75" i="5" s="1"/>
  <c r="EQ75" i="8" s="1"/>
  <c r="CZ75" i="8" s="1"/>
  <c r="DD75" i="5"/>
  <c r="G75" i="10"/>
  <c r="I75" i="7"/>
  <c r="K76" i="5"/>
  <c r="J75" i="7"/>
  <c r="H75" i="10"/>
  <c r="DE75" i="5"/>
  <c r="L76" i="5"/>
  <c r="DB76" i="5"/>
  <c r="E76" i="10"/>
  <c r="I77" i="5"/>
  <c r="G76" i="7"/>
  <c r="X77" i="1"/>
  <c r="F77" i="10"/>
  <c r="H77" i="7"/>
  <c r="DC77" i="5"/>
  <c r="J78" i="5"/>
  <c r="DG77" i="5"/>
  <c r="N77" i="2"/>
  <c r="O78" i="2"/>
  <c r="DE78" i="8"/>
  <c r="M78" i="2"/>
  <c r="DF78" i="8"/>
  <c r="P73" i="1"/>
  <c r="D72" i="14"/>
  <c r="K77" i="10"/>
  <c r="AA77" i="7"/>
  <c r="AE77" i="8" s="1"/>
  <c r="BC77" i="8" s="1"/>
  <c r="H80" i="8"/>
  <c r="P79" i="2"/>
  <c r="R77" i="2"/>
  <c r="J78" i="8"/>
  <c r="D79" i="7"/>
  <c r="F80" i="5"/>
  <c r="B79" i="10"/>
  <c r="DA76" i="5"/>
  <c r="CY77" i="5"/>
  <c r="S78" i="2"/>
  <c r="K79" i="8"/>
  <c r="E76" i="7"/>
  <c r="G77" i="5"/>
  <c r="CZ76" i="5"/>
  <c r="C76" i="10"/>
  <c r="Y14" i="2"/>
  <c r="X14" i="2" s="1"/>
  <c r="DF75" i="5"/>
  <c r="BO70" i="1" l="1"/>
  <c r="E70" i="11"/>
  <c r="AO70" i="8"/>
  <c r="AU71" i="8"/>
  <c r="AT71" i="1" s="1"/>
  <c r="CA74" i="8"/>
  <c r="CH74" i="8"/>
  <c r="AE73" i="11"/>
  <c r="AC73" i="8" s="1"/>
  <c r="AF73" i="11"/>
  <c r="AV71" i="8"/>
  <c r="AW71" i="1" s="1"/>
  <c r="L71" i="1" s="1"/>
  <c r="BO71" i="1" s="1"/>
  <c r="BP72" i="8"/>
  <c r="CG72" i="8"/>
  <c r="BZ72" i="8"/>
  <c r="BU72" i="8"/>
  <c r="BT72" i="8"/>
  <c r="CF72" i="8"/>
  <c r="BQ72" i="8"/>
  <c r="BY72" i="8"/>
  <c r="AO77" i="11"/>
  <c r="L77" i="11"/>
  <c r="AG76" i="5"/>
  <c r="E76" i="9"/>
  <c r="B76" i="1"/>
  <c r="BI76" i="1" s="1"/>
  <c r="B76" i="2"/>
  <c r="BM70" i="1"/>
  <c r="AQ70" i="1"/>
  <c r="U70" i="1" s="1"/>
  <c r="J71" i="1" s="1"/>
  <c r="AK70" i="5"/>
  <c r="AP70" i="8"/>
  <c r="D70" i="11"/>
  <c r="AO71" i="8"/>
  <c r="AR70" i="8"/>
  <c r="C70" i="9"/>
  <c r="BN70" i="1"/>
  <c r="AR70" i="1"/>
  <c r="V70" i="1" s="1"/>
  <c r="K71" i="1" s="1"/>
  <c r="AN74" i="5"/>
  <c r="AC77" i="1"/>
  <c r="BC78" i="5"/>
  <c r="BP79" i="5"/>
  <c r="AB78" i="1"/>
  <c r="AZ81" i="5"/>
  <c r="BK80" i="5"/>
  <c r="AD78" i="1"/>
  <c r="BN81" i="5"/>
  <c r="AF79" i="1"/>
  <c r="BE78" i="5"/>
  <c r="AE76" i="1"/>
  <c r="W76" i="1" s="1"/>
  <c r="O78" i="1"/>
  <c r="DK78" i="8" s="1"/>
  <c r="DI77" i="8"/>
  <c r="DJ77" i="8"/>
  <c r="AD74" i="9"/>
  <c r="AV74" i="1" s="1"/>
  <c r="N77" i="1"/>
  <c r="AC73" i="11"/>
  <c r="T73" i="8" s="1"/>
  <c r="AA73" i="11"/>
  <c r="Y73" i="11"/>
  <c r="AH73" i="1" s="1"/>
  <c r="AD73" i="11"/>
  <c r="AI73" i="1" s="1"/>
  <c r="Z73" i="11"/>
  <c r="AC73" i="2" s="1"/>
  <c r="AB73" i="11"/>
  <c r="P73" i="8" s="1"/>
  <c r="AT73" i="8"/>
  <c r="AQ73" i="8"/>
  <c r="F73" i="11"/>
  <c r="M74" i="1"/>
  <c r="AW73" i="8"/>
  <c r="DH74" i="8"/>
  <c r="EH74" i="8" s="1"/>
  <c r="EP74" i="8"/>
  <c r="A79" i="2"/>
  <c r="K79" i="11"/>
  <c r="M79" i="5"/>
  <c r="A79" i="9"/>
  <c r="B79" i="14"/>
  <c r="AD79" i="8"/>
  <c r="A79" i="8"/>
  <c r="J80" i="10"/>
  <c r="A79" i="7"/>
  <c r="X74" i="10"/>
  <c r="Y74" i="10" s="1"/>
  <c r="CM79" i="8"/>
  <c r="AJ80" i="14"/>
  <c r="DR74" i="8"/>
  <c r="DS74" i="8"/>
  <c r="EI73" i="8"/>
  <c r="DB74" i="8"/>
  <c r="EC74" i="8" s="1"/>
  <c r="ED74" i="8" s="1"/>
  <c r="DN74" i="8"/>
  <c r="DO74" i="8"/>
  <c r="DC73" i="8"/>
  <c r="EE73" i="8" s="1"/>
  <c r="EF73" i="8" s="1"/>
  <c r="Q74" i="7"/>
  <c r="CT75" i="8"/>
  <c r="DQ75" i="8" s="1"/>
  <c r="CS75" i="8"/>
  <c r="DP75" i="8" s="1"/>
  <c r="CU75" i="8"/>
  <c r="D75" i="9"/>
  <c r="CR74" i="8"/>
  <c r="DC74" i="8" s="1"/>
  <c r="AM74" i="5"/>
  <c r="AO74" i="5"/>
  <c r="AL74" i="5"/>
  <c r="Y77" i="1"/>
  <c r="AH73" i="7"/>
  <c r="N74" i="11"/>
  <c r="N74" i="7"/>
  <c r="CO74" i="8"/>
  <c r="DY73" i="8"/>
  <c r="DZ73" i="8" s="1"/>
  <c r="Q80" i="2"/>
  <c r="I81" i="8"/>
  <c r="AQ73" i="5"/>
  <c r="AU73" i="1" s="1"/>
  <c r="AP73" i="5"/>
  <c r="DG74" i="8"/>
  <c r="EG74" i="8" s="1"/>
  <c r="CY74" i="8"/>
  <c r="EA74" i="8" s="1"/>
  <c r="CW74" i="8"/>
  <c r="CX74" i="8"/>
  <c r="CV74" i="8"/>
  <c r="DX74" i="8" s="1"/>
  <c r="EB74" i="8" s="1"/>
  <c r="E65" i="4"/>
  <c r="DL75" i="8"/>
  <c r="W75" i="8"/>
  <c r="AG73" i="7"/>
  <c r="AI73" i="7" s="1"/>
  <c r="D77" i="10"/>
  <c r="F77" i="7"/>
  <c r="H78" i="5"/>
  <c r="EO75" i="8"/>
  <c r="E75" i="1"/>
  <c r="CQ75" i="8"/>
  <c r="DA75" i="8" s="1"/>
  <c r="AB75" i="8"/>
  <c r="B75" i="7"/>
  <c r="AE75" i="7" s="1"/>
  <c r="AF75" i="7" s="1"/>
  <c r="AI75" i="5"/>
  <c r="BS75" i="5"/>
  <c r="E45" i="4" s="1"/>
  <c r="A75" i="11"/>
  <c r="Q75" i="1"/>
  <c r="E75" i="14" s="1"/>
  <c r="B75" i="9"/>
  <c r="C75" i="14"/>
  <c r="AH75" i="5"/>
  <c r="AB74" i="2"/>
  <c r="AV75" i="5"/>
  <c r="BN75" i="8"/>
  <c r="CN75" i="8" s="1"/>
  <c r="A75" i="10"/>
  <c r="AA75" i="10" s="1"/>
  <c r="BO75" i="8"/>
  <c r="DM75" i="8" s="1"/>
  <c r="AU75" i="5"/>
  <c r="L77" i="5"/>
  <c r="DE76" i="5"/>
  <c r="H76" i="10"/>
  <c r="J76" i="7"/>
  <c r="A76" i="5"/>
  <c r="E76" i="5" s="1"/>
  <c r="EQ76" i="8" s="1"/>
  <c r="CZ76" i="8" s="1"/>
  <c r="DD76" i="5"/>
  <c r="I76" i="7"/>
  <c r="K77" i="5"/>
  <c r="G76" i="10"/>
  <c r="AR77" i="5"/>
  <c r="V76" i="2"/>
  <c r="DB77" i="5"/>
  <c r="E77" i="10"/>
  <c r="I78" i="5"/>
  <c r="G77" i="7"/>
  <c r="AA78" i="7"/>
  <c r="AE78" i="8" s="1"/>
  <c r="BC78" i="8" s="1"/>
  <c r="K78" i="10"/>
  <c r="DA77" i="5"/>
  <c r="O79" i="2"/>
  <c r="DE79" i="8"/>
  <c r="N78" i="2"/>
  <c r="X78" i="1"/>
  <c r="C77" i="10"/>
  <c r="CZ77" i="5"/>
  <c r="E77" i="7"/>
  <c r="G78" i="5"/>
  <c r="D80" i="7"/>
  <c r="F81" i="5"/>
  <c r="B80" i="10"/>
  <c r="R78" i="2"/>
  <c r="J79" i="8"/>
  <c r="D73" i="14"/>
  <c r="P74" i="1"/>
  <c r="CY78" i="5"/>
  <c r="H81" i="8"/>
  <c r="P80" i="2"/>
  <c r="M79" i="2"/>
  <c r="DF79" i="8"/>
  <c r="K80" i="8"/>
  <c r="S79" i="2"/>
  <c r="AH74" i="7"/>
  <c r="AG74" i="7"/>
  <c r="AI74" i="7" s="1"/>
  <c r="DG78" i="5"/>
  <c r="DC78" i="5"/>
  <c r="J79" i="5"/>
  <c r="F78" i="10"/>
  <c r="H78" i="7"/>
  <c r="J77" i="2"/>
  <c r="L15" i="2"/>
  <c r="H15" i="11"/>
  <c r="B15" i="8"/>
  <c r="D15" i="2" s="1"/>
  <c r="AB15" i="7"/>
  <c r="E15" i="2"/>
  <c r="BD15" i="8"/>
  <c r="B77" i="5"/>
  <c r="DF76" i="5"/>
  <c r="E71" i="11" l="1"/>
  <c r="AE74" i="11"/>
  <c r="AC74" i="8" s="1"/>
  <c r="AF74" i="11"/>
  <c r="CA75" i="8"/>
  <c r="CH75" i="8"/>
  <c r="AU72" i="8"/>
  <c r="AT72" i="1" s="1"/>
  <c r="AV72" i="8"/>
  <c r="AW72" i="1" s="1"/>
  <c r="L72" i="1" s="1"/>
  <c r="E72" i="11" s="1"/>
  <c r="BQ73" i="8"/>
  <c r="CF73" i="8"/>
  <c r="CG73" i="8"/>
  <c r="BP73" i="8"/>
  <c r="BT73" i="8"/>
  <c r="BU73" i="8"/>
  <c r="BY73" i="8"/>
  <c r="BZ73" i="8"/>
  <c r="AO78" i="11"/>
  <c r="L78" i="11"/>
  <c r="E77" i="9"/>
  <c r="AG77" i="5"/>
  <c r="B77" i="2"/>
  <c r="B77" i="1"/>
  <c r="BI77" i="1" s="1"/>
  <c r="J78" i="2"/>
  <c r="AQ71" i="1"/>
  <c r="U71" i="1" s="1"/>
  <c r="J72" i="1" s="1"/>
  <c r="D71" i="11"/>
  <c r="AK71" i="5"/>
  <c r="BM71" i="1"/>
  <c r="AP71" i="8"/>
  <c r="BN71" i="1"/>
  <c r="AR71" i="8"/>
  <c r="AR71" i="1"/>
  <c r="V71" i="1" s="1"/>
  <c r="K72" i="1" s="1"/>
  <c r="C71" i="9"/>
  <c r="I48" i="4"/>
  <c r="C91" i="4" s="1"/>
  <c r="BC79" i="5"/>
  <c r="AC78" i="1"/>
  <c r="AP74" i="5"/>
  <c r="F53" i="4"/>
  <c r="BN82" i="5"/>
  <c r="AF80" i="1"/>
  <c r="BE79" i="5"/>
  <c r="AE77" i="1"/>
  <c r="W77" i="1" s="1"/>
  <c r="BP80" i="5"/>
  <c r="AB79" i="1"/>
  <c r="AZ82" i="5"/>
  <c r="BK81" i="5"/>
  <c r="AD79" i="1"/>
  <c r="O79" i="1"/>
  <c r="DK79" i="8" s="1"/>
  <c r="DI78" i="8"/>
  <c r="DJ78" i="8"/>
  <c r="AD75" i="9"/>
  <c r="AV75" i="1" s="1"/>
  <c r="N78" i="1"/>
  <c r="AT74" i="8"/>
  <c r="AW74" i="8"/>
  <c r="AQ74" i="8"/>
  <c r="M75" i="1"/>
  <c r="F74" i="11"/>
  <c r="Y74" i="11"/>
  <c r="AH74" i="1" s="1"/>
  <c r="AA74" i="11"/>
  <c r="AC74" i="11"/>
  <c r="T74" i="8" s="1"/>
  <c r="AD74" i="11"/>
  <c r="AI74" i="1" s="1"/>
  <c r="Z74" i="11"/>
  <c r="AC74" i="2" s="1"/>
  <c r="AB74" i="11"/>
  <c r="P74" i="8" s="1"/>
  <c r="EI74" i="8"/>
  <c r="CM80" i="8"/>
  <c r="AJ81" i="14"/>
  <c r="A80" i="2"/>
  <c r="A80" i="9"/>
  <c r="A80" i="8"/>
  <c r="K80" i="11"/>
  <c r="AD80" i="8"/>
  <c r="M80" i="5"/>
  <c r="A80" i="7"/>
  <c r="B80" i="14"/>
  <c r="J81" i="10"/>
  <c r="B78" i="5"/>
  <c r="DR75" i="8"/>
  <c r="DS75" i="8"/>
  <c r="DH75" i="8"/>
  <c r="EH75" i="8" s="1"/>
  <c r="DT75" i="8"/>
  <c r="DB75" i="8"/>
  <c r="EC75" i="8" s="1"/>
  <c r="ED75" i="8" s="1"/>
  <c r="DN75" i="8"/>
  <c r="DO75" i="8"/>
  <c r="CS76" i="8"/>
  <c r="DP76" i="8" s="1"/>
  <c r="CT76" i="8"/>
  <c r="DQ76" i="8" s="1"/>
  <c r="CU76" i="8"/>
  <c r="DD74" i="8"/>
  <c r="EE74" i="8" s="1"/>
  <c r="EF74" i="8" s="1"/>
  <c r="AQ74" i="5"/>
  <c r="AU74" i="1" s="1"/>
  <c r="Y78" i="1"/>
  <c r="Q81" i="2"/>
  <c r="I82" i="8"/>
  <c r="N75" i="11"/>
  <c r="DY74" i="8"/>
  <c r="DZ74" i="8" s="1"/>
  <c r="DL76" i="8"/>
  <c r="CV75" i="8"/>
  <c r="DX75" i="8" s="1"/>
  <c r="EB75" i="8" s="1"/>
  <c r="DG75" i="8"/>
  <c r="EG75" i="8" s="1"/>
  <c r="CX75" i="8"/>
  <c r="F65" i="4"/>
  <c r="C94" i="4" s="1"/>
  <c r="N75" i="7"/>
  <c r="Q75" i="7"/>
  <c r="M28" i="7" s="1"/>
  <c r="CW75" i="8"/>
  <c r="CY75" i="8"/>
  <c r="EA75" i="8" s="1"/>
  <c r="D76" i="9"/>
  <c r="F58" i="4"/>
  <c r="C87" i="4" s="1"/>
  <c r="F61" i="4"/>
  <c r="C78" i="4" s="1"/>
  <c r="B76" i="7"/>
  <c r="Q76" i="7" s="1"/>
  <c r="F51" i="4"/>
  <c r="E76" i="1"/>
  <c r="I49" i="4"/>
  <c r="C90" i="4" s="1"/>
  <c r="Q76" i="1"/>
  <c r="E76" i="14" s="1"/>
  <c r="F62" i="4"/>
  <c r="B50" i="4"/>
  <c r="AI76" i="5"/>
  <c r="E66" i="4"/>
  <c r="F66" i="4" s="1"/>
  <c r="CO75" i="8"/>
  <c r="BN76" i="8"/>
  <c r="CN76" i="8" s="1"/>
  <c r="F50" i="4"/>
  <c r="CR75" i="8"/>
  <c r="DC75" i="8" s="1"/>
  <c r="BO76" i="8"/>
  <c r="DM76" i="8" s="1"/>
  <c r="F63" i="4"/>
  <c r="EO76" i="8"/>
  <c r="A76" i="11"/>
  <c r="W76" i="8"/>
  <c r="F49" i="4"/>
  <c r="F52" i="4"/>
  <c r="C83" i="4" s="1"/>
  <c r="F56" i="4"/>
  <c r="AU76" i="5"/>
  <c r="C76" i="14"/>
  <c r="F46" i="4"/>
  <c r="F48" i="4"/>
  <c r="F60" i="4"/>
  <c r="B76" i="9"/>
  <c r="F59" i="4"/>
  <c r="F57" i="4"/>
  <c r="D82" i="4"/>
  <c r="AB76" i="8"/>
  <c r="BS76" i="5"/>
  <c r="AB75" i="2"/>
  <c r="AV76" i="5"/>
  <c r="F64" i="4"/>
  <c r="F54" i="4"/>
  <c r="AH76" i="5"/>
  <c r="A76" i="10"/>
  <c r="AA76" i="10" s="1"/>
  <c r="F47" i="4"/>
  <c r="F55" i="4"/>
  <c r="F67" i="4"/>
  <c r="D78" i="10"/>
  <c r="H79" i="5"/>
  <c r="F78" i="7"/>
  <c r="AN75" i="5"/>
  <c r="EP75" i="8"/>
  <c r="AL75" i="5"/>
  <c r="AM75" i="5"/>
  <c r="AC75" i="10"/>
  <c r="X75" i="10" s="1"/>
  <c r="Y75" i="10" s="1"/>
  <c r="AO75" i="5"/>
  <c r="V77" i="2"/>
  <c r="AR78" i="5"/>
  <c r="A77" i="5"/>
  <c r="E77" i="5" s="1"/>
  <c r="EQ77" i="8" s="1"/>
  <c r="CZ77" i="8" s="1"/>
  <c r="DE77" i="5"/>
  <c r="J77" i="7"/>
  <c r="L78" i="5"/>
  <c r="H77" i="10"/>
  <c r="G77" i="10"/>
  <c r="I77" i="7"/>
  <c r="K78" i="5"/>
  <c r="DD77" i="5"/>
  <c r="CQ76" i="8"/>
  <c r="DA76" i="8" s="1"/>
  <c r="E78" i="10"/>
  <c r="G78" i="7"/>
  <c r="DB78" i="5"/>
  <c r="I79" i="5"/>
  <c r="N79" i="2"/>
  <c r="DF80" i="8"/>
  <c r="M80" i="2"/>
  <c r="S80" i="2"/>
  <c r="K81" i="8"/>
  <c r="R79" i="2"/>
  <c r="J80" i="8"/>
  <c r="AH75" i="7"/>
  <c r="AG75" i="7"/>
  <c r="AI75" i="7" s="1"/>
  <c r="H79" i="7"/>
  <c r="F79" i="10"/>
  <c r="DC79" i="5"/>
  <c r="J80" i="5"/>
  <c r="D81" i="7"/>
  <c r="B81" i="10"/>
  <c r="F82" i="5"/>
  <c r="X79" i="1"/>
  <c r="K79" i="10"/>
  <c r="AA79" i="7"/>
  <c r="AE79" i="8" s="1"/>
  <c r="BC79" i="8" s="1"/>
  <c r="O80" i="2"/>
  <c r="DE80" i="8"/>
  <c r="DG79" i="5"/>
  <c r="D74" i="14"/>
  <c r="P75" i="1"/>
  <c r="U15" i="2"/>
  <c r="H82" i="8"/>
  <c r="P81" i="2"/>
  <c r="CY79" i="5"/>
  <c r="CZ78" i="5"/>
  <c r="E78" i="7"/>
  <c r="G79" i="5"/>
  <c r="C78" i="10"/>
  <c r="DA78" i="5"/>
  <c r="DF77" i="5"/>
  <c r="AO72" i="8" l="1"/>
  <c r="BO72" i="1"/>
  <c r="CA76" i="8"/>
  <c r="CH76" i="8"/>
  <c r="AF75" i="11"/>
  <c r="AE75" i="11"/>
  <c r="AC75" i="8" s="1"/>
  <c r="AV73" i="8"/>
  <c r="AW73" i="1" s="1"/>
  <c r="L73" i="1" s="1"/>
  <c r="BO73" i="1" s="1"/>
  <c r="AU73" i="8"/>
  <c r="AT73" i="1" s="1"/>
  <c r="BP74" i="8"/>
  <c r="BT74" i="8"/>
  <c r="BZ74" i="8"/>
  <c r="BU74" i="8"/>
  <c r="BY74" i="8"/>
  <c r="CF74" i="8"/>
  <c r="BQ74" i="8"/>
  <c r="AV74" i="8" s="1"/>
  <c r="AW74" i="1" s="1"/>
  <c r="L74" i="1" s="1"/>
  <c r="BO74" i="1" s="1"/>
  <c r="CG74" i="8"/>
  <c r="AO79" i="11"/>
  <c r="L79" i="11"/>
  <c r="E78" i="9"/>
  <c r="AG78" i="5"/>
  <c r="B78" i="1"/>
  <c r="BI78" i="1" s="1"/>
  <c r="B78" i="2"/>
  <c r="W14" i="2"/>
  <c r="C15" i="2" s="1"/>
  <c r="F15" i="2" s="1"/>
  <c r="AK72" i="5"/>
  <c r="BM72" i="1"/>
  <c r="AQ72" i="1"/>
  <c r="U72" i="1" s="1"/>
  <c r="J73" i="1" s="1"/>
  <c r="D72" i="11"/>
  <c r="E73" i="11"/>
  <c r="AO73" i="8"/>
  <c r="AP72" i="8"/>
  <c r="AR72" i="8"/>
  <c r="AR72" i="1"/>
  <c r="V72" i="1" s="1"/>
  <c r="K73" i="1" s="1"/>
  <c r="C72" i="9"/>
  <c r="BN72" i="1"/>
  <c r="J48" i="4"/>
  <c r="B79" i="5"/>
  <c r="AC79" i="1"/>
  <c r="BC80" i="5"/>
  <c r="C88" i="4"/>
  <c r="B23" i="4" s="1"/>
  <c r="C35" i="4" s="1"/>
  <c r="D88" i="4"/>
  <c r="C23" i="4" s="1"/>
  <c r="F35" i="4" s="1"/>
  <c r="C89" i="4"/>
  <c r="D89" i="4"/>
  <c r="C86" i="4"/>
  <c r="D86" i="4"/>
  <c r="D84" i="4"/>
  <c r="D85" i="4"/>
  <c r="D75" i="4"/>
  <c r="AL76" i="5"/>
  <c r="J49" i="4"/>
  <c r="C80" i="4"/>
  <c r="AZ83" i="5"/>
  <c r="BN83" i="5"/>
  <c r="AF81" i="1"/>
  <c r="BK82" i="5"/>
  <c r="AD80" i="1"/>
  <c r="BE80" i="5"/>
  <c r="AE78" i="1"/>
  <c r="BP81" i="5"/>
  <c r="AB80" i="1"/>
  <c r="O80" i="1"/>
  <c r="DK80" i="8" s="1"/>
  <c r="DI79" i="8"/>
  <c r="DJ79" i="8"/>
  <c r="AD76" i="9"/>
  <c r="AV76" i="1" s="1"/>
  <c r="N79" i="1"/>
  <c r="AT75" i="8"/>
  <c r="B63" i="4"/>
  <c r="AQ75" i="8"/>
  <c r="B62" i="4"/>
  <c r="M76" i="1"/>
  <c r="F75" i="11"/>
  <c r="AW75" i="8"/>
  <c r="Y75" i="11"/>
  <c r="AH75" i="1" s="1"/>
  <c r="AC75" i="11"/>
  <c r="T75" i="8" s="1"/>
  <c r="AA75" i="11"/>
  <c r="Z75" i="11"/>
  <c r="AC75" i="2" s="1"/>
  <c r="AD75" i="11"/>
  <c r="AI75" i="1" s="1"/>
  <c r="AB75" i="11"/>
  <c r="EI75" i="8"/>
  <c r="CM81" i="8"/>
  <c r="AJ82" i="14"/>
  <c r="A81" i="2"/>
  <c r="M81" i="5"/>
  <c r="A81" i="8"/>
  <c r="A81" i="7"/>
  <c r="A81" i="9"/>
  <c r="B81" i="14"/>
  <c r="J82" i="10"/>
  <c r="AD81" i="8"/>
  <c r="K81" i="11"/>
  <c r="DR76" i="8"/>
  <c r="DS76" i="8"/>
  <c r="EP76" i="8"/>
  <c r="DT76" i="8"/>
  <c r="CV76" i="8"/>
  <c r="DX76" i="8" s="1"/>
  <c r="EB76" i="8" s="1"/>
  <c r="DN76" i="8"/>
  <c r="DO76" i="8"/>
  <c r="CS77" i="8"/>
  <c r="DP77" i="8" s="1"/>
  <c r="CU77" i="8"/>
  <c r="CT77" i="8"/>
  <c r="DQ77" i="8" s="1"/>
  <c r="Y79" i="1"/>
  <c r="AC76" i="10"/>
  <c r="X76" i="10" s="1"/>
  <c r="Y76" i="10" s="1"/>
  <c r="J79" i="2"/>
  <c r="Q82" i="2"/>
  <c r="I83" i="8"/>
  <c r="D78" i="4"/>
  <c r="CO76" i="8"/>
  <c r="AO76" i="5"/>
  <c r="CR76" i="8"/>
  <c r="DD76" i="8" s="1"/>
  <c r="D79" i="4"/>
  <c r="D77" i="4"/>
  <c r="DY75" i="8"/>
  <c r="DZ75" i="8" s="1"/>
  <c r="D76" i="4"/>
  <c r="C75" i="4"/>
  <c r="D74" i="4"/>
  <c r="D77" i="9"/>
  <c r="DD75" i="8"/>
  <c r="EE75" i="8" s="1"/>
  <c r="EF75" i="8" s="1"/>
  <c r="AN76" i="5"/>
  <c r="AM76" i="5"/>
  <c r="AE76" i="7"/>
  <c r="AF76" i="7" s="1"/>
  <c r="N76" i="11"/>
  <c r="DH76" i="8"/>
  <c r="EH76" i="8" s="1"/>
  <c r="N76" i="7"/>
  <c r="CX76" i="8"/>
  <c r="DG76" i="8"/>
  <c r="EG76" i="8" s="1"/>
  <c r="F79" i="7"/>
  <c r="H80" i="5"/>
  <c r="D79" i="10"/>
  <c r="AP75" i="5"/>
  <c r="AQ75" i="5"/>
  <c r="AU75" i="1" s="1"/>
  <c r="AR79" i="5"/>
  <c r="CY76" i="8"/>
  <c r="EA76" i="8" s="1"/>
  <c r="V78" i="2"/>
  <c r="A78" i="5"/>
  <c r="E78" i="5" s="1"/>
  <c r="EQ78" i="8" s="1"/>
  <c r="CZ78" i="8" s="1"/>
  <c r="J78" i="7"/>
  <c r="L79" i="5"/>
  <c r="DE78" i="5"/>
  <c r="H78" i="10"/>
  <c r="CW76" i="8"/>
  <c r="DB76" i="8"/>
  <c r="EC76" i="8" s="1"/>
  <c r="ED76" i="8" s="1"/>
  <c r="DD78" i="5"/>
  <c r="K79" i="5"/>
  <c r="I78" i="7"/>
  <c r="G78" i="10"/>
  <c r="E79" i="10"/>
  <c r="DB79" i="5"/>
  <c r="G79" i="7"/>
  <c r="I80" i="5"/>
  <c r="CY80" i="5"/>
  <c r="DG80" i="5"/>
  <c r="S81" i="2"/>
  <c r="K82" i="8"/>
  <c r="E79" i="7"/>
  <c r="G80" i="5"/>
  <c r="C79" i="10"/>
  <c r="CZ79" i="5"/>
  <c r="P76" i="1"/>
  <c r="D75" i="14"/>
  <c r="M29" i="7" s="1"/>
  <c r="W78" i="1"/>
  <c r="DA79" i="5"/>
  <c r="O81" i="2"/>
  <c r="DE81" i="8"/>
  <c r="F83" i="5"/>
  <c r="D82" i="7"/>
  <c r="B82" i="10"/>
  <c r="R80" i="2"/>
  <c r="J81" i="8"/>
  <c r="H83" i="8"/>
  <c r="P82" i="2"/>
  <c r="H80" i="7"/>
  <c r="DC80" i="5"/>
  <c r="F80" i="10"/>
  <c r="J81" i="5"/>
  <c r="N80" i="2"/>
  <c r="K80" i="10"/>
  <c r="AA80" i="7"/>
  <c r="AE80" i="8" s="1"/>
  <c r="BC80" i="8" s="1"/>
  <c r="X80" i="1"/>
  <c r="B77" i="9"/>
  <c r="Q77" i="1"/>
  <c r="E77" i="14" s="1"/>
  <c r="B77" i="7"/>
  <c r="A77" i="10"/>
  <c r="AA77" i="10" s="1"/>
  <c r="C77" i="14"/>
  <c r="AV77" i="5"/>
  <c r="A77" i="11"/>
  <c r="BS77" i="5"/>
  <c r="W77" i="8"/>
  <c r="AU77" i="5"/>
  <c r="E77" i="1"/>
  <c r="AB76" i="2"/>
  <c r="AI77" i="5"/>
  <c r="AH77" i="5"/>
  <c r="BN77" i="8"/>
  <c r="BO77" i="8"/>
  <c r="DM77" i="8" s="1"/>
  <c r="AB77" i="8"/>
  <c r="EO77" i="8"/>
  <c r="DT77" i="8" s="1"/>
  <c r="DL77" i="8"/>
  <c r="CQ77" i="8"/>
  <c r="DA77" i="8" s="1"/>
  <c r="DF81" i="8"/>
  <c r="M81" i="2"/>
  <c r="DF78" i="5"/>
  <c r="CA77" i="8" l="1"/>
  <c r="CH77" i="8"/>
  <c r="AF76" i="11"/>
  <c r="AE76" i="11"/>
  <c r="AC76" i="8" s="1"/>
  <c r="AU74" i="8"/>
  <c r="AT74" i="1" s="1"/>
  <c r="BZ75" i="8"/>
  <c r="BT75" i="8"/>
  <c r="CG75" i="8"/>
  <c r="BP75" i="8"/>
  <c r="BQ75" i="8"/>
  <c r="BY75" i="8"/>
  <c r="CF75" i="8"/>
  <c r="BU75" i="8"/>
  <c r="H15" i="2"/>
  <c r="AO80" i="11"/>
  <c r="F15" i="1"/>
  <c r="L80" i="11"/>
  <c r="E79" i="9"/>
  <c r="AG79" i="5"/>
  <c r="B79" i="1"/>
  <c r="BI79" i="1" s="1"/>
  <c r="B79" i="2"/>
  <c r="I15" i="2"/>
  <c r="I15" i="11" s="1"/>
  <c r="B24" i="4"/>
  <c r="C36" i="4" s="1"/>
  <c r="BM73" i="1"/>
  <c r="AK73" i="5"/>
  <c r="D73" i="11"/>
  <c r="AQ73" i="1"/>
  <c r="U73" i="1" s="1"/>
  <c r="J74" i="1" s="1"/>
  <c r="BM74" i="1" s="1"/>
  <c r="AO74" i="8"/>
  <c r="E74" i="11"/>
  <c r="AP73" i="8"/>
  <c r="AR73" i="1"/>
  <c r="V73" i="1" s="1"/>
  <c r="K74" i="1" s="1"/>
  <c r="C73" i="9"/>
  <c r="AR73" i="8"/>
  <c r="BN73" i="1"/>
  <c r="B25" i="4"/>
  <c r="AC80" i="1"/>
  <c r="BC81" i="5"/>
  <c r="C25" i="4"/>
  <c r="F37" i="4" s="1"/>
  <c r="C24" i="4"/>
  <c r="AP76" i="5"/>
  <c r="BE81" i="5"/>
  <c r="AE79" i="1"/>
  <c r="W79" i="1" s="1"/>
  <c r="AZ84" i="5"/>
  <c r="BP82" i="5"/>
  <c r="AB81" i="1"/>
  <c r="BN84" i="5"/>
  <c r="AF82" i="1"/>
  <c r="BK83" i="5"/>
  <c r="AD81" i="1"/>
  <c r="O81" i="1"/>
  <c r="DK81" i="8" s="1"/>
  <c r="DJ80" i="8"/>
  <c r="DI80" i="8"/>
  <c r="G34" i="4"/>
  <c r="P75" i="8"/>
  <c r="D34" i="4" s="1"/>
  <c r="AD77" i="9"/>
  <c r="AV77" i="1" s="1"/>
  <c r="N80" i="1"/>
  <c r="AT76" i="8"/>
  <c r="AQ76" i="8"/>
  <c r="M77" i="1"/>
  <c r="F76" i="11"/>
  <c r="AW76" i="8"/>
  <c r="Y76" i="11"/>
  <c r="AH76" i="1" s="1"/>
  <c r="AC76" i="11"/>
  <c r="T76" i="8" s="1"/>
  <c r="AA76" i="11"/>
  <c r="Z76" i="11"/>
  <c r="AC76" i="2" s="1"/>
  <c r="AD76" i="11"/>
  <c r="AI76" i="1" s="1"/>
  <c r="AB76" i="11"/>
  <c r="P76" i="8" s="1"/>
  <c r="AJ83" i="14"/>
  <c r="CM82" i="8"/>
  <c r="A82" i="2"/>
  <c r="M82" i="5"/>
  <c r="AD82" i="8"/>
  <c r="K82" i="11"/>
  <c r="A82" i="8"/>
  <c r="B82" i="14"/>
  <c r="A82" i="9"/>
  <c r="A82" i="7"/>
  <c r="J83" i="10"/>
  <c r="DR77" i="8"/>
  <c r="DS77" i="8"/>
  <c r="DN77" i="8"/>
  <c r="DO77" i="8"/>
  <c r="Q78" i="1"/>
  <c r="E78" i="14" s="1"/>
  <c r="CS78" i="8"/>
  <c r="DP78" i="8" s="1"/>
  <c r="CT78" i="8"/>
  <c r="DQ78" i="8" s="1"/>
  <c r="CU78" i="8"/>
  <c r="Y80" i="1"/>
  <c r="AG76" i="7"/>
  <c r="AI76" i="7" s="1"/>
  <c r="Q83" i="2"/>
  <c r="I84" i="8"/>
  <c r="AQ76" i="5"/>
  <c r="AU76" i="1" s="1"/>
  <c r="DC76" i="8"/>
  <c r="EE76" i="8" s="1"/>
  <c r="EF76" i="8" s="1"/>
  <c r="CQ78" i="8"/>
  <c r="DA78" i="8" s="1"/>
  <c r="V79" i="2"/>
  <c r="EI76" i="8"/>
  <c r="AH76" i="7"/>
  <c r="AV78" i="5"/>
  <c r="AB77" i="2"/>
  <c r="DY76" i="8"/>
  <c r="DZ76" i="8" s="1"/>
  <c r="AB78" i="8"/>
  <c r="BO78" i="8"/>
  <c r="DM78" i="8" s="1"/>
  <c r="B78" i="7"/>
  <c r="AE78" i="7" s="1"/>
  <c r="AF78" i="7" s="1"/>
  <c r="AI78" i="5"/>
  <c r="F80" i="7"/>
  <c r="H81" i="5"/>
  <c r="D80" i="10"/>
  <c r="B78" i="9"/>
  <c r="BS78" i="5"/>
  <c r="AR80" i="5"/>
  <c r="A79" i="5"/>
  <c r="E79" i="5" s="1"/>
  <c r="EQ79" i="8" s="1"/>
  <c r="CZ79" i="8" s="1"/>
  <c r="W78" i="8"/>
  <c r="EO78" i="8"/>
  <c r="A78" i="11"/>
  <c r="E78" i="1"/>
  <c r="AU78" i="5"/>
  <c r="DL78" i="8"/>
  <c r="AH78" i="5"/>
  <c r="AC78" i="10" s="1"/>
  <c r="C78" i="14"/>
  <c r="BN78" i="8"/>
  <c r="CR78" i="8" s="1"/>
  <c r="A78" i="10"/>
  <c r="AA78" i="10" s="1"/>
  <c r="L80" i="5"/>
  <c r="J79" i="7"/>
  <c r="DE79" i="5"/>
  <c r="H79" i="10"/>
  <c r="DD79" i="5"/>
  <c r="G79" i="10"/>
  <c r="I79" i="7"/>
  <c r="K80" i="5"/>
  <c r="I81" i="5"/>
  <c r="G80" i="7"/>
  <c r="E80" i="10"/>
  <c r="DB80" i="5"/>
  <c r="AN77" i="5"/>
  <c r="N77" i="11"/>
  <c r="F81" i="10"/>
  <c r="H81" i="7"/>
  <c r="J82" i="5"/>
  <c r="DC81" i="5"/>
  <c r="S82" i="2"/>
  <c r="K83" i="8"/>
  <c r="O82" i="2"/>
  <c r="DE82" i="8"/>
  <c r="DF82" i="8"/>
  <c r="M82" i="2"/>
  <c r="CN77" i="8"/>
  <c r="CR77" i="8"/>
  <c r="CO77" i="8"/>
  <c r="D78" i="9"/>
  <c r="X81" i="1"/>
  <c r="N81" i="2"/>
  <c r="P83" i="2"/>
  <c r="H84" i="8"/>
  <c r="F84" i="5"/>
  <c r="D83" i="7"/>
  <c r="B83" i="10"/>
  <c r="G81" i="5"/>
  <c r="CZ80" i="5"/>
  <c r="E80" i="7"/>
  <c r="C80" i="10"/>
  <c r="CY81" i="5"/>
  <c r="AP15" i="1"/>
  <c r="T15" i="1" s="1"/>
  <c r="I16" i="1" s="1"/>
  <c r="J15" i="11"/>
  <c r="G15" i="2"/>
  <c r="N77" i="7"/>
  <c r="DA80" i="5"/>
  <c r="CW77" i="8"/>
  <c r="CV77" i="8"/>
  <c r="DX77" i="8" s="1"/>
  <c r="DG77" i="8"/>
  <c r="EG77" i="8" s="1"/>
  <c r="DB77" i="8"/>
  <c r="EC77" i="8" s="1"/>
  <c r="ED77" i="8" s="1"/>
  <c r="CY77" i="8"/>
  <c r="EA77" i="8" s="1"/>
  <c r="CX77" i="8"/>
  <c r="AO77" i="5"/>
  <c r="AM77" i="5"/>
  <c r="AC77" i="10"/>
  <c r="X77" i="10" s="1"/>
  <c r="Y77" i="10" s="1"/>
  <c r="AL77" i="5"/>
  <c r="DH77" i="8"/>
  <c r="EH77" i="8" s="1"/>
  <c r="EP77" i="8"/>
  <c r="Q77" i="7"/>
  <c r="AE77" i="7"/>
  <c r="AF77" i="7" s="1"/>
  <c r="AA81" i="7"/>
  <c r="AE81" i="8" s="1"/>
  <c r="BC81" i="8" s="1"/>
  <c r="K81" i="10"/>
  <c r="J82" i="8"/>
  <c r="R81" i="2"/>
  <c r="DG81" i="5"/>
  <c r="P77" i="1"/>
  <c r="D76" i="14"/>
  <c r="B80" i="5"/>
  <c r="J80" i="2"/>
  <c r="DF79" i="5"/>
  <c r="AV75" i="8" l="1"/>
  <c r="AW75" i="1" s="1"/>
  <c r="L75" i="1" s="1"/>
  <c r="AO75" i="8" s="1"/>
  <c r="AE77" i="11"/>
  <c r="AC77" i="8" s="1"/>
  <c r="AF77" i="11"/>
  <c r="AU75" i="8"/>
  <c r="AT75" i="1" s="1"/>
  <c r="BZ76" i="8"/>
  <c r="CG76" i="8"/>
  <c r="CF76" i="8"/>
  <c r="BU76" i="8"/>
  <c r="BP76" i="8"/>
  <c r="BT76" i="8"/>
  <c r="BQ76" i="8"/>
  <c r="BY76" i="8"/>
  <c r="CA78" i="8"/>
  <c r="CH78" i="8"/>
  <c r="AO81" i="11"/>
  <c r="AA15" i="1"/>
  <c r="S15" i="1" s="1"/>
  <c r="H16" i="1" s="1"/>
  <c r="AC16" i="7" s="1"/>
  <c r="L81" i="11"/>
  <c r="E80" i="9"/>
  <c r="AG80" i="5"/>
  <c r="B80" i="1"/>
  <c r="BI80" i="1" s="1"/>
  <c r="B80" i="2"/>
  <c r="BO75" i="1"/>
  <c r="Z15" i="2"/>
  <c r="O15" i="7"/>
  <c r="B61" i="4"/>
  <c r="O72" i="8"/>
  <c r="D74" i="11"/>
  <c r="AK74" i="5"/>
  <c r="AQ74" i="1"/>
  <c r="U74" i="1" s="1"/>
  <c r="J75" i="1" s="1"/>
  <c r="E75" i="11"/>
  <c r="AP74" i="8"/>
  <c r="AR74" i="8"/>
  <c r="BN74" i="1"/>
  <c r="C74" i="9"/>
  <c r="AR74" i="1"/>
  <c r="V74" i="1" s="1"/>
  <c r="K75" i="1" s="1"/>
  <c r="AC81" i="1"/>
  <c r="BC82" i="5"/>
  <c r="J81" i="2"/>
  <c r="BK84" i="5"/>
  <c r="AD82" i="1"/>
  <c r="BE82" i="5"/>
  <c r="AE80" i="1"/>
  <c r="W80" i="1" s="1"/>
  <c r="AZ85" i="5"/>
  <c r="BP83" i="5"/>
  <c r="AB82" i="1"/>
  <c r="BN85" i="5"/>
  <c r="AF83" i="1"/>
  <c r="O47" i="8"/>
  <c r="Q47" i="8" s="1"/>
  <c r="O6" i="8"/>
  <c r="Q6" i="8" s="1"/>
  <c r="O70" i="8"/>
  <c r="Q70" i="8" s="1"/>
  <c r="O13" i="8"/>
  <c r="Q13" i="8" s="1"/>
  <c r="O20" i="8"/>
  <c r="Q20" i="8" s="1"/>
  <c r="O11" i="8"/>
  <c r="Q11" i="8" s="1"/>
  <c r="O75" i="8"/>
  <c r="Q75" i="8" s="1"/>
  <c r="O10" i="8"/>
  <c r="Q10" i="8" s="1"/>
  <c r="O74" i="8"/>
  <c r="Q74" i="8" s="1"/>
  <c r="O12" i="8"/>
  <c r="Q12" i="8" s="1"/>
  <c r="O65" i="8"/>
  <c r="Q65" i="8" s="1"/>
  <c r="O64" i="8"/>
  <c r="Q64" i="8" s="1"/>
  <c r="O39" i="8"/>
  <c r="Q39" i="8" s="1"/>
  <c r="O62" i="8"/>
  <c r="Q62" i="8" s="1"/>
  <c r="O5" i="8"/>
  <c r="Q5" i="8" s="1"/>
  <c r="O69" i="8"/>
  <c r="Q69" i="8" s="1"/>
  <c r="O76" i="8"/>
  <c r="Q76" i="8" s="1"/>
  <c r="O4" i="8"/>
  <c r="Q4" i="8" s="1"/>
  <c r="O67" i="8"/>
  <c r="Q67" i="8" s="1"/>
  <c r="O66" i="8"/>
  <c r="Q66" i="8" s="1"/>
  <c r="O57" i="8"/>
  <c r="Q57" i="8" s="1"/>
  <c r="O56" i="8"/>
  <c r="Q56" i="8" s="1"/>
  <c r="O23" i="8"/>
  <c r="Q23" i="8" s="1"/>
  <c r="O54" i="8"/>
  <c r="Q54" i="8" s="1"/>
  <c r="O61" i="8"/>
  <c r="Q61" i="8" s="1"/>
  <c r="O68" i="8"/>
  <c r="Q68" i="8" s="1"/>
  <c r="O59" i="8"/>
  <c r="Q59" i="8" s="1"/>
  <c r="O58" i="8"/>
  <c r="Q58" i="8" s="1"/>
  <c r="O49" i="8"/>
  <c r="Q49" i="8" s="1"/>
  <c r="O48" i="8"/>
  <c r="Q48" i="8" s="1"/>
  <c r="O15" i="8"/>
  <c r="Q15" i="8" s="1"/>
  <c r="O46" i="8"/>
  <c r="Q46" i="8" s="1"/>
  <c r="O53" i="8"/>
  <c r="Q53" i="8" s="1"/>
  <c r="O60" i="8"/>
  <c r="Q60" i="8" s="1"/>
  <c r="O51" i="8"/>
  <c r="Q51" i="8" s="1"/>
  <c r="O50" i="8"/>
  <c r="Q50" i="8" s="1"/>
  <c r="O41" i="8"/>
  <c r="Q41" i="8" s="1"/>
  <c r="O40" i="8"/>
  <c r="Q40" i="8" s="1"/>
  <c r="O3" i="8"/>
  <c r="Q3" i="8" s="1"/>
  <c r="O38" i="8"/>
  <c r="Q38" i="8" s="1"/>
  <c r="O45" i="8"/>
  <c r="Q45" i="8" s="1"/>
  <c r="O52" i="8"/>
  <c r="Q52" i="8" s="1"/>
  <c r="O43" i="8"/>
  <c r="Q43" i="8" s="1"/>
  <c r="O42" i="8"/>
  <c r="Q42" i="8" s="1"/>
  <c r="O33" i="8"/>
  <c r="Q33" i="8" s="1"/>
  <c r="O32" i="8"/>
  <c r="Q32" i="8" s="1"/>
  <c r="O30" i="8"/>
  <c r="Q30" i="8" s="1"/>
  <c r="O55" i="8"/>
  <c r="Q55" i="8" s="1"/>
  <c r="O37" i="8"/>
  <c r="Q37" i="8" s="1"/>
  <c r="O44" i="8"/>
  <c r="Q44" i="8" s="1"/>
  <c r="O35" i="8"/>
  <c r="Q35" i="8" s="1"/>
  <c r="O34" i="8"/>
  <c r="Q34" i="8" s="1"/>
  <c r="O25" i="8"/>
  <c r="Q25" i="8" s="1"/>
  <c r="O24" i="8"/>
  <c r="Q24" i="8" s="1"/>
  <c r="O71" i="8"/>
  <c r="Q71" i="8" s="1"/>
  <c r="O22" i="8"/>
  <c r="Q22" i="8" s="1"/>
  <c r="O31" i="8"/>
  <c r="Q31" i="8" s="1"/>
  <c r="O29" i="8"/>
  <c r="Q29" i="8" s="1"/>
  <c r="O36" i="8"/>
  <c r="Q36" i="8" s="1"/>
  <c r="O27" i="8"/>
  <c r="Q27" i="8" s="1"/>
  <c r="O26" i="8"/>
  <c r="Q26" i="8" s="1"/>
  <c r="O17" i="8"/>
  <c r="Q17" i="8" s="1"/>
  <c r="O16" i="8"/>
  <c r="Q16" i="8" s="1"/>
  <c r="O63" i="8"/>
  <c r="Q63" i="8" s="1"/>
  <c r="O14" i="8"/>
  <c r="Q14" i="8" s="1"/>
  <c r="O7" i="8"/>
  <c r="Q7" i="8" s="1"/>
  <c r="O21" i="8"/>
  <c r="Q21" i="8" s="1"/>
  <c r="O28" i="8"/>
  <c r="Q28" i="8" s="1"/>
  <c r="O19" i="8"/>
  <c r="Q19" i="8" s="1"/>
  <c r="O18" i="8"/>
  <c r="Q18" i="8" s="1"/>
  <c r="O9" i="8"/>
  <c r="Q9" i="8" s="1"/>
  <c r="O73" i="8"/>
  <c r="Q73" i="8" s="1"/>
  <c r="O8" i="8"/>
  <c r="Q8" i="8" s="1"/>
  <c r="R3" i="8"/>
  <c r="S3" i="8" s="1"/>
  <c r="V3" i="8" s="1"/>
  <c r="R8" i="8"/>
  <c r="R9" i="8"/>
  <c r="R10" i="8"/>
  <c r="R11" i="8"/>
  <c r="S11" i="8" s="1"/>
  <c r="R12" i="8"/>
  <c r="R7" i="8"/>
  <c r="S7" i="8" s="1"/>
  <c r="V7" i="8" s="1"/>
  <c r="R6" i="8"/>
  <c r="R15" i="8"/>
  <c r="R5" i="8"/>
  <c r="R14" i="8"/>
  <c r="R4" i="8"/>
  <c r="S4" i="8" s="1"/>
  <c r="R13" i="8"/>
  <c r="S13" i="8" s="1"/>
  <c r="V13" i="8" s="1"/>
  <c r="O82" i="1"/>
  <c r="DK82" i="8" s="1"/>
  <c r="DI81" i="8"/>
  <c r="DJ81" i="8"/>
  <c r="H34" i="4"/>
  <c r="H35" i="4"/>
  <c r="H37" i="4"/>
  <c r="E34" i="4"/>
  <c r="E35" i="4"/>
  <c r="E36" i="4"/>
  <c r="AD78" i="9"/>
  <c r="AV78" i="1" s="1"/>
  <c r="N81" i="1"/>
  <c r="AT77" i="8"/>
  <c r="AQ77" i="8"/>
  <c r="F77" i="11"/>
  <c r="M78" i="1"/>
  <c r="AW77" i="8"/>
  <c r="Y77" i="11"/>
  <c r="AH77" i="1" s="1"/>
  <c r="AC77" i="11"/>
  <c r="T77" i="8" s="1"/>
  <c r="AA77" i="11"/>
  <c r="AB77" i="11"/>
  <c r="P77" i="8" s="1"/>
  <c r="AD77" i="11"/>
  <c r="AI77" i="1" s="1"/>
  <c r="Z77" i="11"/>
  <c r="AC77" i="2" s="1"/>
  <c r="A83" i="2"/>
  <c r="K83" i="11"/>
  <c r="AD83" i="8"/>
  <c r="A83" i="8"/>
  <c r="B83" i="14"/>
  <c r="M83" i="5"/>
  <c r="A83" i="7"/>
  <c r="A83" i="9"/>
  <c r="J84" i="10"/>
  <c r="CM83" i="8"/>
  <c r="AJ84" i="14"/>
  <c r="DH78" i="8"/>
  <c r="EH78" i="8" s="1"/>
  <c r="DT78" i="8"/>
  <c r="DR78" i="8"/>
  <c r="DS78" i="8"/>
  <c r="CY78" i="8"/>
  <c r="EA78" i="8" s="1"/>
  <c r="DN78" i="8"/>
  <c r="DO78" i="8"/>
  <c r="A79" i="10"/>
  <c r="AA79" i="10" s="1"/>
  <c r="CS79" i="8"/>
  <c r="DP79" i="8" s="1"/>
  <c r="CT79" i="8"/>
  <c r="DQ79" i="8" s="1"/>
  <c r="CU79" i="8"/>
  <c r="Y81" i="1"/>
  <c r="Q84" i="2"/>
  <c r="I85" i="8"/>
  <c r="W79" i="8"/>
  <c r="B79" i="9"/>
  <c r="Q79" i="1"/>
  <c r="E79" i="14" s="1"/>
  <c r="Q78" i="7"/>
  <c r="E79" i="1"/>
  <c r="AB79" i="8"/>
  <c r="EO79" i="8"/>
  <c r="AV79" i="5"/>
  <c r="C79" i="14"/>
  <c r="AH79" i="5"/>
  <c r="B79" i="7"/>
  <c r="Q79" i="7" s="1"/>
  <c r="BS79" i="5"/>
  <c r="AU79" i="5"/>
  <c r="AB78" i="2"/>
  <c r="AI79" i="5"/>
  <c r="BN79" i="8"/>
  <c r="CO79" i="8" s="1"/>
  <c r="A79" i="11"/>
  <c r="BO79" i="8"/>
  <c r="DM79" i="8" s="1"/>
  <c r="CV78" i="8"/>
  <c r="DX78" i="8" s="1"/>
  <c r="EB78" i="8" s="1"/>
  <c r="DG78" i="8"/>
  <c r="EG78" i="8" s="1"/>
  <c r="CW78" i="8"/>
  <c r="CX78" i="8"/>
  <c r="DB78" i="8"/>
  <c r="EC78" i="8" s="1"/>
  <c r="ED78" i="8" s="1"/>
  <c r="CQ79" i="8"/>
  <c r="DA79" i="8" s="1"/>
  <c r="DL79" i="8"/>
  <c r="L24" i="4"/>
  <c r="F36" i="4"/>
  <c r="H36" i="4" s="1"/>
  <c r="Q72" i="8"/>
  <c r="L25" i="4"/>
  <c r="C37" i="4"/>
  <c r="AN78" i="5"/>
  <c r="AO78" i="5"/>
  <c r="N78" i="7"/>
  <c r="N78" i="11"/>
  <c r="F81" i="7"/>
  <c r="H82" i="5"/>
  <c r="D81" i="10"/>
  <c r="EP78" i="8"/>
  <c r="CN78" i="8"/>
  <c r="CO78" i="8"/>
  <c r="D79" i="9"/>
  <c r="AP77" i="5"/>
  <c r="X78" i="10"/>
  <c r="Y78" i="10" s="1"/>
  <c r="AL78" i="5"/>
  <c r="AM78" i="5"/>
  <c r="K81" i="5"/>
  <c r="DD80" i="5"/>
  <c r="I80" i="7"/>
  <c r="G80" i="10"/>
  <c r="H80" i="10"/>
  <c r="DE80" i="5"/>
  <c r="L81" i="5"/>
  <c r="J80" i="7"/>
  <c r="A80" i="5"/>
  <c r="E80" i="5" s="1"/>
  <c r="EQ80" i="8" s="1"/>
  <c r="CZ80" i="8" s="1"/>
  <c r="AR81" i="5"/>
  <c r="V80" i="2"/>
  <c r="G81" i="7"/>
  <c r="E81" i="10"/>
  <c r="I82" i="5"/>
  <c r="DB81" i="5"/>
  <c r="DY77" i="8"/>
  <c r="DZ77" i="8" s="1"/>
  <c r="AG77" i="7"/>
  <c r="AI77" i="7" s="1"/>
  <c r="AH77" i="7"/>
  <c r="X82" i="1"/>
  <c r="B81" i="5"/>
  <c r="AQ77" i="5"/>
  <c r="AU77" i="1" s="1"/>
  <c r="EB77" i="8"/>
  <c r="F15" i="9"/>
  <c r="P15" i="7"/>
  <c r="CY82" i="5"/>
  <c r="DE83" i="8"/>
  <c r="O83" i="2"/>
  <c r="K82" i="10"/>
  <c r="AA82" i="7"/>
  <c r="AE82" i="8" s="1"/>
  <c r="BC82" i="8" s="1"/>
  <c r="C15" i="8"/>
  <c r="D84" i="7"/>
  <c r="B84" i="10"/>
  <c r="F85" i="5"/>
  <c r="EI77" i="8"/>
  <c r="AH78" i="7"/>
  <c r="AG78" i="7"/>
  <c r="AI78" i="7" s="1"/>
  <c r="N82" i="2"/>
  <c r="S83" i="2"/>
  <c r="K84" i="8"/>
  <c r="DC78" i="8"/>
  <c r="DD78" i="8"/>
  <c r="R82" i="2"/>
  <c r="J83" i="8"/>
  <c r="E81" i="7"/>
  <c r="C81" i="10"/>
  <c r="G82" i="5"/>
  <c r="CZ81" i="5"/>
  <c r="B82" i="5"/>
  <c r="DA81" i="5"/>
  <c r="M83" i="2"/>
  <c r="DF83" i="8"/>
  <c r="P78" i="1"/>
  <c r="D77" i="14"/>
  <c r="DG82" i="5"/>
  <c r="H85" i="8"/>
  <c r="P84" i="2"/>
  <c r="DC77" i="8"/>
  <c r="O77" i="8" s="1"/>
  <c r="DD77" i="8"/>
  <c r="H82" i="7"/>
  <c r="DC82" i="5"/>
  <c r="F82" i="10"/>
  <c r="J83" i="5"/>
  <c r="DF80" i="5"/>
  <c r="AV76" i="8" l="1"/>
  <c r="AW76" i="1" s="1"/>
  <c r="L76" i="1" s="1"/>
  <c r="E76" i="11" s="1"/>
  <c r="AE78" i="11"/>
  <c r="AC78" i="8" s="1"/>
  <c r="AF78" i="11"/>
  <c r="AU76" i="8"/>
  <c r="AT76" i="1" s="1"/>
  <c r="CA79" i="8"/>
  <c r="CH79" i="8"/>
  <c r="BQ77" i="8"/>
  <c r="CF77" i="8"/>
  <c r="BU77" i="8"/>
  <c r="CG77" i="8"/>
  <c r="BP77" i="8"/>
  <c r="BT77" i="8"/>
  <c r="BY77" i="8"/>
  <c r="BZ77" i="8"/>
  <c r="AO82" i="11"/>
  <c r="V16" i="10"/>
  <c r="AN16" i="8"/>
  <c r="AJ16" i="5"/>
  <c r="C16" i="11"/>
  <c r="BK16" i="1"/>
  <c r="L82" i="11"/>
  <c r="E81" i="9"/>
  <c r="AG81" i="5"/>
  <c r="B81" i="1"/>
  <c r="BI81" i="1" s="1"/>
  <c r="B81" i="2"/>
  <c r="Z16" i="8"/>
  <c r="B59" i="4"/>
  <c r="AK75" i="5"/>
  <c r="AQ75" i="1"/>
  <c r="U75" i="1" s="1"/>
  <c r="J76" i="1" s="1"/>
  <c r="BM76" i="1" s="1"/>
  <c r="D75" i="11"/>
  <c r="BM75" i="1"/>
  <c r="AO76" i="8"/>
  <c r="AP75" i="8"/>
  <c r="AR75" i="8"/>
  <c r="BN75" i="1"/>
  <c r="C75" i="9"/>
  <c r="B60" i="4"/>
  <c r="AR75" i="1"/>
  <c r="V75" i="1" s="1"/>
  <c r="K76" i="1" s="1"/>
  <c r="AC82" i="1"/>
  <c r="BC83" i="5"/>
  <c r="U11" i="8"/>
  <c r="BP84" i="5"/>
  <c r="AB83" i="1"/>
  <c r="BK85" i="5"/>
  <c r="AD83" i="1"/>
  <c r="BN86" i="5"/>
  <c r="AF84" i="1"/>
  <c r="BE83" i="5"/>
  <c r="AE81" i="1"/>
  <c r="W81" i="1" s="1"/>
  <c r="AZ86" i="5"/>
  <c r="U4" i="8"/>
  <c r="S6" i="8"/>
  <c r="V6" i="8" s="1"/>
  <c r="S15" i="8"/>
  <c r="V15" i="8" s="1"/>
  <c r="U5" i="8"/>
  <c r="S5" i="8"/>
  <c r="V5" i="8" s="1"/>
  <c r="U8" i="8"/>
  <c r="S8" i="8"/>
  <c r="V8" i="8" s="1"/>
  <c r="U14" i="8"/>
  <c r="S14" i="8"/>
  <c r="V14" i="8" s="1"/>
  <c r="U9" i="8"/>
  <c r="S9" i="8"/>
  <c r="V9" i="8" s="1"/>
  <c r="S10" i="8"/>
  <c r="V10" i="8" s="1"/>
  <c r="U12" i="8"/>
  <c r="S12" i="8"/>
  <c r="V12" i="8" s="1"/>
  <c r="O78" i="8"/>
  <c r="O83" i="1"/>
  <c r="DK83" i="8" s="1"/>
  <c r="DI82" i="8"/>
  <c r="DJ82" i="8"/>
  <c r="H38" i="4"/>
  <c r="J47" i="4" s="1"/>
  <c r="AS16" i="8"/>
  <c r="AO16" i="1"/>
  <c r="AD79" i="9"/>
  <c r="AV79" i="1" s="1"/>
  <c r="N82" i="1"/>
  <c r="BL16" i="1"/>
  <c r="AT78" i="8"/>
  <c r="AQ78" i="8"/>
  <c r="F78" i="11"/>
  <c r="M79" i="1"/>
  <c r="AW78" i="8"/>
  <c r="CR79" i="8"/>
  <c r="DC79" i="8" s="1"/>
  <c r="CN79" i="8"/>
  <c r="D80" i="9"/>
  <c r="AC78" i="11"/>
  <c r="T78" i="8" s="1"/>
  <c r="AA78" i="11"/>
  <c r="Y78" i="11"/>
  <c r="AH78" i="1" s="1"/>
  <c r="Z78" i="11"/>
  <c r="AC78" i="2" s="1"/>
  <c r="AB78" i="11"/>
  <c r="P78" i="8" s="1"/>
  <c r="AD78" i="11"/>
  <c r="AI78" i="1" s="1"/>
  <c r="AE79" i="7"/>
  <c r="AF79" i="7" s="1"/>
  <c r="A84" i="2"/>
  <c r="A84" i="7"/>
  <c r="M84" i="5"/>
  <c r="AD84" i="8"/>
  <c r="J85" i="10"/>
  <c r="A84" i="8"/>
  <c r="A84" i="9"/>
  <c r="K84" i="11"/>
  <c r="B84" i="14"/>
  <c r="AJ85" i="14"/>
  <c r="CM84" i="8"/>
  <c r="DH79" i="8"/>
  <c r="EH79" i="8" s="1"/>
  <c r="DT79" i="8"/>
  <c r="N79" i="7"/>
  <c r="DR79" i="8"/>
  <c r="DS79" i="8"/>
  <c r="EI78" i="8"/>
  <c r="CY79" i="8"/>
  <c r="EA79" i="8" s="1"/>
  <c r="DN79" i="8"/>
  <c r="DO79" i="8"/>
  <c r="CU80" i="8"/>
  <c r="CS80" i="8"/>
  <c r="DP80" i="8" s="1"/>
  <c r="CT80" i="8"/>
  <c r="DQ80" i="8" s="1"/>
  <c r="Y82" i="1"/>
  <c r="AM79" i="5"/>
  <c r="V4" i="8"/>
  <c r="U10" i="8"/>
  <c r="I86" i="8"/>
  <c r="Q85" i="2"/>
  <c r="DB79" i="8"/>
  <c r="EC79" i="8" s="1"/>
  <c r="ED79" i="8" s="1"/>
  <c r="CW79" i="8"/>
  <c r="DG79" i="8"/>
  <c r="EG79" i="8" s="1"/>
  <c r="CX79" i="8"/>
  <c r="U13" i="8"/>
  <c r="CV79" i="8"/>
  <c r="EP79" i="8"/>
  <c r="U7" i="8"/>
  <c r="N79" i="11"/>
  <c r="DY78" i="8"/>
  <c r="DZ78" i="8" s="1"/>
  <c r="AL79" i="5"/>
  <c r="AC79" i="10"/>
  <c r="X79" i="10" s="1"/>
  <c r="Y79" i="10" s="1"/>
  <c r="AO79" i="5"/>
  <c r="V11" i="8"/>
  <c r="U15" i="8"/>
  <c r="F38" i="4"/>
  <c r="I47" i="4" s="1"/>
  <c r="AN79" i="5"/>
  <c r="U6" i="8"/>
  <c r="EM15" i="8"/>
  <c r="G15" i="1" s="1"/>
  <c r="M15" i="8" s="1"/>
  <c r="U3" i="8"/>
  <c r="EM4" i="8"/>
  <c r="G4" i="1" s="1"/>
  <c r="M4" i="8" s="1"/>
  <c r="EM14" i="8"/>
  <c r="G14" i="1" s="1"/>
  <c r="M14" i="8" s="1"/>
  <c r="EM25" i="8"/>
  <c r="G25" i="1" s="1"/>
  <c r="M25" i="8" s="1"/>
  <c r="EM7" i="8"/>
  <c r="G7" i="1" s="1"/>
  <c r="M7" i="8" s="1"/>
  <c r="EM33" i="8"/>
  <c r="G33" i="1" s="1"/>
  <c r="M33" i="8" s="1"/>
  <c r="EM31" i="8"/>
  <c r="G31" i="1" s="1"/>
  <c r="M31" i="8" s="1"/>
  <c r="EM9" i="8"/>
  <c r="G9" i="1" s="1"/>
  <c r="M9" i="8" s="1"/>
  <c r="EM45" i="8"/>
  <c r="G45" i="1" s="1"/>
  <c r="M45" i="8" s="1"/>
  <c r="EM20" i="8"/>
  <c r="G20" i="1" s="1"/>
  <c r="M20" i="8" s="1"/>
  <c r="EM24" i="8"/>
  <c r="G24" i="1" s="1"/>
  <c r="M24" i="8" s="1"/>
  <c r="EM12" i="8"/>
  <c r="G12" i="1" s="1"/>
  <c r="M12" i="8" s="1"/>
  <c r="EM16" i="8"/>
  <c r="G16" i="1" s="1"/>
  <c r="M16" i="8" s="1"/>
  <c r="EM47" i="8"/>
  <c r="G47" i="1" s="1"/>
  <c r="M47" i="8" s="1"/>
  <c r="EM29" i="8"/>
  <c r="G29" i="1" s="1"/>
  <c r="M29" i="8" s="1"/>
  <c r="EM21" i="8"/>
  <c r="G21" i="1" s="1"/>
  <c r="M21" i="8" s="1"/>
  <c r="EM58" i="8"/>
  <c r="G58" i="1" s="1"/>
  <c r="M58" i="8" s="1"/>
  <c r="EM70" i="8"/>
  <c r="G70" i="1" s="1"/>
  <c r="M70" i="8" s="1"/>
  <c r="EM19" i="8"/>
  <c r="G19" i="1" s="1"/>
  <c r="M19" i="8" s="1"/>
  <c r="EM66" i="8"/>
  <c r="G66" i="1" s="1"/>
  <c r="M66" i="8" s="1"/>
  <c r="EM17" i="8"/>
  <c r="G17" i="1" s="1"/>
  <c r="M17" i="8" s="1"/>
  <c r="EM8" i="8"/>
  <c r="G8" i="1" s="1"/>
  <c r="M8" i="8" s="1"/>
  <c r="EM72" i="8"/>
  <c r="G72" i="1" s="1"/>
  <c r="M72" i="8" s="1"/>
  <c r="EM13" i="8"/>
  <c r="G13" i="1" s="1"/>
  <c r="M13" i="8" s="1"/>
  <c r="EM22" i="8"/>
  <c r="G22" i="1" s="1"/>
  <c r="M22" i="8" s="1"/>
  <c r="EM62" i="8"/>
  <c r="G62" i="1" s="1"/>
  <c r="M62" i="8" s="1"/>
  <c r="EM3" i="8"/>
  <c r="G3" i="1" s="1"/>
  <c r="M3" i="8" s="1"/>
  <c r="EM68" i="8"/>
  <c r="G68" i="1" s="1"/>
  <c r="M68" i="8" s="1"/>
  <c r="EM34" i="8"/>
  <c r="G34" i="1" s="1"/>
  <c r="M34" i="8" s="1"/>
  <c r="EM74" i="8"/>
  <c r="G74" i="1" s="1"/>
  <c r="M74" i="8" s="1"/>
  <c r="EM76" i="8"/>
  <c r="G76" i="1" s="1"/>
  <c r="M76" i="8" s="1"/>
  <c r="EM73" i="8"/>
  <c r="G73" i="1" s="1"/>
  <c r="M73" i="8" s="1"/>
  <c r="EM64" i="8"/>
  <c r="G64" i="1" s="1"/>
  <c r="M64" i="8" s="1"/>
  <c r="EM6" i="8"/>
  <c r="G6" i="1" s="1"/>
  <c r="M6" i="8" s="1"/>
  <c r="EM5" i="8"/>
  <c r="G5" i="1" s="1"/>
  <c r="M5" i="8" s="1"/>
  <c r="EM51" i="8"/>
  <c r="G51" i="1" s="1"/>
  <c r="M51" i="8" s="1"/>
  <c r="EM54" i="8"/>
  <c r="G54" i="1" s="1"/>
  <c r="M54" i="8" s="1"/>
  <c r="EM60" i="8"/>
  <c r="G60" i="1" s="1"/>
  <c r="M60" i="8" s="1"/>
  <c r="EM18" i="8"/>
  <c r="G18" i="1" s="1"/>
  <c r="M18" i="8" s="1"/>
  <c r="EM65" i="8"/>
  <c r="G65" i="1" s="1"/>
  <c r="M65" i="8" s="1"/>
  <c r="EM56" i="8"/>
  <c r="G56" i="1" s="1"/>
  <c r="M56" i="8" s="1"/>
  <c r="EM26" i="8"/>
  <c r="G26" i="1" s="1"/>
  <c r="M26" i="8" s="1"/>
  <c r="EM35" i="8"/>
  <c r="G35" i="1" s="1"/>
  <c r="M35" i="8" s="1"/>
  <c r="EM46" i="8"/>
  <c r="G46" i="1" s="1"/>
  <c r="M46" i="8" s="1"/>
  <c r="EM27" i="8"/>
  <c r="G27" i="1" s="1"/>
  <c r="M27" i="8" s="1"/>
  <c r="EM52" i="8"/>
  <c r="G52" i="1" s="1"/>
  <c r="M52" i="8" s="1"/>
  <c r="EM10" i="8"/>
  <c r="G10" i="1" s="1"/>
  <c r="M10" i="8" s="1"/>
  <c r="EM57" i="8"/>
  <c r="G57" i="1" s="1"/>
  <c r="M57" i="8" s="1"/>
  <c r="EM48" i="8"/>
  <c r="G48" i="1" s="1"/>
  <c r="M48" i="8" s="1"/>
  <c r="EM63" i="8"/>
  <c r="G63" i="1" s="1"/>
  <c r="M63" i="8" s="1"/>
  <c r="EM67" i="8"/>
  <c r="G67" i="1" s="1"/>
  <c r="M67" i="8" s="1"/>
  <c r="EM11" i="8"/>
  <c r="G11" i="1" s="1"/>
  <c r="M11" i="8" s="1"/>
  <c r="EM38" i="8"/>
  <c r="G38" i="1" s="1"/>
  <c r="M38" i="8" s="1"/>
  <c r="EM43" i="8"/>
  <c r="G43" i="1" s="1"/>
  <c r="M43" i="8" s="1"/>
  <c r="EM75" i="8"/>
  <c r="G75" i="1" s="1"/>
  <c r="B53" i="4" s="1"/>
  <c r="EM50" i="8"/>
  <c r="G50" i="1" s="1"/>
  <c r="M50" i="8" s="1"/>
  <c r="EM40" i="8"/>
  <c r="G40" i="1" s="1"/>
  <c r="M40" i="8" s="1"/>
  <c r="EM55" i="8"/>
  <c r="G55" i="1" s="1"/>
  <c r="M55" i="8" s="1"/>
  <c r="EM69" i="8"/>
  <c r="G69" i="1" s="1"/>
  <c r="M69" i="8" s="1"/>
  <c r="EM37" i="8"/>
  <c r="G37" i="1" s="1"/>
  <c r="M37" i="8" s="1"/>
  <c r="EM30" i="8"/>
  <c r="G30" i="1" s="1"/>
  <c r="M30" i="8" s="1"/>
  <c r="EM36" i="8"/>
  <c r="G36" i="1" s="1"/>
  <c r="M36" i="8" s="1"/>
  <c r="EM59" i="8"/>
  <c r="G59" i="1" s="1"/>
  <c r="M59" i="8" s="1"/>
  <c r="EM41" i="8"/>
  <c r="G41" i="1" s="1"/>
  <c r="M41" i="8" s="1"/>
  <c r="EM42" i="8"/>
  <c r="G42" i="1" s="1"/>
  <c r="M42" i="8" s="1"/>
  <c r="EM32" i="8"/>
  <c r="G32" i="1" s="1"/>
  <c r="M32" i="8" s="1"/>
  <c r="EM39" i="8"/>
  <c r="G39" i="1" s="1"/>
  <c r="M39" i="8" s="1"/>
  <c r="EM53" i="8"/>
  <c r="G53" i="1" s="1"/>
  <c r="M53" i="8" s="1"/>
  <c r="EM71" i="8"/>
  <c r="G71" i="1" s="1"/>
  <c r="M71" i="8" s="1"/>
  <c r="EM23" i="8"/>
  <c r="G23" i="1" s="1"/>
  <c r="M23" i="8" s="1"/>
  <c r="EM61" i="8"/>
  <c r="G61" i="1" s="1"/>
  <c r="M61" i="8" s="1"/>
  <c r="EM28" i="8"/>
  <c r="G28" i="1" s="1"/>
  <c r="M28" i="8" s="1"/>
  <c r="EM44" i="8"/>
  <c r="G44" i="1" s="1"/>
  <c r="M44" i="8" s="1"/>
  <c r="EM49" i="8"/>
  <c r="G49" i="1" s="1"/>
  <c r="M49" i="8" s="1"/>
  <c r="E37" i="4"/>
  <c r="E38" i="4" s="1"/>
  <c r="C38" i="4"/>
  <c r="I46" i="4" s="1"/>
  <c r="AP78" i="5"/>
  <c r="AQ78" i="5"/>
  <c r="AU78" i="1" s="1"/>
  <c r="H83" i="5"/>
  <c r="F82" i="7"/>
  <c r="D82" i="10"/>
  <c r="AR82" i="5"/>
  <c r="V81" i="2"/>
  <c r="G81" i="10"/>
  <c r="I81" i="7"/>
  <c r="K82" i="5"/>
  <c r="DD81" i="5"/>
  <c r="A81" i="5"/>
  <c r="E81" i="5" s="1"/>
  <c r="EQ81" i="8" s="1"/>
  <c r="CZ81" i="8" s="1"/>
  <c r="J81" i="7"/>
  <c r="H81" i="10"/>
  <c r="L82" i="5"/>
  <c r="DE81" i="5"/>
  <c r="E82" i="10"/>
  <c r="DB82" i="5"/>
  <c r="G82" i="7"/>
  <c r="I83" i="5"/>
  <c r="E80" i="1"/>
  <c r="B80" i="7"/>
  <c r="BS80" i="5"/>
  <c r="Q80" i="1"/>
  <c r="E80" i="14" s="1"/>
  <c r="A80" i="10"/>
  <c r="AA80" i="10" s="1"/>
  <c r="W80" i="8"/>
  <c r="C80" i="14"/>
  <c r="AU80" i="5"/>
  <c r="AV80" i="5"/>
  <c r="A80" i="11"/>
  <c r="B80" i="9"/>
  <c r="AB79" i="2"/>
  <c r="AI80" i="5"/>
  <c r="AH80" i="5"/>
  <c r="BN80" i="8"/>
  <c r="BO80" i="8"/>
  <c r="DM80" i="8" s="1"/>
  <c r="EO80" i="8"/>
  <c r="DT80" i="8" s="1"/>
  <c r="AB80" i="8"/>
  <c r="DL80" i="8"/>
  <c r="CQ80" i="8"/>
  <c r="DA80" i="8" s="1"/>
  <c r="X83" i="1"/>
  <c r="D78" i="14"/>
  <c r="P79" i="1"/>
  <c r="DA82" i="5"/>
  <c r="AA83" i="7"/>
  <c r="AE83" i="8" s="1"/>
  <c r="BC83" i="8" s="1"/>
  <c r="K83" i="10"/>
  <c r="F83" i="10"/>
  <c r="DC83" i="5"/>
  <c r="H83" i="7"/>
  <c r="J84" i="5"/>
  <c r="M84" i="2"/>
  <c r="DF84" i="8"/>
  <c r="N83" i="2"/>
  <c r="O84" i="2"/>
  <c r="DE84" i="8"/>
  <c r="CY83" i="5"/>
  <c r="EE78" i="8"/>
  <c r="EF78" i="8" s="1"/>
  <c r="AH79" i="7"/>
  <c r="AG79" i="7"/>
  <c r="AI79" i="7" s="1"/>
  <c r="J84" i="8"/>
  <c r="R83" i="2"/>
  <c r="Y15" i="2"/>
  <c r="J82" i="2"/>
  <c r="CZ82" i="5"/>
  <c r="C82" i="10"/>
  <c r="E82" i="7"/>
  <c r="G83" i="5"/>
  <c r="H86" i="8"/>
  <c r="P85" i="2"/>
  <c r="EE77" i="8"/>
  <c r="EF77" i="8" s="1"/>
  <c r="EM77" i="8" s="1"/>
  <c r="G77" i="1" s="1"/>
  <c r="M77" i="8" s="1"/>
  <c r="Q77" i="8"/>
  <c r="DG83" i="5"/>
  <c r="K85" i="8"/>
  <c r="S84" i="2"/>
  <c r="F86" i="5"/>
  <c r="D85" i="7"/>
  <c r="B85" i="10"/>
  <c r="DF81" i="5"/>
  <c r="BO76" i="1" l="1"/>
  <c r="AU77" i="8"/>
  <c r="AT77" i="1" s="1"/>
  <c r="AV77" i="8"/>
  <c r="AW77" i="1" s="1"/>
  <c r="L77" i="1" s="1"/>
  <c r="E77" i="11" s="1"/>
  <c r="BT78" i="8"/>
  <c r="BZ78" i="8"/>
  <c r="BU78" i="8"/>
  <c r="CG78" i="8"/>
  <c r="BP78" i="8"/>
  <c r="BQ78" i="8"/>
  <c r="CF78" i="8"/>
  <c r="BY78" i="8"/>
  <c r="CA80" i="8"/>
  <c r="CH80" i="8"/>
  <c r="AE79" i="11"/>
  <c r="AC79" i="8" s="1"/>
  <c r="AF79" i="11"/>
  <c r="AO83" i="11"/>
  <c r="L83" i="11"/>
  <c r="E82" i="9"/>
  <c r="AG82" i="5"/>
  <c r="B82" i="1"/>
  <c r="BI82" i="1" s="1"/>
  <c r="B82" i="2"/>
  <c r="X15" i="2"/>
  <c r="AQ76" i="1"/>
  <c r="U76" i="1" s="1"/>
  <c r="J77" i="1" s="1"/>
  <c r="AK76" i="5"/>
  <c r="D76" i="11"/>
  <c r="AO77" i="8"/>
  <c r="AP76" i="8"/>
  <c r="AR76" i="8"/>
  <c r="AR76" i="1"/>
  <c r="V76" i="1" s="1"/>
  <c r="K77" i="1" s="1"/>
  <c r="C76" i="9"/>
  <c r="BN76" i="1"/>
  <c r="B83" i="5"/>
  <c r="J83" i="2"/>
  <c r="AC83" i="1"/>
  <c r="BC84" i="5"/>
  <c r="BP85" i="5"/>
  <c r="AB84" i="1"/>
  <c r="AZ87" i="5"/>
  <c r="BK86" i="5"/>
  <c r="AD84" i="1"/>
  <c r="BN87" i="5"/>
  <c r="AF85" i="1"/>
  <c r="BE84" i="5"/>
  <c r="AE82" i="1"/>
  <c r="O79" i="8"/>
  <c r="O84" i="1"/>
  <c r="DK84" i="8" s="1"/>
  <c r="DI83" i="8"/>
  <c r="DJ83" i="8"/>
  <c r="B54" i="4"/>
  <c r="AD80" i="9"/>
  <c r="AV80" i="1" s="1"/>
  <c r="DD79" i="8"/>
  <c r="EE79" i="8" s="1"/>
  <c r="EF79" i="8" s="1"/>
  <c r="N83" i="1"/>
  <c r="AT79" i="8"/>
  <c r="AQ79" i="8"/>
  <c r="F79" i="11"/>
  <c r="M80" i="1"/>
  <c r="AW79" i="8"/>
  <c r="AC79" i="11"/>
  <c r="T79" i="8" s="1"/>
  <c r="Y79" i="11"/>
  <c r="AH79" i="1" s="1"/>
  <c r="AA79" i="11"/>
  <c r="AB79" i="11"/>
  <c r="P79" i="8" s="1"/>
  <c r="Z79" i="11"/>
  <c r="AC79" i="2" s="1"/>
  <c r="AD79" i="11"/>
  <c r="AI79" i="1" s="1"/>
  <c r="AJ86" i="14"/>
  <c r="CM85" i="8"/>
  <c r="A85" i="2"/>
  <c r="M85" i="5"/>
  <c r="A85" i="7"/>
  <c r="A85" i="8"/>
  <c r="B85" i="14"/>
  <c r="J86" i="10"/>
  <c r="AD85" i="8"/>
  <c r="A85" i="9"/>
  <c r="K85" i="11"/>
  <c r="DR80" i="8"/>
  <c r="DS80" i="8"/>
  <c r="EI79" i="8"/>
  <c r="DX79" i="8"/>
  <c r="EB79" i="8" s="1"/>
  <c r="DN80" i="8"/>
  <c r="DO80" i="8"/>
  <c r="CS81" i="8"/>
  <c r="DP81" i="8" s="1"/>
  <c r="CT81" i="8"/>
  <c r="DQ81" i="8" s="1"/>
  <c r="CU81" i="8"/>
  <c r="Y83" i="1"/>
  <c r="AQ79" i="5"/>
  <c r="AU79" i="1" s="1"/>
  <c r="Q86" i="2"/>
  <c r="I87" i="8"/>
  <c r="DY79" i="8"/>
  <c r="Q78" i="8"/>
  <c r="AP79" i="5"/>
  <c r="EM78" i="8"/>
  <c r="G78" i="1" s="1"/>
  <c r="M78" i="8" s="1"/>
  <c r="CQ81" i="8"/>
  <c r="DA81" i="8" s="1"/>
  <c r="M75" i="8"/>
  <c r="J46" i="4"/>
  <c r="B55" i="4"/>
  <c r="B81" i="7"/>
  <c r="Q81" i="7" s="1"/>
  <c r="W81" i="8"/>
  <c r="AV81" i="5"/>
  <c r="AB80" i="2"/>
  <c r="AH81" i="5"/>
  <c r="AC81" i="10" s="1"/>
  <c r="AU81" i="5"/>
  <c r="EO81" i="8"/>
  <c r="AI81" i="5"/>
  <c r="A81" i="10"/>
  <c r="AA81" i="10" s="1"/>
  <c r="Q81" i="1"/>
  <c r="E81" i="14" s="1"/>
  <c r="BN81" i="8"/>
  <c r="CR81" i="8" s="1"/>
  <c r="C81" i="14"/>
  <c r="BO81" i="8"/>
  <c r="DM81" i="8" s="1"/>
  <c r="A81" i="11"/>
  <c r="AB81" i="8"/>
  <c r="B81" i="9"/>
  <c r="BS81" i="5"/>
  <c r="E81" i="1"/>
  <c r="F83" i="7"/>
  <c r="D83" i="10"/>
  <c r="H84" i="5"/>
  <c r="V82" i="2"/>
  <c r="DL81" i="8"/>
  <c r="A82" i="5"/>
  <c r="E82" i="5" s="1"/>
  <c r="EQ82" i="8" s="1"/>
  <c r="CZ82" i="8" s="1"/>
  <c r="AR83" i="5"/>
  <c r="DD82" i="5"/>
  <c r="K83" i="5"/>
  <c r="I82" i="7"/>
  <c r="G82" i="10"/>
  <c r="L83" i="5"/>
  <c r="J82" i="7"/>
  <c r="H82" i="10"/>
  <c r="DE82" i="5"/>
  <c r="I84" i="5"/>
  <c r="DB83" i="5"/>
  <c r="G83" i="7"/>
  <c r="E83" i="10"/>
  <c r="CX80" i="8"/>
  <c r="DB80" i="8"/>
  <c r="EC80" i="8" s="1"/>
  <c r="ED80" i="8" s="1"/>
  <c r="CY80" i="8"/>
  <c r="EA80" i="8" s="1"/>
  <c r="CV80" i="8"/>
  <c r="DG80" i="8"/>
  <c r="EG80" i="8" s="1"/>
  <c r="CW80" i="8"/>
  <c r="L16" i="2"/>
  <c r="H16" i="11"/>
  <c r="E16" i="2"/>
  <c r="AB16" i="7"/>
  <c r="B16" i="8"/>
  <c r="D16" i="2" s="1"/>
  <c r="BD16" i="8"/>
  <c r="N84" i="2"/>
  <c r="DF85" i="8"/>
  <c r="M85" i="2"/>
  <c r="DG84" i="5"/>
  <c r="J84" i="2"/>
  <c r="W82" i="1"/>
  <c r="DA83" i="5"/>
  <c r="S85" i="2"/>
  <c r="K86" i="8"/>
  <c r="H87" i="8"/>
  <c r="P86" i="2"/>
  <c r="O85" i="2"/>
  <c r="DE85" i="8"/>
  <c r="DH80" i="8"/>
  <c r="EH80" i="8" s="1"/>
  <c r="EP80" i="8"/>
  <c r="N80" i="11"/>
  <c r="AE80" i="7"/>
  <c r="AF80" i="7" s="1"/>
  <c r="Q80" i="7"/>
  <c r="AC80" i="10"/>
  <c r="X80" i="10" s="1"/>
  <c r="Y80" i="10" s="1"/>
  <c r="AO80" i="5"/>
  <c r="AM80" i="5"/>
  <c r="AL80" i="5"/>
  <c r="CY84" i="5"/>
  <c r="N80" i="7"/>
  <c r="AA84" i="7"/>
  <c r="AE84" i="8" s="1"/>
  <c r="BC84" i="8" s="1"/>
  <c r="K84" i="10"/>
  <c r="J85" i="8"/>
  <c r="R84" i="2"/>
  <c r="P80" i="1"/>
  <c r="D79" i="14"/>
  <c r="G84" i="5"/>
  <c r="E83" i="7"/>
  <c r="C83" i="10"/>
  <c r="CZ83" i="5"/>
  <c r="J85" i="5"/>
  <c r="DC84" i="5"/>
  <c r="H84" i="7"/>
  <c r="F84" i="10"/>
  <c r="CR80" i="8"/>
  <c r="CO80" i="8"/>
  <c r="CN80" i="8"/>
  <c r="D81" i="9"/>
  <c r="F87" i="5"/>
  <c r="D86" i="7"/>
  <c r="B86" i="10"/>
  <c r="X84" i="1"/>
  <c r="AN80" i="5"/>
  <c r="DF82" i="5"/>
  <c r="BO77" i="1" l="1"/>
  <c r="CA81" i="8"/>
  <c r="CH81" i="8"/>
  <c r="AE80" i="11"/>
  <c r="AC80" i="8" s="1"/>
  <c r="AF80" i="11"/>
  <c r="BY79" i="8"/>
  <c r="BT79" i="8"/>
  <c r="CG79" i="8"/>
  <c r="BP79" i="8"/>
  <c r="BQ79" i="8"/>
  <c r="CF79" i="8"/>
  <c r="BU79" i="8"/>
  <c r="BZ79" i="8"/>
  <c r="AV78" i="8"/>
  <c r="AW78" i="1" s="1"/>
  <c r="L78" i="1" s="1"/>
  <c r="AO78" i="8" s="1"/>
  <c r="AU78" i="8"/>
  <c r="AT78" i="1" s="1"/>
  <c r="AO84" i="11"/>
  <c r="L84" i="11"/>
  <c r="E83" i="9"/>
  <c r="AG83" i="5"/>
  <c r="B83" i="2"/>
  <c r="B83" i="1"/>
  <c r="BI83" i="1" s="1"/>
  <c r="AQ77" i="1"/>
  <c r="U77" i="1" s="1"/>
  <c r="J78" i="1" s="1"/>
  <c r="AP77" i="8"/>
  <c r="D77" i="11"/>
  <c r="BM77" i="1"/>
  <c r="AK77" i="5"/>
  <c r="BN77" i="1"/>
  <c r="AR77" i="8"/>
  <c r="AR77" i="1"/>
  <c r="V77" i="1" s="1"/>
  <c r="K78" i="1" s="1"/>
  <c r="C77" i="9"/>
  <c r="BC85" i="5"/>
  <c r="AC84" i="1"/>
  <c r="BN88" i="5"/>
  <c r="AF86" i="1"/>
  <c r="BE85" i="5"/>
  <c r="AE83" i="1"/>
  <c r="W83" i="1" s="1"/>
  <c r="BP86" i="5"/>
  <c r="AB85" i="1"/>
  <c r="AZ88" i="5"/>
  <c r="BK87" i="5"/>
  <c r="AD85" i="1"/>
  <c r="O85" i="1"/>
  <c r="DK85" i="8" s="1"/>
  <c r="DJ84" i="8"/>
  <c r="DI84" i="8"/>
  <c r="AD81" i="9"/>
  <c r="AV81" i="1" s="1"/>
  <c r="N84" i="1"/>
  <c r="AT80" i="8"/>
  <c r="AQ80" i="8"/>
  <c r="F80" i="11"/>
  <c r="M81" i="1"/>
  <c r="AW80" i="8"/>
  <c r="AC80" i="11"/>
  <c r="T80" i="8" s="1"/>
  <c r="Y80" i="11"/>
  <c r="AH80" i="1" s="1"/>
  <c r="AA80" i="11"/>
  <c r="Z80" i="11"/>
  <c r="AC80" i="2" s="1"/>
  <c r="AB80" i="11"/>
  <c r="P80" i="8" s="1"/>
  <c r="AD80" i="11"/>
  <c r="AI80" i="1" s="1"/>
  <c r="AJ87" i="14"/>
  <c r="CM86" i="8"/>
  <c r="A86" i="2"/>
  <c r="K86" i="11"/>
  <c r="A86" i="8"/>
  <c r="AD86" i="8"/>
  <c r="B86" i="14"/>
  <c r="M86" i="5"/>
  <c r="A86" i="7"/>
  <c r="A86" i="9"/>
  <c r="J87" i="10"/>
  <c r="DR81" i="8"/>
  <c r="DS81" i="8"/>
  <c r="EP81" i="8"/>
  <c r="DT81" i="8"/>
  <c r="DX80" i="8"/>
  <c r="EB80" i="8" s="1"/>
  <c r="DZ79" i="8"/>
  <c r="EM79" i="8" s="1"/>
  <c r="G79" i="1" s="1"/>
  <c r="M79" i="8" s="1"/>
  <c r="CW81" i="8"/>
  <c r="DN81" i="8"/>
  <c r="DO81" i="8"/>
  <c r="CS82" i="8"/>
  <c r="DP82" i="8" s="1"/>
  <c r="CT82" i="8"/>
  <c r="DQ82" i="8" s="1"/>
  <c r="CU82" i="8"/>
  <c r="Y84" i="1"/>
  <c r="AL81" i="5"/>
  <c r="I88" i="8"/>
  <c r="Q87" i="2"/>
  <c r="DH81" i="8"/>
  <c r="EH81" i="8" s="1"/>
  <c r="AO81" i="5"/>
  <c r="X81" i="10"/>
  <c r="Y81" i="10" s="1"/>
  <c r="AM81" i="5"/>
  <c r="AN81" i="5"/>
  <c r="CO81" i="8"/>
  <c r="DB81" i="8"/>
  <c r="EC81" i="8" s="1"/>
  <c r="ED81" i="8" s="1"/>
  <c r="CX81" i="8"/>
  <c r="CY81" i="8"/>
  <c r="EA81" i="8" s="1"/>
  <c r="DG81" i="8"/>
  <c r="EG81" i="8" s="1"/>
  <c r="CQ82" i="8"/>
  <c r="DA82" i="8" s="1"/>
  <c r="CV81" i="8"/>
  <c r="CN81" i="8"/>
  <c r="D82" i="9"/>
  <c r="AR84" i="5"/>
  <c r="AE81" i="7"/>
  <c r="AF81" i="7" s="1"/>
  <c r="N81" i="7"/>
  <c r="A83" i="5"/>
  <c r="E83" i="5" s="1"/>
  <c r="EQ83" i="8" s="1"/>
  <c r="CZ83" i="8" s="1"/>
  <c r="N81" i="11"/>
  <c r="V83" i="2"/>
  <c r="H85" i="5"/>
  <c r="F84" i="7"/>
  <c r="D84" i="10"/>
  <c r="AB82" i="8"/>
  <c r="AV82" i="5"/>
  <c r="A82" i="10"/>
  <c r="AA82" i="10" s="1"/>
  <c r="A82" i="11"/>
  <c r="AU82" i="5"/>
  <c r="AB81" i="2"/>
  <c r="B82" i="7"/>
  <c r="AE82" i="7" s="1"/>
  <c r="AF82" i="7" s="1"/>
  <c r="AI82" i="5"/>
  <c r="C82" i="14"/>
  <c r="DL82" i="8"/>
  <c r="AH82" i="5"/>
  <c r="AC82" i="10" s="1"/>
  <c r="W82" i="8"/>
  <c r="BN82" i="8"/>
  <c r="E82" i="1"/>
  <c r="BO82" i="8"/>
  <c r="DM82" i="8" s="1"/>
  <c r="BS82" i="5"/>
  <c r="EO82" i="8"/>
  <c r="B82" i="9"/>
  <c r="Q82" i="1"/>
  <c r="E82" i="14" s="1"/>
  <c r="DD83" i="5"/>
  <c r="K84" i="5"/>
  <c r="G83" i="10"/>
  <c r="I83" i="7"/>
  <c r="DE83" i="5"/>
  <c r="H83" i="10"/>
  <c r="J83" i="7"/>
  <c r="L84" i="5"/>
  <c r="I85" i="5"/>
  <c r="DB84" i="5"/>
  <c r="E84" i="10"/>
  <c r="G84" i="7"/>
  <c r="EI80" i="8"/>
  <c r="Q79" i="8"/>
  <c r="DY80" i="8"/>
  <c r="P87" i="2"/>
  <c r="H88" i="8"/>
  <c r="E84" i="7"/>
  <c r="C84" i="10"/>
  <c r="G85" i="5"/>
  <c r="CZ84" i="5"/>
  <c r="AP80" i="5"/>
  <c r="DD80" i="8"/>
  <c r="DC80" i="8"/>
  <c r="O80" i="8" s="1"/>
  <c r="DD81" i="8"/>
  <c r="DC81" i="8"/>
  <c r="DE86" i="8"/>
  <c r="O86" i="2"/>
  <c r="B84" i="5"/>
  <c r="AA85" i="7"/>
  <c r="AE85" i="8" s="1"/>
  <c r="BC85" i="8" s="1"/>
  <c r="K85" i="10"/>
  <c r="N85" i="2"/>
  <c r="DF86" i="8"/>
  <c r="M86" i="2"/>
  <c r="R85" i="2"/>
  <c r="J86" i="8"/>
  <c r="D87" i="7"/>
  <c r="F88" i="5"/>
  <c r="B87" i="10"/>
  <c r="AH80" i="7"/>
  <c r="AG80" i="7"/>
  <c r="AI80" i="7" s="1"/>
  <c r="DA84" i="5"/>
  <c r="P81" i="1"/>
  <c r="D80" i="14"/>
  <c r="U16" i="2"/>
  <c r="W15" i="2" s="1"/>
  <c r="X85" i="1"/>
  <c r="J86" i="5"/>
  <c r="DC85" i="5"/>
  <c r="H85" i="7"/>
  <c r="F85" i="10"/>
  <c r="DG85" i="5"/>
  <c r="CY85" i="5"/>
  <c r="K87" i="8"/>
  <c r="S86" i="2"/>
  <c r="AQ80" i="5"/>
  <c r="AU80" i="1" s="1"/>
  <c r="DF83" i="5"/>
  <c r="BO78" i="1" l="1"/>
  <c r="E78" i="11"/>
  <c r="AE81" i="11"/>
  <c r="AC81" i="8" s="1"/>
  <c r="AF81" i="11"/>
  <c r="AU79" i="8"/>
  <c r="AT79" i="1" s="1"/>
  <c r="CA82" i="8"/>
  <c r="CH82" i="8"/>
  <c r="AV79" i="8"/>
  <c r="AW79" i="1" s="1"/>
  <c r="L79" i="1" s="1"/>
  <c r="BY80" i="8"/>
  <c r="BQ80" i="8"/>
  <c r="CG80" i="8"/>
  <c r="BZ80" i="8"/>
  <c r="BP80" i="8"/>
  <c r="BT80" i="8"/>
  <c r="CF80" i="8"/>
  <c r="BU80" i="8"/>
  <c r="AO85" i="11"/>
  <c r="L85" i="11"/>
  <c r="E84" i="9"/>
  <c r="AG84" i="5"/>
  <c r="B84" i="1"/>
  <c r="BI84" i="1" s="1"/>
  <c r="B84" i="2"/>
  <c r="C16" i="2"/>
  <c r="R16" i="8" s="1"/>
  <c r="S16" i="8" s="1"/>
  <c r="AQ78" i="1"/>
  <c r="U78" i="1" s="1"/>
  <c r="J79" i="1" s="1"/>
  <c r="AK78" i="5"/>
  <c r="D78" i="11"/>
  <c r="BM78" i="1"/>
  <c r="AP78" i="8"/>
  <c r="AR78" i="8"/>
  <c r="C78" i="9"/>
  <c r="BN78" i="1"/>
  <c r="AR78" i="1"/>
  <c r="V78" i="1" s="1"/>
  <c r="K79" i="1" s="1"/>
  <c r="AC85" i="1"/>
  <c r="BC86" i="5"/>
  <c r="B85" i="5"/>
  <c r="AZ89" i="5"/>
  <c r="BN89" i="5"/>
  <c r="AF87" i="1"/>
  <c r="BK88" i="5"/>
  <c r="AD86" i="1"/>
  <c r="BE86" i="5"/>
  <c r="AE84" i="1"/>
  <c r="W84" i="1" s="1"/>
  <c r="BP87" i="5"/>
  <c r="AB86" i="1"/>
  <c r="O81" i="8"/>
  <c r="O86" i="1"/>
  <c r="DK86" i="8" s="1"/>
  <c r="DI85" i="8"/>
  <c r="DJ85" i="8"/>
  <c r="AD82" i="9"/>
  <c r="AV82" i="1" s="1"/>
  <c r="N85" i="1"/>
  <c r="AT81" i="8"/>
  <c r="AQ81" i="8"/>
  <c r="F81" i="11"/>
  <c r="M82" i="1"/>
  <c r="AW81" i="8"/>
  <c r="Y81" i="11"/>
  <c r="AH81" i="1" s="1"/>
  <c r="AC81" i="11"/>
  <c r="T81" i="8" s="1"/>
  <c r="AA81" i="11"/>
  <c r="AD81" i="11"/>
  <c r="AI81" i="1" s="1"/>
  <c r="AB81" i="11"/>
  <c r="P81" i="8" s="1"/>
  <c r="Z81" i="11"/>
  <c r="AC81" i="2" s="1"/>
  <c r="DZ80" i="8"/>
  <c r="CM87" i="8"/>
  <c r="AJ88" i="14"/>
  <c r="A87" i="2"/>
  <c r="A87" i="7"/>
  <c r="B87" i="14"/>
  <c r="K87" i="11"/>
  <c r="M87" i="5"/>
  <c r="A87" i="9"/>
  <c r="AD87" i="8"/>
  <c r="A87" i="8"/>
  <c r="J88" i="10"/>
  <c r="EP82" i="8"/>
  <c r="DT82" i="8"/>
  <c r="DR82" i="8"/>
  <c r="DS82" i="8"/>
  <c r="DX81" i="8"/>
  <c r="EB81" i="8" s="1"/>
  <c r="CY82" i="8"/>
  <c r="EA82" i="8" s="1"/>
  <c r="DN82" i="8"/>
  <c r="DO82" i="8"/>
  <c r="DY81" i="8"/>
  <c r="AI83" i="5"/>
  <c r="CT83" i="8"/>
  <c r="DQ83" i="8" s="1"/>
  <c r="CU83" i="8"/>
  <c r="CS83" i="8"/>
  <c r="DP83" i="8" s="1"/>
  <c r="Y85" i="1"/>
  <c r="AH81" i="7"/>
  <c r="AP81" i="5"/>
  <c r="Q88" i="2"/>
  <c r="I89" i="8"/>
  <c r="EI81" i="8"/>
  <c r="AQ81" i="5"/>
  <c r="AU81" i="1" s="1"/>
  <c r="AG81" i="7"/>
  <c r="AI81" i="7" s="1"/>
  <c r="AB82" i="2"/>
  <c r="CV82" i="8"/>
  <c r="CW82" i="8"/>
  <c r="DG82" i="8"/>
  <c r="EG82" i="8" s="1"/>
  <c r="DB82" i="8"/>
  <c r="EC82" i="8" s="1"/>
  <c r="ED82" i="8" s="1"/>
  <c r="CX82" i="8"/>
  <c r="CQ83" i="8"/>
  <c r="DA83" i="8" s="1"/>
  <c r="Q82" i="7"/>
  <c r="D83" i="9"/>
  <c r="X82" i="10"/>
  <c r="Y82" i="10" s="1"/>
  <c r="AU83" i="5"/>
  <c r="C83" i="14"/>
  <c r="AH83" i="5"/>
  <c r="A83" i="11"/>
  <c r="BN83" i="8"/>
  <c r="CN83" i="8" s="1"/>
  <c r="A83" i="10"/>
  <c r="AA83" i="10" s="1"/>
  <c r="BO83" i="8"/>
  <c r="DM83" i="8" s="1"/>
  <c r="AV83" i="5"/>
  <c r="B83" i="7"/>
  <c r="Q83" i="7" s="1"/>
  <c r="Q83" i="1"/>
  <c r="E83" i="14" s="1"/>
  <c r="EO83" i="8"/>
  <c r="E83" i="1"/>
  <c r="BS83" i="5"/>
  <c r="AB83" i="8"/>
  <c r="W83" i="8"/>
  <c r="B83" i="9"/>
  <c r="DL83" i="8"/>
  <c r="AL82" i="5"/>
  <c r="F85" i="7"/>
  <c r="D85" i="10"/>
  <c r="H86" i="5"/>
  <c r="DH82" i="8"/>
  <c r="EH82" i="8" s="1"/>
  <c r="V84" i="2"/>
  <c r="N82" i="11"/>
  <c r="AN82" i="5"/>
  <c r="N82" i="7"/>
  <c r="AM82" i="5"/>
  <c r="AO82" i="5"/>
  <c r="CR82" i="8"/>
  <c r="DC82" i="8" s="1"/>
  <c r="CO82" i="8"/>
  <c r="CN82" i="8"/>
  <c r="AR85" i="5"/>
  <c r="I84" i="7"/>
  <c r="K85" i="5"/>
  <c r="G84" i="10"/>
  <c r="DD84" i="5"/>
  <c r="A84" i="5"/>
  <c r="E84" i="5" s="1"/>
  <c r="EQ84" i="8" s="1"/>
  <c r="CZ84" i="8" s="1"/>
  <c r="H84" i="10"/>
  <c r="J84" i="7"/>
  <c r="DE84" i="5"/>
  <c r="L85" i="5"/>
  <c r="E85" i="10"/>
  <c r="I86" i="5"/>
  <c r="DB85" i="5"/>
  <c r="G85" i="7"/>
  <c r="O87" i="2"/>
  <c r="DE87" i="8"/>
  <c r="AH82" i="7"/>
  <c r="AG82" i="7"/>
  <c r="AI82" i="7" s="1"/>
  <c r="J87" i="8"/>
  <c r="R86" i="2"/>
  <c r="N86" i="2"/>
  <c r="X86" i="1"/>
  <c r="DA85" i="5"/>
  <c r="EE80" i="8"/>
  <c r="EF80" i="8" s="1"/>
  <c r="Q80" i="8"/>
  <c r="DG86" i="5"/>
  <c r="CY86" i="5"/>
  <c r="H86" i="7"/>
  <c r="J87" i="5"/>
  <c r="DC86" i="5"/>
  <c r="F86" i="10"/>
  <c r="M87" i="2"/>
  <c r="DF87" i="8"/>
  <c r="EE81" i="8"/>
  <c r="EF81" i="8" s="1"/>
  <c r="P88" i="2"/>
  <c r="H89" i="8"/>
  <c r="P82" i="1"/>
  <c r="D81" i="14"/>
  <c r="D88" i="7"/>
  <c r="F89" i="5"/>
  <c r="B88" i="10"/>
  <c r="G86" i="5"/>
  <c r="E85" i="7"/>
  <c r="C85" i="10"/>
  <c r="CZ85" i="5"/>
  <c r="S87" i="2"/>
  <c r="K88" i="8"/>
  <c r="K86" i="10"/>
  <c r="AA86" i="7"/>
  <c r="AE86" i="8" s="1"/>
  <c r="BC86" i="8" s="1"/>
  <c r="J85" i="2"/>
  <c r="DF84" i="5"/>
  <c r="E79" i="11" l="1"/>
  <c r="BO79" i="1"/>
  <c r="AO79" i="8"/>
  <c r="CA83" i="8"/>
  <c r="CH83" i="8"/>
  <c r="AU80" i="8"/>
  <c r="AT80" i="1" s="1"/>
  <c r="AE82" i="11"/>
  <c r="AC82" i="8" s="1"/>
  <c r="AF82" i="11"/>
  <c r="CG81" i="8"/>
  <c r="CF81" i="8"/>
  <c r="BT81" i="8"/>
  <c r="BU81" i="8"/>
  <c r="BP81" i="8"/>
  <c r="BQ81" i="8"/>
  <c r="BY81" i="8"/>
  <c r="BZ81" i="8"/>
  <c r="AV80" i="8"/>
  <c r="AW80" i="1" s="1"/>
  <c r="L80" i="1" s="1"/>
  <c r="AO86" i="11"/>
  <c r="L86" i="11"/>
  <c r="E85" i="9"/>
  <c r="AG85" i="5"/>
  <c r="B85" i="2"/>
  <c r="B85" i="1"/>
  <c r="BI85" i="1" s="1"/>
  <c r="J86" i="2"/>
  <c r="AQ79" i="1"/>
  <c r="U79" i="1" s="1"/>
  <c r="J80" i="1" s="1"/>
  <c r="AK79" i="5"/>
  <c r="D79" i="11"/>
  <c r="BM79" i="1"/>
  <c r="AP79" i="8"/>
  <c r="AR79" i="1"/>
  <c r="V79" i="1" s="1"/>
  <c r="K80" i="1" s="1"/>
  <c r="BN79" i="1"/>
  <c r="C79" i="9"/>
  <c r="AR79" i="8"/>
  <c r="AC86" i="1"/>
  <c r="BC87" i="5"/>
  <c r="BE87" i="5"/>
  <c r="AE85" i="1"/>
  <c r="W85" i="1" s="1"/>
  <c r="AZ90" i="5"/>
  <c r="BP88" i="5"/>
  <c r="AB87" i="1"/>
  <c r="BN90" i="5"/>
  <c r="AF88" i="1"/>
  <c r="BK89" i="5"/>
  <c r="AD87" i="1"/>
  <c r="F16" i="1"/>
  <c r="H16" i="2"/>
  <c r="I16" i="2"/>
  <c r="AA16" i="1" s="1"/>
  <c r="S16" i="1" s="1"/>
  <c r="F16" i="2"/>
  <c r="AP16" i="1" s="1"/>
  <c r="T16" i="1" s="1"/>
  <c r="I17" i="1" s="1"/>
  <c r="O82" i="8"/>
  <c r="O87" i="1"/>
  <c r="DK87" i="8" s="1"/>
  <c r="DI86" i="8"/>
  <c r="DJ86" i="8"/>
  <c r="AD83" i="9"/>
  <c r="AV83" i="1" s="1"/>
  <c r="N86" i="1"/>
  <c r="AT82" i="8"/>
  <c r="AW82" i="8"/>
  <c r="AQ82" i="8"/>
  <c r="F82" i="11"/>
  <c r="M83" i="1"/>
  <c r="Y82" i="11"/>
  <c r="AH82" i="1" s="1"/>
  <c r="AA82" i="11"/>
  <c r="AC82" i="11"/>
  <c r="T82" i="8" s="1"/>
  <c r="Z82" i="11"/>
  <c r="AC82" i="2" s="1"/>
  <c r="AB82" i="11"/>
  <c r="P82" i="8" s="1"/>
  <c r="AD82" i="11"/>
  <c r="AI82" i="1" s="1"/>
  <c r="EM80" i="8"/>
  <c r="G80" i="1" s="1"/>
  <c r="M80" i="8" s="1"/>
  <c r="A88" i="2"/>
  <c r="M88" i="5"/>
  <c r="A88" i="7"/>
  <c r="B88" i="14"/>
  <c r="A88" i="9"/>
  <c r="J89" i="10"/>
  <c r="A88" i="8"/>
  <c r="K88" i="11"/>
  <c r="AD88" i="8"/>
  <c r="B86" i="5"/>
  <c r="AJ1268" i="14"/>
  <c r="AJ1269" i="14" s="1"/>
  <c r="AJ89" i="14"/>
  <c r="CM88" i="8"/>
  <c r="DH83" i="8"/>
  <c r="EH83" i="8" s="1"/>
  <c r="DT83" i="8"/>
  <c r="DR83" i="8"/>
  <c r="DS83" i="8"/>
  <c r="DX82" i="8"/>
  <c r="EB82" i="8" s="1"/>
  <c r="DZ81" i="8"/>
  <c r="EM81" i="8" s="1"/>
  <c r="G81" i="1" s="1"/>
  <c r="M81" i="8" s="1"/>
  <c r="CW83" i="8"/>
  <c r="DN83" i="8"/>
  <c r="DO83" i="8"/>
  <c r="AN83" i="5"/>
  <c r="CS84" i="8"/>
  <c r="DP84" i="8" s="1"/>
  <c r="CT84" i="8"/>
  <c r="DQ84" i="8" s="1"/>
  <c r="CU84" i="8"/>
  <c r="Y86" i="1"/>
  <c r="AE83" i="7"/>
  <c r="CR83" i="8"/>
  <c r="DD83" i="8" s="1"/>
  <c r="CO83" i="8"/>
  <c r="I90" i="8"/>
  <c r="Q89" i="2"/>
  <c r="D84" i="9"/>
  <c r="EP83" i="8"/>
  <c r="EI82" i="8"/>
  <c r="DY82" i="8"/>
  <c r="CX83" i="8"/>
  <c r="DG83" i="8"/>
  <c r="EG83" i="8" s="1"/>
  <c r="CY83" i="8"/>
  <c r="EA83" i="8" s="1"/>
  <c r="CV83" i="8"/>
  <c r="DB83" i="8"/>
  <c r="EC83" i="8" s="1"/>
  <c r="ED83" i="8" s="1"/>
  <c r="DL84" i="8"/>
  <c r="N83" i="7"/>
  <c r="N83" i="11"/>
  <c r="EO84" i="8"/>
  <c r="Q84" i="1"/>
  <c r="E84" i="14" s="1"/>
  <c r="E84" i="1"/>
  <c r="AL83" i="5"/>
  <c r="AP82" i="5"/>
  <c r="W84" i="8"/>
  <c r="AU84" i="5"/>
  <c r="AO83" i="5"/>
  <c r="AV84" i="5"/>
  <c r="AC83" i="10"/>
  <c r="X83" i="10" s="1"/>
  <c r="Y83" i="10" s="1"/>
  <c r="AM83" i="5"/>
  <c r="AH84" i="5"/>
  <c r="AC84" i="10" s="1"/>
  <c r="AB83" i="2"/>
  <c r="CQ84" i="8"/>
  <c r="DA84" i="8" s="1"/>
  <c r="BO84" i="8"/>
  <c r="DM84" i="8" s="1"/>
  <c r="AI84" i="5"/>
  <c r="B84" i="9"/>
  <c r="BN84" i="8"/>
  <c r="A84" i="11"/>
  <c r="AB84" i="8"/>
  <c r="C84" i="14"/>
  <c r="A84" i="10"/>
  <c r="AA84" i="10" s="1"/>
  <c r="B84" i="7"/>
  <c r="AE84" i="7" s="1"/>
  <c r="AF84" i="7" s="1"/>
  <c r="BS84" i="5"/>
  <c r="Q81" i="8"/>
  <c r="AQ82" i="5"/>
  <c r="AU82" i="1" s="1"/>
  <c r="D86" i="10"/>
  <c r="F86" i="7"/>
  <c r="H87" i="5"/>
  <c r="DD82" i="8"/>
  <c r="EE82" i="8" s="1"/>
  <c r="EF82" i="8" s="1"/>
  <c r="H85" i="10"/>
  <c r="DE85" i="5"/>
  <c r="J85" i="7"/>
  <c r="L86" i="5"/>
  <c r="K86" i="5"/>
  <c r="G85" i="10"/>
  <c r="DD85" i="5"/>
  <c r="I85" i="7"/>
  <c r="V85" i="2"/>
  <c r="A85" i="5"/>
  <c r="E85" i="5" s="1"/>
  <c r="EQ85" i="8" s="1"/>
  <c r="CZ85" i="8" s="1"/>
  <c r="AR86" i="5"/>
  <c r="E86" i="10"/>
  <c r="DB86" i="5"/>
  <c r="I87" i="5"/>
  <c r="G86" i="7"/>
  <c r="H90" i="8"/>
  <c r="P89" i="2"/>
  <c r="X87" i="1"/>
  <c r="E86" i="7"/>
  <c r="CZ86" i="5"/>
  <c r="G87" i="5"/>
  <c r="C86" i="10"/>
  <c r="K89" i="8"/>
  <c r="S88" i="2"/>
  <c r="CY87" i="5"/>
  <c r="DA86" i="5"/>
  <c r="D82" i="14"/>
  <c r="P83" i="1"/>
  <c r="M88" i="2"/>
  <c r="DF88" i="8"/>
  <c r="U16" i="8"/>
  <c r="V16" i="8"/>
  <c r="AA87" i="7"/>
  <c r="AE87" i="8" s="1"/>
  <c r="BC87" i="8" s="1"/>
  <c r="K87" i="10"/>
  <c r="F90" i="5"/>
  <c r="B89" i="10"/>
  <c r="D89" i="7"/>
  <c r="DC87" i="5"/>
  <c r="H87" i="7"/>
  <c r="F87" i="10"/>
  <c r="J88" i="5"/>
  <c r="DG87" i="5"/>
  <c r="O88" i="2"/>
  <c r="DE88" i="8"/>
  <c r="N87" i="2"/>
  <c r="R87" i="2"/>
  <c r="J88" i="8"/>
  <c r="DF85" i="5"/>
  <c r="AV81" i="8" l="1"/>
  <c r="AW81" i="1" s="1"/>
  <c r="L81" i="1" s="1"/>
  <c r="AO80" i="8"/>
  <c r="BO80" i="1"/>
  <c r="E80" i="11"/>
  <c r="AE83" i="11"/>
  <c r="AC83" i="8" s="1"/>
  <c r="AF83" i="11"/>
  <c r="AU81" i="8"/>
  <c r="AT81" i="1" s="1"/>
  <c r="BQ82" i="8"/>
  <c r="BY82" i="8"/>
  <c r="BZ82" i="8"/>
  <c r="BP82" i="8"/>
  <c r="CG82" i="8"/>
  <c r="BU82" i="8"/>
  <c r="CF82" i="8"/>
  <c r="BT82" i="8"/>
  <c r="CA84" i="8"/>
  <c r="CH84" i="8"/>
  <c r="AO87" i="11"/>
  <c r="L87" i="11"/>
  <c r="E86" i="9"/>
  <c r="AG86" i="5"/>
  <c r="B86" i="1"/>
  <c r="BI86" i="1" s="1"/>
  <c r="B86" i="2"/>
  <c r="AK80" i="5"/>
  <c r="BM80" i="1"/>
  <c r="G16" i="2"/>
  <c r="Z16" i="2" s="1"/>
  <c r="Z17" i="8" s="1"/>
  <c r="AQ80" i="1"/>
  <c r="U80" i="1" s="1"/>
  <c r="J81" i="1" s="1"/>
  <c r="D80" i="11"/>
  <c r="AP80" i="8"/>
  <c r="H17" i="1"/>
  <c r="O16" i="7"/>
  <c r="I16" i="11"/>
  <c r="C80" i="9"/>
  <c r="BN80" i="1"/>
  <c r="AR80" i="8"/>
  <c r="AR80" i="1"/>
  <c r="V80" i="1" s="1"/>
  <c r="K81" i="1" s="1"/>
  <c r="J87" i="2"/>
  <c r="AC87" i="1"/>
  <c r="BC88" i="5"/>
  <c r="J16" i="11"/>
  <c r="P16" i="7" s="1"/>
  <c r="BK90" i="5"/>
  <c r="AD88" i="1"/>
  <c r="BE88" i="5"/>
  <c r="AE86" i="1"/>
  <c r="W86" i="1" s="1"/>
  <c r="AZ91" i="5"/>
  <c r="BP89" i="5"/>
  <c r="AB88" i="1"/>
  <c r="BN91" i="5"/>
  <c r="AF89" i="1"/>
  <c r="O88" i="1"/>
  <c r="DK88" i="8" s="1"/>
  <c r="DI87" i="8"/>
  <c r="DJ87" i="8"/>
  <c r="AD84" i="9"/>
  <c r="AV84" i="1" s="1"/>
  <c r="N87" i="1"/>
  <c r="AF83" i="7"/>
  <c r="AH83" i="7" s="1"/>
  <c r="AT83" i="8"/>
  <c r="AQ83" i="8"/>
  <c r="F83" i="11"/>
  <c r="M84" i="1"/>
  <c r="AW83" i="8"/>
  <c r="N84" i="7"/>
  <c r="AA83" i="11"/>
  <c r="AC83" i="11"/>
  <c r="T83" i="8" s="1"/>
  <c r="Y83" i="11"/>
  <c r="AH83" i="1" s="1"/>
  <c r="Z83" i="11"/>
  <c r="AC83" i="2" s="1"/>
  <c r="AD83" i="11"/>
  <c r="AI83" i="1" s="1"/>
  <c r="AB83" i="11"/>
  <c r="P83" i="8" s="1"/>
  <c r="DZ82" i="8"/>
  <c r="EM82" i="8" s="1"/>
  <c r="G82" i="1" s="1"/>
  <c r="M82" i="8" s="1"/>
  <c r="Q82" i="8"/>
  <c r="N84" i="11"/>
  <c r="A89" i="2"/>
  <c r="A89" i="7"/>
  <c r="AD89" i="8"/>
  <c r="K89" i="11"/>
  <c r="A89" i="8"/>
  <c r="B89" i="14"/>
  <c r="J90" i="10"/>
  <c r="A89" i="9"/>
  <c r="M89" i="5"/>
  <c r="AJ90" i="14"/>
  <c r="CM89" i="8"/>
  <c r="EI83" i="8"/>
  <c r="EP84" i="8"/>
  <c r="DT84" i="8"/>
  <c r="DR84" i="8"/>
  <c r="DS84" i="8"/>
  <c r="DX83" i="8"/>
  <c r="EB83" i="8" s="1"/>
  <c r="DY83" i="8"/>
  <c r="CY84" i="8"/>
  <c r="EA84" i="8" s="1"/>
  <c r="DN84" i="8"/>
  <c r="DO84" i="8"/>
  <c r="DC83" i="8"/>
  <c r="O83" i="8" s="1"/>
  <c r="AP83" i="5"/>
  <c r="CU85" i="8"/>
  <c r="CS85" i="8"/>
  <c r="DP85" i="8" s="1"/>
  <c r="CT85" i="8"/>
  <c r="DQ85" i="8" s="1"/>
  <c r="Y87" i="1"/>
  <c r="AG83" i="7"/>
  <c r="AI83" i="7" s="1"/>
  <c r="B87" i="5"/>
  <c r="I91" i="8"/>
  <c r="Q90" i="2"/>
  <c r="Q84" i="7"/>
  <c r="AM84" i="5"/>
  <c r="AO84" i="5"/>
  <c r="AQ83" i="5"/>
  <c r="AU83" i="1" s="1"/>
  <c r="DH84" i="8"/>
  <c r="EH84" i="8" s="1"/>
  <c r="D85" i="9"/>
  <c r="AL84" i="5"/>
  <c r="X84" i="10"/>
  <c r="Y84" i="10" s="1"/>
  <c r="CQ85" i="8"/>
  <c r="DA85" i="8" s="1"/>
  <c r="A86" i="5"/>
  <c r="E86" i="5" s="1"/>
  <c r="EQ86" i="8" s="1"/>
  <c r="CZ86" i="8" s="1"/>
  <c r="CV84" i="8"/>
  <c r="CW84" i="8"/>
  <c r="DB84" i="8"/>
  <c r="EC84" i="8" s="1"/>
  <c r="ED84" i="8" s="1"/>
  <c r="CX84" i="8"/>
  <c r="DG84" i="8"/>
  <c r="EG84" i="8" s="1"/>
  <c r="V86" i="2"/>
  <c r="CR84" i="8"/>
  <c r="DC84" i="8" s="1"/>
  <c r="CO84" i="8"/>
  <c r="CN84" i="8"/>
  <c r="AN84" i="5"/>
  <c r="BN85" i="8"/>
  <c r="CN85" i="8" s="1"/>
  <c r="BO85" i="8"/>
  <c r="DM85" i="8" s="1"/>
  <c r="W85" i="8"/>
  <c r="A85" i="11"/>
  <c r="AR87" i="5"/>
  <c r="H88" i="5"/>
  <c r="D87" i="10"/>
  <c r="F87" i="7"/>
  <c r="AB85" i="8"/>
  <c r="Q85" i="1"/>
  <c r="E85" i="14" s="1"/>
  <c r="A85" i="10"/>
  <c r="AA85" i="10" s="1"/>
  <c r="B85" i="9"/>
  <c r="E85" i="1"/>
  <c r="C85" i="14"/>
  <c r="AB84" i="2"/>
  <c r="BS85" i="5"/>
  <c r="AV85" i="5"/>
  <c r="AI85" i="5"/>
  <c r="B85" i="7"/>
  <c r="Q85" i="7" s="1"/>
  <c r="EO85" i="8"/>
  <c r="AH85" i="5"/>
  <c r="AU85" i="5"/>
  <c r="J86" i="7"/>
  <c r="H86" i="10"/>
  <c r="DE86" i="5"/>
  <c r="L87" i="5"/>
  <c r="DD86" i="5"/>
  <c r="I86" i="7"/>
  <c r="G86" i="10"/>
  <c r="K87" i="5"/>
  <c r="DL85" i="8"/>
  <c r="G87" i="7"/>
  <c r="DB87" i="5"/>
  <c r="E87" i="10"/>
  <c r="I88" i="5"/>
  <c r="K88" i="10"/>
  <c r="AA88" i="7"/>
  <c r="AE88" i="8" s="1"/>
  <c r="BC88" i="8" s="1"/>
  <c r="N88" i="2"/>
  <c r="F88" i="10"/>
  <c r="H88" i="7"/>
  <c r="DC88" i="5"/>
  <c r="J89" i="5"/>
  <c r="P84" i="1"/>
  <c r="D83" i="14"/>
  <c r="C87" i="10"/>
  <c r="CZ87" i="5"/>
  <c r="E87" i="7"/>
  <c r="G88" i="5"/>
  <c r="X88" i="1"/>
  <c r="DF89" i="8"/>
  <c r="M89" i="2"/>
  <c r="CY88" i="5"/>
  <c r="H91" i="8"/>
  <c r="P90" i="2"/>
  <c r="DG88" i="5"/>
  <c r="R88" i="2"/>
  <c r="J89" i="8"/>
  <c r="O89" i="2"/>
  <c r="DE89" i="8"/>
  <c r="B90" i="10"/>
  <c r="F91" i="5"/>
  <c r="D90" i="7"/>
  <c r="DA87" i="5"/>
  <c r="AH84" i="7"/>
  <c r="AG84" i="7"/>
  <c r="AI84" i="7" s="1"/>
  <c r="S89" i="2"/>
  <c r="K90" i="8"/>
  <c r="DF86" i="5"/>
  <c r="AO81" i="8" l="1"/>
  <c r="BO81" i="1"/>
  <c r="E81" i="11"/>
  <c r="AV82" i="8"/>
  <c r="AW82" i="1" s="1"/>
  <c r="L82" i="1" s="1"/>
  <c r="E82" i="11" s="1"/>
  <c r="CA85" i="8"/>
  <c r="CH85" i="8"/>
  <c r="AU82" i="8"/>
  <c r="AT82" i="1" s="1"/>
  <c r="BT83" i="8"/>
  <c r="CG83" i="8"/>
  <c r="BZ83" i="8"/>
  <c r="BQ83" i="8"/>
  <c r="BY83" i="8"/>
  <c r="BP83" i="8"/>
  <c r="CF83" i="8"/>
  <c r="BU83" i="8"/>
  <c r="AE84" i="11"/>
  <c r="AC84" i="8" s="1"/>
  <c r="AF84" i="11"/>
  <c r="AO88" i="11"/>
  <c r="L88" i="11"/>
  <c r="E87" i="9"/>
  <c r="AG87" i="5"/>
  <c r="B87" i="1"/>
  <c r="BI87" i="1" s="1"/>
  <c r="B87" i="2"/>
  <c r="J88" i="2"/>
  <c r="C16" i="8"/>
  <c r="AP81" i="8"/>
  <c r="AK81" i="5"/>
  <c r="AQ81" i="1"/>
  <c r="U81" i="1" s="1"/>
  <c r="J82" i="1" s="1"/>
  <c r="AK82" i="5" s="1"/>
  <c r="BM81" i="1"/>
  <c r="D81" i="11"/>
  <c r="V17" i="10"/>
  <c r="AC17" i="7"/>
  <c r="AN17" i="8"/>
  <c r="BK17" i="1"/>
  <c r="AJ17" i="5"/>
  <c r="C17" i="11"/>
  <c r="AR81" i="8"/>
  <c r="AR81" i="1"/>
  <c r="V81" i="1" s="1"/>
  <c r="K82" i="1" s="1"/>
  <c r="BN81" i="1"/>
  <c r="C81" i="9"/>
  <c r="F16" i="9"/>
  <c r="BC89" i="5"/>
  <c r="AC88" i="1"/>
  <c r="BP90" i="5"/>
  <c r="AB89" i="1"/>
  <c r="BK91" i="5"/>
  <c r="AD89" i="1"/>
  <c r="BN92" i="5"/>
  <c r="AF90" i="1"/>
  <c r="BE89" i="5"/>
  <c r="AE87" i="1"/>
  <c r="W87" i="1" s="1"/>
  <c r="AZ92" i="5"/>
  <c r="O84" i="8"/>
  <c r="O89" i="1"/>
  <c r="DK89" i="8" s="1"/>
  <c r="DJ88" i="8"/>
  <c r="DI88" i="8"/>
  <c r="AS17" i="8"/>
  <c r="AO17" i="1"/>
  <c r="AD85" i="9"/>
  <c r="AV85" i="1" s="1"/>
  <c r="N88" i="1"/>
  <c r="BL17" i="1"/>
  <c r="AT84" i="8"/>
  <c r="AW84" i="8"/>
  <c r="AQ84" i="8"/>
  <c r="F84" i="11"/>
  <c r="M85" i="1"/>
  <c r="AA84" i="11"/>
  <c r="AC84" i="11"/>
  <c r="T84" i="8" s="1"/>
  <c r="Y84" i="11"/>
  <c r="AH84" i="1" s="1"/>
  <c r="AB84" i="11"/>
  <c r="P84" i="8" s="1"/>
  <c r="AD84" i="11"/>
  <c r="AI84" i="1" s="1"/>
  <c r="Z84" i="11"/>
  <c r="AC84" i="2" s="1"/>
  <c r="N85" i="11"/>
  <c r="AJ91" i="14"/>
  <c r="CM90" i="8"/>
  <c r="A90" i="2"/>
  <c r="K90" i="11"/>
  <c r="J91" i="10"/>
  <c r="A90" i="9"/>
  <c r="A90" i="8"/>
  <c r="M90" i="5"/>
  <c r="B90" i="14"/>
  <c r="AD90" i="8"/>
  <c r="A90" i="7"/>
  <c r="EE83" i="8"/>
  <c r="EF83" i="8" s="1"/>
  <c r="DH85" i="8"/>
  <c r="EH85" i="8" s="1"/>
  <c r="DT85" i="8"/>
  <c r="DR85" i="8"/>
  <c r="DS85" i="8"/>
  <c r="DX84" i="8"/>
  <c r="EB84" i="8" s="1"/>
  <c r="DZ83" i="8"/>
  <c r="CX85" i="8"/>
  <c r="DN85" i="8"/>
  <c r="DO85" i="8"/>
  <c r="BN86" i="8"/>
  <c r="CO86" i="8" s="1"/>
  <c r="CS86" i="8"/>
  <c r="DP86" i="8" s="1"/>
  <c r="CT86" i="8"/>
  <c r="DQ86" i="8" s="1"/>
  <c r="CU86" i="8"/>
  <c r="Y88" i="1"/>
  <c r="AQ84" i="5"/>
  <c r="AU84" i="1" s="1"/>
  <c r="Q91" i="2"/>
  <c r="I92" i="8"/>
  <c r="AP84" i="5"/>
  <c r="AU86" i="5"/>
  <c r="EI84" i="8"/>
  <c r="D86" i="9"/>
  <c r="CY85" i="8"/>
  <c r="EA85" i="8" s="1"/>
  <c r="CV85" i="8"/>
  <c r="DG85" i="8"/>
  <c r="EG85" i="8" s="1"/>
  <c r="CW85" i="8"/>
  <c r="DB85" i="8"/>
  <c r="EC85" i="8" s="1"/>
  <c r="ED85" i="8" s="1"/>
  <c r="DL86" i="8"/>
  <c r="CQ86" i="8"/>
  <c r="DA86" i="8" s="1"/>
  <c r="BO86" i="8"/>
  <c r="DM86" i="8" s="1"/>
  <c r="C86" i="14"/>
  <c r="EO86" i="8"/>
  <c r="AB86" i="8"/>
  <c r="B86" i="7"/>
  <c r="Q86" i="7" s="1"/>
  <c r="AV86" i="5"/>
  <c r="E86" i="1"/>
  <c r="A86" i="11"/>
  <c r="Q86" i="1"/>
  <c r="E86" i="14" s="1"/>
  <c r="AB85" i="2"/>
  <c r="B86" i="9"/>
  <c r="A86" i="10"/>
  <c r="AA86" i="10" s="1"/>
  <c r="AH86" i="5"/>
  <c r="W86" i="8"/>
  <c r="AI86" i="5"/>
  <c r="BS86" i="5"/>
  <c r="DY84" i="8"/>
  <c r="DD84" i="8"/>
  <c r="EE84" i="8" s="1"/>
  <c r="EF84" i="8" s="1"/>
  <c r="Q83" i="8"/>
  <c r="AE85" i="7"/>
  <c r="AF85" i="7" s="1"/>
  <c r="AN85" i="5"/>
  <c r="CR85" i="8"/>
  <c r="DD85" i="8" s="1"/>
  <c r="CO85" i="8"/>
  <c r="AL85" i="5"/>
  <c r="H89" i="5"/>
  <c r="D88" i="10"/>
  <c r="F88" i="7"/>
  <c r="AR88" i="5"/>
  <c r="N85" i="7"/>
  <c r="EP85" i="8"/>
  <c r="V87" i="2"/>
  <c r="AC85" i="10"/>
  <c r="X85" i="10" s="1"/>
  <c r="Y85" i="10" s="1"/>
  <c r="AM85" i="5"/>
  <c r="AO85" i="5"/>
  <c r="L88" i="5"/>
  <c r="H87" i="10"/>
  <c r="DE87" i="5"/>
  <c r="J87" i="7"/>
  <c r="A87" i="5"/>
  <c r="E87" i="5" s="1"/>
  <c r="EQ87" i="8" s="1"/>
  <c r="CZ87" i="8" s="1"/>
  <c r="DD87" i="5"/>
  <c r="G87" i="10"/>
  <c r="K88" i="5"/>
  <c r="I87" i="7"/>
  <c r="I89" i="5"/>
  <c r="E88" i="10"/>
  <c r="DB88" i="5"/>
  <c r="G88" i="7"/>
  <c r="H92" i="8"/>
  <c r="P91" i="2"/>
  <c r="CY89" i="5"/>
  <c r="N89" i="2"/>
  <c r="Y16" i="2"/>
  <c r="X16" i="2" s="1"/>
  <c r="S90" i="2"/>
  <c r="K91" i="8"/>
  <c r="X89" i="1"/>
  <c r="R89" i="2"/>
  <c r="J90" i="8"/>
  <c r="F89" i="10"/>
  <c r="DC89" i="5"/>
  <c r="J90" i="5"/>
  <c r="H89" i="7"/>
  <c r="AA89" i="7"/>
  <c r="AE89" i="8" s="1"/>
  <c r="BC89" i="8" s="1"/>
  <c r="K89" i="10"/>
  <c r="D84" i="14"/>
  <c r="P85" i="1"/>
  <c r="DA88" i="5"/>
  <c r="DE90" i="8"/>
  <c r="O90" i="2"/>
  <c r="DG89" i="5"/>
  <c r="M90" i="2"/>
  <c r="DF90" i="8"/>
  <c r="G89" i="5"/>
  <c r="E88" i="7"/>
  <c r="CZ88" i="5"/>
  <c r="C88" i="10"/>
  <c r="D91" i="7"/>
  <c r="B91" i="10"/>
  <c r="F92" i="5"/>
  <c r="B88" i="5"/>
  <c r="DF87" i="5"/>
  <c r="AO82" i="8" l="1"/>
  <c r="BO82" i="1"/>
  <c r="AU83" i="8"/>
  <c r="AT83" i="1" s="1"/>
  <c r="BT84" i="8"/>
  <c r="BQ84" i="8"/>
  <c r="CG84" i="8"/>
  <c r="BY84" i="8"/>
  <c r="BP84" i="8"/>
  <c r="BU84" i="8"/>
  <c r="CF84" i="8"/>
  <c r="BZ84" i="8"/>
  <c r="AE85" i="11"/>
  <c r="AC85" i="8" s="1"/>
  <c r="AF85" i="11"/>
  <c r="CA86" i="8"/>
  <c r="CH86" i="8"/>
  <c r="AV83" i="8"/>
  <c r="AW83" i="1" s="1"/>
  <c r="L83" i="1" s="1"/>
  <c r="AO83" i="8" s="1"/>
  <c r="AO89" i="11"/>
  <c r="AG88" i="5"/>
  <c r="E88" i="9"/>
  <c r="L89" i="11"/>
  <c r="B88" i="1"/>
  <c r="BI88" i="1" s="1"/>
  <c r="B88" i="2"/>
  <c r="AQ82" i="1"/>
  <c r="U82" i="1" s="1"/>
  <c r="J83" i="1" s="1"/>
  <c r="D83" i="11" s="1"/>
  <c r="D82" i="11"/>
  <c r="BM82" i="1"/>
  <c r="AP82" i="8"/>
  <c r="C82" i="9"/>
  <c r="AR82" i="8"/>
  <c r="BN82" i="1"/>
  <c r="AR82" i="1"/>
  <c r="V82" i="1" s="1"/>
  <c r="K83" i="1" s="1"/>
  <c r="J89" i="2"/>
  <c r="AC89" i="1"/>
  <c r="BC90" i="5"/>
  <c r="BP91" i="5"/>
  <c r="AB90" i="1"/>
  <c r="AZ93" i="5"/>
  <c r="BK92" i="5"/>
  <c r="AD90" i="1"/>
  <c r="BN93" i="5"/>
  <c r="AF91" i="1"/>
  <c r="BE90" i="5"/>
  <c r="AE88" i="1"/>
  <c r="W88" i="1" s="1"/>
  <c r="O90" i="1"/>
  <c r="DK90" i="8" s="1"/>
  <c r="DI89" i="8"/>
  <c r="DJ89" i="8"/>
  <c r="CN86" i="8"/>
  <c r="AD86" i="9"/>
  <c r="AV86" i="1" s="1"/>
  <c r="AN86" i="5"/>
  <c r="N89" i="1"/>
  <c r="AL86" i="5"/>
  <c r="AT85" i="8"/>
  <c r="AQ85" i="8"/>
  <c r="F85" i="11"/>
  <c r="M86" i="1"/>
  <c r="AW85" i="8"/>
  <c r="AA85" i="11"/>
  <c r="AC85" i="11"/>
  <c r="T85" i="8" s="1"/>
  <c r="Y85" i="11"/>
  <c r="AH85" i="1" s="1"/>
  <c r="Z85" i="11"/>
  <c r="AC85" i="2" s="1"/>
  <c r="AB85" i="11"/>
  <c r="P85" i="8" s="1"/>
  <c r="AD85" i="11"/>
  <c r="AI85" i="1" s="1"/>
  <c r="EM83" i="8"/>
  <c r="G83" i="1" s="1"/>
  <c r="M83" i="8" s="1"/>
  <c r="CM91" i="8"/>
  <c r="AJ92" i="14"/>
  <c r="A91" i="2"/>
  <c r="M91" i="5"/>
  <c r="A91" i="7"/>
  <c r="AD91" i="8"/>
  <c r="J92" i="10"/>
  <c r="B91" i="14"/>
  <c r="A91" i="8"/>
  <c r="K91" i="11"/>
  <c r="A91" i="9"/>
  <c r="EP86" i="8"/>
  <c r="DT86" i="8"/>
  <c r="EI85" i="8"/>
  <c r="DR86" i="8"/>
  <c r="DS86" i="8"/>
  <c r="DZ84" i="8"/>
  <c r="EM84" i="8" s="1"/>
  <c r="G84" i="1" s="1"/>
  <c r="M84" i="8" s="1"/>
  <c r="DX85" i="8"/>
  <c r="EB85" i="8" s="1"/>
  <c r="CW86" i="8"/>
  <c r="DN86" i="8"/>
  <c r="DO86" i="8"/>
  <c r="DY85" i="8"/>
  <c r="CS87" i="8"/>
  <c r="DP87" i="8" s="1"/>
  <c r="CT87" i="8"/>
  <c r="DQ87" i="8" s="1"/>
  <c r="CU87" i="8"/>
  <c r="CR86" i="8"/>
  <c r="DC86" i="8" s="1"/>
  <c r="D87" i="9"/>
  <c r="B89" i="5"/>
  <c r="Y89" i="1"/>
  <c r="AH85" i="7"/>
  <c r="I93" i="8"/>
  <c r="Q92" i="2"/>
  <c r="DH86" i="8"/>
  <c r="EH86" i="8" s="1"/>
  <c r="N86" i="7"/>
  <c r="AE86" i="7"/>
  <c r="AF86" i="7" s="1"/>
  <c r="DC85" i="8"/>
  <c r="EE85" i="8" s="1"/>
  <c r="EF85" i="8" s="1"/>
  <c r="N86" i="11"/>
  <c r="DB86" i="8"/>
  <c r="EC86" i="8" s="1"/>
  <c r="ED86" i="8" s="1"/>
  <c r="CY86" i="8"/>
  <c r="EA86" i="8" s="1"/>
  <c r="CV86" i="8"/>
  <c r="DL87" i="8"/>
  <c r="CX86" i="8"/>
  <c r="DG86" i="8"/>
  <c r="EG86" i="8" s="1"/>
  <c r="AO86" i="5"/>
  <c r="AM86" i="5"/>
  <c r="AC86" i="10"/>
  <c r="X86" i="10" s="1"/>
  <c r="Y86" i="10" s="1"/>
  <c r="AG85" i="7"/>
  <c r="AI85" i="7" s="1"/>
  <c r="AV87" i="5"/>
  <c r="AP85" i="5"/>
  <c r="B87" i="9"/>
  <c r="AB87" i="8"/>
  <c r="Q84" i="8"/>
  <c r="E87" i="1"/>
  <c r="EO87" i="8"/>
  <c r="B87" i="7"/>
  <c r="AE87" i="7" s="1"/>
  <c r="AF87" i="7" s="1"/>
  <c r="AQ85" i="5"/>
  <c r="AU85" i="1" s="1"/>
  <c r="AR89" i="5"/>
  <c r="D89" i="10"/>
  <c r="H90" i="5"/>
  <c r="F89" i="7"/>
  <c r="AB86" i="2"/>
  <c r="AU87" i="5"/>
  <c r="AI87" i="5"/>
  <c r="CQ87" i="8"/>
  <c r="DA87" i="8" s="1"/>
  <c r="BS87" i="5"/>
  <c r="A87" i="10"/>
  <c r="AA87" i="10" s="1"/>
  <c r="C87" i="14"/>
  <c r="A87" i="11"/>
  <c r="AH87" i="5"/>
  <c r="AC87" i="10" s="1"/>
  <c r="BN87" i="8"/>
  <c r="CN87" i="8" s="1"/>
  <c r="W87" i="8"/>
  <c r="BO87" i="8"/>
  <c r="DM87" i="8" s="1"/>
  <c r="Q87" i="1"/>
  <c r="E87" i="14" s="1"/>
  <c r="DE88" i="5"/>
  <c r="L89" i="5"/>
  <c r="J88" i="7"/>
  <c r="H88" i="10"/>
  <c r="K89" i="5"/>
  <c r="DD88" i="5"/>
  <c r="G88" i="10"/>
  <c r="I88" i="7"/>
  <c r="V88" i="2"/>
  <c r="A88" i="5"/>
  <c r="E88" i="5" s="1"/>
  <c r="EQ88" i="8" s="1"/>
  <c r="CZ88" i="8" s="1"/>
  <c r="G89" i="7"/>
  <c r="E89" i="10"/>
  <c r="DB89" i="5"/>
  <c r="I90" i="5"/>
  <c r="CZ89" i="5"/>
  <c r="C89" i="10"/>
  <c r="E89" i="7"/>
  <c r="G90" i="5"/>
  <c r="B17" i="8"/>
  <c r="D17" i="2" s="1"/>
  <c r="AB17" i="7"/>
  <c r="L17" i="2"/>
  <c r="BD17" i="8"/>
  <c r="H17" i="11"/>
  <c r="E17" i="2"/>
  <c r="X90" i="1"/>
  <c r="CY90" i="5"/>
  <c r="P92" i="2"/>
  <c r="H93" i="8"/>
  <c r="AA90" i="7"/>
  <c r="AE90" i="8" s="1"/>
  <c r="BC90" i="8" s="1"/>
  <c r="K90" i="10"/>
  <c r="P86" i="1"/>
  <c r="D85" i="14"/>
  <c r="R90" i="2"/>
  <c r="J91" i="8"/>
  <c r="M91" i="2"/>
  <c r="DF91" i="8"/>
  <c r="K92" i="8"/>
  <c r="S91" i="2"/>
  <c r="DA89" i="5"/>
  <c r="D92" i="7"/>
  <c r="F93" i="5"/>
  <c r="B92" i="10"/>
  <c r="O91" i="2"/>
  <c r="DE91" i="8"/>
  <c r="DG90" i="5"/>
  <c r="F90" i="10"/>
  <c r="DC90" i="5"/>
  <c r="H90" i="7"/>
  <c r="J91" i="5"/>
  <c r="N90" i="2"/>
  <c r="DF88" i="5"/>
  <c r="E83" i="11" l="1"/>
  <c r="BO83" i="1"/>
  <c r="AU84" i="8"/>
  <c r="AT84" i="1" s="1"/>
  <c r="AF86" i="11"/>
  <c r="AE86" i="11"/>
  <c r="AC86" i="8" s="1"/>
  <c r="AV84" i="8"/>
  <c r="AW84" i="1" s="1"/>
  <c r="L84" i="1" s="1"/>
  <c r="BO84" i="1" s="1"/>
  <c r="BQ85" i="8"/>
  <c r="CF85" i="8"/>
  <c r="CG85" i="8"/>
  <c r="BZ85" i="8"/>
  <c r="BP85" i="8"/>
  <c r="BT85" i="8"/>
  <c r="BU85" i="8"/>
  <c r="BY85" i="8"/>
  <c r="CA87" i="8"/>
  <c r="CH87" i="8"/>
  <c r="AO90" i="11"/>
  <c r="J90" i="2"/>
  <c r="AO84" i="8"/>
  <c r="E84" i="11"/>
  <c r="AG89" i="5"/>
  <c r="L90" i="11"/>
  <c r="E89" i="9"/>
  <c r="B89" i="2"/>
  <c r="B89" i="1"/>
  <c r="BI89" i="1" s="1"/>
  <c r="AQ83" i="1"/>
  <c r="U83" i="1" s="1"/>
  <c r="J84" i="1" s="1"/>
  <c r="BM84" i="1" s="1"/>
  <c r="BM83" i="1"/>
  <c r="AK83" i="5"/>
  <c r="AP83" i="8"/>
  <c r="AR83" i="8"/>
  <c r="BN83" i="1"/>
  <c r="C83" i="9"/>
  <c r="AR83" i="1"/>
  <c r="V83" i="1" s="1"/>
  <c r="K84" i="1" s="1"/>
  <c r="AC90" i="1"/>
  <c r="BC91" i="5"/>
  <c r="BN94" i="5"/>
  <c r="AF92" i="1"/>
  <c r="BE91" i="5"/>
  <c r="AE89" i="1"/>
  <c r="W89" i="1" s="1"/>
  <c r="BP92" i="5"/>
  <c r="AB91" i="1"/>
  <c r="AZ94" i="5"/>
  <c r="BK93" i="5"/>
  <c r="AD91" i="1"/>
  <c r="O85" i="8"/>
  <c r="Q85" i="8" s="1"/>
  <c r="O86" i="8"/>
  <c r="O91" i="1"/>
  <c r="DK91" i="8" s="1"/>
  <c r="DI90" i="8"/>
  <c r="DJ90" i="8"/>
  <c r="AD87" i="9"/>
  <c r="AV87" i="1" s="1"/>
  <c r="AP86" i="5"/>
  <c r="N90" i="1"/>
  <c r="AT86" i="8"/>
  <c r="AQ86" i="8"/>
  <c r="F86" i="11"/>
  <c r="M87" i="1"/>
  <c r="AW86" i="8"/>
  <c r="AA86" i="11"/>
  <c r="AC86" i="11"/>
  <c r="T86" i="8" s="1"/>
  <c r="Y86" i="11"/>
  <c r="AH86" i="1" s="1"/>
  <c r="Z86" i="11"/>
  <c r="AC86" i="2" s="1"/>
  <c r="AB86" i="11"/>
  <c r="P86" i="8" s="1"/>
  <c r="AD86" i="11"/>
  <c r="AI86" i="1" s="1"/>
  <c r="AJ93" i="14"/>
  <c r="CM92" i="8"/>
  <c r="A92" i="2"/>
  <c r="A92" i="7"/>
  <c r="J93" i="10"/>
  <c r="M92" i="5"/>
  <c r="A92" i="9"/>
  <c r="K92" i="11"/>
  <c r="AD92" i="8"/>
  <c r="A92" i="8"/>
  <c r="B92" i="14"/>
  <c r="DH87" i="8"/>
  <c r="EH87" i="8" s="1"/>
  <c r="DT87" i="8"/>
  <c r="DD86" i="8"/>
  <c r="EE86" i="8" s="1"/>
  <c r="EF86" i="8" s="1"/>
  <c r="DR87" i="8"/>
  <c r="DS87" i="8"/>
  <c r="DX86" i="8"/>
  <c r="EB86" i="8" s="1"/>
  <c r="DZ85" i="8"/>
  <c r="EM85" i="8" s="1"/>
  <c r="G85" i="1" s="1"/>
  <c r="M85" i="8" s="1"/>
  <c r="DY86" i="8"/>
  <c r="CW87" i="8"/>
  <c r="DN87" i="8"/>
  <c r="DO87" i="8"/>
  <c r="CU88" i="8"/>
  <c r="CT88" i="8"/>
  <c r="DQ88" i="8" s="1"/>
  <c r="CS88" i="8"/>
  <c r="DP88" i="8" s="1"/>
  <c r="Y90" i="1"/>
  <c r="B90" i="5"/>
  <c r="AG86" i="7"/>
  <c r="AI86" i="7" s="1"/>
  <c r="AH86" i="7"/>
  <c r="I94" i="8"/>
  <c r="Q93" i="2"/>
  <c r="EI86" i="8"/>
  <c r="EP87" i="8"/>
  <c r="N87" i="11"/>
  <c r="AQ86" i="5"/>
  <c r="AU86" i="1" s="1"/>
  <c r="N87" i="7"/>
  <c r="X87" i="10"/>
  <c r="Y87" i="10" s="1"/>
  <c r="I62" i="4" s="1"/>
  <c r="Q87" i="7"/>
  <c r="AR90" i="5"/>
  <c r="AN87" i="5"/>
  <c r="F90" i="7"/>
  <c r="H91" i="5"/>
  <c r="D90" i="10"/>
  <c r="CY87" i="8"/>
  <c r="EA87" i="8" s="1"/>
  <c r="CV87" i="8"/>
  <c r="CX87" i="8"/>
  <c r="AM87" i="5"/>
  <c r="V89" i="2"/>
  <c r="A89" i="5"/>
  <c r="E89" i="5" s="1"/>
  <c r="EQ89" i="8" s="1"/>
  <c r="CZ89" i="8" s="1"/>
  <c r="AL87" i="5"/>
  <c r="D88" i="9"/>
  <c r="CO87" i="8"/>
  <c r="CR87" i="8"/>
  <c r="DC87" i="8" s="1"/>
  <c r="AO87" i="5"/>
  <c r="DB87" i="8"/>
  <c r="EC87" i="8" s="1"/>
  <c r="ED87" i="8" s="1"/>
  <c r="DG87" i="8"/>
  <c r="EG87" i="8" s="1"/>
  <c r="DE89" i="5"/>
  <c r="H89" i="10"/>
  <c r="J89" i="7"/>
  <c r="L90" i="5"/>
  <c r="DD89" i="5"/>
  <c r="I89" i="7"/>
  <c r="G89" i="10"/>
  <c r="K90" i="5"/>
  <c r="I91" i="5"/>
  <c r="DB90" i="5"/>
  <c r="E90" i="10"/>
  <c r="G90" i="7"/>
  <c r="U17" i="2"/>
  <c r="W16" i="2" s="1"/>
  <c r="C17" i="2" s="1"/>
  <c r="J91" i="2"/>
  <c r="DA90" i="5"/>
  <c r="BS88" i="5"/>
  <c r="B88" i="7"/>
  <c r="A88" i="10"/>
  <c r="AA88" i="10" s="1"/>
  <c r="E88" i="1"/>
  <c r="AV88" i="5"/>
  <c r="C88" i="14"/>
  <c r="Q88" i="1"/>
  <c r="E88" i="14" s="1"/>
  <c r="AU88" i="5"/>
  <c r="W88" i="8"/>
  <c r="A88" i="11"/>
  <c r="B88" i="9"/>
  <c r="AB87" i="2"/>
  <c r="AI88" i="5"/>
  <c r="AH88" i="5"/>
  <c r="BN88" i="8"/>
  <c r="BO88" i="8"/>
  <c r="DM88" i="8" s="1"/>
  <c r="EO88" i="8"/>
  <c r="DT88" i="8" s="1"/>
  <c r="AB88" i="8"/>
  <c r="CQ88" i="8"/>
  <c r="DA88" i="8" s="1"/>
  <c r="DL88" i="8"/>
  <c r="X91" i="1"/>
  <c r="J92" i="5"/>
  <c r="DC91" i="5"/>
  <c r="F91" i="10"/>
  <c r="H91" i="7"/>
  <c r="DG91" i="5"/>
  <c r="F94" i="5"/>
  <c r="B93" i="10"/>
  <c r="D93" i="7"/>
  <c r="R91" i="2"/>
  <c r="J92" i="8"/>
  <c r="K91" i="10"/>
  <c r="AA91" i="7"/>
  <c r="AE91" i="8" s="1"/>
  <c r="BC91" i="8" s="1"/>
  <c r="AH87" i="7"/>
  <c r="AG87" i="7"/>
  <c r="AI87" i="7" s="1"/>
  <c r="K93" i="8"/>
  <c r="S92" i="2"/>
  <c r="H94" i="8"/>
  <c r="P93" i="2"/>
  <c r="P87" i="1"/>
  <c r="D86" i="14"/>
  <c r="N91" i="2"/>
  <c r="CY91" i="5"/>
  <c r="O92" i="2"/>
  <c r="DE92" i="8"/>
  <c r="M92" i="2"/>
  <c r="DF92" i="8"/>
  <c r="CZ90" i="5"/>
  <c r="E90" i="7"/>
  <c r="G91" i="5"/>
  <c r="C90" i="10"/>
  <c r="DF89" i="5"/>
  <c r="CA88" i="8" l="1"/>
  <c r="CH88" i="8"/>
  <c r="AE87" i="11"/>
  <c r="AC87" i="8" s="1"/>
  <c r="AF87" i="11"/>
  <c r="CF86" i="8"/>
  <c r="BY86" i="8"/>
  <c r="BZ86" i="8"/>
  <c r="BU86" i="8"/>
  <c r="CG86" i="8"/>
  <c r="BP86" i="8"/>
  <c r="BT86" i="8"/>
  <c r="BQ86" i="8"/>
  <c r="AV86" i="8" s="1"/>
  <c r="AW86" i="1" s="1"/>
  <c r="AU85" i="8"/>
  <c r="AT85" i="1" s="1"/>
  <c r="AV85" i="8"/>
  <c r="AW85" i="1" s="1"/>
  <c r="L85" i="1" s="1"/>
  <c r="BO85" i="1" s="1"/>
  <c r="AO91" i="11"/>
  <c r="L91" i="11"/>
  <c r="E90" i="9"/>
  <c r="AG90" i="5"/>
  <c r="B90" i="1"/>
  <c r="BI90" i="1" s="1"/>
  <c r="B90" i="2"/>
  <c r="B91" i="5"/>
  <c r="AO85" i="8"/>
  <c r="D84" i="11"/>
  <c r="AQ84" i="1"/>
  <c r="U84" i="1" s="1"/>
  <c r="J85" i="1" s="1"/>
  <c r="AK84" i="5"/>
  <c r="AP84" i="8"/>
  <c r="AR84" i="8"/>
  <c r="AR84" i="1"/>
  <c r="V84" i="1" s="1"/>
  <c r="K85" i="1" s="1"/>
  <c r="BN84" i="1"/>
  <c r="C84" i="9"/>
  <c r="AC91" i="1"/>
  <c r="BC92" i="5"/>
  <c r="AZ95" i="5"/>
  <c r="BN95" i="5"/>
  <c r="AF93" i="1"/>
  <c r="BK94" i="5"/>
  <c r="AD92" i="1"/>
  <c r="BE92" i="5"/>
  <c r="AE90" i="1"/>
  <c r="W90" i="1" s="1"/>
  <c r="BP93" i="5"/>
  <c r="AB92" i="1"/>
  <c r="R17" i="8"/>
  <c r="S17" i="8" s="1"/>
  <c r="O87" i="8"/>
  <c r="O92" i="1"/>
  <c r="DK92" i="8" s="1"/>
  <c r="DI91" i="8"/>
  <c r="DJ91" i="8"/>
  <c r="AD88" i="9"/>
  <c r="AV88" i="1" s="1"/>
  <c r="N91" i="1"/>
  <c r="AT87" i="8"/>
  <c r="AQ87" i="8"/>
  <c r="F87" i="11"/>
  <c r="M88" i="1"/>
  <c r="AW87" i="8"/>
  <c r="EI87" i="8"/>
  <c r="AC87" i="11"/>
  <c r="T87" i="8" s="1"/>
  <c r="Y87" i="11"/>
  <c r="AH87" i="1" s="1"/>
  <c r="AA87" i="11"/>
  <c r="AD87" i="11"/>
  <c r="AI87" i="1" s="1"/>
  <c r="Z87" i="11"/>
  <c r="AC87" i="2" s="1"/>
  <c r="AB87" i="11"/>
  <c r="P87" i="8" s="1"/>
  <c r="A93" i="2"/>
  <c r="K93" i="11"/>
  <c r="AD93" i="8"/>
  <c r="A93" i="8"/>
  <c r="B93" i="14"/>
  <c r="J94" i="10"/>
  <c r="M93" i="5"/>
  <c r="A93" i="7"/>
  <c r="A93" i="9"/>
  <c r="AJ94" i="14"/>
  <c r="CM93" i="8"/>
  <c r="DR88" i="8"/>
  <c r="DS88" i="8"/>
  <c r="DX87" i="8"/>
  <c r="EB87" i="8" s="1"/>
  <c r="DZ86" i="8"/>
  <c r="EM86" i="8" s="1"/>
  <c r="G86" i="1" s="1"/>
  <c r="M86" i="8" s="1"/>
  <c r="DY87" i="8"/>
  <c r="DN88" i="8"/>
  <c r="DO88" i="8"/>
  <c r="E89" i="1"/>
  <c r="CS89" i="8"/>
  <c r="DP89" i="8" s="1"/>
  <c r="CT89" i="8"/>
  <c r="DQ89" i="8" s="1"/>
  <c r="CU89" i="8"/>
  <c r="Y91" i="1"/>
  <c r="I95" i="8"/>
  <c r="Q94" i="2"/>
  <c r="I60" i="4"/>
  <c r="Q86" i="8"/>
  <c r="AR91" i="5"/>
  <c r="DD87" i="8"/>
  <c r="EE87" i="8" s="1"/>
  <c r="EF87" i="8" s="1"/>
  <c r="AP87" i="5"/>
  <c r="I59" i="4" s="1"/>
  <c r="W89" i="8"/>
  <c r="B89" i="7"/>
  <c r="Q89" i="7" s="1"/>
  <c r="BN89" i="8"/>
  <c r="CO89" i="8" s="1"/>
  <c r="H92" i="5"/>
  <c r="F91" i="7"/>
  <c r="D91" i="10"/>
  <c r="D89" i="9"/>
  <c r="AQ87" i="5"/>
  <c r="AU87" i="1" s="1"/>
  <c r="AH89" i="5"/>
  <c r="BO89" i="8"/>
  <c r="DM89" i="8" s="1"/>
  <c r="C89" i="14"/>
  <c r="CQ89" i="8"/>
  <c r="DA89" i="8" s="1"/>
  <c r="AB89" i="8"/>
  <c r="A89" i="10"/>
  <c r="AA89" i="10" s="1"/>
  <c r="A89" i="11"/>
  <c r="EO89" i="8"/>
  <c r="BS89" i="5"/>
  <c r="Q89" i="1"/>
  <c r="E89" i="14" s="1"/>
  <c r="AU89" i="5"/>
  <c r="DL89" i="8"/>
  <c r="AB88" i="2"/>
  <c r="B89" i="9"/>
  <c r="AV89" i="5"/>
  <c r="AI89" i="5"/>
  <c r="H90" i="10"/>
  <c r="DE90" i="5"/>
  <c r="L91" i="5"/>
  <c r="J90" i="7"/>
  <c r="K91" i="5"/>
  <c r="G90" i="10"/>
  <c r="DD90" i="5"/>
  <c r="I90" i="7"/>
  <c r="V90" i="2"/>
  <c r="A90" i="5"/>
  <c r="E90" i="5" s="1"/>
  <c r="EQ90" i="8" s="1"/>
  <c r="CZ90" i="8" s="1"/>
  <c r="DB91" i="5"/>
  <c r="E91" i="10"/>
  <c r="G91" i="7"/>
  <c r="I92" i="5"/>
  <c r="AN88" i="5"/>
  <c r="DA91" i="5"/>
  <c r="X92" i="1"/>
  <c r="E91" i="7"/>
  <c r="C91" i="10"/>
  <c r="CZ91" i="5"/>
  <c r="G92" i="5"/>
  <c r="N92" i="2"/>
  <c r="CN88" i="8"/>
  <c r="CR88" i="8"/>
  <c r="CO88" i="8"/>
  <c r="K92" i="10"/>
  <c r="AA92" i="7"/>
  <c r="AE92" i="8" s="1"/>
  <c r="BC92" i="8" s="1"/>
  <c r="CV88" i="8"/>
  <c r="DB88" i="8"/>
  <c r="EC88" i="8" s="1"/>
  <c r="ED88" i="8" s="1"/>
  <c r="DG88" i="8"/>
  <c r="EG88" i="8" s="1"/>
  <c r="CY88" i="8"/>
  <c r="EA88" i="8" s="1"/>
  <c r="CX88" i="8"/>
  <c r="CW88" i="8"/>
  <c r="S93" i="2"/>
  <c r="K94" i="8"/>
  <c r="DE93" i="8"/>
  <c r="O93" i="2"/>
  <c r="H95" i="8"/>
  <c r="P94" i="2"/>
  <c r="F92" i="10"/>
  <c r="J93" i="5"/>
  <c r="H92" i="7"/>
  <c r="DC92" i="5"/>
  <c r="N88" i="11"/>
  <c r="Q88" i="7"/>
  <c r="AE88" i="7"/>
  <c r="AF88" i="7" s="1"/>
  <c r="DG92" i="5"/>
  <c r="CY92" i="5"/>
  <c r="AC88" i="10"/>
  <c r="X88" i="10" s="1"/>
  <c r="Y88" i="10" s="1"/>
  <c r="AO88" i="5"/>
  <c r="AM88" i="5"/>
  <c r="AL88" i="5"/>
  <c r="M93" i="2"/>
  <c r="DF93" i="8"/>
  <c r="R92" i="2"/>
  <c r="J93" i="8"/>
  <c r="B94" i="10"/>
  <c r="D94" i="7"/>
  <c r="F95" i="5"/>
  <c r="DH88" i="8"/>
  <c r="EH88" i="8" s="1"/>
  <c r="EP88" i="8"/>
  <c r="D87" i="14"/>
  <c r="P88" i="1"/>
  <c r="N88" i="7"/>
  <c r="H17" i="2"/>
  <c r="F17" i="1"/>
  <c r="F17" i="2"/>
  <c r="I17" i="2"/>
  <c r="AA17" i="1" s="1"/>
  <c r="S17" i="1" s="1"/>
  <c r="H18" i="1" s="1"/>
  <c r="DF90" i="5"/>
  <c r="AU86" i="8" l="1"/>
  <c r="AT86" i="1" s="1"/>
  <c r="AE88" i="11"/>
  <c r="AC88" i="8" s="1"/>
  <c r="AF88" i="11"/>
  <c r="CA89" i="8"/>
  <c r="CH89" i="8"/>
  <c r="L86" i="1"/>
  <c r="AO86" i="8" s="1"/>
  <c r="E85" i="11"/>
  <c r="CF87" i="8"/>
  <c r="BQ87" i="8"/>
  <c r="CG87" i="8"/>
  <c r="BT87" i="8"/>
  <c r="BP87" i="8"/>
  <c r="BY87" i="8"/>
  <c r="BU87" i="8"/>
  <c r="BZ87" i="8"/>
  <c r="AO92" i="11"/>
  <c r="L92" i="11"/>
  <c r="E91" i="9"/>
  <c r="AG91" i="5"/>
  <c r="B91" i="1"/>
  <c r="BI91" i="1" s="1"/>
  <c r="B91" i="2"/>
  <c r="E86" i="11"/>
  <c r="AQ85" i="1"/>
  <c r="U85" i="1" s="1"/>
  <c r="J86" i="1" s="1"/>
  <c r="D85" i="11"/>
  <c r="AK85" i="5"/>
  <c r="AP85" i="8"/>
  <c r="BM85" i="1"/>
  <c r="B92" i="5"/>
  <c r="BO86" i="1"/>
  <c r="AR85" i="8"/>
  <c r="AR85" i="1"/>
  <c r="V85" i="1" s="1"/>
  <c r="K86" i="1" s="1"/>
  <c r="BN85" i="1"/>
  <c r="C85" i="9"/>
  <c r="AC92" i="1"/>
  <c r="BC93" i="5"/>
  <c r="BE93" i="5"/>
  <c r="AE91" i="1"/>
  <c r="W91" i="1" s="1"/>
  <c r="AZ96" i="5"/>
  <c r="BP94" i="5"/>
  <c r="AB93" i="1"/>
  <c r="BN96" i="5"/>
  <c r="AF94" i="1"/>
  <c r="BK95" i="5"/>
  <c r="AD93" i="1"/>
  <c r="O93" i="1"/>
  <c r="DK93" i="8" s="1"/>
  <c r="DJ92" i="8"/>
  <c r="DI92" i="8"/>
  <c r="AD89" i="9"/>
  <c r="AV89" i="1" s="1"/>
  <c r="N92" i="1"/>
  <c r="AT88" i="8"/>
  <c r="AQ88" i="8"/>
  <c r="M89" i="1"/>
  <c r="F88" i="11"/>
  <c r="AW88" i="8"/>
  <c r="AA88" i="11"/>
  <c r="AC88" i="11"/>
  <c r="T88" i="8" s="1"/>
  <c r="Y88" i="11"/>
  <c r="AH88" i="1" s="1"/>
  <c r="AD88" i="11"/>
  <c r="AI88" i="1" s="1"/>
  <c r="Z88" i="11"/>
  <c r="AC88" i="2" s="1"/>
  <c r="AB88" i="11"/>
  <c r="P88" i="8" s="1"/>
  <c r="CM94" i="8"/>
  <c r="AJ95" i="14"/>
  <c r="A94" i="2"/>
  <c r="K94" i="11"/>
  <c r="A94" i="8"/>
  <c r="AD94" i="8"/>
  <c r="M94" i="5"/>
  <c r="A94" i="9"/>
  <c r="J95" i="10"/>
  <c r="A94" i="7"/>
  <c r="B94" i="14"/>
  <c r="DR89" i="8"/>
  <c r="DS89" i="8"/>
  <c r="EP89" i="8"/>
  <c r="DT89" i="8"/>
  <c r="DX88" i="8"/>
  <c r="EB88" i="8" s="1"/>
  <c r="DZ87" i="8"/>
  <c r="EM87" i="8" s="1"/>
  <c r="G87" i="1" s="1"/>
  <c r="M87" i="8" s="1"/>
  <c r="CV89" i="8"/>
  <c r="DN89" i="8"/>
  <c r="DO89" i="8"/>
  <c r="CS90" i="8"/>
  <c r="DP90" i="8" s="1"/>
  <c r="CT90" i="8"/>
  <c r="DQ90" i="8" s="1"/>
  <c r="CU90" i="8"/>
  <c r="Y92" i="1"/>
  <c r="I96" i="8"/>
  <c r="Q95" i="2"/>
  <c r="DB89" i="8"/>
  <c r="EC89" i="8" s="1"/>
  <c r="ED89" i="8" s="1"/>
  <c r="DL90" i="8"/>
  <c r="CR89" i="8"/>
  <c r="DD89" i="8" s="1"/>
  <c r="N89" i="11"/>
  <c r="CN89" i="8"/>
  <c r="N89" i="7"/>
  <c r="AE89" i="7"/>
  <c r="AF89" i="7" s="1"/>
  <c r="DH89" i="8"/>
  <c r="EH89" i="8" s="1"/>
  <c r="AM89" i="5"/>
  <c r="D90" i="9"/>
  <c r="CX89" i="8"/>
  <c r="CY89" i="8"/>
  <c r="EA89" i="8" s="1"/>
  <c r="F92" i="7"/>
  <c r="D92" i="10"/>
  <c r="H93" i="5"/>
  <c r="AO89" i="5"/>
  <c r="DG89" i="8"/>
  <c r="EG89" i="8" s="1"/>
  <c r="CW89" i="8"/>
  <c r="AC89" i="10"/>
  <c r="X89" i="10" s="1"/>
  <c r="Y89" i="10" s="1"/>
  <c r="A91" i="5"/>
  <c r="E91" i="5" s="1"/>
  <c r="EQ91" i="8" s="1"/>
  <c r="CZ91" i="8" s="1"/>
  <c r="AN89" i="5"/>
  <c r="W90" i="8"/>
  <c r="BN90" i="8"/>
  <c r="CO90" i="8" s="1"/>
  <c r="AB90" i="8"/>
  <c r="A90" i="10"/>
  <c r="AA90" i="10" s="1"/>
  <c r="A90" i="11"/>
  <c r="EO90" i="8"/>
  <c r="Q90" i="1"/>
  <c r="E90" i="14" s="1"/>
  <c r="AV90" i="5"/>
  <c r="AL89" i="5"/>
  <c r="B90" i="9"/>
  <c r="E90" i="1"/>
  <c r="BO90" i="8"/>
  <c r="DM90" i="8" s="1"/>
  <c r="C90" i="14"/>
  <c r="CQ90" i="8"/>
  <c r="DA90" i="8" s="1"/>
  <c r="AB89" i="2"/>
  <c r="BS90" i="5"/>
  <c r="AH90" i="5"/>
  <c r="B90" i="7"/>
  <c r="AE90" i="7" s="1"/>
  <c r="AF90" i="7" s="1"/>
  <c r="AI90" i="5"/>
  <c r="AU90" i="5"/>
  <c r="H91" i="10"/>
  <c r="J91" i="7"/>
  <c r="DE91" i="5"/>
  <c r="L92" i="5"/>
  <c r="DD91" i="5"/>
  <c r="G91" i="10"/>
  <c r="K92" i="5"/>
  <c r="I91" i="7"/>
  <c r="V91" i="2"/>
  <c r="AR92" i="5"/>
  <c r="I93" i="5"/>
  <c r="E92" i="10"/>
  <c r="DB92" i="5"/>
  <c r="G92" i="7"/>
  <c r="AP88" i="5"/>
  <c r="AQ88" i="5"/>
  <c r="AU88" i="1" s="1"/>
  <c r="AC18" i="7"/>
  <c r="BK18" i="1"/>
  <c r="AJ18" i="5"/>
  <c r="V18" i="10"/>
  <c r="C18" i="11"/>
  <c r="AN18" i="8"/>
  <c r="U17" i="8"/>
  <c r="V17" i="8"/>
  <c r="K93" i="10"/>
  <c r="AA93" i="7"/>
  <c r="AE93" i="8" s="1"/>
  <c r="BC93" i="8" s="1"/>
  <c r="X93" i="1"/>
  <c r="DY88" i="8"/>
  <c r="R93" i="2"/>
  <c r="J94" i="8"/>
  <c r="N93" i="2"/>
  <c r="Q87" i="8"/>
  <c r="AP17" i="1"/>
  <c r="T17" i="1" s="1"/>
  <c r="I18" i="1" s="1"/>
  <c r="J17" i="11"/>
  <c r="G17" i="2"/>
  <c r="Z17" i="2" s="1"/>
  <c r="Z18" i="8" s="1"/>
  <c r="DA92" i="5"/>
  <c r="P89" i="1"/>
  <c r="D88" i="14"/>
  <c r="K95" i="8"/>
  <c r="S94" i="2"/>
  <c r="D95" i="7"/>
  <c r="F96" i="5"/>
  <c r="B95" i="10"/>
  <c r="M94" i="2"/>
  <c r="DF94" i="8"/>
  <c r="CY93" i="5"/>
  <c r="AG88" i="7"/>
  <c r="AI88" i="7" s="1"/>
  <c r="AH88" i="7"/>
  <c r="F93" i="10"/>
  <c r="H93" i="7"/>
  <c r="DC93" i="5"/>
  <c r="J94" i="5"/>
  <c r="H96" i="8"/>
  <c r="P95" i="2"/>
  <c r="DD88" i="8"/>
  <c r="DC88" i="8"/>
  <c r="O88" i="8" s="1"/>
  <c r="O17" i="7"/>
  <c r="I17" i="11"/>
  <c r="DG93" i="5"/>
  <c r="DE94" i="8"/>
  <c r="O94" i="2"/>
  <c r="C92" i="10"/>
  <c r="G93" i="5"/>
  <c r="CZ92" i="5"/>
  <c r="E92" i="7"/>
  <c r="J92" i="2"/>
  <c r="EI88" i="8"/>
  <c r="DF91" i="5"/>
  <c r="AF89" i="11" l="1"/>
  <c r="AE89" i="11"/>
  <c r="AC89" i="8" s="1"/>
  <c r="AV87" i="8"/>
  <c r="AW87" i="1" s="1"/>
  <c r="L87" i="1" s="1"/>
  <c r="E87" i="11" s="1"/>
  <c r="AU87" i="8"/>
  <c r="BY88" i="8"/>
  <c r="BP88" i="8"/>
  <c r="CG88" i="8"/>
  <c r="BZ88" i="8"/>
  <c r="CF88" i="8"/>
  <c r="BT88" i="8"/>
  <c r="BU88" i="8"/>
  <c r="BQ88" i="8"/>
  <c r="CA90" i="8"/>
  <c r="CH90" i="8"/>
  <c r="AO93" i="11"/>
  <c r="L93" i="11"/>
  <c r="AG92" i="5"/>
  <c r="E92" i="9"/>
  <c r="B92" i="1"/>
  <c r="BI92" i="1" s="1"/>
  <c r="B92" i="2"/>
  <c r="BO87" i="1"/>
  <c r="AO87" i="8"/>
  <c r="AK86" i="5"/>
  <c r="AQ86" i="1"/>
  <c r="U86" i="1" s="1"/>
  <c r="J87" i="1" s="1"/>
  <c r="D86" i="11"/>
  <c r="BM86" i="1"/>
  <c r="AP86" i="8"/>
  <c r="AR86" i="8"/>
  <c r="C86" i="9"/>
  <c r="AR86" i="1"/>
  <c r="V86" i="1" s="1"/>
  <c r="K87" i="1" s="1"/>
  <c r="BN86" i="1"/>
  <c r="AC93" i="1"/>
  <c r="BC94" i="5"/>
  <c r="J93" i="2"/>
  <c r="BK96" i="5"/>
  <c r="AD94" i="1"/>
  <c r="BE94" i="5"/>
  <c r="AE92" i="1"/>
  <c r="AZ97" i="5"/>
  <c r="BP95" i="5"/>
  <c r="AB94" i="1"/>
  <c r="BN97" i="5"/>
  <c r="AF95" i="1"/>
  <c r="O94" i="1"/>
  <c r="DK94" i="8" s="1"/>
  <c r="DI93" i="8"/>
  <c r="DJ93" i="8"/>
  <c r="AD90" i="9"/>
  <c r="AV90" i="1" s="1"/>
  <c r="N93" i="1"/>
  <c r="AT89" i="8"/>
  <c r="AQ89" i="8"/>
  <c r="M90" i="1"/>
  <c r="F89" i="11"/>
  <c r="AW89" i="8"/>
  <c r="Y89" i="11"/>
  <c r="AH89" i="1" s="1"/>
  <c r="AA89" i="11"/>
  <c r="AC89" i="11"/>
  <c r="T89" i="8" s="1"/>
  <c r="Z89" i="11"/>
  <c r="AC89" i="2" s="1"/>
  <c r="AD89" i="11"/>
  <c r="AI89" i="1" s="1"/>
  <c r="AB89" i="11"/>
  <c r="P89" i="8" s="1"/>
  <c r="AJ96" i="14"/>
  <c r="CM95" i="8"/>
  <c r="A95" i="2"/>
  <c r="M95" i="5"/>
  <c r="A95" i="8"/>
  <c r="A95" i="7"/>
  <c r="J96" i="10"/>
  <c r="AD95" i="8"/>
  <c r="K95" i="11"/>
  <c r="A95" i="9"/>
  <c r="B95" i="14"/>
  <c r="DR90" i="8"/>
  <c r="DS90" i="8"/>
  <c r="EP90" i="8"/>
  <c r="DT90" i="8"/>
  <c r="B93" i="5"/>
  <c r="DZ88" i="8"/>
  <c r="DX89" i="8"/>
  <c r="EB89" i="8" s="1"/>
  <c r="DB90" i="8"/>
  <c r="EC90" i="8" s="1"/>
  <c r="ED90" i="8" s="1"/>
  <c r="DN90" i="8"/>
  <c r="DO90" i="8"/>
  <c r="CT91" i="8"/>
  <c r="DQ91" i="8" s="1"/>
  <c r="CU91" i="8"/>
  <c r="CS91" i="8"/>
  <c r="DP91" i="8" s="1"/>
  <c r="Y93" i="1"/>
  <c r="AG89" i="7"/>
  <c r="AI89" i="7" s="1"/>
  <c r="AH89" i="7"/>
  <c r="Q96" i="2"/>
  <c r="I97" i="8"/>
  <c r="N90" i="11"/>
  <c r="CQ91" i="8"/>
  <c r="DA91" i="8" s="1"/>
  <c r="DC89" i="8"/>
  <c r="EE89" i="8" s="1"/>
  <c r="EF89" i="8" s="1"/>
  <c r="CR90" i="8"/>
  <c r="DD90" i="8" s="1"/>
  <c r="EO91" i="8"/>
  <c r="AV91" i="5"/>
  <c r="BS91" i="5"/>
  <c r="AQ89" i="5"/>
  <c r="AU89" i="1" s="1"/>
  <c r="EI89" i="8"/>
  <c r="Q90" i="7"/>
  <c r="AN90" i="5"/>
  <c r="CN90" i="8"/>
  <c r="D91" i="9"/>
  <c r="DY89" i="8"/>
  <c r="H94" i="5"/>
  <c r="F93" i="7"/>
  <c r="D93" i="10"/>
  <c r="CY90" i="8"/>
  <c r="EA90" i="8" s="1"/>
  <c r="CV90" i="8"/>
  <c r="AO90" i="5"/>
  <c r="AP89" i="5"/>
  <c r="CX90" i="8"/>
  <c r="AR93" i="5"/>
  <c r="DH90" i="8"/>
  <c r="EH90" i="8" s="1"/>
  <c r="DG90" i="8"/>
  <c r="EG90" i="8" s="1"/>
  <c r="DL91" i="8"/>
  <c r="AB91" i="8"/>
  <c r="Q91" i="1"/>
  <c r="E91" i="14" s="1"/>
  <c r="A91" i="11"/>
  <c r="E91" i="1"/>
  <c r="W91" i="8"/>
  <c r="AB90" i="2"/>
  <c r="B91" i="7"/>
  <c r="Q91" i="7" s="1"/>
  <c r="AH91" i="5"/>
  <c r="AC91" i="10" s="1"/>
  <c r="AU91" i="5"/>
  <c r="BN91" i="8"/>
  <c r="CN91" i="8" s="1"/>
  <c r="C91" i="14"/>
  <c r="AI91" i="5"/>
  <c r="B91" i="9"/>
  <c r="BO91" i="8"/>
  <c r="DM91" i="8" s="1"/>
  <c r="A91" i="10"/>
  <c r="AA91" i="10" s="1"/>
  <c r="AC90" i="10"/>
  <c r="X90" i="10" s="1"/>
  <c r="Y90" i="10" s="1"/>
  <c r="V92" i="2"/>
  <c r="AM90" i="5"/>
  <c r="AL90" i="5"/>
  <c r="A92" i="5"/>
  <c r="E92" i="5" s="1"/>
  <c r="EQ92" i="8" s="1"/>
  <c r="CZ92" i="8" s="1"/>
  <c r="N90" i="7"/>
  <c r="CW90" i="8"/>
  <c r="J92" i="7"/>
  <c r="H92" i="10"/>
  <c r="L93" i="5"/>
  <c r="DE92" i="5"/>
  <c r="DD92" i="5"/>
  <c r="K93" i="5"/>
  <c r="I92" i="7"/>
  <c r="G92" i="10"/>
  <c r="G93" i="7"/>
  <c r="I94" i="5"/>
  <c r="DB93" i="5"/>
  <c r="E93" i="10"/>
  <c r="CY94" i="5"/>
  <c r="P90" i="1"/>
  <c r="D89" i="14"/>
  <c r="M95" i="2"/>
  <c r="DF95" i="8"/>
  <c r="DG94" i="5"/>
  <c r="S95" i="2"/>
  <c r="K96" i="8"/>
  <c r="K94" i="10"/>
  <c r="AA94" i="7"/>
  <c r="AE94" i="8" s="1"/>
  <c r="BC94" i="8" s="1"/>
  <c r="O95" i="2"/>
  <c r="DE95" i="8"/>
  <c r="P96" i="2"/>
  <c r="H97" i="8"/>
  <c r="J95" i="5"/>
  <c r="F94" i="10"/>
  <c r="H94" i="7"/>
  <c r="DC94" i="5"/>
  <c r="P17" i="7"/>
  <c r="F17" i="9"/>
  <c r="N94" i="2"/>
  <c r="C17" i="8"/>
  <c r="R94" i="2"/>
  <c r="J95" i="8"/>
  <c r="B96" i="10"/>
  <c r="F97" i="5"/>
  <c r="D96" i="7"/>
  <c r="C93" i="10"/>
  <c r="E93" i="7"/>
  <c r="G94" i="5"/>
  <c r="CZ93" i="5"/>
  <c r="W92" i="1"/>
  <c r="DA93" i="5"/>
  <c r="X94" i="1"/>
  <c r="EE88" i="8"/>
  <c r="EF88" i="8" s="1"/>
  <c r="Q88" i="8"/>
  <c r="AG90" i="7"/>
  <c r="AI90" i="7" s="1"/>
  <c r="AH90" i="7"/>
  <c r="DF92" i="5"/>
  <c r="AV88" i="8" l="1"/>
  <c r="AW88" i="1" s="1"/>
  <c r="L88" i="1" s="1"/>
  <c r="AO88" i="8" s="1"/>
  <c r="CA91" i="8"/>
  <c r="CH91" i="8"/>
  <c r="AU88" i="8"/>
  <c r="AT88" i="1" s="1"/>
  <c r="BY89" i="8"/>
  <c r="BT89" i="8"/>
  <c r="BZ89" i="8"/>
  <c r="BQ89" i="8"/>
  <c r="CG89" i="8"/>
  <c r="BP89" i="8"/>
  <c r="CF89" i="8"/>
  <c r="BU89" i="8"/>
  <c r="AE90" i="11"/>
  <c r="AC90" i="8" s="1"/>
  <c r="AF90" i="11"/>
  <c r="I61" i="4"/>
  <c r="AT87" i="1"/>
  <c r="AO94" i="11"/>
  <c r="AG93" i="5"/>
  <c r="L94" i="11"/>
  <c r="E93" i="9"/>
  <c r="B93" i="1"/>
  <c r="BI93" i="1" s="1"/>
  <c r="B93" i="2"/>
  <c r="AQ87" i="1"/>
  <c r="U87" i="1" s="1"/>
  <c r="J88" i="1" s="1"/>
  <c r="D87" i="11"/>
  <c r="AK87" i="5"/>
  <c r="BM87" i="1"/>
  <c r="AP87" i="8"/>
  <c r="AR87" i="1"/>
  <c r="V87" i="1" s="1"/>
  <c r="K88" i="1" s="1"/>
  <c r="C87" i="9"/>
  <c r="BN87" i="1"/>
  <c r="AR87" i="8"/>
  <c r="BC95" i="5"/>
  <c r="AC94" i="1"/>
  <c r="BP96" i="5"/>
  <c r="AB95" i="1"/>
  <c r="BK97" i="5"/>
  <c r="AD95" i="1"/>
  <c r="BN98" i="5"/>
  <c r="AF96" i="1"/>
  <c r="BE95" i="5"/>
  <c r="AE93" i="1"/>
  <c r="W93" i="1" s="1"/>
  <c r="AZ98" i="5"/>
  <c r="O89" i="8"/>
  <c r="Q89" i="8" s="1"/>
  <c r="O95" i="1"/>
  <c r="DK95" i="8" s="1"/>
  <c r="DI94" i="8"/>
  <c r="DJ94" i="8"/>
  <c r="AS18" i="8"/>
  <c r="AO18" i="1"/>
  <c r="AD91" i="9"/>
  <c r="AV91" i="1" s="1"/>
  <c r="N94" i="1"/>
  <c r="BL18" i="1"/>
  <c r="AT90" i="8"/>
  <c r="AQ90" i="8"/>
  <c r="F90" i="11"/>
  <c r="M91" i="1"/>
  <c r="AW90" i="8"/>
  <c r="AA90" i="11"/>
  <c r="AC90" i="11"/>
  <c r="T90" i="8" s="1"/>
  <c r="Y90" i="11"/>
  <c r="AH90" i="1" s="1"/>
  <c r="Z90" i="11"/>
  <c r="AC90" i="2" s="1"/>
  <c r="AD90" i="11"/>
  <c r="AI90" i="1" s="1"/>
  <c r="AB90" i="11"/>
  <c r="P90" i="8" s="1"/>
  <c r="EM88" i="8"/>
  <c r="G88" i="1" s="1"/>
  <c r="M88" i="8" s="1"/>
  <c r="DZ89" i="8"/>
  <c r="EM89" i="8" s="1"/>
  <c r="G89" i="1" s="1"/>
  <c r="M89" i="8" s="1"/>
  <c r="AJ97" i="14"/>
  <c r="CM96" i="8"/>
  <c r="A96" i="2"/>
  <c r="A96" i="9"/>
  <c r="B96" i="14"/>
  <c r="K96" i="11"/>
  <c r="J97" i="10"/>
  <c r="M96" i="5"/>
  <c r="A96" i="7"/>
  <c r="AD96" i="8"/>
  <c r="A96" i="8"/>
  <c r="DH91" i="8"/>
  <c r="EH91" i="8" s="1"/>
  <c r="DT91" i="8"/>
  <c r="DR91" i="8"/>
  <c r="DS91" i="8"/>
  <c r="DX90" i="8"/>
  <c r="EB90" i="8" s="1"/>
  <c r="CV91" i="8"/>
  <c r="DN91" i="8"/>
  <c r="DO91" i="8"/>
  <c r="CS92" i="8"/>
  <c r="DP92" i="8" s="1"/>
  <c r="CT92" i="8"/>
  <c r="DQ92" i="8" s="1"/>
  <c r="CU92" i="8"/>
  <c r="Y94" i="1"/>
  <c r="Q97" i="2"/>
  <c r="I98" i="8"/>
  <c r="X91" i="10"/>
  <c r="Y91" i="10" s="1"/>
  <c r="AP90" i="5"/>
  <c r="DG91" i="8"/>
  <c r="EG91" i="8" s="1"/>
  <c r="CW91" i="8"/>
  <c r="DB91" i="8"/>
  <c r="EC91" i="8" s="1"/>
  <c r="ED91" i="8" s="1"/>
  <c r="CY91" i="8"/>
  <c r="EA91" i="8" s="1"/>
  <c r="CX91" i="8"/>
  <c r="CQ92" i="8"/>
  <c r="DA92" i="8" s="1"/>
  <c r="DY90" i="8"/>
  <c r="DC90" i="8"/>
  <c r="O90" i="8" s="1"/>
  <c r="AQ90" i="5"/>
  <c r="AU90" i="1" s="1"/>
  <c r="AN91" i="5"/>
  <c r="EP91" i="8"/>
  <c r="CO91" i="8"/>
  <c r="CR91" i="8"/>
  <c r="DC91" i="8" s="1"/>
  <c r="D92" i="9"/>
  <c r="AL91" i="5"/>
  <c r="AO91" i="5"/>
  <c r="N91" i="11"/>
  <c r="AM91" i="5"/>
  <c r="EI90" i="8"/>
  <c r="F94" i="7"/>
  <c r="H95" i="5"/>
  <c r="D94" i="10"/>
  <c r="A93" i="5"/>
  <c r="E93" i="5" s="1"/>
  <c r="EQ93" i="8" s="1"/>
  <c r="CZ93" i="8" s="1"/>
  <c r="AU92" i="5"/>
  <c r="A92" i="10"/>
  <c r="AA92" i="10" s="1"/>
  <c r="AE91" i="7"/>
  <c r="AF91" i="7" s="1"/>
  <c r="AV92" i="5"/>
  <c r="DL92" i="8"/>
  <c r="N91" i="7"/>
  <c r="V93" i="2"/>
  <c r="A92" i="11"/>
  <c r="AR94" i="5"/>
  <c r="AH92" i="5"/>
  <c r="AC92" i="10" s="1"/>
  <c r="BN92" i="8"/>
  <c r="BO92" i="8"/>
  <c r="DM92" i="8" s="1"/>
  <c r="C92" i="14"/>
  <c r="AB92" i="8"/>
  <c r="W92" i="8"/>
  <c r="BS92" i="5"/>
  <c r="EO92" i="8"/>
  <c r="B92" i="9"/>
  <c r="E92" i="1"/>
  <c r="AB91" i="2"/>
  <c r="Q92" i="1"/>
  <c r="E92" i="14" s="1"/>
  <c r="AI92" i="5"/>
  <c r="B92" i="7"/>
  <c r="Q92" i="7" s="1"/>
  <c r="DE93" i="5"/>
  <c r="J93" i="7"/>
  <c r="L94" i="5"/>
  <c r="H93" i="10"/>
  <c r="DD93" i="5"/>
  <c r="G93" i="10"/>
  <c r="K94" i="5"/>
  <c r="I93" i="7"/>
  <c r="E94" i="10"/>
  <c r="I95" i="5"/>
  <c r="G94" i="7"/>
  <c r="DB94" i="5"/>
  <c r="N95" i="2"/>
  <c r="DC95" i="5"/>
  <c r="H95" i="7"/>
  <c r="J96" i="5"/>
  <c r="F95" i="10"/>
  <c r="DG95" i="5"/>
  <c r="Y17" i="2"/>
  <c r="X17" i="2" s="1"/>
  <c r="M96" i="2"/>
  <c r="DF96" i="8"/>
  <c r="CZ94" i="5"/>
  <c r="G95" i="5"/>
  <c r="E94" i="7"/>
  <c r="C94" i="10"/>
  <c r="B94" i="5"/>
  <c r="H98" i="8"/>
  <c r="P97" i="2"/>
  <c r="B97" i="10"/>
  <c r="F98" i="5"/>
  <c r="D97" i="7"/>
  <c r="R95" i="2"/>
  <c r="J96" i="8"/>
  <c r="O96" i="2"/>
  <c r="DE96" i="8"/>
  <c r="P91" i="1"/>
  <c r="D90" i="14"/>
  <c r="CY95" i="5"/>
  <c r="DA94" i="5"/>
  <c r="AA95" i="7"/>
  <c r="AE95" i="8" s="1"/>
  <c r="BC95" i="8" s="1"/>
  <c r="K95" i="10"/>
  <c r="X95" i="1"/>
  <c r="K97" i="8"/>
  <c r="S96" i="2"/>
  <c r="J94" i="2"/>
  <c r="DF93" i="5"/>
  <c r="BO88" i="1" l="1"/>
  <c r="E88" i="11"/>
  <c r="AU89" i="8"/>
  <c r="AT89" i="1" s="1"/>
  <c r="BQ90" i="8"/>
  <c r="BT90" i="8"/>
  <c r="BZ90" i="8"/>
  <c r="CG90" i="8"/>
  <c r="BP90" i="8"/>
  <c r="BY90" i="8"/>
  <c r="BU90" i="8"/>
  <c r="CF90" i="8"/>
  <c r="CA92" i="8"/>
  <c r="CH92" i="8"/>
  <c r="AE91" i="11"/>
  <c r="AC91" i="8" s="1"/>
  <c r="AF91" i="11"/>
  <c r="AV89" i="8"/>
  <c r="AW89" i="1" s="1"/>
  <c r="L89" i="1" s="1"/>
  <c r="BO89" i="1" s="1"/>
  <c r="I64" i="4"/>
  <c r="J61" i="4"/>
  <c r="AO95" i="11"/>
  <c r="L95" i="11"/>
  <c r="AG94" i="5"/>
  <c r="E94" i="9"/>
  <c r="B94" i="1"/>
  <c r="BI94" i="1" s="1"/>
  <c r="B94" i="2"/>
  <c r="AQ88" i="1"/>
  <c r="U88" i="1" s="1"/>
  <c r="J89" i="1" s="1"/>
  <c r="BM88" i="1"/>
  <c r="AK88" i="5"/>
  <c r="D88" i="11"/>
  <c r="AP88" i="8"/>
  <c r="BN88" i="1"/>
  <c r="C88" i="9"/>
  <c r="AR88" i="1"/>
  <c r="V88" i="1" s="1"/>
  <c r="K89" i="1" s="1"/>
  <c r="AR88" i="8"/>
  <c r="B95" i="5"/>
  <c r="AC95" i="1"/>
  <c r="BC96" i="5"/>
  <c r="BP97" i="5"/>
  <c r="AB96" i="1"/>
  <c r="AZ99" i="5"/>
  <c r="BK98" i="5"/>
  <c r="AD96" i="1"/>
  <c r="BN99" i="5"/>
  <c r="AF97" i="1"/>
  <c r="BE96" i="5"/>
  <c r="AE94" i="1"/>
  <c r="O91" i="8"/>
  <c r="O96" i="1"/>
  <c r="DK96" i="8" s="1"/>
  <c r="DI95" i="8"/>
  <c r="DJ95" i="8"/>
  <c r="AD92" i="9"/>
  <c r="AV92" i="1" s="1"/>
  <c r="N95" i="1"/>
  <c r="AT91" i="8"/>
  <c r="AQ91" i="8"/>
  <c r="F91" i="11"/>
  <c r="M92" i="1"/>
  <c r="AW91" i="8"/>
  <c r="Y91" i="11"/>
  <c r="AH91" i="1" s="1"/>
  <c r="AA91" i="11"/>
  <c r="AC91" i="11"/>
  <c r="T91" i="8" s="1"/>
  <c r="AB91" i="11"/>
  <c r="P91" i="8" s="1"/>
  <c r="AD91" i="11"/>
  <c r="AI91" i="1" s="1"/>
  <c r="Z91" i="11"/>
  <c r="AC91" i="2" s="1"/>
  <c r="AJ98" i="14"/>
  <c r="CM97" i="8"/>
  <c r="A97" i="2"/>
  <c r="A97" i="9"/>
  <c r="K97" i="11"/>
  <c r="A97" i="7"/>
  <c r="B97" i="14"/>
  <c r="M97" i="5"/>
  <c r="J98" i="10"/>
  <c r="AD97" i="8"/>
  <c r="A97" i="8"/>
  <c r="DH92" i="8"/>
  <c r="EH92" i="8" s="1"/>
  <c r="DT92" i="8"/>
  <c r="DR92" i="8"/>
  <c r="DS92" i="8"/>
  <c r="EI91" i="8"/>
  <c r="DX91" i="8"/>
  <c r="EB91" i="8" s="1"/>
  <c r="DZ90" i="8"/>
  <c r="DB92" i="8"/>
  <c r="EC92" i="8" s="1"/>
  <c r="ED92" i="8" s="1"/>
  <c r="DN92" i="8"/>
  <c r="DO92" i="8"/>
  <c r="AB92" i="2"/>
  <c r="CS93" i="8"/>
  <c r="DP93" i="8" s="1"/>
  <c r="CT93" i="8"/>
  <c r="DQ93" i="8" s="1"/>
  <c r="CU93" i="8"/>
  <c r="Y95" i="1"/>
  <c r="J95" i="2"/>
  <c r="AG91" i="7"/>
  <c r="AI91" i="7" s="1"/>
  <c r="I99" i="8"/>
  <c r="Q98" i="2"/>
  <c r="CX92" i="8"/>
  <c r="AI93" i="5"/>
  <c r="CY92" i="8"/>
  <c r="EA92" i="8" s="1"/>
  <c r="DG92" i="8"/>
  <c r="EG92" i="8" s="1"/>
  <c r="CV92" i="8"/>
  <c r="B93" i="7"/>
  <c r="AE93" i="7" s="1"/>
  <c r="AF93" i="7" s="1"/>
  <c r="DY91" i="8"/>
  <c r="CQ93" i="8"/>
  <c r="DA93" i="8" s="1"/>
  <c r="CW92" i="8"/>
  <c r="AP91" i="5"/>
  <c r="EE90" i="8"/>
  <c r="EF90" i="8" s="1"/>
  <c r="AH93" i="5"/>
  <c r="AV93" i="5"/>
  <c r="AU93" i="5"/>
  <c r="X92" i="10"/>
  <c r="Y92" i="10" s="1"/>
  <c r="AQ91" i="5"/>
  <c r="AU91" i="1" s="1"/>
  <c r="DD91" i="8"/>
  <c r="EE91" i="8" s="1"/>
  <c r="EF91" i="8" s="1"/>
  <c r="AO92" i="5"/>
  <c r="AL92" i="5"/>
  <c r="EP92" i="8"/>
  <c r="D93" i="9"/>
  <c r="AM92" i="5"/>
  <c r="BN93" i="8"/>
  <c r="CR93" i="8" s="1"/>
  <c r="Q93" i="1"/>
  <c r="E93" i="14" s="1"/>
  <c r="A93" i="11"/>
  <c r="AB93" i="8"/>
  <c r="E93" i="1"/>
  <c r="W93" i="8"/>
  <c r="N92" i="11"/>
  <c r="EO93" i="8"/>
  <c r="C93" i="14"/>
  <c r="A93" i="10"/>
  <c r="AA93" i="10" s="1"/>
  <c r="DL93" i="8"/>
  <c r="CO92" i="8"/>
  <c r="AH91" i="7"/>
  <c r="BO93" i="8"/>
  <c r="DM93" i="8" s="1"/>
  <c r="BS93" i="5"/>
  <c r="B93" i="9"/>
  <c r="AN92" i="5"/>
  <c r="Q90" i="8"/>
  <c r="F95" i="7"/>
  <c r="D95" i="10"/>
  <c r="H96" i="5"/>
  <c r="AR95" i="5"/>
  <c r="N92" i="7"/>
  <c r="CN92" i="8"/>
  <c r="A94" i="5"/>
  <c r="E94" i="5" s="1"/>
  <c r="EQ94" i="8" s="1"/>
  <c r="CZ94" i="8" s="1"/>
  <c r="CR92" i="8"/>
  <c r="DC92" i="8" s="1"/>
  <c r="V94" i="2"/>
  <c r="AE92" i="7"/>
  <c r="AF92" i="7" s="1"/>
  <c r="L95" i="5"/>
  <c r="H94" i="10"/>
  <c r="J94" i="7"/>
  <c r="DE94" i="5"/>
  <c r="K95" i="5"/>
  <c r="G94" i="10"/>
  <c r="DD94" i="5"/>
  <c r="I94" i="7"/>
  <c r="DB95" i="5"/>
  <c r="E95" i="10"/>
  <c r="I96" i="5"/>
  <c r="G95" i="7"/>
  <c r="DG96" i="5"/>
  <c r="K96" i="10"/>
  <c r="AA96" i="7"/>
  <c r="AE96" i="8" s="1"/>
  <c r="BC96" i="8" s="1"/>
  <c r="W94" i="1"/>
  <c r="DA95" i="5"/>
  <c r="CY96" i="5"/>
  <c r="D98" i="7"/>
  <c r="B98" i="10"/>
  <c r="F99" i="5"/>
  <c r="P98" i="2"/>
  <c r="H99" i="8"/>
  <c r="N96" i="2"/>
  <c r="K98" i="8"/>
  <c r="S97" i="2"/>
  <c r="O97" i="2"/>
  <c r="DE97" i="8"/>
  <c r="H18" i="11"/>
  <c r="L18" i="2"/>
  <c r="E18" i="2"/>
  <c r="B18" i="8"/>
  <c r="D18" i="2" s="1"/>
  <c r="BD18" i="8"/>
  <c r="AB18" i="7"/>
  <c r="DF97" i="8"/>
  <c r="M97" i="2"/>
  <c r="X96" i="1"/>
  <c r="D91" i="14"/>
  <c r="P92" i="1"/>
  <c r="CZ95" i="5"/>
  <c r="G96" i="5"/>
  <c r="C95" i="10"/>
  <c r="E95" i="7"/>
  <c r="H96" i="7"/>
  <c r="DC96" i="5"/>
  <c r="F96" i="10"/>
  <c r="J97" i="5"/>
  <c r="J97" i="8"/>
  <c r="R96" i="2"/>
  <c r="DF94" i="5"/>
  <c r="AE92" i="11" l="1"/>
  <c r="AC92" i="8" s="1"/>
  <c r="AF92" i="11"/>
  <c r="AO89" i="8"/>
  <c r="J60" i="4"/>
  <c r="J59" i="4"/>
  <c r="J63" i="4"/>
  <c r="J62" i="4"/>
  <c r="CA93" i="8"/>
  <c r="CH93" i="8"/>
  <c r="E89" i="11"/>
  <c r="AU90" i="8"/>
  <c r="AT90" i="1" s="1"/>
  <c r="AV90" i="8"/>
  <c r="AW90" i="1" s="1"/>
  <c r="L90" i="1" s="1"/>
  <c r="E90" i="11" s="1"/>
  <c r="CF91" i="8"/>
  <c r="BT91" i="8"/>
  <c r="CG91" i="8"/>
  <c r="BU91" i="8"/>
  <c r="BY91" i="8"/>
  <c r="BP91" i="8"/>
  <c r="BQ91" i="8"/>
  <c r="BZ91" i="8"/>
  <c r="AO96" i="11"/>
  <c r="L96" i="11"/>
  <c r="E95" i="9"/>
  <c r="AG95" i="5"/>
  <c r="B95" i="1"/>
  <c r="BI95" i="1" s="1"/>
  <c r="B95" i="2"/>
  <c r="BO90" i="1"/>
  <c r="D89" i="11"/>
  <c r="AK89" i="5"/>
  <c r="AQ89" i="1"/>
  <c r="U89" i="1" s="1"/>
  <c r="J90" i="1" s="1"/>
  <c r="BM89" i="1"/>
  <c r="AP89" i="8"/>
  <c r="C89" i="9"/>
  <c r="BN89" i="1"/>
  <c r="AR89" i="8"/>
  <c r="AR89" i="1"/>
  <c r="V89" i="1" s="1"/>
  <c r="K90" i="1" s="1"/>
  <c r="BC97" i="5"/>
  <c r="AC96" i="1"/>
  <c r="J96" i="2"/>
  <c r="BN100" i="5"/>
  <c r="AF98" i="1"/>
  <c r="BE97" i="5"/>
  <c r="AE95" i="1"/>
  <c r="W95" i="1" s="1"/>
  <c r="BP98" i="5"/>
  <c r="AB97" i="1"/>
  <c r="AZ100" i="5"/>
  <c r="BK99" i="5"/>
  <c r="AD97" i="1"/>
  <c r="O92" i="8"/>
  <c r="O97" i="1"/>
  <c r="DK97" i="8" s="1"/>
  <c r="DJ96" i="8"/>
  <c r="DI96" i="8"/>
  <c r="AD93" i="9"/>
  <c r="AV93" i="1" s="1"/>
  <c r="N96" i="1"/>
  <c r="Q93" i="7"/>
  <c r="AT92" i="8"/>
  <c r="AW92" i="8"/>
  <c r="AQ92" i="8"/>
  <c r="M93" i="1"/>
  <c r="F92" i="11"/>
  <c r="Y92" i="11"/>
  <c r="AH92" i="1" s="1"/>
  <c r="AA92" i="11"/>
  <c r="AC92" i="11"/>
  <c r="T92" i="8" s="1"/>
  <c r="Z92" i="11"/>
  <c r="AC92" i="2" s="1"/>
  <c r="AD92" i="11"/>
  <c r="AI92" i="1" s="1"/>
  <c r="AB92" i="11"/>
  <c r="P92" i="8" s="1"/>
  <c r="EM90" i="8"/>
  <c r="G90" i="1" s="1"/>
  <c r="M90" i="8" s="1"/>
  <c r="AN93" i="5"/>
  <c r="A98" i="2"/>
  <c r="A98" i="7"/>
  <c r="A98" i="9"/>
  <c r="J99" i="10"/>
  <c r="A98" i="8"/>
  <c r="B98" i="14"/>
  <c r="AD98" i="8"/>
  <c r="M98" i="5"/>
  <c r="K98" i="11"/>
  <c r="CM98" i="8"/>
  <c r="AJ99" i="14"/>
  <c r="DH93" i="8"/>
  <c r="EH93" i="8" s="1"/>
  <c r="DT93" i="8"/>
  <c r="EI92" i="8"/>
  <c r="DR93" i="8"/>
  <c r="DS93" i="8"/>
  <c r="DZ91" i="8"/>
  <c r="EM91" i="8" s="1"/>
  <c r="G91" i="1" s="1"/>
  <c r="M91" i="8" s="1"/>
  <c r="DX92" i="8"/>
  <c r="EB92" i="8" s="1"/>
  <c r="DG93" i="8"/>
  <c r="EG93" i="8" s="1"/>
  <c r="DN93" i="8"/>
  <c r="DO93" i="8"/>
  <c r="CS94" i="8"/>
  <c r="DP94" i="8" s="1"/>
  <c r="CT94" i="8"/>
  <c r="DQ94" i="8" s="1"/>
  <c r="CU94" i="8"/>
  <c r="Y96" i="1"/>
  <c r="AG92" i="7"/>
  <c r="AI92" i="7" s="1"/>
  <c r="AH92" i="7"/>
  <c r="Q99" i="2"/>
  <c r="I100" i="8"/>
  <c r="DY92" i="8"/>
  <c r="DB93" i="8"/>
  <c r="EC93" i="8" s="1"/>
  <c r="ED93" i="8" s="1"/>
  <c r="CW93" i="8"/>
  <c r="CY93" i="8"/>
  <c r="EA93" i="8" s="1"/>
  <c r="CX93" i="8"/>
  <c r="CV93" i="8"/>
  <c r="DL94" i="8"/>
  <c r="AP92" i="5"/>
  <c r="EP93" i="8"/>
  <c r="AL93" i="5"/>
  <c r="AQ92" i="5"/>
  <c r="AU92" i="1" s="1"/>
  <c r="AM93" i="5"/>
  <c r="AC93" i="10"/>
  <c r="X93" i="10" s="1"/>
  <c r="Y93" i="10" s="1"/>
  <c r="AO93" i="5"/>
  <c r="CN93" i="8"/>
  <c r="D94" i="9"/>
  <c r="CO93" i="8"/>
  <c r="A94" i="10"/>
  <c r="AA94" i="10" s="1"/>
  <c r="AH94" i="5"/>
  <c r="AC94" i="10" s="1"/>
  <c r="N93" i="11"/>
  <c r="Q91" i="8"/>
  <c r="N93" i="7"/>
  <c r="BN94" i="8"/>
  <c r="A94" i="11"/>
  <c r="BO94" i="8"/>
  <c r="DM94" i="8" s="1"/>
  <c r="C94" i="14"/>
  <c r="AB94" i="8"/>
  <c r="BS94" i="5"/>
  <c r="AV94" i="5"/>
  <c r="EO94" i="8"/>
  <c r="B94" i="9"/>
  <c r="AU94" i="5"/>
  <c r="W94" i="8"/>
  <c r="Q94" i="1"/>
  <c r="E94" i="14" s="1"/>
  <c r="AB93" i="2"/>
  <c r="B94" i="7"/>
  <c r="AE94" i="7" s="1"/>
  <c r="AF94" i="7" s="1"/>
  <c r="AI94" i="5"/>
  <c r="E94" i="1"/>
  <c r="F96" i="7"/>
  <c r="D96" i="10"/>
  <c r="H97" i="5"/>
  <c r="DD92" i="8"/>
  <c r="EE92" i="8" s="1"/>
  <c r="EF92" i="8" s="1"/>
  <c r="CQ94" i="8"/>
  <c r="DA94" i="8" s="1"/>
  <c r="V95" i="2"/>
  <c r="DE95" i="5"/>
  <c r="J95" i="7"/>
  <c r="L96" i="5"/>
  <c r="H95" i="10"/>
  <c r="AR96" i="5"/>
  <c r="G95" i="10"/>
  <c r="DD95" i="5"/>
  <c r="I95" i="7"/>
  <c r="K96" i="5"/>
  <c r="A95" i="5"/>
  <c r="E95" i="5" s="1"/>
  <c r="EQ95" i="8" s="1"/>
  <c r="CZ95" i="8" s="1"/>
  <c r="I97" i="5"/>
  <c r="DB96" i="5"/>
  <c r="G96" i="7"/>
  <c r="E96" i="10"/>
  <c r="M98" i="2"/>
  <c r="DF98" i="8"/>
  <c r="N97" i="2"/>
  <c r="DC93" i="8"/>
  <c r="DD93" i="8"/>
  <c r="AA97" i="7"/>
  <c r="AE97" i="8" s="1"/>
  <c r="BC97" i="8" s="1"/>
  <c r="K97" i="10"/>
  <c r="O98" i="2"/>
  <c r="DE98" i="8"/>
  <c r="S98" i="2"/>
  <c r="K99" i="8"/>
  <c r="X97" i="1"/>
  <c r="B99" i="10"/>
  <c r="D99" i="7"/>
  <c r="F100" i="5"/>
  <c r="P93" i="1"/>
  <c r="D92" i="14"/>
  <c r="J98" i="8"/>
  <c r="R97" i="2"/>
  <c r="DA96" i="5"/>
  <c r="AG93" i="7"/>
  <c r="AI93" i="7" s="1"/>
  <c r="AH93" i="7"/>
  <c r="DG97" i="5"/>
  <c r="CZ96" i="5"/>
  <c r="E96" i="7"/>
  <c r="C96" i="10"/>
  <c r="G97" i="5"/>
  <c r="DC97" i="5"/>
  <c r="F97" i="10"/>
  <c r="H97" i="7"/>
  <c r="J98" i="5"/>
  <c r="P99" i="2"/>
  <c r="H100" i="8"/>
  <c r="CY97" i="5"/>
  <c r="U18" i="2"/>
  <c r="W17" i="2" s="1"/>
  <c r="C18" i="2" s="1"/>
  <c r="B96" i="5"/>
  <c r="DF95" i="5"/>
  <c r="AV91" i="8" l="1"/>
  <c r="AW91" i="1" s="1"/>
  <c r="L91" i="1" s="1"/>
  <c r="AO91" i="8" s="1"/>
  <c r="AO90" i="8"/>
  <c r="CA94" i="8"/>
  <c r="CH94" i="8"/>
  <c r="AE93" i="11"/>
  <c r="AC93" i="8" s="1"/>
  <c r="AF93" i="11"/>
  <c r="AU91" i="8"/>
  <c r="AT91" i="1" s="1"/>
  <c r="CF92" i="8"/>
  <c r="BT92" i="8"/>
  <c r="BZ92" i="8"/>
  <c r="BU92" i="8"/>
  <c r="CG92" i="8"/>
  <c r="BY92" i="8"/>
  <c r="BQ92" i="8"/>
  <c r="BP92" i="8"/>
  <c r="AO97" i="11"/>
  <c r="L97" i="11"/>
  <c r="E96" i="9"/>
  <c r="AG96" i="5"/>
  <c r="B96" i="1"/>
  <c r="BI96" i="1" s="1"/>
  <c r="B96" i="2"/>
  <c r="BO91" i="1"/>
  <c r="BM90" i="1"/>
  <c r="AK90" i="5"/>
  <c r="AQ90" i="1"/>
  <c r="U90" i="1" s="1"/>
  <c r="J91" i="1" s="1"/>
  <c r="D90" i="11"/>
  <c r="AP90" i="8"/>
  <c r="C90" i="9"/>
  <c r="BN90" i="1"/>
  <c r="AR90" i="1"/>
  <c r="V90" i="1" s="1"/>
  <c r="K91" i="1" s="1"/>
  <c r="AR90" i="8"/>
  <c r="AC97" i="1"/>
  <c r="BC98" i="5"/>
  <c r="J97" i="2"/>
  <c r="AZ101" i="5"/>
  <c r="BN101" i="5"/>
  <c r="AF99" i="1"/>
  <c r="BK100" i="5"/>
  <c r="AD98" i="1"/>
  <c r="BE98" i="5"/>
  <c r="AE96" i="1"/>
  <c r="W96" i="1" s="1"/>
  <c r="BP99" i="5"/>
  <c r="AB98" i="1"/>
  <c r="R18" i="8"/>
  <c r="S18" i="8" s="1"/>
  <c r="O93" i="8"/>
  <c r="O98" i="1"/>
  <c r="DK98" i="8" s="1"/>
  <c r="DI97" i="8"/>
  <c r="DJ97" i="8"/>
  <c r="AD94" i="9"/>
  <c r="AV94" i="1" s="1"/>
  <c r="N97" i="1"/>
  <c r="AT93" i="8"/>
  <c r="AQ93" i="8"/>
  <c r="M94" i="1"/>
  <c r="F93" i="11"/>
  <c r="AW93" i="8"/>
  <c r="Y93" i="11"/>
  <c r="AH93" i="1" s="1"/>
  <c r="AC93" i="11"/>
  <c r="T93" i="8" s="1"/>
  <c r="AA93" i="11"/>
  <c r="AD93" i="11"/>
  <c r="AI93" i="1" s="1"/>
  <c r="AB93" i="11"/>
  <c r="P93" i="8" s="1"/>
  <c r="Z93" i="11"/>
  <c r="AC93" i="2" s="1"/>
  <c r="AP93" i="5"/>
  <c r="B97" i="5"/>
  <c r="CM99" i="8"/>
  <c r="AJ100" i="14"/>
  <c r="A99" i="2"/>
  <c r="M99" i="5"/>
  <c r="AD99" i="8"/>
  <c r="K99" i="11"/>
  <c r="A99" i="7"/>
  <c r="B99" i="14"/>
  <c r="J100" i="10"/>
  <c r="A99" i="8"/>
  <c r="A99" i="9"/>
  <c r="EI93" i="8"/>
  <c r="DR94" i="8"/>
  <c r="DS94" i="8"/>
  <c r="EP94" i="8"/>
  <c r="DT94" i="8"/>
  <c r="DZ92" i="8"/>
  <c r="EM92" i="8" s="1"/>
  <c r="G92" i="1" s="1"/>
  <c r="M92" i="8" s="1"/>
  <c r="DX93" i="8"/>
  <c r="EB93" i="8" s="1"/>
  <c r="CV94" i="8"/>
  <c r="DN94" i="8"/>
  <c r="DO94" i="8"/>
  <c r="CS95" i="8"/>
  <c r="DP95" i="8" s="1"/>
  <c r="CT95" i="8"/>
  <c r="DQ95" i="8" s="1"/>
  <c r="CU95" i="8"/>
  <c r="Y97" i="1"/>
  <c r="I101" i="8"/>
  <c r="Q100" i="2"/>
  <c r="DY93" i="8"/>
  <c r="CQ95" i="8"/>
  <c r="DA95" i="8" s="1"/>
  <c r="AQ93" i="5"/>
  <c r="AU93" i="1" s="1"/>
  <c r="Q92" i="8"/>
  <c r="AN94" i="5"/>
  <c r="N94" i="11"/>
  <c r="D95" i="9"/>
  <c r="AL94" i="5"/>
  <c r="X94" i="10"/>
  <c r="Y94" i="10" s="1"/>
  <c r="A95" i="11"/>
  <c r="W95" i="8"/>
  <c r="AO94" i="5"/>
  <c r="AI95" i="5"/>
  <c r="AH95" i="5"/>
  <c r="AC95" i="10" s="1"/>
  <c r="AM94" i="5"/>
  <c r="DG94" i="8"/>
  <c r="EG94" i="8" s="1"/>
  <c r="N94" i="7"/>
  <c r="Q94" i="7"/>
  <c r="DH94" i="8"/>
  <c r="EH94" i="8" s="1"/>
  <c r="CN94" i="8"/>
  <c r="CO94" i="8"/>
  <c r="CR94" i="8"/>
  <c r="DC94" i="8" s="1"/>
  <c r="F97" i="7"/>
  <c r="H98" i="5"/>
  <c r="D97" i="10"/>
  <c r="CX94" i="8"/>
  <c r="DB94" i="8"/>
  <c r="EC94" i="8" s="1"/>
  <c r="ED94" i="8" s="1"/>
  <c r="CY94" i="8"/>
  <c r="EA94" i="8" s="1"/>
  <c r="CW94" i="8"/>
  <c r="B95" i="9"/>
  <c r="BN95" i="8"/>
  <c r="E95" i="1"/>
  <c r="BO95" i="8"/>
  <c r="DM95" i="8" s="1"/>
  <c r="Q95" i="1"/>
  <c r="E95" i="14" s="1"/>
  <c r="EO95" i="8"/>
  <c r="BS95" i="5"/>
  <c r="AV95" i="5"/>
  <c r="C95" i="14"/>
  <c r="AB95" i="8"/>
  <c r="AU95" i="5"/>
  <c r="B95" i="7"/>
  <c r="AE95" i="7" s="1"/>
  <c r="AF95" i="7" s="1"/>
  <c r="AB94" i="2"/>
  <c r="A95" i="10"/>
  <c r="AA95" i="10" s="1"/>
  <c r="DD96" i="5"/>
  <c r="I96" i="7"/>
  <c r="K97" i="5"/>
  <c r="G96" i="10"/>
  <c r="H96" i="10"/>
  <c r="J96" i="7"/>
  <c r="DE96" i="5"/>
  <c r="L97" i="5"/>
  <c r="V96" i="2"/>
  <c r="DL95" i="8"/>
  <c r="AR97" i="5"/>
  <c r="A96" i="5"/>
  <c r="E96" i="5" s="1"/>
  <c r="EQ96" i="8" s="1"/>
  <c r="CZ96" i="8" s="1"/>
  <c r="G97" i="7"/>
  <c r="E97" i="10"/>
  <c r="I98" i="5"/>
  <c r="DB97" i="5"/>
  <c r="DG98" i="5"/>
  <c r="R98" i="2"/>
  <c r="J99" i="8"/>
  <c r="F101" i="5"/>
  <c r="B100" i="10"/>
  <c r="D100" i="7"/>
  <c r="C97" i="10"/>
  <c r="G98" i="5"/>
  <c r="E97" i="7"/>
  <c r="CZ97" i="5"/>
  <c r="AG94" i="7"/>
  <c r="AI94" i="7" s="1"/>
  <c r="AH94" i="7"/>
  <c r="CY98" i="5"/>
  <c r="DA97" i="5"/>
  <c r="P94" i="1"/>
  <c r="D93" i="14"/>
  <c r="M99" i="2"/>
  <c r="DF99" i="8"/>
  <c r="F18" i="1"/>
  <c r="F18" i="2"/>
  <c r="I18" i="2"/>
  <c r="H18" i="2"/>
  <c r="X98" i="1"/>
  <c r="AA98" i="7"/>
  <c r="AE98" i="8" s="1"/>
  <c r="BC98" i="8" s="1"/>
  <c r="K98" i="10"/>
  <c r="N98" i="2"/>
  <c r="EE93" i="8"/>
  <c r="EF93" i="8" s="1"/>
  <c r="O99" i="2"/>
  <c r="DE99" i="8"/>
  <c r="S99" i="2"/>
  <c r="K100" i="8"/>
  <c r="P100" i="2"/>
  <c r="H101" i="8"/>
  <c r="DC98" i="5"/>
  <c r="F98" i="10"/>
  <c r="H98" i="7"/>
  <c r="J99" i="5"/>
  <c r="DF96" i="5"/>
  <c r="AV92" i="8" l="1"/>
  <c r="AW92" i="1" s="1"/>
  <c r="L92" i="1" s="1"/>
  <c r="AO92" i="8" s="1"/>
  <c r="E91" i="11"/>
  <c r="AU92" i="8"/>
  <c r="AT92" i="1" s="1"/>
  <c r="AE94" i="11"/>
  <c r="AC94" i="8" s="1"/>
  <c r="AF94" i="11"/>
  <c r="BY93" i="8"/>
  <c r="CF93" i="8"/>
  <c r="CG93" i="8"/>
  <c r="BZ93" i="8"/>
  <c r="BP93" i="8"/>
  <c r="BT93" i="8"/>
  <c r="BU93" i="8"/>
  <c r="BQ93" i="8"/>
  <c r="CA95" i="8"/>
  <c r="CH95" i="8"/>
  <c r="AO98" i="11"/>
  <c r="L98" i="11"/>
  <c r="E97" i="9"/>
  <c r="AG97" i="5"/>
  <c r="B97" i="2"/>
  <c r="B97" i="1"/>
  <c r="BI97" i="1" s="1"/>
  <c r="D91" i="11"/>
  <c r="AK91" i="5"/>
  <c r="AQ91" i="1"/>
  <c r="U91" i="1" s="1"/>
  <c r="J92" i="1" s="1"/>
  <c r="BM91" i="1"/>
  <c r="AP91" i="8"/>
  <c r="E92" i="11"/>
  <c r="AR91" i="8"/>
  <c r="C91" i="9"/>
  <c r="AR91" i="1"/>
  <c r="V91" i="1" s="1"/>
  <c r="K92" i="1" s="1"/>
  <c r="BN91" i="1"/>
  <c r="AC98" i="1"/>
  <c r="BC99" i="5"/>
  <c r="BE99" i="5"/>
  <c r="AE97" i="1"/>
  <c r="W97" i="1" s="1"/>
  <c r="AZ102" i="5"/>
  <c r="BP100" i="5"/>
  <c r="AB99" i="1"/>
  <c r="BN102" i="5"/>
  <c r="AF100" i="1"/>
  <c r="BK101" i="5"/>
  <c r="AD99" i="1"/>
  <c r="O94" i="8"/>
  <c r="O99" i="1"/>
  <c r="DK99" i="8" s="1"/>
  <c r="DI98" i="8"/>
  <c r="DJ98" i="8"/>
  <c r="AD95" i="9"/>
  <c r="AV95" i="1" s="1"/>
  <c r="N98" i="1"/>
  <c r="AT94" i="8"/>
  <c r="AW94" i="8"/>
  <c r="AQ94" i="8"/>
  <c r="M95" i="1"/>
  <c r="F94" i="11"/>
  <c r="AC94" i="11"/>
  <c r="T94" i="8" s="1"/>
  <c r="AA94" i="11"/>
  <c r="Y94" i="11"/>
  <c r="AH94" i="1" s="1"/>
  <c r="Z94" i="11"/>
  <c r="AC94" i="2" s="1"/>
  <c r="AB94" i="11"/>
  <c r="P94" i="8" s="1"/>
  <c r="AD94" i="11"/>
  <c r="AI94" i="1" s="1"/>
  <c r="N95" i="11"/>
  <c r="A100" i="2"/>
  <c r="A100" i="9"/>
  <c r="A100" i="8"/>
  <c r="A100" i="7"/>
  <c r="M100" i="5"/>
  <c r="J101" i="10"/>
  <c r="B100" i="14"/>
  <c r="AD100" i="8"/>
  <c r="K100" i="11"/>
  <c r="AJ101" i="14"/>
  <c r="CM100" i="8"/>
  <c r="EP95" i="8"/>
  <c r="DT95" i="8"/>
  <c r="DR95" i="8"/>
  <c r="DS95" i="8"/>
  <c r="DX94" i="8"/>
  <c r="EB94" i="8" s="1"/>
  <c r="DZ93" i="8"/>
  <c r="EM93" i="8" s="1"/>
  <c r="G93" i="1" s="1"/>
  <c r="M93" i="8" s="1"/>
  <c r="CW95" i="8"/>
  <c r="DN95" i="8"/>
  <c r="DO95" i="8"/>
  <c r="CU96" i="8"/>
  <c r="CT96" i="8"/>
  <c r="DQ96" i="8" s="1"/>
  <c r="CS96" i="8"/>
  <c r="DP96" i="8" s="1"/>
  <c r="Y98" i="1"/>
  <c r="Q101" i="2"/>
  <c r="I102" i="8"/>
  <c r="AN95" i="5"/>
  <c r="CX95" i="8"/>
  <c r="DB95" i="8"/>
  <c r="EC95" i="8" s="1"/>
  <c r="ED95" i="8" s="1"/>
  <c r="CY95" i="8"/>
  <c r="EA95" i="8" s="1"/>
  <c r="DG95" i="8"/>
  <c r="EG95" i="8" s="1"/>
  <c r="CV95" i="8"/>
  <c r="D96" i="9"/>
  <c r="AO95" i="5"/>
  <c r="AM95" i="5"/>
  <c r="Q95" i="7"/>
  <c r="AP94" i="5"/>
  <c r="DD94" i="8"/>
  <c r="EE94" i="8" s="1"/>
  <c r="EF94" i="8" s="1"/>
  <c r="AQ94" i="5"/>
  <c r="AU94" i="1" s="1"/>
  <c r="EI94" i="8"/>
  <c r="Q93" i="8"/>
  <c r="X95" i="10"/>
  <c r="Y95" i="10" s="1"/>
  <c r="CR95" i="8"/>
  <c r="DC95" i="8" s="1"/>
  <c r="N95" i="7"/>
  <c r="CO95" i="8"/>
  <c r="F98" i="7"/>
  <c r="H99" i="5"/>
  <c r="D98" i="10"/>
  <c r="DY94" i="8"/>
  <c r="AL95" i="5"/>
  <c r="A97" i="5"/>
  <c r="E97" i="5" s="1"/>
  <c r="EQ97" i="8" s="1"/>
  <c r="CZ97" i="8" s="1"/>
  <c r="CN95" i="8"/>
  <c r="AR98" i="5"/>
  <c r="V97" i="2"/>
  <c r="DH95" i="8"/>
  <c r="EH95" i="8" s="1"/>
  <c r="DD97" i="5"/>
  <c r="G97" i="10"/>
  <c r="I97" i="7"/>
  <c r="K98" i="5"/>
  <c r="H97" i="10"/>
  <c r="L98" i="5"/>
  <c r="DE97" i="5"/>
  <c r="J97" i="7"/>
  <c r="DB98" i="5"/>
  <c r="G98" i="7"/>
  <c r="E98" i="10"/>
  <c r="I99" i="5"/>
  <c r="H102" i="8"/>
  <c r="P101" i="2"/>
  <c r="AP18" i="1"/>
  <c r="T18" i="1" s="1"/>
  <c r="I19" i="1" s="1"/>
  <c r="J18" i="11"/>
  <c r="G18" i="2"/>
  <c r="Z18" i="2" s="1"/>
  <c r="Z19" i="8" s="1"/>
  <c r="R99" i="2"/>
  <c r="J100" i="8"/>
  <c r="V18" i="8"/>
  <c r="U18" i="8"/>
  <c r="AA18" i="1"/>
  <c r="S18" i="1" s="1"/>
  <c r="H19" i="1" s="1"/>
  <c r="I18" i="11"/>
  <c r="O18" i="7"/>
  <c r="H99" i="7"/>
  <c r="F99" i="10"/>
  <c r="DC99" i="5"/>
  <c r="J100" i="5"/>
  <c r="AH95" i="7"/>
  <c r="AG95" i="7"/>
  <c r="AI95" i="7" s="1"/>
  <c r="DF100" i="8"/>
  <c r="M100" i="2"/>
  <c r="CY99" i="5"/>
  <c r="D94" i="14"/>
  <c r="P95" i="1"/>
  <c r="N99" i="2"/>
  <c r="DA98" i="5"/>
  <c r="F102" i="5"/>
  <c r="D101" i="7"/>
  <c r="B101" i="10"/>
  <c r="K99" i="10"/>
  <c r="AA99" i="7"/>
  <c r="AE99" i="8" s="1"/>
  <c r="BC99" i="8" s="1"/>
  <c r="O100" i="2"/>
  <c r="DE100" i="8"/>
  <c r="CZ98" i="5"/>
  <c r="E98" i="7"/>
  <c r="C98" i="10"/>
  <c r="G99" i="5"/>
  <c r="DG99" i="5"/>
  <c r="J98" i="2"/>
  <c r="S100" i="2"/>
  <c r="K101" i="8"/>
  <c r="X99" i="1"/>
  <c r="W96" i="8"/>
  <c r="A96" i="11"/>
  <c r="C96" i="14"/>
  <c r="Q96" i="1"/>
  <c r="E96" i="14" s="1"/>
  <c r="B96" i="7"/>
  <c r="E96" i="1"/>
  <c r="AU96" i="5"/>
  <c r="AV96" i="5"/>
  <c r="A96" i="10"/>
  <c r="AA96" i="10" s="1"/>
  <c r="BS96" i="5"/>
  <c r="B96" i="9"/>
  <c r="AB95" i="2"/>
  <c r="AI96" i="5"/>
  <c r="AH96" i="5"/>
  <c r="BN96" i="8"/>
  <c r="BO96" i="8"/>
  <c r="DM96" i="8" s="1"/>
  <c r="EO96" i="8"/>
  <c r="DT96" i="8" s="1"/>
  <c r="AB96" i="8"/>
  <c r="DL96" i="8"/>
  <c r="CQ96" i="8"/>
  <c r="DA96" i="8" s="1"/>
  <c r="B98" i="5"/>
  <c r="DF97" i="5"/>
  <c r="BO92" i="1" l="1"/>
  <c r="AV93" i="8"/>
  <c r="AW93" i="1" s="1"/>
  <c r="L93" i="1" s="1"/>
  <c r="AO93" i="8" s="1"/>
  <c r="BY94" i="8"/>
  <c r="BZ94" i="8"/>
  <c r="BU94" i="8"/>
  <c r="CF94" i="8"/>
  <c r="CG94" i="8"/>
  <c r="BP94" i="8"/>
  <c r="BT94" i="8"/>
  <c r="BQ94" i="8"/>
  <c r="AV94" i="8" s="1"/>
  <c r="AW94" i="1" s="1"/>
  <c r="AU93" i="8"/>
  <c r="AT93" i="1" s="1"/>
  <c r="CA96" i="8"/>
  <c r="CH96" i="8"/>
  <c r="AF95" i="11"/>
  <c r="AE95" i="11"/>
  <c r="AC95" i="8" s="1"/>
  <c r="AO99" i="11"/>
  <c r="L99" i="11"/>
  <c r="E98" i="9"/>
  <c r="AG98" i="5"/>
  <c r="B98" i="2"/>
  <c r="B98" i="1"/>
  <c r="BI98" i="1" s="1"/>
  <c r="E19" i="2"/>
  <c r="L19" i="2"/>
  <c r="E93" i="11"/>
  <c r="BO93" i="1"/>
  <c r="AQ92" i="1"/>
  <c r="U92" i="1" s="1"/>
  <c r="J93" i="1" s="1"/>
  <c r="BM92" i="1"/>
  <c r="D92" i="11"/>
  <c r="AK92" i="5"/>
  <c r="L94" i="1"/>
  <c r="E94" i="11" s="1"/>
  <c r="AP92" i="8"/>
  <c r="AR92" i="8"/>
  <c r="AR92" i="1"/>
  <c r="V92" i="1" s="1"/>
  <c r="K93" i="1" s="1"/>
  <c r="BN92" i="1"/>
  <c r="C92" i="9"/>
  <c r="B99" i="5"/>
  <c r="AC99" i="1"/>
  <c r="BC100" i="5"/>
  <c r="BK102" i="5"/>
  <c r="AD100" i="1"/>
  <c r="BE100" i="5"/>
  <c r="AE98" i="1"/>
  <c r="AZ103" i="5"/>
  <c r="BP101" i="5"/>
  <c r="AB100" i="1"/>
  <c r="BN103" i="5"/>
  <c r="AF101" i="1"/>
  <c r="O95" i="8"/>
  <c r="O100" i="1"/>
  <c r="DK100" i="8" s="1"/>
  <c r="DI99" i="8"/>
  <c r="DJ99" i="8"/>
  <c r="AD96" i="9"/>
  <c r="AV96" i="1" s="1"/>
  <c r="N99" i="1"/>
  <c r="AT95" i="8"/>
  <c r="AQ95" i="8"/>
  <c r="M96" i="1"/>
  <c r="F95" i="11"/>
  <c r="AW95" i="8"/>
  <c r="AA95" i="11"/>
  <c r="AC95" i="11"/>
  <c r="T95" i="8" s="1"/>
  <c r="Y95" i="11"/>
  <c r="AH95" i="1" s="1"/>
  <c r="AD95" i="11"/>
  <c r="AI95" i="1" s="1"/>
  <c r="AB95" i="11"/>
  <c r="P95" i="8" s="1"/>
  <c r="Z95" i="11"/>
  <c r="AC95" i="2" s="1"/>
  <c r="DZ94" i="8"/>
  <c r="EM94" i="8" s="1"/>
  <c r="G94" i="1" s="1"/>
  <c r="M94" i="8" s="1"/>
  <c r="A101" i="2"/>
  <c r="M101" i="5"/>
  <c r="A101" i="9"/>
  <c r="K101" i="11"/>
  <c r="A101" i="7"/>
  <c r="J102" i="10"/>
  <c r="B101" i="14"/>
  <c r="AD101" i="8"/>
  <c r="A101" i="8"/>
  <c r="CM101" i="8"/>
  <c r="AJ102" i="14"/>
  <c r="DR96" i="8"/>
  <c r="DS96" i="8"/>
  <c r="DX95" i="8"/>
  <c r="EB95" i="8" s="1"/>
  <c r="DN96" i="8"/>
  <c r="DO96" i="8"/>
  <c r="DY95" i="8"/>
  <c r="CS97" i="8"/>
  <c r="DP97" i="8" s="1"/>
  <c r="CT97" i="8"/>
  <c r="DQ97" i="8" s="1"/>
  <c r="CU97" i="8"/>
  <c r="Y99" i="1"/>
  <c r="I103" i="8"/>
  <c r="Q102" i="2"/>
  <c r="AP95" i="5"/>
  <c r="EI95" i="8"/>
  <c r="CQ97" i="8"/>
  <c r="DA97" i="8" s="1"/>
  <c r="Q94" i="8"/>
  <c r="AQ95" i="5"/>
  <c r="AU95" i="1" s="1"/>
  <c r="DD95" i="8"/>
  <c r="EE95" i="8" s="1"/>
  <c r="EF95" i="8" s="1"/>
  <c r="EO97" i="8"/>
  <c r="Q97" i="1"/>
  <c r="E97" i="14" s="1"/>
  <c r="A97" i="11"/>
  <c r="AB96" i="2"/>
  <c r="E97" i="1"/>
  <c r="AU97" i="5"/>
  <c r="C97" i="14"/>
  <c r="B97" i="7"/>
  <c r="AE97" i="7" s="1"/>
  <c r="AF97" i="7" s="1"/>
  <c r="AI97" i="5"/>
  <c r="A97" i="10"/>
  <c r="AA97" i="10" s="1"/>
  <c r="AB97" i="8"/>
  <c r="BN97" i="8"/>
  <c r="CO97" i="8" s="1"/>
  <c r="B97" i="9"/>
  <c r="W97" i="8"/>
  <c r="AH97" i="5"/>
  <c r="BO97" i="8"/>
  <c r="DM97" i="8" s="1"/>
  <c r="BS97" i="5"/>
  <c r="F99" i="7"/>
  <c r="H100" i="5"/>
  <c r="D99" i="10"/>
  <c r="DL97" i="8"/>
  <c r="AR99" i="5"/>
  <c r="AV97" i="5"/>
  <c r="A98" i="5"/>
  <c r="E98" i="5" s="1"/>
  <c r="EQ98" i="8" s="1"/>
  <c r="CZ98" i="8" s="1"/>
  <c r="DD98" i="5"/>
  <c r="V98" i="2"/>
  <c r="K99" i="5"/>
  <c r="I98" i="7"/>
  <c r="G98" i="10"/>
  <c r="DE98" i="5"/>
  <c r="L99" i="5"/>
  <c r="H98" i="10"/>
  <c r="J98" i="7"/>
  <c r="DB99" i="5"/>
  <c r="G99" i="7"/>
  <c r="I100" i="5"/>
  <c r="E99" i="10"/>
  <c r="AN96" i="5"/>
  <c r="M101" i="2"/>
  <c r="DF101" i="8"/>
  <c r="DG100" i="5"/>
  <c r="C18" i="8"/>
  <c r="O101" i="2"/>
  <c r="DE101" i="8"/>
  <c r="Q96" i="7"/>
  <c r="AE96" i="7"/>
  <c r="AF96" i="7" s="1"/>
  <c r="P102" i="2"/>
  <c r="H103" i="8"/>
  <c r="DH96" i="8"/>
  <c r="EH96" i="8" s="1"/>
  <c r="EP96" i="8"/>
  <c r="P18" i="7"/>
  <c r="F18" i="9"/>
  <c r="N96" i="7"/>
  <c r="CV96" i="8"/>
  <c r="DG96" i="8"/>
  <c r="EG96" i="8" s="1"/>
  <c r="CW96" i="8"/>
  <c r="DB96" i="8"/>
  <c r="EC96" i="8" s="1"/>
  <c r="ED96" i="8" s="1"/>
  <c r="CY96" i="8"/>
  <c r="EA96" i="8" s="1"/>
  <c r="CX96" i="8"/>
  <c r="AO96" i="5"/>
  <c r="AC96" i="10"/>
  <c r="X96" i="10" s="1"/>
  <c r="Y96" i="10" s="1"/>
  <c r="AM96" i="5"/>
  <c r="AL96" i="5"/>
  <c r="CY100" i="5"/>
  <c r="DC100" i="5"/>
  <c r="F100" i="10"/>
  <c r="H100" i="7"/>
  <c r="J101" i="5"/>
  <c r="R100" i="2"/>
  <c r="J101" i="8"/>
  <c r="AJ19" i="5"/>
  <c r="V19" i="10"/>
  <c r="BK19" i="1"/>
  <c r="AC19" i="7"/>
  <c r="C19" i="11"/>
  <c r="AN19" i="8"/>
  <c r="CR96" i="8"/>
  <c r="CN96" i="8"/>
  <c r="CO96" i="8"/>
  <c r="D97" i="9"/>
  <c r="K102" i="8"/>
  <c r="S101" i="2"/>
  <c r="N96" i="11"/>
  <c r="W98" i="1"/>
  <c r="DA99" i="5"/>
  <c r="X100" i="1"/>
  <c r="G100" i="5"/>
  <c r="C99" i="10"/>
  <c r="E99" i="7"/>
  <c r="CZ99" i="5"/>
  <c r="K100" i="10"/>
  <c r="AA100" i="7"/>
  <c r="AE100" i="8" s="1"/>
  <c r="BC100" i="8" s="1"/>
  <c r="J99" i="2"/>
  <c r="B102" i="10"/>
  <c r="D102" i="7"/>
  <c r="F103" i="5"/>
  <c r="N100" i="2"/>
  <c r="P96" i="1"/>
  <c r="D95" i="14"/>
  <c r="DF98" i="5"/>
  <c r="AF96" i="11" l="1"/>
  <c r="AE96" i="11"/>
  <c r="AC96" i="8" s="1"/>
  <c r="CA97" i="8"/>
  <c r="CH97" i="8"/>
  <c r="BQ95" i="8"/>
  <c r="BT95" i="8"/>
  <c r="BZ95" i="8"/>
  <c r="BU95" i="8"/>
  <c r="BY95" i="8"/>
  <c r="CF95" i="8"/>
  <c r="CG95" i="8"/>
  <c r="BP95" i="8"/>
  <c r="AU94" i="8"/>
  <c r="AT94" i="1" s="1"/>
  <c r="AO100" i="11"/>
  <c r="L100" i="11"/>
  <c r="E99" i="9"/>
  <c r="AG99" i="5"/>
  <c r="B99" i="2"/>
  <c r="B99" i="1"/>
  <c r="BI99" i="1" s="1"/>
  <c r="BO94" i="1"/>
  <c r="AO94" i="8"/>
  <c r="AP93" i="8"/>
  <c r="AK93" i="5"/>
  <c r="AQ93" i="1"/>
  <c r="U93" i="1" s="1"/>
  <c r="J94" i="1" s="1"/>
  <c r="BM93" i="1"/>
  <c r="D93" i="11"/>
  <c r="AR93" i="8"/>
  <c r="BN93" i="1"/>
  <c r="AR93" i="1"/>
  <c r="V93" i="1" s="1"/>
  <c r="K94" i="1" s="1"/>
  <c r="C93" i="9"/>
  <c r="AC100" i="1"/>
  <c r="BC101" i="5"/>
  <c r="BP102" i="5"/>
  <c r="AB101" i="1"/>
  <c r="BK103" i="5"/>
  <c r="AD101" i="1"/>
  <c r="BN104" i="5"/>
  <c r="AF102" i="1"/>
  <c r="BE101" i="5"/>
  <c r="AE99" i="1"/>
  <c r="W99" i="1" s="1"/>
  <c r="AZ104" i="5"/>
  <c r="O101" i="1"/>
  <c r="DK101" i="8" s="1"/>
  <c r="DJ100" i="8"/>
  <c r="DI100" i="8"/>
  <c r="AS19" i="8"/>
  <c r="AO19" i="1"/>
  <c r="AD97" i="9"/>
  <c r="AV97" i="1" s="1"/>
  <c r="N100" i="1"/>
  <c r="BL19" i="1"/>
  <c r="AT96" i="8"/>
  <c r="AQ96" i="8"/>
  <c r="M97" i="1"/>
  <c r="F96" i="11"/>
  <c r="AW96" i="8"/>
  <c r="AC96" i="11"/>
  <c r="T96" i="8" s="1"/>
  <c r="AA96" i="11"/>
  <c r="Y96" i="11"/>
  <c r="AH96" i="1" s="1"/>
  <c r="Z96" i="11"/>
  <c r="AC96" i="2" s="1"/>
  <c r="AB96" i="11"/>
  <c r="P96" i="8" s="1"/>
  <c r="AD96" i="11"/>
  <c r="AI96" i="1" s="1"/>
  <c r="A102" i="2"/>
  <c r="A102" i="9"/>
  <c r="J103" i="10"/>
  <c r="A102" i="7"/>
  <c r="M102" i="5"/>
  <c r="B102" i="14"/>
  <c r="AD102" i="8"/>
  <c r="A102" i="8"/>
  <c r="K102" i="11"/>
  <c r="AJ103" i="14"/>
  <c r="CM102" i="8"/>
  <c r="DR97" i="8"/>
  <c r="DS97" i="8"/>
  <c r="EP97" i="8"/>
  <c r="DT97" i="8"/>
  <c r="DX96" i="8"/>
  <c r="EB96" i="8" s="1"/>
  <c r="DZ95" i="8"/>
  <c r="EM95" i="8" s="1"/>
  <c r="G95" i="1" s="1"/>
  <c r="M95" i="8" s="1"/>
  <c r="CX97" i="8"/>
  <c r="DN97" i="8"/>
  <c r="DO97" i="8"/>
  <c r="CS98" i="8"/>
  <c r="DP98" i="8" s="1"/>
  <c r="CT98" i="8"/>
  <c r="DQ98" i="8" s="1"/>
  <c r="CU98" i="8"/>
  <c r="Y100" i="1"/>
  <c r="I104" i="8"/>
  <c r="Q103" i="2"/>
  <c r="N97" i="11"/>
  <c r="CV97" i="8"/>
  <c r="DG97" i="8"/>
  <c r="EG97" i="8" s="1"/>
  <c r="CY97" i="8"/>
  <c r="EA97" i="8" s="1"/>
  <c r="CW97" i="8"/>
  <c r="DB97" i="8"/>
  <c r="EC97" i="8" s="1"/>
  <c r="ED97" i="8" s="1"/>
  <c r="CR97" i="8"/>
  <c r="DC97" i="8" s="1"/>
  <c r="CN97" i="8"/>
  <c r="D98" i="9"/>
  <c r="AN97" i="5"/>
  <c r="AL97" i="5"/>
  <c r="N97" i="7"/>
  <c r="Q97" i="7"/>
  <c r="AC97" i="10"/>
  <c r="X97" i="10" s="1"/>
  <c r="Y97" i="10" s="1"/>
  <c r="V99" i="2"/>
  <c r="AM97" i="5"/>
  <c r="DH97" i="8"/>
  <c r="EH97" i="8" s="1"/>
  <c r="AO97" i="5"/>
  <c r="A99" i="5"/>
  <c r="E99" i="5" s="1"/>
  <c r="EQ99" i="8" s="1"/>
  <c r="CZ99" i="8" s="1"/>
  <c r="AR100" i="5"/>
  <c r="F100" i="7"/>
  <c r="H101" i="5"/>
  <c r="D100" i="10"/>
  <c r="EI96" i="8"/>
  <c r="I99" i="7"/>
  <c r="G99" i="10"/>
  <c r="DD99" i="5"/>
  <c r="K100" i="5"/>
  <c r="DE99" i="5"/>
  <c r="J99" i="7"/>
  <c r="H99" i="10"/>
  <c r="L100" i="5"/>
  <c r="E100" i="10"/>
  <c r="G100" i="7"/>
  <c r="DB100" i="5"/>
  <c r="I101" i="5"/>
  <c r="AQ96" i="5"/>
  <c r="AU96" i="1" s="1"/>
  <c r="AP96" i="5"/>
  <c r="Y18" i="2"/>
  <c r="X18" i="2" s="1"/>
  <c r="X101" i="1"/>
  <c r="O102" i="2"/>
  <c r="DE102" i="8"/>
  <c r="B103" i="10"/>
  <c r="D103" i="7"/>
  <c r="F104" i="5"/>
  <c r="H101" i="7"/>
  <c r="F101" i="10"/>
  <c r="J102" i="5"/>
  <c r="DC101" i="5"/>
  <c r="H104" i="8"/>
  <c r="P103" i="2"/>
  <c r="AH96" i="7"/>
  <c r="AG96" i="7"/>
  <c r="AI96" i="7" s="1"/>
  <c r="DG101" i="5"/>
  <c r="N101" i="2"/>
  <c r="AA101" i="7"/>
  <c r="AE101" i="8" s="1"/>
  <c r="BC101" i="8" s="1"/>
  <c r="K101" i="10"/>
  <c r="DA100" i="5"/>
  <c r="CY101" i="5"/>
  <c r="B100" i="5"/>
  <c r="B98" i="7"/>
  <c r="AU98" i="5"/>
  <c r="BS98" i="5"/>
  <c r="A98" i="11"/>
  <c r="C98" i="14"/>
  <c r="E98" i="1"/>
  <c r="Q98" i="1"/>
  <c r="E98" i="14" s="1"/>
  <c r="AV98" i="5"/>
  <c r="B98" i="9"/>
  <c r="A98" i="10"/>
  <c r="AA98" i="10" s="1"/>
  <c r="W98" i="8"/>
  <c r="AB97" i="2"/>
  <c r="AI98" i="5"/>
  <c r="AH98" i="5"/>
  <c r="BN98" i="8"/>
  <c r="BO98" i="8"/>
  <c r="DM98" i="8" s="1"/>
  <c r="AB98" i="8"/>
  <c r="EO98" i="8"/>
  <c r="DT98" i="8" s="1"/>
  <c r="DL98" i="8"/>
  <c r="CQ98" i="8"/>
  <c r="DA98" i="8" s="1"/>
  <c r="S102" i="2"/>
  <c r="K103" i="8"/>
  <c r="E100" i="7"/>
  <c r="G101" i="5"/>
  <c r="C100" i="10"/>
  <c r="CZ100" i="5"/>
  <c r="DC96" i="8"/>
  <c r="O96" i="8" s="1"/>
  <c r="DD96" i="8"/>
  <c r="AH97" i="7"/>
  <c r="AG97" i="7"/>
  <c r="AI97" i="7" s="1"/>
  <c r="D96" i="14"/>
  <c r="P97" i="1"/>
  <c r="R101" i="2"/>
  <c r="J102" i="8"/>
  <c r="DY96" i="8"/>
  <c r="DF102" i="8"/>
  <c r="M102" i="2"/>
  <c r="Q95" i="8"/>
  <c r="J100" i="2"/>
  <c r="DF99" i="5"/>
  <c r="AF97" i="11" l="1"/>
  <c r="AE97" i="11"/>
  <c r="AC97" i="8" s="1"/>
  <c r="AU95" i="8"/>
  <c r="AT95" i="1" s="1"/>
  <c r="CA98" i="8"/>
  <c r="CH98" i="8"/>
  <c r="AV95" i="8"/>
  <c r="AW95" i="1" s="1"/>
  <c r="L95" i="1" s="1"/>
  <c r="E95" i="11" s="1"/>
  <c r="BP96" i="8"/>
  <c r="BY96" i="8"/>
  <c r="CG96" i="8"/>
  <c r="BU96" i="8"/>
  <c r="CF96" i="8"/>
  <c r="BT96" i="8"/>
  <c r="BZ96" i="8"/>
  <c r="BQ96" i="8"/>
  <c r="AO101" i="11"/>
  <c r="L101" i="11"/>
  <c r="E100" i="9"/>
  <c r="AG100" i="5"/>
  <c r="B100" i="2"/>
  <c r="B100" i="1"/>
  <c r="BI100" i="1" s="1"/>
  <c r="B101" i="5"/>
  <c r="BO95" i="1"/>
  <c r="AQ94" i="1"/>
  <c r="U94" i="1" s="1"/>
  <c r="J95" i="1" s="1"/>
  <c r="AP94" i="8"/>
  <c r="AK94" i="5"/>
  <c r="D94" i="11"/>
  <c r="BM94" i="1"/>
  <c r="AR94" i="8"/>
  <c r="BN94" i="1"/>
  <c r="AR94" i="1"/>
  <c r="V94" i="1" s="1"/>
  <c r="K95" i="1" s="1"/>
  <c r="C94" i="9"/>
  <c r="AC101" i="1"/>
  <c r="BC102" i="5"/>
  <c r="BP103" i="5"/>
  <c r="AB102" i="1"/>
  <c r="AZ105" i="5"/>
  <c r="BK104" i="5"/>
  <c r="AD102" i="1"/>
  <c r="BN105" i="5"/>
  <c r="AF103" i="1"/>
  <c r="BE102" i="5"/>
  <c r="AE100" i="1"/>
  <c r="O97" i="8"/>
  <c r="O102" i="1"/>
  <c r="DK102" i="8" s="1"/>
  <c r="DI101" i="8"/>
  <c r="DJ101" i="8"/>
  <c r="AD98" i="9"/>
  <c r="AV98" i="1" s="1"/>
  <c r="N101" i="1"/>
  <c r="AT97" i="8"/>
  <c r="AQ97" i="8"/>
  <c r="F97" i="11"/>
  <c r="M98" i="1"/>
  <c r="AW97" i="8"/>
  <c r="Y97" i="11"/>
  <c r="AH97" i="1" s="1"/>
  <c r="AA97" i="11"/>
  <c r="AC97" i="11"/>
  <c r="T97" i="8" s="1"/>
  <c r="AB97" i="11"/>
  <c r="P97" i="8" s="1"/>
  <c r="AD97" i="11"/>
  <c r="AI97" i="1" s="1"/>
  <c r="Z97" i="11"/>
  <c r="AC97" i="2" s="1"/>
  <c r="A103" i="2"/>
  <c r="A103" i="7"/>
  <c r="A103" i="8"/>
  <c r="AD103" i="8"/>
  <c r="B103" i="14"/>
  <c r="J104" i="10"/>
  <c r="M103" i="5"/>
  <c r="A103" i="9"/>
  <c r="K103" i="11"/>
  <c r="AJ104" i="14"/>
  <c r="CM103" i="8"/>
  <c r="DR98" i="8"/>
  <c r="DS98" i="8"/>
  <c r="DZ96" i="8"/>
  <c r="DX97" i="8"/>
  <c r="EB97" i="8" s="1"/>
  <c r="DY97" i="8"/>
  <c r="DN98" i="8"/>
  <c r="DO98" i="8"/>
  <c r="CT99" i="8"/>
  <c r="DQ99" i="8" s="1"/>
  <c r="CS99" i="8"/>
  <c r="DP99" i="8" s="1"/>
  <c r="CU99" i="8"/>
  <c r="Y101" i="1"/>
  <c r="Q104" i="2"/>
  <c r="I105" i="8"/>
  <c r="D99" i="9"/>
  <c r="EI97" i="8"/>
  <c r="DL99" i="8"/>
  <c r="DD97" i="8"/>
  <c r="EE97" i="8" s="1"/>
  <c r="EF97" i="8" s="1"/>
  <c r="AP97" i="5"/>
  <c r="AB98" i="2"/>
  <c r="AH99" i="5"/>
  <c r="AI99" i="5"/>
  <c r="BN99" i="8"/>
  <c r="CO99" i="8" s="1"/>
  <c r="V100" i="2"/>
  <c r="AQ97" i="5"/>
  <c r="AU97" i="1" s="1"/>
  <c r="A99" i="10"/>
  <c r="AA99" i="10" s="1"/>
  <c r="B99" i="9"/>
  <c r="A99" i="11"/>
  <c r="W99" i="8"/>
  <c r="BO99" i="8"/>
  <c r="DM99" i="8" s="1"/>
  <c r="BS99" i="5"/>
  <c r="EO99" i="8"/>
  <c r="B99" i="7"/>
  <c r="Q99" i="7" s="1"/>
  <c r="C99" i="14"/>
  <c r="AB99" i="8"/>
  <c r="AU99" i="5"/>
  <c r="AV99" i="5"/>
  <c r="CQ99" i="8"/>
  <c r="DA99" i="8" s="1"/>
  <c r="E99" i="1"/>
  <c r="Q99" i="1"/>
  <c r="E99" i="14" s="1"/>
  <c r="F101" i="7"/>
  <c r="D101" i="10"/>
  <c r="H102" i="5"/>
  <c r="AR101" i="5"/>
  <c r="A100" i="5"/>
  <c r="E100" i="5" s="1"/>
  <c r="EQ100" i="8" s="1"/>
  <c r="CZ100" i="8" s="1"/>
  <c r="G100" i="10"/>
  <c r="K101" i="5"/>
  <c r="DD100" i="5"/>
  <c r="I100" i="7"/>
  <c r="L101" i="5"/>
  <c r="H100" i="10"/>
  <c r="DE100" i="5"/>
  <c r="J100" i="7"/>
  <c r="DB101" i="5"/>
  <c r="E101" i="10"/>
  <c r="I102" i="5"/>
  <c r="G101" i="7"/>
  <c r="DH98" i="8"/>
  <c r="EH98" i="8" s="1"/>
  <c r="EP98" i="8"/>
  <c r="D104" i="7"/>
  <c r="F105" i="5"/>
  <c r="B104" i="10"/>
  <c r="W100" i="1"/>
  <c r="DA101" i="5"/>
  <c r="E101" i="7"/>
  <c r="G102" i="5"/>
  <c r="C101" i="10"/>
  <c r="CZ101" i="5"/>
  <c r="N98" i="11"/>
  <c r="N102" i="2"/>
  <c r="DG102" i="5"/>
  <c r="F102" i="10"/>
  <c r="H102" i="7"/>
  <c r="DC102" i="5"/>
  <c r="J103" i="5"/>
  <c r="X102" i="1"/>
  <c r="R102" i="2"/>
  <c r="J103" i="8"/>
  <c r="CY102" i="5"/>
  <c r="B19" i="8"/>
  <c r="D19" i="2" s="1"/>
  <c r="H19" i="11"/>
  <c r="BD19" i="8"/>
  <c r="AB19" i="7"/>
  <c r="AN98" i="5"/>
  <c r="P98" i="1"/>
  <c r="D97" i="14"/>
  <c r="AE98" i="7"/>
  <c r="AF98" i="7" s="1"/>
  <c r="Q98" i="7"/>
  <c r="N98" i="7"/>
  <c r="DB98" i="8"/>
  <c r="EC98" i="8" s="1"/>
  <c r="ED98" i="8" s="1"/>
  <c r="CX98" i="8"/>
  <c r="DG98" i="8"/>
  <c r="EG98" i="8" s="1"/>
  <c r="CV98" i="8"/>
  <c r="CW98" i="8"/>
  <c r="CY98" i="8"/>
  <c r="EA98" i="8" s="1"/>
  <c r="AC98" i="10"/>
  <c r="X98" i="10" s="1"/>
  <c r="Y98" i="10" s="1"/>
  <c r="AM98" i="5"/>
  <c r="AO98" i="5"/>
  <c r="AL98" i="5"/>
  <c r="AA102" i="7"/>
  <c r="AE102" i="8" s="1"/>
  <c r="BC102" i="8" s="1"/>
  <c r="K102" i="10"/>
  <c r="H105" i="8"/>
  <c r="P104" i="2"/>
  <c r="O103" i="2"/>
  <c r="DE103" i="8"/>
  <c r="CO98" i="8"/>
  <c r="CR98" i="8"/>
  <c r="CN98" i="8"/>
  <c r="J101" i="2"/>
  <c r="M103" i="2"/>
  <c r="DF103" i="8"/>
  <c r="EE96" i="8"/>
  <c r="EF96" i="8" s="1"/>
  <c r="Q96" i="8"/>
  <c r="S103" i="2"/>
  <c r="K104" i="8"/>
  <c r="DF100" i="5"/>
  <c r="AV96" i="8" l="1"/>
  <c r="AW96" i="1" s="1"/>
  <c r="L96" i="1" s="1"/>
  <c r="BO96" i="1" s="1"/>
  <c r="AO95" i="8"/>
  <c r="AU96" i="8"/>
  <c r="AT96" i="1" s="1"/>
  <c r="CF97" i="8"/>
  <c r="BZ97" i="8"/>
  <c r="BU97" i="8"/>
  <c r="BY97" i="8"/>
  <c r="BQ97" i="8"/>
  <c r="CG97" i="8"/>
  <c r="BP97" i="8"/>
  <c r="BT97" i="8"/>
  <c r="CA99" i="8"/>
  <c r="CH99" i="8"/>
  <c r="AF98" i="11"/>
  <c r="AE98" i="11"/>
  <c r="AC98" i="8" s="1"/>
  <c r="AO102" i="11"/>
  <c r="L102" i="11"/>
  <c r="E101" i="9"/>
  <c r="AG101" i="5"/>
  <c r="B101" i="1"/>
  <c r="BI101" i="1" s="1"/>
  <c r="B101" i="2"/>
  <c r="U19" i="2"/>
  <c r="W18" i="2" s="1"/>
  <c r="C19" i="2" s="1"/>
  <c r="AO96" i="8"/>
  <c r="E96" i="11"/>
  <c r="BM95" i="1"/>
  <c r="D95" i="11"/>
  <c r="AK95" i="5"/>
  <c r="AQ95" i="1"/>
  <c r="U95" i="1" s="1"/>
  <c r="J96" i="1" s="1"/>
  <c r="AP95" i="8"/>
  <c r="AR95" i="1"/>
  <c r="V95" i="1" s="1"/>
  <c r="K96" i="1" s="1"/>
  <c r="BN95" i="1"/>
  <c r="C95" i="9"/>
  <c r="AR95" i="8"/>
  <c r="B102" i="5"/>
  <c r="AC102" i="1"/>
  <c r="BC103" i="5"/>
  <c r="J102" i="2"/>
  <c r="BN106" i="5"/>
  <c r="AF104" i="1"/>
  <c r="BE103" i="5"/>
  <c r="AE101" i="1"/>
  <c r="W101" i="1" s="1"/>
  <c r="BP104" i="5"/>
  <c r="AB103" i="1"/>
  <c r="AZ106" i="5"/>
  <c r="BK105" i="5"/>
  <c r="AD103" i="1"/>
  <c r="O103" i="1"/>
  <c r="DK103" i="8" s="1"/>
  <c r="DI102" i="8"/>
  <c r="DJ102" i="8"/>
  <c r="AD99" i="9"/>
  <c r="AV99" i="1" s="1"/>
  <c r="N102" i="1"/>
  <c r="AT98" i="8"/>
  <c r="AW98" i="8"/>
  <c r="AQ98" i="8"/>
  <c r="F98" i="11"/>
  <c r="M99" i="1"/>
  <c r="AA98" i="11"/>
  <c r="AC98" i="11"/>
  <c r="T98" i="8" s="1"/>
  <c r="Y98" i="11"/>
  <c r="AH98" i="1" s="1"/>
  <c r="Z98" i="11"/>
  <c r="AC98" i="2" s="1"/>
  <c r="AD98" i="11"/>
  <c r="AI98" i="1" s="1"/>
  <c r="AB98" i="11"/>
  <c r="P98" i="8" s="1"/>
  <c r="N99" i="11"/>
  <c r="AJ105" i="14"/>
  <c r="CM104" i="8"/>
  <c r="A104" i="2"/>
  <c r="M104" i="5"/>
  <c r="B104" i="14"/>
  <c r="A104" i="7"/>
  <c r="J105" i="10"/>
  <c r="A104" i="8"/>
  <c r="A104" i="9"/>
  <c r="K104" i="11"/>
  <c r="AD104" i="8"/>
  <c r="DR99" i="8"/>
  <c r="DS99" i="8"/>
  <c r="EP99" i="8"/>
  <c r="DT99" i="8"/>
  <c r="DZ97" i="8"/>
  <c r="EM97" i="8" s="1"/>
  <c r="G97" i="1" s="1"/>
  <c r="M97" i="8" s="1"/>
  <c r="EM96" i="8"/>
  <c r="G96" i="1" s="1"/>
  <c r="M96" i="8" s="1"/>
  <c r="DX98" i="8"/>
  <c r="EB98" i="8" s="1"/>
  <c r="DB99" i="8"/>
  <c r="EC99" i="8" s="1"/>
  <c r="ED99" i="8" s="1"/>
  <c r="DN99" i="8"/>
  <c r="DO99" i="8"/>
  <c r="CS100" i="8"/>
  <c r="DP100" i="8" s="1"/>
  <c r="CT100" i="8"/>
  <c r="DQ100" i="8" s="1"/>
  <c r="CU100" i="8"/>
  <c r="CR99" i="8"/>
  <c r="DC99" i="8" s="1"/>
  <c r="Y102" i="1"/>
  <c r="Q105" i="2"/>
  <c r="I106" i="8"/>
  <c r="AO99" i="5"/>
  <c r="AM99" i="5"/>
  <c r="AC99" i="10"/>
  <c r="X99" i="10" s="1"/>
  <c r="Y99" i="10" s="1"/>
  <c r="AL99" i="5"/>
  <c r="DL100" i="8"/>
  <c r="D100" i="9"/>
  <c r="CN99" i="8"/>
  <c r="N99" i="7"/>
  <c r="AN99" i="5"/>
  <c r="DG99" i="8"/>
  <c r="EG99" i="8" s="1"/>
  <c r="AE99" i="7"/>
  <c r="AF99" i="7" s="1"/>
  <c r="DH99" i="8"/>
  <c r="EH99" i="8" s="1"/>
  <c r="CY99" i="8"/>
  <c r="EA99" i="8" s="1"/>
  <c r="CW99" i="8"/>
  <c r="CV99" i="8"/>
  <c r="CX99" i="8"/>
  <c r="D102" i="10"/>
  <c r="F102" i="7"/>
  <c r="H103" i="5"/>
  <c r="A101" i="5"/>
  <c r="E101" i="5" s="1"/>
  <c r="EQ101" i="8" s="1"/>
  <c r="CZ101" i="8" s="1"/>
  <c r="Q100" i="1"/>
  <c r="E100" i="14" s="1"/>
  <c r="AI100" i="5"/>
  <c r="AH100" i="5"/>
  <c r="AV100" i="5"/>
  <c r="CQ100" i="8"/>
  <c r="DA100" i="8" s="1"/>
  <c r="BN100" i="8"/>
  <c r="CN100" i="8" s="1"/>
  <c r="C100" i="14"/>
  <c r="BO100" i="8"/>
  <c r="DM100" i="8" s="1"/>
  <c r="A100" i="10"/>
  <c r="AA100" i="10" s="1"/>
  <c r="AB100" i="8"/>
  <c r="B100" i="9"/>
  <c r="W100" i="8"/>
  <c r="EO100" i="8"/>
  <c r="A100" i="11"/>
  <c r="E100" i="1"/>
  <c r="BS100" i="5"/>
  <c r="AU100" i="5"/>
  <c r="AB99" i="2"/>
  <c r="B100" i="7"/>
  <c r="Q100" i="7" s="1"/>
  <c r="V101" i="2"/>
  <c r="Q97" i="8"/>
  <c r="DD101" i="5"/>
  <c r="G101" i="10"/>
  <c r="I101" i="7"/>
  <c r="K102" i="5"/>
  <c r="L102" i="5"/>
  <c r="J101" i="7"/>
  <c r="DE101" i="5"/>
  <c r="H101" i="10"/>
  <c r="AR102" i="5"/>
  <c r="I103" i="5"/>
  <c r="DB102" i="5"/>
  <c r="G102" i="7"/>
  <c r="E102" i="10"/>
  <c r="EI98" i="8"/>
  <c r="AP98" i="5"/>
  <c r="DY98" i="8"/>
  <c r="AA103" i="7"/>
  <c r="AE103" i="8" s="1"/>
  <c r="BC103" i="8" s="1"/>
  <c r="K103" i="10"/>
  <c r="P99" i="1"/>
  <c r="D98" i="14"/>
  <c r="CY103" i="5"/>
  <c r="H106" i="8"/>
  <c r="P105" i="2"/>
  <c r="J104" i="8"/>
  <c r="R103" i="2"/>
  <c r="DE104" i="8"/>
  <c r="O104" i="2"/>
  <c r="AG98" i="7"/>
  <c r="AI98" i="7" s="1"/>
  <c r="AH98" i="7"/>
  <c r="H103" i="7"/>
  <c r="J104" i="5"/>
  <c r="DC103" i="5"/>
  <c r="F103" i="10"/>
  <c r="N103" i="2"/>
  <c r="M104" i="2"/>
  <c r="DF104" i="8"/>
  <c r="DG103" i="5"/>
  <c r="AQ98" i="5"/>
  <c r="AU98" i="1" s="1"/>
  <c r="F106" i="5"/>
  <c r="D105" i="7"/>
  <c r="B105" i="10"/>
  <c r="G103" i="5"/>
  <c r="E102" i="7"/>
  <c r="C102" i="10"/>
  <c r="CZ102" i="5"/>
  <c r="S104" i="2"/>
  <c r="K105" i="8"/>
  <c r="DC98" i="8"/>
  <c r="O98" i="8" s="1"/>
  <c r="DD98" i="8"/>
  <c r="DA102" i="5"/>
  <c r="X103" i="1"/>
  <c r="DF101" i="5"/>
  <c r="AV97" i="8" l="1"/>
  <c r="AW97" i="1" s="1"/>
  <c r="L97" i="1" s="1"/>
  <c r="AO97" i="8" s="1"/>
  <c r="CA100" i="8"/>
  <c r="CH100" i="8"/>
  <c r="AU97" i="8"/>
  <c r="AT97" i="1" s="1"/>
  <c r="CF98" i="8"/>
  <c r="BP98" i="8"/>
  <c r="BQ98" i="8"/>
  <c r="BY98" i="8"/>
  <c r="BU98" i="8"/>
  <c r="BZ98" i="8"/>
  <c r="BT98" i="8"/>
  <c r="CG98" i="8"/>
  <c r="AF99" i="11"/>
  <c r="AE99" i="11"/>
  <c r="AC99" i="8" s="1"/>
  <c r="AO103" i="11"/>
  <c r="AG102" i="5"/>
  <c r="L103" i="11"/>
  <c r="E102" i="9"/>
  <c r="B102" i="1"/>
  <c r="BI102" i="1" s="1"/>
  <c r="B102" i="2"/>
  <c r="I19" i="2"/>
  <c r="F19" i="2"/>
  <c r="G19" i="2" s="1"/>
  <c r="Z19" i="2" s="1"/>
  <c r="Y19" i="2" s="1"/>
  <c r="X19" i="2" s="1"/>
  <c r="H19" i="2"/>
  <c r="BO97" i="1"/>
  <c r="E97" i="11"/>
  <c r="D96" i="11"/>
  <c r="BM96" i="1"/>
  <c r="AQ96" i="1"/>
  <c r="U96" i="1" s="1"/>
  <c r="J97" i="1" s="1"/>
  <c r="AK96" i="5"/>
  <c r="AP96" i="8"/>
  <c r="AR96" i="8"/>
  <c r="AR96" i="1"/>
  <c r="V96" i="1" s="1"/>
  <c r="K97" i="1" s="1"/>
  <c r="C96" i="9"/>
  <c r="BN96" i="1"/>
  <c r="AC103" i="1"/>
  <c r="BC104" i="5"/>
  <c r="AZ107" i="5"/>
  <c r="BN107" i="5"/>
  <c r="AF105" i="1"/>
  <c r="BK106" i="5"/>
  <c r="AD104" i="1"/>
  <c r="BE104" i="5"/>
  <c r="AE102" i="1"/>
  <c r="W102" i="1" s="1"/>
  <c r="BP105" i="5"/>
  <c r="AB104" i="1"/>
  <c r="R19" i="8"/>
  <c r="S19" i="8" s="1"/>
  <c r="O99" i="8"/>
  <c r="O104" i="1"/>
  <c r="DK104" i="8" s="1"/>
  <c r="DI103" i="8"/>
  <c r="DJ103" i="8"/>
  <c r="AD100" i="9"/>
  <c r="AV100" i="1" s="1"/>
  <c r="N103" i="1"/>
  <c r="AQ99" i="5"/>
  <c r="AU99" i="1" s="1"/>
  <c r="AT99" i="8"/>
  <c r="AQ99" i="8"/>
  <c r="M100" i="1"/>
  <c r="F99" i="11"/>
  <c r="AW99" i="8"/>
  <c r="AA99" i="11"/>
  <c r="AC99" i="11"/>
  <c r="T99" i="8" s="1"/>
  <c r="Y99" i="11"/>
  <c r="AH99" i="1" s="1"/>
  <c r="AD99" i="11"/>
  <c r="AI99" i="1" s="1"/>
  <c r="AB99" i="11"/>
  <c r="P99" i="8" s="1"/>
  <c r="Z99" i="11"/>
  <c r="AC99" i="2" s="1"/>
  <c r="DZ98" i="8"/>
  <c r="A105" i="2"/>
  <c r="A105" i="9"/>
  <c r="B105" i="14"/>
  <c r="M105" i="5"/>
  <c r="A105" i="7"/>
  <c r="K105" i="11"/>
  <c r="AD105" i="8"/>
  <c r="A105" i="8"/>
  <c r="J106" i="10"/>
  <c r="CM105" i="8"/>
  <c r="AJ106" i="14"/>
  <c r="EP100" i="8"/>
  <c r="DT100" i="8"/>
  <c r="DR100" i="8"/>
  <c r="DS100" i="8"/>
  <c r="DX99" i="8"/>
  <c r="EB99" i="8" s="1"/>
  <c r="DG100" i="8"/>
  <c r="EG100" i="8" s="1"/>
  <c r="DN100" i="8"/>
  <c r="DO100" i="8"/>
  <c r="CU101" i="8"/>
  <c r="CS101" i="8"/>
  <c r="DP101" i="8" s="1"/>
  <c r="CT101" i="8"/>
  <c r="DQ101" i="8" s="1"/>
  <c r="DD99" i="8"/>
  <c r="EE99" i="8" s="1"/>
  <c r="EF99" i="8" s="1"/>
  <c r="Y103" i="1"/>
  <c r="AG99" i="7"/>
  <c r="AI99" i="7" s="1"/>
  <c r="AH99" i="7"/>
  <c r="AM100" i="5"/>
  <c r="I107" i="8"/>
  <c r="Q106" i="2"/>
  <c r="AP99" i="5"/>
  <c r="DL101" i="8"/>
  <c r="EI99" i="8"/>
  <c r="DY99" i="8"/>
  <c r="A101" i="10"/>
  <c r="AA101" i="10" s="1"/>
  <c r="A101" i="11"/>
  <c r="AB101" i="8"/>
  <c r="N100" i="7"/>
  <c r="EO101" i="8"/>
  <c r="BS101" i="5"/>
  <c r="B101" i="7"/>
  <c r="AE101" i="7" s="1"/>
  <c r="AF101" i="7" s="1"/>
  <c r="A102" i="5"/>
  <c r="E102" i="5" s="1"/>
  <c r="Q101" i="1"/>
  <c r="E101" i="14" s="1"/>
  <c r="C101" i="14"/>
  <c r="AB100" i="2"/>
  <c r="AV101" i="5"/>
  <c r="CQ101" i="8"/>
  <c r="DA101" i="8" s="1"/>
  <c r="AH101" i="5"/>
  <c r="AC101" i="10" s="1"/>
  <c r="AI101" i="5"/>
  <c r="B101" i="9"/>
  <c r="AU101" i="5"/>
  <c r="BN101" i="8"/>
  <c r="CO101" i="8" s="1"/>
  <c r="E101" i="1"/>
  <c r="BO101" i="8"/>
  <c r="DM101" i="8" s="1"/>
  <c r="W101" i="8"/>
  <c r="AR103" i="5"/>
  <c r="F103" i="7"/>
  <c r="D103" i="10"/>
  <c r="H104" i="5"/>
  <c r="N100" i="11"/>
  <c r="CR100" i="8"/>
  <c r="DD100" i="8" s="1"/>
  <c r="CO100" i="8"/>
  <c r="D101" i="9"/>
  <c r="DH100" i="8"/>
  <c r="EH100" i="8" s="1"/>
  <c r="CX100" i="8"/>
  <c r="AN100" i="5"/>
  <c r="V102" i="2"/>
  <c r="AL100" i="5"/>
  <c r="AO100" i="5"/>
  <c r="AE100" i="7"/>
  <c r="AF100" i="7" s="1"/>
  <c r="DB100" i="8"/>
  <c r="EC100" i="8" s="1"/>
  <c r="ED100" i="8" s="1"/>
  <c r="AC100" i="10"/>
  <c r="X100" i="10" s="1"/>
  <c r="Y100" i="10" s="1"/>
  <c r="CY100" i="8"/>
  <c r="EA100" i="8" s="1"/>
  <c r="CW100" i="8"/>
  <c r="CV100" i="8"/>
  <c r="DD102" i="5"/>
  <c r="K103" i="5"/>
  <c r="G102" i="10"/>
  <c r="I102" i="7"/>
  <c r="H102" i="10"/>
  <c r="L103" i="5"/>
  <c r="J102" i="7"/>
  <c r="DE102" i="5"/>
  <c r="E103" i="10"/>
  <c r="G103" i="7"/>
  <c r="DB103" i="5"/>
  <c r="I104" i="5"/>
  <c r="DG104" i="5"/>
  <c r="X104" i="1"/>
  <c r="F107" i="5"/>
  <c r="B106" i="10"/>
  <c r="D106" i="7"/>
  <c r="H104" i="7"/>
  <c r="F104" i="10"/>
  <c r="DC104" i="5"/>
  <c r="J105" i="5"/>
  <c r="CY104" i="5"/>
  <c r="M105" i="2"/>
  <c r="DF105" i="8"/>
  <c r="DA103" i="5"/>
  <c r="D99" i="14"/>
  <c r="P100" i="1"/>
  <c r="K106" i="8"/>
  <c r="S105" i="2"/>
  <c r="P106" i="2"/>
  <c r="H107" i="8"/>
  <c r="AA104" i="7"/>
  <c r="AE104" i="8" s="1"/>
  <c r="BC104" i="8" s="1"/>
  <c r="K104" i="10"/>
  <c r="B103" i="5"/>
  <c r="F19" i="1"/>
  <c r="EE98" i="8"/>
  <c r="EF98" i="8" s="1"/>
  <c r="Q98" i="8"/>
  <c r="CZ103" i="5"/>
  <c r="E103" i="7"/>
  <c r="G104" i="5"/>
  <c r="C103" i="10"/>
  <c r="O105" i="2"/>
  <c r="DE105" i="8"/>
  <c r="J103" i="2"/>
  <c r="N104" i="2"/>
  <c r="J105" i="8"/>
  <c r="R104" i="2"/>
  <c r="DF102" i="5"/>
  <c r="AE100" i="11" l="1"/>
  <c r="AC100" i="8" s="1"/>
  <c r="AF100" i="11"/>
  <c r="CA101" i="8"/>
  <c r="CH101" i="8"/>
  <c r="AV98" i="8"/>
  <c r="AW98" i="1" s="1"/>
  <c r="L98" i="1" s="1"/>
  <c r="BO98" i="1" s="1"/>
  <c r="BY99" i="8"/>
  <c r="BP99" i="8"/>
  <c r="CF99" i="8"/>
  <c r="BU99" i="8"/>
  <c r="BQ99" i="8"/>
  <c r="BT99" i="8"/>
  <c r="CG99" i="8"/>
  <c r="BZ99" i="8"/>
  <c r="AU98" i="8"/>
  <c r="AT98" i="1" s="1"/>
  <c r="AO104" i="11"/>
  <c r="L104" i="11"/>
  <c r="E103" i="9"/>
  <c r="AG103" i="5"/>
  <c r="B103" i="1"/>
  <c r="BI103" i="1" s="1"/>
  <c r="B103" i="2"/>
  <c r="AO98" i="8"/>
  <c r="E98" i="11"/>
  <c r="AK97" i="5"/>
  <c r="BM97" i="1"/>
  <c r="D97" i="11"/>
  <c r="AQ97" i="1"/>
  <c r="U97" i="1" s="1"/>
  <c r="J98" i="1" s="1"/>
  <c r="AP97" i="8"/>
  <c r="AR97" i="8"/>
  <c r="AR97" i="1"/>
  <c r="V97" i="1" s="1"/>
  <c r="K98" i="1" s="1"/>
  <c r="C97" i="9"/>
  <c r="BN97" i="1"/>
  <c r="AC104" i="1"/>
  <c r="BC105" i="5"/>
  <c r="BE105" i="5"/>
  <c r="AE103" i="1"/>
  <c r="AZ108" i="5"/>
  <c r="BP106" i="5"/>
  <c r="AB105" i="1"/>
  <c r="BN108" i="5"/>
  <c r="AF106" i="1"/>
  <c r="BK107" i="5"/>
  <c r="AD105" i="1"/>
  <c r="O105" i="1"/>
  <c r="DK105" i="8" s="1"/>
  <c r="DJ104" i="8"/>
  <c r="DI104" i="8"/>
  <c r="AB101" i="2"/>
  <c r="EQ102" i="8"/>
  <c r="CZ102" i="8" s="1"/>
  <c r="AD101" i="9"/>
  <c r="AV101" i="1" s="1"/>
  <c r="N104" i="1"/>
  <c r="A102" i="11"/>
  <c r="AH102" i="5"/>
  <c r="AC102" i="10" s="1"/>
  <c r="W102" i="8"/>
  <c r="BN102" i="8"/>
  <c r="CR102" i="8" s="1"/>
  <c r="AI102" i="5"/>
  <c r="AU102" i="5"/>
  <c r="EO102" i="8"/>
  <c r="DT102" i="8" s="1"/>
  <c r="C102" i="14"/>
  <c r="BS102" i="5"/>
  <c r="B102" i="9"/>
  <c r="AT100" i="8"/>
  <c r="AW100" i="8"/>
  <c r="AQ100" i="8"/>
  <c r="M101" i="1"/>
  <c r="F100" i="11"/>
  <c r="N101" i="7"/>
  <c r="Y100" i="11"/>
  <c r="AH100" i="1" s="1"/>
  <c r="AA100" i="11"/>
  <c r="AC100" i="11"/>
  <c r="T100" i="8" s="1"/>
  <c r="AB100" i="11"/>
  <c r="P100" i="8" s="1"/>
  <c r="AD100" i="11"/>
  <c r="AI100" i="1" s="1"/>
  <c r="Z100" i="11"/>
  <c r="AC100" i="2" s="1"/>
  <c r="EM98" i="8"/>
  <c r="G98" i="1" s="1"/>
  <c r="M98" i="8" s="1"/>
  <c r="Q99" i="8"/>
  <c r="A106" i="2"/>
  <c r="M106" i="5"/>
  <c r="A106" i="9"/>
  <c r="A106" i="8"/>
  <c r="B106" i="14"/>
  <c r="J107" i="10"/>
  <c r="AD106" i="8"/>
  <c r="A106" i="7"/>
  <c r="K106" i="11"/>
  <c r="AJ107" i="14"/>
  <c r="CM106" i="8"/>
  <c r="DR101" i="8"/>
  <c r="DS101" i="8"/>
  <c r="EP101" i="8"/>
  <c r="DT101" i="8"/>
  <c r="DZ99" i="8"/>
  <c r="EM99" i="8" s="1"/>
  <c r="G99" i="1" s="1"/>
  <c r="M99" i="8" s="1"/>
  <c r="DX100" i="8"/>
  <c r="EB100" i="8" s="1"/>
  <c r="EI100" i="8"/>
  <c r="DG101" i="8"/>
  <c r="EG101" i="8" s="1"/>
  <c r="DN101" i="8"/>
  <c r="DO101" i="8"/>
  <c r="A102" i="10"/>
  <c r="AA102" i="10" s="1"/>
  <c r="CS102" i="8"/>
  <c r="DP102" i="8" s="1"/>
  <c r="CT102" i="8"/>
  <c r="DQ102" i="8" s="1"/>
  <c r="CU102" i="8"/>
  <c r="B102" i="7"/>
  <c r="Q102" i="7" s="1"/>
  <c r="BO102" i="8"/>
  <c r="DM102" i="8" s="1"/>
  <c r="E102" i="1"/>
  <c r="AB102" i="8"/>
  <c r="AV102" i="5"/>
  <c r="Q102" i="1"/>
  <c r="E102" i="14" s="1"/>
  <c r="Y104" i="1"/>
  <c r="AH100" i="7"/>
  <c r="AQ100" i="5"/>
  <c r="AU100" i="1" s="1"/>
  <c r="I108" i="8"/>
  <c r="Q107" i="2"/>
  <c r="X101" i="10"/>
  <c r="Y101" i="10" s="1"/>
  <c r="DL102" i="8"/>
  <c r="CQ102" i="8"/>
  <c r="DA102" i="8" s="1"/>
  <c r="DC100" i="8"/>
  <c r="O100" i="8" s="1"/>
  <c r="CY101" i="8"/>
  <c r="EA101" i="8" s="1"/>
  <c r="CX101" i="8"/>
  <c r="N101" i="11"/>
  <c r="Q101" i="7"/>
  <c r="AL101" i="5"/>
  <c r="AO101" i="5"/>
  <c r="AN101" i="5"/>
  <c r="CN101" i="8"/>
  <c r="CR101" i="8"/>
  <c r="DD101" i="8" s="1"/>
  <c r="D102" i="9"/>
  <c r="AM101" i="5"/>
  <c r="CV101" i="8"/>
  <c r="CW101" i="8"/>
  <c r="DY100" i="8"/>
  <c r="DB101" i="8"/>
  <c r="EC101" i="8" s="1"/>
  <c r="ED101" i="8" s="1"/>
  <c r="DH101" i="8"/>
  <c r="EH101" i="8" s="1"/>
  <c r="H105" i="5"/>
  <c r="F104" i="7"/>
  <c r="D104" i="10"/>
  <c r="AR104" i="5"/>
  <c r="AG100" i="7"/>
  <c r="AI100" i="7" s="1"/>
  <c r="AP100" i="5"/>
  <c r="A103" i="5"/>
  <c r="E103" i="5" s="1"/>
  <c r="EQ103" i="8" s="1"/>
  <c r="CZ103" i="8" s="1"/>
  <c r="G103" i="10"/>
  <c r="K104" i="5"/>
  <c r="DD103" i="5"/>
  <c r="I103" i="7"/>
  <c r="DE103" i="5"/>
  <c r="H103" i="10"/>
  <c r="J103" i="7"/>
  <c r="L104" i="5"/>
  <c r="V103" i="2"/>
  <c r="G104" i="7"/>
  <c r="I105" i="5"/>
  <c r="DB104" i="5"/>
  <c r="E104" i="10"/>
  <c r="V19" i="8"/>
  <c r="U19" i="8"/>
  <c r="M106" i="2"/>
  <c r="DF106" i="8"/>
  <c r="X105" i="1"/>
  <c r="O19" i="7"/>
  <c r="I19" i="11"/>
  <c r="P107" i="2"/>
  <c r="H108" i="8"/>
  <c r="AH101" i="7"/>
  <c r="AG101" i="7"/>
  <c r="AI101" i="7" s="1"/>
  <c r="J104" i="2"/>
  <c r="N105" i="2"/>
  <c r="CY105" i="5"/>
  <c r="DG105" i="5"/>
  <c r="O106" i="2"/>
  <c r="DE106" i="8"/>
  <c r="AP19" i="1"/>
  <c r="T19" i="1" s="1"/>
  <c r="I20" i="1" s="1"/>
  <c r="J19" i="11"/>
  <c r="Z20" i="8"/>
  <c r="D100" i="14"/>
  <c r="P101" i="1"/>
  <c r="B104" i="5"/>
  <c r="AA105" i="7"/>
  <c r="AE105" i="8" s="1"/>
  <c r="BC105" i="8" s="1"/>
  <c r="K105" i="10"/>
  <c r="S106" i="2"/>
  <c r="K107" i="8"/>
  <c r="H105" i="7"/>
  <c r="J106" i="5"/>
  <c r="F105" i="10"/>
  <c r="DC105" i="5"/>
  <c r="AA19" i="1"/>
  <c r="S19" i="1" s="1"/>
  <c r="H20" i="1" s="1"/>
  <c r="J106" i="8"/>
  <c r="R105" i="2"/>
  <c r="C104" i="10"/>
  <c r="G105" i="5"/>
  <c r="CZ104" i="5"/>
  <c r="E104" i="7"/>
  <c r="W103" i="1"/>
  <c r="DA104" i="5"/>
  <c r="B107" i="10"/>
  <c r="F108" i="5"/>
  <c r="D107" i="7"/>
  <c r="DF103" i="5"/>
  <c r="AU99" i="8" l="1"/>
  <c r="AT99" i="1" s="1"/>
  <c r="AV99" i="8"/>
  <c r="AW99" i="1" s="1"/>
  <c r="L99" i="1" s="1"/>
  <c r="E99" i="11" s="1"/>
  <c r="BT100" i="8"/>
  <c r="BU100" i="8"/>
  <c r="BP100" i="8"/>
  <c r="BZ100" i="8"/>
  <c r="BQ100" i="8"/>
  <c r="CF100" i="8"/>
  <c r="BY100" i="8"/>
  <c r="CG100" i="8"/>
  <c r="CA102" i="8"/>
  <c r="CH102" i="8"/>
  <c r="AF101" i="11"/>
  <c r="AE101" i="11"/>
  <c r="AC101" i="8" s="1"/>
  <c r="AO105" i="11"/>
  <c r="AB101" i="11"/>
  <c r="P101" i="8" s="1"/>
  <c r="AO99" i="8"/>
  <c r="L105" i="11"/>
  <c r="AG104" i="5"/>
  <c r="E104" i="9"/>
  <c r="B104" i="2"/>
  <c r="B104" i="1"/>
  <c r="BI104" i="1" s="1"/>
  <c r="AE102" i="7"/>
  <c r="AF102" i="7" s="1"/>
  <c r="AQ98" i="1"/>
  <c r="U98" i="1" s="1"/>
  <c r="J99" i="1" s="1"/>
  <c r="D98" i="11"/>
  <c r="AK98" i="5"/>
  <c r="BM98" i="1"/>
  <c r="AP98" i="8"/>
  <c r="AR98" i="1"/>
  <c r="V98" i="1" s="1"/>
  <c r="K99" i="1" s="1"/>
  <c r="BN98" i="1"/>
  <c r="C98" i="9"/>
  <c r="AR98" i="8"/>
  <c r="J105" i="2"/>
  <c r="AC105" i="1"/>
  <c r="BC106" i="5"/>
  <c r="AN102" i="5"/>
  <c r="BK108" i="5"/>
  <c r="AD106" i="1"/>
  <c r="BE106" i="5"/>
  <c r="AE104" i="1"/>
  <c r="W104" i="1" s="1"/>
  <c r="AZ109" i="5"/>
  <c r="BP107" i="5"/>
  <c r="AB106" i="1"/>
  <c r="BN109" i="5"/>
  <c r="AF107" i="1"/>
  <c r="O106" i="1"/>
  <c r="DK106" i="8" s="1"/>
  <c r="DI105" i="8"/>
  <c r="DJ105" i="8"/>
  <c r="AD102" i="9"/>
  <c r="AV102" i="1" s="1"/>
  <c r="DH102" i="8"/>
  <c r="EH102" i="8" s="1"/>
  <c r="N105" i="1"/>
  <c r="AD101" i="11"/>
  <c r="AI101" i="1" s="1"/>
  <c r="AA101" i="11"/>
  <c r="AC101" i="11"/>
  <c r="T101" i="8" s="1"/>
  <c r="N102" i="11"/>
  <c r="Y101" i="11"/>
  <c r="AH101" i="1" s="1"/>
  <c r="Z101" i="11"/>
  <c r="AC101" i="2" s="1"/>
  <c r="AM102" i="5"/>
  <c r="AL102" i="5"/>
  <c r="D103" i="9"/>
  <c r="CO102" i="8"/>
  <c r="CN102" i="8"/>
  <c r="EP102" i="8"/>
  <c r="AT101" i="8"/>
  <c r="AQ101" i="8"/>
  <c r="F101" i="11"/>
  <c r="M102" i="1"/>
  <c r="AW101" i="8"/>
  <c r="N102" i="7"/>
  <c r="DZ100" i="8"/>
  <c r="CM107" i="8"/>
  <c r="AJ108" i="14"/>
  <c r="A107" i="2"/>
  <c r="M107" i="5"/>
  <c r="AD107" i="8"/>
  <c r="A107" i="7"/>
  <c r="A107" i="8"/>
  <c r="B107" i="14"/>
  <c r="J108" i="10"/>
  <c r="K107" i="11"/>
  <c r="A107" i="9"/>
  <c r="DR102" i="8"/>
  <c r="DS102" i="8"/>
  <c r="DX101" i="8"/>
  <c r="EB101" i="8" s="1"/>
  <c r="Q100" i="8"/>
  <c r="EI101" i="8"/>
  <c r="CW102" i="8"/>
  <c r="DN102" i="8"/>
  <c r="DO102" i="8"/>
  <c r="CS103" i="8"/>
  <c r="DP103" i="8" s="1"/>
  <c r="CT103" i="8"/>
  <c r="DQ103" i="8" s="1"/>
  <c r="CU103" i="8"/>
  <c r="X102" i="10"/>
  <c r="Y102" i="10" s="1"/>
  <c r="AO102" i="5"/>
  <c r="Y105" i="1"/>
  <c r="B105" i="5"/>
  <c r="I109" i="8"/>
  <c r="Q108" i="2"/>
  <c r="DY101" i="8"/>
  <c r="DB102" i="8"/>
  <c r="EC102" i="8" s="1"/>
  <c r="ED102" i="8" s="1"/>
  <c r="DG102" i="8"/>
  <c r="EG102" i="8" s="1"/>
  <c r="CX102" i="8"/>
  <c r="CV102" i="8"/>
  <c r="CQ103" i="8"/>
  <c r="DA103" i="8" s="1"/>
  <c r="CY102" i="8"/>
  <c r="EA102" i="8" s="1"/>
  <c r="BN103" i="8"/>
  <c r="CR103" i="8" s="1"/>
  <c r="B103" i="7"/>
  <c r="AE103" i="7" s="1"/>
  <c r="AF103" i="7" s="1"/>
  <c r="A104" i="5"/>
  <c r="E104" i="5" s="1"/>
  <c r="EQ104" i="8" s="1"/>
  <c r="CZ104" i="8" s="1"/>
  <c r="B103" i="9"/>
  <c r="EE100" i="8"/>
  <c r="EF100" i="8" s="1"/>
  <c r="AR105" i="5"/>
  <c r="BO103" i="8"/>
  <c r="DM103" i="8" s="1"/>
  <c r="A103" i="11"/>
  <c r="EO103" i="8"/>
  <c r="Q103" i="1"/>
  <c r="E103" i="14" s="1"/>
  <c r="AU103" i="5"/>
  <c r="C103" i="14"/>
  <c r="AV103" i="5"/>
  <c r="DC101" i="8"/>
  <c r="O101" i="8" s="1"/>
  <c r="E103" i="1"/>
  <c r="AB103" i="8"/>
  <c r="AI103" i="5"/>
  <c r="A103" i="10"/>
  <c r="AA103" i="10" s="1"/>
  <c r="BS103" i="5"/>
  <c r="AB102" i="2"/>
  <c r="AH103" i="5"/>
  <c r="W103" i="8"/>
  <c r="AP101" i="5"/>
  <c r="AQ101" i="5"/>
  <c r="AU101" i="1" s="1"/>
  <c r="DL103" i="8"/>
  <c r="H106" i="5"/>
  <c r="F105" i="7"/>
  <c r="D105" i="10"/>
  <c r="V104" i="2"/>
  <c r="I104" i="7"/>
  <c r="G104" i="10"/>
  <c r="K105" i="5"/>
  <c r="DD104" i="5"/>
  <c r="H104" i="10"/>
  <c r="DE104" i="5"/>
  <c r="L105" i="5"/>
  <c r="J104" i="7"/>
  <c r="G105" i="7"/>
  <c r="E105" i="10"/>
  <c r="I106" i="5"/>
  <c r="DB105" i="5"/>
  <c r="S107" i="2"/>
  <c r="K108" i="8"/>
  <c r="P102" i="1"/>
  <c r="D101" i="14"/>
  <c r="O107" i="2"/>
  <c r="DE107" i="8"/>
  <c r="J107" i="8"/>
  <c r="R106" i="2"/>
  <c r="V20" i="10"/>
  <c r="AJ20" i="5"/>
  <c r="C20" i="11"/>
  <c r="BK20" i="1"/>
  <c r="AN20" i="8"/>
  <c r="AC20" i="7"/>
  <c r="P19" i="7"/>
  <c r="F19" i="9"/>
  <c r="K106" i="10"/>
  <c r="AA106" i="7"/>
  <c r="AE106" i="8" s="1"/>
  <c r="BC106" i="8" s="1"/>
  <c r="C19" i="8"/>
  <c r="X106" i="1"/>
  <c r="D108" i="7"/>
  <c r="F109" i="5"/>
  <c r="B108" i="10"/>
  <c r="DA105" i="5"/>
  <c r="AG102" i="7"/>
  <c r="AI102" i="7" s="1"/>
  <c r="AH102" i="7"/>
  <c r="CY106" i="5"/>
  <c r="DC102" i="8"/>
  <c r="DD102" i="8"/>
  <c r="DC106" i="5"/>
  <c r="F106" i="10"/>
  <c r="J107" i="5"/>
  <c r="H106" i="7"/>
  <c r="M107" i="2"/>
  <c r="DF107" i="8"/>
  <c r="G106" i="5"/>
  <c r="E105" i="7"/>
  <c r="CZ105" i="5"/>
  <c r="C105" i="10"/>
  <c r="DG106" i="5"/>
  <c r="N106" i="2"/>
  <c r="P108" i="2"/>
  <c r="H109" i="8"/>
  <c r="DF104" i="5"/>
  <c r="BO99" i="1" l="1"/>
  <c r="BY101" i="8"/>
  <c r="BT101" i="8"/>
  <c r="BP101" i="8"/>
  <c r="CF101" i="8"/>
  <c r="BU101" i="8"/>
  <c r="BZ101" i="8"/>
  <c r="BQ101" i="8"/>
  <c r="CG101" i="8"/>
  <c r="CA103" i="8"/>
  <c r="CH103" i="8"/>
  <c r="AF102" i="11"/>
  <c r="AE102" i="11"/>
  <c r="AC102" i="8" s="1"/>
  <c r="AU100" i="8"/>
  <c r="AT100" i="1" s="1"/>
  <c r="AV100" i="8"/>
  <c r="AW100" i="1" s="1"/>
  <c r="L100" i="1" s="1"/>
  <c r="BO100" i="1" s="1"/>
  <c r="AO106" i="11"/>
  <c r="L106" i="11"/>
  <c r="AG105" i="5"/>
  <c r="E105" i="9"/>
  <c r="B105" i="2"/>
  <c r="B105" i="1"/>
  <c r="BI105" i="1" s="1"/>
  <c r="AQ99" i="1"/>
  <c r="U99" i="1" s="1"/>
  <c r="J100" i="1" s="1"/>
  <c r="D99" i="11"/>
  <c r="AK99" i="5"/>
  <c r="BM99" i="1"/>
  <c r="AP99" i="8"/>
  <c r="AR99" i="1"/>
  <c r="V99" i="1" s="1"/>
  <c r="K100" i="1" s="1"/>
  <c r="C99" i="9"/>
  <c r="BN99" i="1"/>
  <c r="AR99" i="8"/>
  <c r="BC107" i="5"/>
  <c r="AC106" i="1"/>
  <c r="J106" i="2"/>
  <c r="AP102" i="5"/>
  <c r="BP108" i="5"/>
  <c r="AB107" i="1"/>
  <c r="BK109" i="5"/>
  <c r="AD107" i="1"/>
  <c r="BN110" i="5"/>
  <c r="AF108" i="1"/>
  <c r="BE107" i="5"/>
  <c r="AE105" i="1"/>
  <c r="W105" i="1" s="1"/>
  <c r="AZ110" i="5"/>
  <c r="O102" i="8"/>
  <c r="EI102" i="8"/>
  <c r="O107" i="1"/>
  <c r="DK107" i="8" s="1"/>
  <c r="DI106" i="8"/>
  <c r="DJ106" i="8"/>
  <c r="AS20" i="8"/>
  <c r="AO20" i="1"/>
  <c r="AD103" i="9"/>
  <c r="AV103" i="1" s="1"/>
  <c r="N106" i="1"/>
  <c r="AQ102" i="5"/>
  <c r="AU102" i="1" s="1"/>
  <c r="BL20" i="1"/>
  <c r="AT102" i="8"/>
  <c r="AQ102" i="8"/>
  <c r="F102" i="11"/>
  <c r="M103" i="1"/>
  <c r="AW102" i="8"/>
  <c r="Y102" i="11"/>
  <c r="AH102" i="1" s="1"/>
  <c r="AA102" i="11"/>
  <c r="AC102" i="11"/>
  <c r="T102" i="8" s="1"/>
  <c r="Z102" i="11"/>
  <c r="AC102" i="2" s="1"/>
  <c r="AD102" i="11"/>
  <c r="AI102" i="1" s="1"/>
  <c r="AB102" i="11"/>
  <c r="P102" i="8" s="1"/>
  <c r="EM100" i="8"/>
  <c r="G100" i="1" s="1"/>
  <c r="M100" i="8" s="1"/>
  <c r="A108" i="2"/>
  <c r="A108" i="7"/>
  <c r="J109" i="10"/>
  <c r="AD108" i="8"/>
  <c r="A108" i="8"/>
  <c r="B108" i="14"/>
  <c r="M108" i="5"/>
  <c r="A108" i="9"/>
  <c r="K108" i="11"/>
  <c r="CM108" i="8"/>
  <c r="AJ109" i="14"/>
  <c r="DR103" i="8"/>
  <c r="DS103" i="8"/>
  <c r="Q101" i="8"/>
  <c r="EP103" i="8"/>
  <c r="DT103" i="8"/>
  <c r="DX102" i="8"/>
  <c r="EB102" i="8" s="1"/>
  <c r="DZ101" i="8"/>
  <c r="DY102" i="8"/>
  <c r="CX103" i="8"/>
  <c r="DN103" i="8"/>
  <c r="DO103" i="8"/>
  <c r="E104" i="1"/>
  <c r="CU104" i="8"/>
  <c r="CT104" i="8"/>
  <c r="DQ104" i="8" s="1"/>
  <c r="CS104" i="8"/>
  <c r="DP104" i="8" s="1"/>
  <c r="Q103" i="7"/>
  <c r="Q104" i="1"/>
  <c r="E104" i="14" s="1"/>
  <c r="Y106" i="1"/>
  <c r="AU104" i="5"/>
  <c r="A104" i="10"/>
  <c r="AA104" i="10" s="1"/>
  <c r="AB103" i="2"/>
  <c r="AH104" i="5"/>
  <c r="AC104" i="10" s="1"/>
  <c r="BO104" i="8"/>
  <c r="DM104" i="8" s="1"/>
  <c r="W104" i="8"/>
  <c r="C104" i="14"/>
  <c r="EO104" i="8"/>
  <c r="AB104" i="8"/>
  <c r="AV104" i="5"/>
  <c r="CV103" i="8"/>
  <c r="CY103" i="8"/>
  <c r="EA103" i="8" s="1"/>
  <c r="I110" i="8"/>
  <c r="Q109" i="2"/>
  <c r="DG103" i="8"/>
  <c r="EG103" i="8" s="1"/>
  <c r="DB103" i="8"/>
  <c r="EC103" i="8" s="1"/>
  <c r="ED103" i="8" s="1"/>
  <c r="A104" i="11"/>
  <c r="CW103" i="8"/>
  <c r="D104" i="9"/>
  <c r="N103" i="7"/>
  <c r="BN104" i="8"/>
  <c r="CR104" i="8" s="1"/>
  <c r="B104" i="9"/>
  <c r="AI104" i="5"/>
  <c r="BS104" i="5"/>
  <c r="B104" i="7"/>
  <c r="AE104" i="7" s="1"/>
  <c r="AF104" i="7" s="1"/>
  <c r="DL104" i="8"/>
  <c r="CQ104" i="8"/>
  <c r="DA104" i="8" s="1"/>
  <c r="AL103" i="5"/>
  <c r="AO103" i="5"/>
  <c r="AN103" i="5"/>
  <c r="CO103" i="8"/>
  <c r="CN103" i="8"/>
  <c r="AC103" i="10"/>
  <c r="X103" i="10" s="1"/>
  <c r="Y103" i="10" s="1"/>
  <c r="AM103" i="5"/>
  <c r="EE101" i="8"/>
  <c r="EF101" i="8" s="1"/>
  <c r="DH103" i="8"/>
  <c r="EH103" i="8" s="1"/>
  <c r="N103" i="11"/>
  <c r="AR106" i="5"/>
  <c r="A105" i="5"/>
  <c r="E105" i="5" s="1"/>
  <c r="EQ105" i="8" s="1"/>
  <c r="CZ105" i="8" s="1"/>
  <c r="F106" i="7"/>
  <c r="D106" i="10"/>
  <c r="H107" i="5"/>
  <c r="V105" i="2"/>
  <c r="G105" i="10"/>
  <c r="K106" i="5"/>
  <c r="I105" i="7"/>
  <c r="DD105" i="5"/>
  <c r="DE105" i="5"/>
  <c r="H105" i="10"/>
  <c r="L106" i="5"/>
  <c r="J105" i="7"/>
  <c r="I107" i="5"/>
  <c r="E106" i="10"/>
  <c r="G106" i="7"/>
  <c r="DB106" i="5"/>
  <c r="AA107" i="7"/>
  <c r="AE107" i="8" s="1"/>
  <c r="BC107" i="8" s="1"/>
  <c r="K107" i="10"/>
  <c r="X107" i="1"/>
  <c r="AG103" i="7"/>
  <c r="AI103" i="7" s="1"/>
  <c r="AH103" i="7"/>
  <c r="R107" i="2"/>
  <c r="J108" i="8"/>
  <c r="CY107" i="5"/>
  <c r="P109" i="2"/>
  <c r="H110" i="8"/>
  <c r="O108" i="2"/>
  <c r="DE108" i="8"/>
  <c r="DG107" i="5"/>
  <c r="CZ106" i="5"/>
  <c r="E106" i="7"/>
  <c r="C106" i="10"/>
  <c r="G107" i="5"/>
  <c r="DC107" i="5"/>
  <c r="J108" i="5"/>
  <c r="F107" i="10"/>
  <c r="H107" i="7"/>
  <c r="EE102" i="8"/>
  <c r="EF102" i="8" s="1"/>
  <c r="P103" i="1"/>
  <c r="D102" i="14"/>
  <c r="B109" i="10"/>
  <c r="F110" i="5"/>
  <c r="D109" i="7"/>
  <c r="K109" i="8"/>
  <c r="S108" i="2"/>
  <c r="DA106" i="5"/>
  <c r="M108" i="2"/>
  <c r="DF108" i="8"/>
  <c r="N107" i="2"/>
  <c r="DD103" i="8"/>
  <c r="DC103" i="8"/>
  <c r="B106" i="5"/>
  <c r="DF105" i="5"/>
  <c r="AV101" i="8" l="1"/>
  <c r="AW101" i="1" s="1"/>
  <c r="L101" i="1" s="1"/>
  <c r="AU101" i="8"/>
  <c r="AT101" i="1" s="1"/>
  <c r="E100" i="11"/>
  <c r="AO100" i="8"/>
  <c r="AE103" i="11"/>
  <c r="AC103" i="8" s="1"/>
  <c r="AF103" i="11"/>
  <c r="CA104" i="8"/>
  <c r="CH104" i="8"/>
  <c r="BQ102" i="8"/>
  <c r="CF102" i="8"/>
  <c r="BZ102" i="8"/>
  <c r="BU102" i="8"/>
  <c r="BP102" i="8"/>
  <c r="BT102" i="8"/>
  <c r="CG102" i="8"/>
  <c r="BY102" i="8"/>
  <c r="AO107" i="11"/>
  <c r="L107" i="11"/>
  <c r="E106" i="9"/>
  <c r="AG106" i="5"/>
  <c r="B106" i="2"/>
  <c r="B106" i="1"/>
  <c r="BI106" i="1" s="1"/>
  <c r="AK100" i="5"/>
  <c r="D100" i="11"/>
  <c r="AQ100" i="1"/>
  <c r="U100" i="1" s="1"/>
  <c r="J101" i="1" s="1"/>
  <c r="BM100" i="1"/>
  <c r="AP100" i="8"/>
  <c r="BN100" i="1"/>
  <c r="AR100" i="1"/>
  <c r="V100" i="1" s="1"/>
  <c r="K101" i="1" s="1"/>
  <c r="C100" i="9"/>
  <c r="AR100" i="8"/>
  <c r="AC107" i="1"/>
  <c r="BC108" i="5"/>
  <c r="J107" i="2"/>
  <c r="BP109" i="5"/>
  <c r="AB108" i="1"/>
  <c r="AZ111" i="5"/>
  <c r="BK110" i="5"/>
  <c r="AD108" i="1"/>
  <c r="BN111" i="5"/>
  <c r="AF109" i="1"/>
  <c r="BE108" i="5"/>
  <c r="AE106" i="1"/>
  <c r="O103" i="8"/>
  <c r="O108" i="1"/>
  <c r="DK108" i="8" s="1"/>
  <c r="DI107" i="8"/>
  <c r="DJ107" i="8"/>
  <c r="AD104" i="9"/>
  <c r="AV104" i="1" s="1"/>
  <c r="N107" i="1"/>
  <c r="AM104" i="5"/>
  <c r="AN104" i="5"/>
  <c r="AT103" i="8"/>
  <c r="AQ103" i="8"/>
  <c r="F103" i="11"/>
  <c r="M104" i="1"/>
  <c r="AW103" i="8"/>
  <c r="AC103" i="11"/>
  <c r="T103" i="8" s="1"/>
  <c r="AA103" i="11"/>
  <c r="Y103" i="11"/>
  <c r="AH103" i="1" s="1"/>
  <c r="AD103" i="11"/>
  <c r="AI103" i="1" s="1"/>
  <c r="Z103" i="11"/>
  <c r="AC103" i="2" s="1"/>
  <c r="AB103" i="11"/>
  <c r="P103" i="8" s="1"/>
  <c r="N104" i="11"/>
  <c r="AO104" i="5"/>
  <c r="CM109" i="8"/>
  <c r="AJ110" i="14"/>
  <c r="A109" i="2"/>
  <c r="A109" i="9"/>
  <c r="J110" i="10"/>
  <c r="K109" i="11"/>
  <c r="A109" i="7"/>
  <c r="M109" i="5"/>
  <c r="AD109" i="8"/>
  <c r="A109" i="8"/>
  <c r="B109" i="14"/>
  <c r="DH104" i="8"/>
  <c r="EH104" i="8" s="1"/>
  <c r="DT104" i="8"/>
  <c r="DR104" i="8"/>
  <c r="DS104" i="8"/>
  <c r="EM101" i="8"/>
  <c r="G101" i="1" s="1"/>
  <c r="M101" i="8" s="1"/>
  <c r="DX103" i="8"/>
  <c r="EB103" i="8" s="1"/>
  <c r="DZ102" i="8"/>
  <c r="EM102" i="8" s="1"/>
  <c r="G102" i="1" s="1"/>
  <c r="M102" i="8" s="1"/>
  <c r="DY103" i="8"/>
  <c r="DG104" i="8"/>
  <c r="EG104" i="8" s="1"/>
  <c r="DN104" i="8"/>
  <c r="DO104" i="8"/>
  <c r="EP104" i="8"/>
  <c r="W105" i="8"/>
  <c r="CS105" i="8"/>
  <c r="DP105" i="8" s="1"/>
  <c r="CT105" i="8"/>
  <c r="DQ105" i="8" s="1"/>
  <c r="CU105" i="8"/>
  <c r="AL104" i="5"/>
  <c r="Y107" i="1"/>
  <c r="N104" i="7"/>
  <c r="X104" i="10"/>
  <c r="Y104" i="10" s="1"/>
  <c r="I111" i="8"/>
  <c r="Q110" i="2"/>
  <c r="EI103" i="8"/>
  <c r="CN104" i="8"/>
  <c r="CO104" i="8"/>
  <c r="D105" i="9"/>
  <c r="Q104" i="7"/>
  <c r="AP103" i="5"/>
  <c r="CW104" i="8"/>
  <c r="CY104" i="8"/>
  <c r="EA104" i="8" s="1"/>
  <c r="CV104" i="8"/>
  <c r="CX104" i="8"/>
  <c r="DB104" i="8"/>
  <c r="EC104" i="8" s="1"/>
  <c r="ED104" i="8" s="1"/>
  <c r="AQ103" i="5"/>
  <c r="AU103" i="1" s="1"/>
  <c r="Q102" i="8"/>
  <c r="AI105" i="5"/>
  <c r="BN105" i="8"/>
  <c r="CO105" i="8" s="1"/>
  <c r="AU105" i="5"/>
  <c r="BO105" i="8"/>
  <c r="DM105" i="8" s="1"/>
  <c r="Q105" i="1"/>
  <c r="E105" i="14" s="1"/>
  <c r="EO105" i="8"/>
  <c r="A105" i="11"/>
  <c r="AV105" i="5"/>
  <c r="E105" i="1"/>
  <c r="AB105" i="8"/>
  <c r="B105" i="9"/>
  <c r="A105" i="10"/>
  <c r="AA105" i="10" s="1"/>
  <c r="BS105" i="5"/>
  <c r="C105" i="14"/>
  <c r="CQ105" i="8"/>
  <c r="DA105" i="8" s="1"/>
  <c r="AB104" i="2"/>
  <c r="B105" i="7"/>
  <c r="Q105" i="7" s="1"/>
  <c r="DL105" i="8"/>
  <c r="AH105" i="5"/>
  <c r="H108" i="5"/>
  <c r="D107" i="10"/>
  <c r="F107" i="7"/>
  <c r="AR107" i="5"/>
  <c r="V106" i="2"/>
  <c r="A106" i="5"/>
  <c r="E106" i="5" s="1"/>
  <c r="EQ106" i="8" s="1"/>
  <c r="CZ106" i="8" s="1"/>
  <c r="DD106" i="5"/>
  <c r="K107" i="5"/>
  <c r="I106" i="7"/>
  <c r="G106" i="10"/>
  <c r="DE106" i="5"/>
  <c r="L107" i="5"/>
  <c r="J106" i="7"/>
  <c r="H106" i="10"/>
  <c r="E107" i="10"/>
  <c r="G107" i="7"/>
  <c r="DB107" i="5"/>
  <c r="I108" i="5"/>
  <c r="H111" i="8"/>
  <c r="P110" i="2"/>
  <c r="G108" i="5"/>
  <c r="E107" i="7"/>
  <c r="CZ107" i="5"/>
  <c r="C107" i="10"/>
  <c r="DC104" i="8"/>
  <c r="DD104" i="8"/>
  <c r="O109" i="2"/>
  <c r="DE109" i="8"/>
  <c r="J109" i="8"/>
  <c r="R108" i="2"/>
  <c r="AB20" i="7"/>
  <c r="B20" i="8"/>
  <c r="D20" i="2" s="1"/>
  <c r="H20" i="11"/>
  <c r="L20" i="2"/>
  <c r="E20" i="2"/>
  <c r="BD20" i="8"/>
  <c r="X108" i="1"/>
  <c r="K108" i="10"/>
  <c r="AA108" i="7"/>
  <c r="AE108" i="8" s="1"/>
  <c r="BC108" i="8" s="1"/>
  <c r="M109" i="2"/>
  <c r="DF109" i="8"/>
  <c r="AH104" i="7"/>
  <c r="AG104" i="7"/>
  <c r="AI104" i="7" s="1"/>
  <c r="F111" i="5"/>
  <c r="D110" i="7"/>
  <c r="B110" i="10"/>
  <c r="CY108" i="5"/>
  <c r="EE103" i="8"/>
  <c r="EF103" i="8" s="1"/>
  <c r="W106" i="1"/>
  <c r="DA107" i="5"/>
  <c r="K110" i="8"/>
  <c r="S109" i="2"/>
  <c r="B107" i="5"/>
  <c r="N108" i="2"/>
  <c r="J109" i="5"/>
  <c r="F108" i="10"/>
  <c r="H108" i="7"/>
  <c r="DC108" i="5"/>
  <c r="D103" i="14"/>
  <c r="P104" i="1"/>
  <c r="DG108" i="5"/>
  <c r="DF106" i="5"/>
  <c r="BO101" i="1" l="1"/>
  <c r="E101" i="11"/>
  <c r="AO101" i="8"/>
  <c r="AE104" i="11"/>
  <c r="AC104" i="8" s="1"/>
  <c r="AF104" i="11"/>
  <c r="BQ103" i="8"/>
  <c r="BT103" i="8"/>
  <c r="BU103" i="8"/>
  <c r="CG103" i="8"/>
  <c r="CF103" i="8"/>
  <c r="BP103" i="8"/>
  <c r="BY103" i="8"/>
  <c r="BZ103" i="8"/>
  <c r="CA105" i="8"/>
  <c r="CH105" i="8"/>
  <c r="AU102" i="8"/>
  <c r="AT102" i="1" s="1"/>
  <c r="AV102" i="8"/>
  <c r="AW102" i="1" s="1"/>
  <c r="L102" i="1" s="1"/>
  <c r="E102" i="11" s="1"/>
  <c r="AO108" i="11"/>
  <c r="L108" i="11"/>
  <c r="E107" i="9"/>
  <c r="AG107" i="5"/>
  <c r="B107" i="2"/>
  <c r="B107" i="1"/>
  <c r="BI107" i="1" s="1"/>
  <c r="D101" i="11"/>
  <c r="BM101" i="1"/>
  <c r="AK101" i="5"/>
  <c r="AQ101" i="1"/>
  <c r="U101" i="1" s="1"/>
  <c r="J102" i="1" s="1"/>
  <c r="AP101" i="8"/>
  <c r="AR101" i="8"/>
  <c r="BN101" i="1"/>
  <c r="C101" i="9"/>
  <c r="AR101" i="1"/>
  <c r="V101" i="1" s="1"/>
  <c r="K102" i="1" s="1"/>
  <c r="BC109" i="5"/>
  <c r="AC108" i="1"/>
  <c r="B108" i="5"/>
  <c r="BN112" i="5"/>
  <c r="AF110" i="1"/>
  <c r="BE109" i="5"/>
  <c r="AE107" i="1"/>
  <c r="W107" i="1" s="1"/>
  <c r="BP110" i="5"/>
  <c r="AB109" i="1"/>
  <c r="AZ112" i="5"/>
  <c r="BK111" i="5"/>
  <c r="AD109" i="1"/>
  <c r="O104" i="8"/>
  <c r="O109" i="1"/>
  <c r="DK109" i="8" s="1"/>
  <c r="DJ108" i="8"/>
  <c r="DI108" i="8"/>
  <c r="AD105" i="9"/>
  <c r="AV105" i="1" s="1"/>
  <c r="N108" i="1"/>
  <c r="AQ104" i="5"/>
  <c r="AU104" i="1" s="1"/>
  <c r="AP104" i="5"/>
  <c r="AT104" i="8"/>
  <c r="AW104" i="8"/>
  <c r="AQ104" i="8"/>
  <c r="F104" i="11"/>
  <c r="M105" i="1"/>
  <c r="Y104" i="11"/>
  <c r="AH104" i="1" s="1"/>
  <c r="AA104" i="11"/>
  <c r="AC104" i="11"/>
  <c r="T104" i="8" s="1"/>
  <c r="Z104" i="11"/>
  <c r="AC104" i="2" s="1"/>
  <c r="AD104" i="11"/>
  <c r="AI104" i="1" s="1"/>
  <c r="AB104" i="11"/>
  <c r="P104" i="8" s="1"/>
  <c r="A110" i="2"/>
  <c r="M110" i="5"/>
  <c r="J111" i="10"/>
  <c r="AD110" i="8"/>
  <c r="B110" i="14"/>
  <c r="K110" i="11"/>
  <c r="A110" i="7"/>
  <c r="A110" i="9"/>
  <c r="A110" i="8"/>
  <c r="AJ111" i="14"/>
  <c r="CM110" i="8"/>
  <c r="EI104" i="8"/>
  <c r="EP105" i="8"/>
  <c r="DT105" i="8"/>
  <c r="DR105" i="8"/>
  <c r="DS105" i="8"/>
  <c r="DX104" i="8"/>
  <c r="EB104" i="8" s="1"/>
  <c r="DZ103" i="8"/>
  <c r="EM103" i="8" s="1"/>
  <c r="G103" i="1" s="1"/>
  <c r="M103" i="8" s="1"/>
  <c r="DG105" i="8"/>
  <c r="EG105" i="8" s="1"/>
  <c r="DN105" i="8"/>
  <c r="DO105" i="8"/>
  <c r="CS106" i="8"/>
  <c r="DP106" i="8" s="1"/>
  <c r="CT106" i="8"/>
  <c r="DQ106" i="8" s="1"/>
  <c r="CU106" i="8"/>
  <c r="J108" i="2"/>
  <c r="Y108" i="1"/>
  <c r="Q111" i="2"/>
  <c r="I112" i="8"/>
  <c r="Q103" i="8"/>
  <c r="DY104" i="8"/>
  <c r="DH105" i="8"/>
  <c r="EH105" i="8" s="1"/>
  <c r="N105" i="11"/>
  <c r="CW105" i="8"/>
  <c r="CV105" i="8"/>
  <c r="CY105" i="8"/>
  <c r="EA105" i="8" s="1"/>
  <c r="CX105" i="8"/>
  <c r="DB105" i="8"/>
  <c r="EC105" i="8" s="1"/>
  <c r="ED105" i="8" s="1"/>
  <c r="AO105" i="5"/>
  <c r="AN105" i="5"/>
  <c r="N105" i="7"/>
  <c r="AE105" i="7"/>
  <c r="AF105" i="7" s="1"/>
  <c r="CN105" i="8"/>
  <c r="AL105" i="5"/>
  <c r="AM105" i="5"/>
  <c r="AC105" i="10"/>
  <c r="X105" i="10" s="1"/>
  <c r="Y105" i="10" s="1"/>
  <c r="D106" i="9"/>
  <c r="AR108" i="5"/>
  <c r="CR105" i="8"/>
  <c r="DD105" i="8" s="1"/>
  <c r="D108" i="10"/>
  <c r="F108" i="7"/>
  <c r="H109" i="5"/>
  <c r="A107" i="5"/>
  <c r="E107" i="5" s="1"/>
  <c r="EQ107" i="8" s="1"/>
  <c r="CZ107" i="8" s="1"/>
  <c r="V107" i="2"/>
  <c r="DD107" i="5"/>
  <c r="G107" i="10"/>
  <c r="K108" i="5"/>
  <c r="I107" i="7"/>
  <c r="J107" i="7"/>
  <c r="DE107" i="5"/>
  <c r="H107" i="10"/>
  <c r="L108" i="5"/>
  <c r="E108" i="10"/>
  <c r="G108" i="7"/>
  <c r="DB108" i="5"/>
  <c r="I109" i="5"/>
  <c r="DG109" i="5"/>
  <c r="B111" i="10"/>
  <c r="F112" i="5"/>
  <c r="D111" i="7"/>
  <c r="B106" i="9"/>
  <c r="A106" i="10"/>
  <c r="AA106" i="10" s="1"/>
  <c r="C106" i="14"/>
  <c r="AU106" i="5"/>
  <c r="Q106" i="1"/>
  <c r="E106" i="14" s="1"/>
  <c r="W106" i="8"/>
  <c r="AV106" i="5"/>
  <c r="B106" i="7"/>
  <c r="E106" i="1"/>
  <c r="BS106" i="5"/>
  <c r="A106" i="11"/>
  <c r="AB105" i="2"/>
  <c r="AI106" i="5"/>
  <c r="AH106" i="5"/>
  <c r="BN106" i="8"/>
  <c r="BO106" i="8"/>
  <c r="DM106" i="8" s="1"/>
  <c r="AB106" i="8"/>
  <c r="EO106" i="8"/>
  <c r="DT106" i="8" s="1"/>
  <c r="DL106" i="8"/>
  <c r="CQ106" i="8"/>
  <c r="DA106" i="8" s="1"/>
  <c r="CY109" i="5"/>
  <c r="S110" i="2"/>
  <c r="K111" i="8"/>
  <c r="U20" i="2"/>
  <c r="J110" i="8"/>
  <c r="R109" i="2"/>
  <c r="H112" i="8"/>
  <c r="P111" i="2"/>
  <c r="C108" i="10"/>
  <c r="E108" i="7"/>
  <c r="G109" i="5"/>
  <c r="CZ108" i="5"/>
  <c r="N109" i="2"/>
  <c r="AA109" i="7"/>
  <c r="AE109" i="8" s="1"/>
  <c r="BC109" i="8" s="1"/>
  <c r="K109" i="10"/>
  <c r="M110" i="2"/>
  <c r="DF110" i="8"/>
  <c r="J110" i="5"/>
  <c r="DC109" i="5"/>
  <c r="F109" i="10"/>
  <c r="H109" i="7"/>
  <c r="DA108" i="5"/>
  <c r="X109" i="1"/>
  <c r="EE104" i="8"/>
  <c r="EF104" i="8" s="1"/>
  <c r="DE110" i="8"/>
  <c r="O110" i="2"/>
  <c r="P105" i="1"/>
  <c r="D104" i="14"/>
  <c r="DF107" i="5"/>
  <c r="AU103" i="8" l="1"/>
  <c r="AT103" i="1" s="1"/>
  <c r="BO102" i="1"/>
  <c r="AE105" i="11"/>
  <c r="AC105" i="8" s="1"/>
  <c r="AF105" i="11"/>
  <c r="CF104" i="8"/>
  <c r="BZ104" i="8"/>
  <c r="BP104" i="8"/>
  <c r="BY104" i="8"/>
  <c r="BU104" i="8"/>
  <c r="CG104" i="8"/>
  <c r="BQ104" i="8"/>
  <c r="BT104" i="8"/>
  <c r="AO102" i="8"/>
  <c r="AV103" i="8"/>
  <c r="AW103" i="1" s="1"/>
  <c r="L103" i="1" s="1"/>
  <c r="CA106" i="8"/>
  <c r="CH106" i="8"/>
  <c r="AO109" i="11"/>
  <c r="L109" i="11"/>
  <c r="AG108" i="5"/>
  <c r="E108" i="9"/>
  <c r="B108" i="1"/>
  <c r="BI108" i="1" s="1"/>
  <c r="B108" i="2"/>
  <c r="W19" i="2"/>
  <c r="C20" i="2" s="1"/>
  <c r="BM102" i="1"/>
  <c r="AK102" i="5"/>
  <c r="AQ102" i="1"/>
  <c r="U102" i="1" s="1"/>
  <c r="J103" i="1" s="1"/>
  <c r="D102" i="11"/>
  <c r="AP102" i="8"/>
  <c r="AR102" i="8"/>
  <c r="BN102" i="1"/>
  <c r="C102" i="9"/>
  <c r="AR102" i="1"/>
  <c r="V102" i="1" s="1"/>
  <c r="K103" i="1" s="1"/>
  <c r="AC109" i="1"/>
  <c r="BC110" i="5"/>
  <c r="AZ113" i="5"/>
  <c r="BN113" i="5"/>
  <c r="AF111" i="1"/>
  <c r="BK112" i="5"/>
  <c r="AD110" i="1"/>
  <c r="BE110" i="5"/>
  <c r="AE108" i="1"/>
  <c r="W108" i="1" s="1"/>
  <c r="BP111" i="5"/>
  <c r="AB110" i="1"/>
  <c r="N109" i="1"/>
  <c r="O110" i="1"/>
  <c r="DK110" i="8" s="1"/>
  <c r="DI109" i="8"/>
  <c r="DJ109" i="8"/>
  <c r="AD106" i="9"/>
  <c r="AV106" i="1" s="1"/>
  <c r="AT105" i="8"/>
  <c r="AQ105" i="8"/>
  <c r="M106" i="1"/>
  <c r="F105" i="11"/>
  <c r="AW105" i="8"/>
  <c r="AA105" i="11"/>
  <c r="AC105" i="11"/>
  <c r="T105" i="8" s="1"/>
  <c r="Y105" i="11"/>
  <c r="AH105" i="1" s="1"/>
  <c r="AB105" i="11"/>
  <c r="P105" i="8" s="1"/>
  <c r="AD105" i="11"/>
  <c r="AI105" i="1" s="1"/>
  <c r="Z105" i="11"/>
  <c r="AC105" i="2" s="1"/>
  <c r="A111" i="2"/>
  <c r="M111" i="5"/>
  <c r="J112" i="10"/>
  <c r="K111" i="11"/>
  <c r="A111" i="7"/>
  <c r="A111" i="8"/>
  <c r="AD111" i="8"/>
  <c r="B111" i="14"/>
  <c r="A111" i="9"/>
  <c r="AJ112" i="14"/>
  <c r="CM111" i="8"/>
  <c r="DR106" i="8"/>
  <c r="DS106" i="8"/>
  <c r="DZ104" i="8"/>
  <c r="EM104" i="8" s="1"/>
  <c r="G104" i="1" s="1"/>
  <c r="M104" i="8" s="1"/>
  <c r="DX105" i="8"/>
  <c r="EB105" i="8" s="1"/>
  <c r="DN106" i="8"/>
  <c r="DO106" i="8"/>
  <c r="EI105" i="8"/>
  <c r="CT107" i="8"/>
  <c r="DQ107" i="8" s="1"/>
  <c r="CU107" i="8"/>
  <c r="CS107" i="8"/>
  <c r="DP107" i="8" s="1"/>
  <c r="Y109" i="1"/>
  <c r="AG105" i="7"/>
  <c r="AI105" i="7" s="1"/>
  <c r="AH105" i="7"/>
  <c r="Q112" i="2"/>
  <c r="I113" i="8"/>
  <c r="Q104" i="8"/>
  <c r="DY105" i="8"/>
  <c r="AQ105" i="5"/>
  <c r="AU105" i="1" s="1"/>
  <c r="AP105" i="5"/>
  <c r="DC105" i="8"/>
  <c r="EE105" i="8" s="1"/>
  <c r="EF105" i="8" s="1"/>
  <c r="AR109" i="5"/>
  <c r="D109" i="10"/>
  <c r="H110" i="5"/>
  <c r="F109" i="7"/>
  <c r="H108" i="10"/>
  <c r="J108" i="7"/>
  <c r="L109" i="5"/>
  <c r="DE108" i="5"/>
  <c r="A108" i="5"/>
  <c r="E108" i="5" s="1"/>
  <c r="EQ108" i="8" s="1"/>
  <c r="CZ108" i="8" s="1"/>
  <c r="DD108" i="5"/>
  <c r="I108" i="7"/>
  <c r="G108" i="10"/>
  <c r="K109" i="5"/>
  <c r="V108" i="2"/>
  <c r="E109" i="10"/>
  <c r="DB109" i="5"/>
  <c r="I110" i="5"/>
  <c r="G109" i="7"/>
  <c r="S111" i="2"/>
  <c r="K112" i="8"/>
  <c r="X110" i="1"/>
  <c r="N110" i="2"/>
  <c r="CY106" i="8"/>
  <c r="EA106" i="8" s="1"/>
  <c r="CV106" i="8"/>
  <c r="CW106" i="8"/>
  <c r="CX106" i="8"/>
  <c r="DG106" i="8"/>
  <c r="EG106" i="8" s="1"/>
  <c r="DB106" i="8"/>
  <c r="EC106" i="8" s="1"/>
  <c r="ED106" i="8" s="1"/>
  <c r="AO106" i="5"/>
  <c r="AC106" i="10"/>
  <c r="X106" i="10" s="1"/>
  <c r="Y106" i="10" s="1"/>
  <c r="AM106" i="5"/>
  <c r="AL106" i="5"/>
  <c r="DE111" i="8"/>
  <c r="O111" i="2"/>
  <c r="H110" i="7"/>
  <c r="DC110" i="5"/>
  <c r="J111" i="5"/>
  <c r="F110" i="10"/>
  <c r="K110" i="10"/>
  <c r="AA110" i="7"/>
  <c r="AE110" i="8" s="1"/>
  <c r="BC110" i="8" s="1"/>
  <c r="CO106" i="8"/>
  <c r="CN106" i="8"/>
  <c r="CR106" i="8"/>
  <c r="D107" i="9"/>
  <c r="DG110" i="5"/>
  <c r="P106" i="1"/>
  <c r="D105" i="14"/>
  <c r="CY110" i="5"/>
  <c r="Q106" i="7"/>
  <c r="AE106" i="7"/>
  <c r="AF106" i="7" s="1"/>
  <c r="CZ109" i="5"/>
  <c r="G110" i="5"/>
  <c r="E109" i="7"/>
  <c r="C109" i="10"/>
  <c r="AN106" i="5"/>
  <c r="B109" i="5"/>
  <c r="P112" i="2"/>
  <c r="H113" i="8"/>
  <c r="D112" i="7"/>
  <c r="B112" i="10"/>
  <c r="F113" i="5"/>
  <c r="Q107" i="1"/>
  <c r="E107" i="14" s="1"/>
  <c r="BS107" i="5"/>
  <c r="A107" i="10"/>
  <c r="AA107" i="10" s="1"/>
  <c r="E107" i="1"/>
  <c r="W107" i="8"/>
  <c r="B107" i="7"/>
  <c r="B107" i="9"/>
  <c r="AD107" i="9" s="1"/>
  <c r="AV107" i="1" s="1"/>
  <c r="AV107" i="5"/>
  <c r="C107" i="14"/>
  <c r="AU107" i="5"/>
  <c r="A107" i="11"/>
  <c r="AB106" i="2"/>
  <c r="AI107" i="5"/>
  <c r="AH107" i="5"/>
  <c r="BN107" i="8"/>
  <c r="BO107" i="8"/>
  <c r="DM107" i="8" s="1"/>
  <c r="EO107" i="8"/>
  <c r="DT107" i="8" s="1"/>
  <c r="AB107" i="8"/>
  <c r="CQ107" i="8"/>
  <c r="DA107" i="8" s="1"/>
  <c r="DL107" i="8"/>
  <c r="DF111" i="8"/>
  <c r="M111" i="2"/>
  <c r="J111" i="8"/>
  <c r="R110" i="2"/>
  <c r="N106" i="7"/>
  <c r="DA109" i="5"/>
  <c r="DH106" i="8"/>
  <c r="EH106" i="8" s="1"/>
  <c r="EP106" i="8"/>
  <c r="N106" i="11"/>
  <c r="J109" i="2"/>
  <c r="DF108" i="5"/>
  <c r="AU104" i="8" l="1"/>
  <c r="AT104" i="1" s="1"/>
  <c r="E103" i="11"/>
  <c r="BO103" i="1"/>
  <c r="AO103" i="8"/>
  <c r="AV104" i="8"/>
  <c r="AW104" i="1" s="1"/>
  <c r="L104" i="1" s="1"/>
  <c r="CA107" i="8"/>
  <c r="CH107" i="8"/>
  <c r="AE106" i="11"/>
  <c r="AC106" i="8" s="1"/>
  <c r="AF106" i="11"/>
  <c r="BY105" i="8"/>
  <c r="CG105" i="8"/>
  <c r="BU105" i="8"/>
  <c r="CF105" i="8"/>
  <c r="BQ105" i="8"/>
  <c r="BT105" i="8"/>
  <c r="BZ105" i="8"/>
  <c r="BP105" i="8"/>
  <c r="AO110" i="11"/>
  <c r="L110" i="11"/>
  <c r="E109" i="9"/>
  <c r="AG109" i="5"/>
  <c r="B109" i="1"/>
  <c r="BI109" i="1" s="1"/>
  <c r="B109" i="2"/>
  <c r="R20" i="8"/>
  <c r="S20" i="8" s="1"/>
  <c r="V20" i="8" s="1"/>
  <c r="F20" i="2"/>
  <c r="AP20" i="1" s="1"/>
  <c r="T20" i="1" s="1"/>
  <c r="I21" i="1" s="1"/>
  <c r="I20" i="2"/>
  <c r="I20" i="11" s="1"/>
  <c r="F20" i="1"/>
  <c r="H20" i="2"/>
  <c r="AP103" i="8"/>
  <c r="AQ103" i="1"/>
  <c r="U103" i="1" s="1"/>
  <c r="J104" i="1" s="1"/>
  <c r="BM103" i="1"/>
  <c r="D103" i="11"/>
  <c r="AK103" i="5"/>
  <c r="AR103" i="8"/>
  <c r="C103" i="9"/>
  <c r="BN103" i="1"/>
  <c r="AR103" i="1"/>
  <c r="V103" i="1" s="1"/>
  <c r="K104" i="1" s="1"/>
  <c r="AC110" i="1"/>
  <c r="BC111" i="5"/>
  <c r="J110" i="2"/>
  <c r="BE111" i="5"/>
  <c r="AE109" i="1"/>
  <c r="W109" i="1" s="1"/>
  <c r="AZ114" i="5"/>
  <c r="BP112" i="5"/>
  <c r="AB111" i="1"/>
  <c r="BN114" i="5"/>
  <c r="AF112" i="1"/>
  <c r="BK113" i="5"/>
  <c r="AD111" i="1"/>
  <c r="O105" i="8"/>
  <c r="Q105" i="8" s="1"/>
  <c r="N110" i="1"/>
  <c r="O111" i="1"/>
  <c r="DK111" i="8" s="1"/>
  <c r="DI110" i="8"/>
  <c r="DJ110" i="8"/>
  <c r="AT106" i="8"/>
  <c r="AW106" i="8"/>
  <c r="AQ106" i="8"/>
  <c r="M107" i="1"/>
  <c r="F106" i="11"/>
  <c r="Y106" i="11"/>
  <c r="AH106" i="1" s="1"/>
  <c r="AA106" i="11"/>
  <c r="AC106" i="11"/>
  <c r="T106" i="8" s="1"/>
  <c r="Z106" i="11"/>
  <c r="AC106" i="2" s="1"/>
  <c r="AB106" i="11"/>
  <c r="P106" i="8" s="1"/>
  <c r="AD106" i="11"/>
  <c r="AI106" i="1" s="1"/>
  <c r="AJ113" i="14"/>
  <c r="CM112" i="8"/>
  <c r="A112" i="2"/>
  <c r="A112" i="9"/>
  <c r="B112" i="14"/>
  <c r="K112" i="11"/>
  <c r="J113" i="10"/>
  <c r="M112" i="5"/>
  <c r="A112" i="7"/>
  <c r="AD112" i="8"/>
  <c r="A112" i="8"/>
  <c r="DR107" i="8"/>
  <c r="DS107" i="8"/>
  <c r="DZ105" i="8"/>
  <c r="EM105" i="8" s="1"/>
  <c r="G105" i="1" s="1"/>
  <c r="M105" i="8" s="1"/>
  <c r="DX106" i="8"/>
  <c r="EB106" i="8" s="1"/>
  <c r="DN107" i="8"/>
  <c r="DO107" i="8"/>
  <c r="E108" i="1"/>
  <c r="CS108" i="8"/>
  <c r="DP108" i="8" s="1"/>
  <c r="CT108" i="8"/>
  <c r="DQ108" i="8" s="1"/>
  <c r="CU108" i="8"/>
  <c r="Y110" i="1"/>
  <c r="I114" i="8"/>
  <c r="Q113" i="2"/>
  <c r="DL108" i="8"/>
  <c r="EO108" i="8"/>
  <c r="AU108" i="5"/>
  <c r="V109" i="2"/>
  <c r="A108" i="10"/>
  <c r="AA108" i="10" s="1"/>
  <c r="B108" i="9"/>
  <c r="BS108" i="5"/>
  <c r="AB108" i="8"/>
  <c r="AB107" i="2"/>
  <c r="AV108" i="5"/>
  <c r="AI108" i="5"/>
  <c r="Q108" i="1"/>
  <c r="E108" i="14" s="1"/>
  <c r="A108" i="11"/>
  <c r="BN108" i="8"/>
  <c r="CR108" i="8" s="1"/>
  <c r="C108" i="14"/>
  <c r="AH108" i="5"/>
  <c r="AC108" i="10" s="1"/>
  <c r="W108" i="8"/>
  <c r="BO108" i="8"/>
  <c r="DM108" i="8" s="1"/>
  <c r="B108" i="7"/>
  <c r="AE108" i="7" s="1"/>
  <c r="AF108" i="7" s="1"/>
  <c r="F110" i="7"/>
  <c r="D110" i="10"/>
  <c r="H111" i="5"/>
  <c r="L110" i="5"/>
  <c r="H109" i="10"/>
  <c r="J109" i="7"/>
  <c r="DE109" i="5"/>
  <c r="I109" i="7"/>
  <c r="DD109" i="5"/>
  <c r="G109" i="10"/>
  <c r="K110" i="5"/>
  <c r="AR110" i="5"/>
  <c r="A109" i="5"/>
  <c r="E109" i="5" s="1"/>
  <c r="EQ109" i="8" s="1"/>
  <c r="CZ109" i="8" s="1"/>
  <c r="CQ108" i="8"/>
  <c r="DA108" i="8" s="1"/>
  <c r="I111" i="5"/>
  <c r="E110" i="10"/>
  <c r="G110" i="7"/>
  <c r="DB110" i="5"/>
  <c r="DY106" i="8"/>
  <c r="D108" i="9"/>
  <c r="N107" i="11"/>
  <c r="O112" i="2"/>
  <c r="DE112" i="8"/>
  <c r="DA110" i="5"/>
  <c r="N107" i="7"/>
  <c r="DC106" i="8"/>
  <c r="O106" i="8" s="1"/>
  <c r="DD106" i="8"/>
  <c r="EI106" i="8"/>
  <c r="B110" i="5"/>
  <c r="J112" i="8"/>
  <c r="R111" i="2"/>
  <c r="M112" i="2"/>
  <c r="DF112" i="8"/>
  <c r="AA111" i="7"/>
  <c r="AE111" i="8" s="1"/>
  <c r="BC111" i="8" s="1"/>
  <c r="K111" i="10"/>
  <c r="DB107" i="8"/>
  <c r="EC107" i="8" s="1"/>
  <c r="ED107" i="8" s="1"/>
  <c r="CY107" i="8"/>
  <c r="EA107" i="8" s="1"/>
  <c r="DG107" i="8"/>
  <c r="EG107" i="8" s="1"/>
  <c r="CV107" i="8"/>
  <c r="CW107" i="8"/>
  <c r="CX107" i="8"/>
  <c r="S112" i="2"/>
  <c r="K113" i="8"/>
  <c r="AN107" i="5"/>
  <c r="AO107" i="5"/>
  <c r="AC107" i="10"/>
  <c r="X107" i="10" s="1"/>
  <c r="Y107" i="10" s="1"/>
  <c r="AM107" i="5"/>
  <c r="AL107" i="5"/>
  <c r="AE107" i="7"/>
  <c r="AF107" i="7" s="1"/>
  <c r="Q107" i="7"/>
  <c r="X111" i="1"/>
  <c r="AQ106" i="5"/>
  <c r="AU106" i="1" s="1"/>
  <c r="DH107" i="8"/>
  <c r="EH107" i="8" s="1"/>
  <c r="EP107" i="8"/>
  <c r="DG111" i="5"/>
  <c r="B113" i="10"/>
  <c r="F114" i="5"/>
  <c r="D113" i="7"/>
  <c r="P113" i="2"/>
  <c r="H114" i="8"/>
  <c r="AG106" i="7"/>
  <c r="AI106" i="7" s="1"/>
  <c r="AH106" i="7"/>
  <c r="D106" i="14"/>
  <c r="P107" i="1"/>
  <c r="AP106" i="5"/>
  <c r="C110" i="10"/>
  <c r="E110" i="7"/>
  <c r="CZ110" i="5"/>
  <c r="G111" i="5"/>
  <c r="CO107" i="8"/>
  <c r="CR107" i="8"/>
  <c r="CN107" i="8"/>
  <c r="CY111" i="5"/>
  <c r="J112" i="5"/>
  <c r="DC111" i="5"/>
  <c r="F111" i="10"/>
  <c r="H111" i="7"/>
  <c r="N111" i="2"/>
  <c r="DF109" i="5"/>
  <c r="AO104" i="8" l="1"/>
  <c r="E104" i="11"/>
  <c r="BO104" i="1"/>
  <c r="AE107" i="11"/>
  <c r="AC107" i="8" s="1"/>
  <c r="AF107" i="11"/>
  <c r="AV105" i="8"/>
  <c r="AW105" i="1" s="1"/>
  <c r="L105" i="1" s="1"/>
  <c r="CF106" i="8"/>
  <c r="BT106" i="8"/>
  <c r="BZ106" i="8"/>
  <c r="BY106" i="8"/>
  <c r="CG106" i="8"/>
  <c r="BP106" i="8"/>
  <c r="BU106" i="8"/>
  <c r="BQ106" i="8"/>
  <c r="AV106" i="8" s="1"/>
  <c r="AW106" i="1" s="1"/>
  <c r="CA108" i="8"/>
  <c r="CH108" i="8"/>
  <c r="AU105" i="8"/>
  <c r="AT105" i="1" s="1"/>
  <c r="AO111" i="11"/>
  <c r="J20" i="11"/>
  <c r="F20" i="9" s="1"/>
  <c r="AA20" i="1"/>
  <c r="S20" i="1" s="1"/>
  <c r="H21" i="1" s="1"/>
  <c r="AJ21" i="5" s="1"/>
  <c r="G20" i="2"/>
  <c r="Z20" i="2" s="1"/>
  <c r="Z21" i="8" s="1"/>
  <c r="O20" i="7"/>
  <c r="U20" i="8"/>
  <c r="E110" i="9"/>
  <c r="L111" i="11"/>
  <c r="AG110" i="5"/>
  <c r="B110" i="1"/>
  <c r="BI110" i="1" s="1"/>
  <c r="B110" i="2"/>
  <c r="AP104" i="8"/>
  <c r="AK104" i="5"/>
  <c r="AQ104" i="1"/>
  <c r="U104" i="1" s="1"/>
  <c r="J105" i="1" s="1"/>
  <c r="BM104" i="1"/>
  <c r="D104" i="11"/>
  <c r="AR104" i="8"/>
  <c r="C104" i="9"/>
  <c r="BN104" i="1"/>
  <c r="AR104" i="1"/>
  <c r="V104" i="1" s="1"/>
  <c r="K105" i="1" s="1"/>
  <c r="AC111" i="1"/>
  <c r="BC112" i="5"/>
  <c r="BK114" i="5"/>
  <c r="AD112" i="1"/>
  <c r="BE112" i="5"/>
  <c r="AE110" i="1"/>
  <c r="AZ115" i="5"/>
  <c r="BP113" i="5"/>
  <c r="AB112" i="1"/>
  <c r="BN115" i="5"/>
  <c r="AF113" i="1"/>
  <c r="N111" i="1"/>
  <c r="O112" i="1"/>
  <c r="DK112" i="8" s="1"/>
  <c r="DI111" i="8"/>
  <c r="DJ111" i="8"/>
  <c r="AD108" i="9"/>
  <c r="AV108" i="1" s="1"/>
  <c r="AT107" i="8"/>
  <c r="AW107" i="8"/>
  <c r="AQ107" i="8"/>
  <c r="M108" i="1"/>
  <c r="F107" i="11"/>
  <c r="Y107" i="11"/>
  <c r="AH107" i="1" s="1"/>
  <c r="AA107" i="11"/>
  <c r="AC107" i="11"/>
  <c r="T107" i="8" s="1"/>
  <c r="Z107" i="11"/>
  <c r="AC107" i="2" s="1"/>
  <c r="AB107" i="11"/>
  <c r="P107" i="8" s="1"/>
  <c r="AD107" i="11"/>
  <c r="AI107" i="1" s="1"/>
  <c r="DZ106" i="8"/>
  <c r="AJ114" i="14"/>
  <c r="CM113" i="8"/>
  <c r="A113" i="2"/>
  <c r="K113" i="11"/>
  <c r="A113" i="7"/>
  <c r="B113" i="14"/>
  <c r="M113" i="5"/>
  <c r="A113" i="9"/>
  <c r="A113" i="8"/>
  <c r="J114" i="10"/>
  <c r="AD113" i="8"/>
  <c r="DR108" i="8"/>
  <c r="DS108" i="8"/>
  <c r="EP108" i="8"/>
  <c r="DT108" i="8"/>
  <c r="DX107" i="8"/>
  <c r="EB107" i="8" s="1"/>
  <c r="CY108" i="8"/>
  <c r="EA108" i="8" s="1"/>
  <c r="DN108" i="8"/>
  <c r="DO108" i="8"/>
  <c r="CU109" i="8"/>
  <c r="CS109" i="8"/>
  <c r="DP109" i="8" s="1"/>
  <c r="CT109" i="8"/>
  <c r="DQ109" i="8" s="1"/>
  <c r="DH108" i="8"/>
  <c r="EH108" i="8" s="1"/>
  <c r="D109" i="9"/>
  <c r="Y111" i="1"/>
  <c r="AL108" i="5"/>
  <c r="N108" i="7"/>
  <c r="I115" i="8"/>
  <c r="Q114" i="2"/>
  <c r="CN108" i="8"/>
  <c r="AN108" i="5"/>
  <c r="AO108" i="5"/>
  <c r="AM108" i="5"/>
  <c r="Q108" i="7"/>
  <c r="X108" i="10"/>
  <c r="Y108" i="10" s="1"/>
  <c r="N108" i="11"/>
  <c r="CO108" i="8"/>
  <c r="CV108" i="8"/>
  <c r="D111" i="10"/>
  <c r="F111" i="7"/>
  <c r="H112" i="5"/>
  <c r="CW108" i="8"/>
  <c r="CX108" i="8"/>
  <c r="DE110" i="5"/>
  <c r="J110" i="7"/>
  <c r="H110" i="10"/>
  <c r="L111" i="5"/>
  <c r="V110" i="2"/>
  <c r="DG108" i="8"/>
  <c r="EG108" i="8" s="1"/>
  <c r="DB108" i="8"/>
  <c r="EC108" i="8" s="1"/>
  <c r="ED108" i="8" s="1"/>
  <c r="DD110" i="5"/>
  <c r="K111" i="5"/>
  <c r="G110" i="10"/>
  <c r="I110" i="7"/>
  <c r="A110" i="5"/>
  <c r="E110" i="5" s="1"/>
  <c r="EQ110" i="8" s="1"/>
  <c r="CZ110" i="8" s="1"/>
  <c r="AR111" i="5"/>
  <c r="I112" i="5"/>
  <c r="E111" i="10"/>
  <c r="G111" i="7"/>
  <c r="DB111" i="5"/>
  <c r="AQ107" i="5"/>
  <c r="AU107" i="1" s="1"/>
  <c r="CZ111" i="5"/>
  <c r="E111" i="7"/>
  <c r="G112" i="5"/>
  <c r="C111" i="10"/>
  <c r="W110" i="1"/>
  <c r="DA111" i="5"/>
  <c r="AG108" i="7"/>
  <c r="AI108" i="7" s="1"/>
  <c r="AH108" i="7"/>
  <c r="M113" i="2"/>
  <c r="DF113" i="8"/>
  <c r="DE113" i="8"/>
  <c r="O113" i="2"/>
  <c r="AP107" i="5"/>
  <c r="EI107" i="8"/>
  <c r="DG112" i="5"/>
  <c r="AG107" i="7"/>
  <c r="AI107" i="7" s="1"/>
  <c r="AH107" i="7"/>
  <c r="CY112" i="5"/>
  <c r="X112" i="1"/>
  <c r="B111" i="5"/>
  <c r="DY107" i="8"/>
  <c r="P114" i="2"/>
  <c r="H115" i="8"/>
  <c r="J113" i="8"/>
  <c r="R112" i="2"/>
  <c r="J111" i="2"/>
  <c r="P108" i="1"/>
  <c r="D107" i="14"/>
  <c r="W109" i="8"/>
  <c r="C109" i="14"/>
  <c r="BS109" i="5"/>
  <c r="Q109" i="1"/>
  <c r="E109" i="14" s="1"/>
  <c r="A109" i="10"/>
  <c r="AA109" i="10" s="1"/>
  <c r="B109" i="7"/>
  <c r="AU109" i="5"/>
  <c r="AV109" i="5"/>
  <c r="E109" i="1"/>
  <c r="B109" i="9"/>
  <c r="A109" i="11"/>
  <c r="AB108" i="2"/>
  <c r="AH109" i="5"/>
  <c r="AI109" i="5"/>
  <c r="BN109" i="8"/>
  <c r="BO109" i="8"/>
  <c r="DM109" i="8" s="1"/>
  <c r="AB109" i="8"/>
  <c r="EO109" i="8"/>
  <c r="DT109" i="8" s="1"/>
  <c r="CQ109" i="8"/>
  <c r="DA109" i="8" s="1"/>
  <c r="DL109" i="8"/>
  <c r="EE106" i="8"/>
  <c r="EF106" i="8" s="1"/>
  <c r="Q106" i="8"/>
  <c r="N112" i="2"/>
  <c r="J113" i="5"/>
  <c r="H112" i="7"/>
  <c r="F112" i="10"/>
  <c r="DC112" i="5"/>
  <c r="DD107" i="8"/>
  <c r="DC107" i="8"/>
  <c r="O107" i="8" s="1"/>
  <c r="B114" i="10"/>
  <c r="F115" i="5"/>
  <c r="D114" i="7"/>
  <c r="K114" i="8"/>
  <c r="S113" i="2"/>
  <c r="K112" i="10"/>
  <c r="AA112" i="7"/>
  <c r="AE112" i="8" s="1"/>
  <c r="BC112" i="8" s="1"/>
  <c r="DD108" i="8"/>
  <c r="DC108" i="8"/>
  <c r="DF110" i="5"/>
  <c r="AU106" i="8" l="1"/>
  <c r="AT106" i="1" s="1"/>
  <c r="AO105" i="8"/>
  <c r="L106" i="1"/>
  <c r="BO106" i="1" s="1"/>
  <c r="BO105" i="1"/>
  <c r="E105" i="11"/>
  <c r="CA109" i="8"/>
  <c r="CH109" i="8"/>
  <c r="AE108" i="11"/>
  <c r="AC108" i="8" s="1"/>
  <c r="AF108" i="11"/>
  <c r="BY107" i="8"/>
  <c r="BQ107" i="8"/>
  <c r="BT107" i="8"/>
  <c r="CG107" i="8"/>
  <c r="BZ107" i="8"/>
  <c r="CF107" i="8"/>
  <c r="BP107" i="8"/>
  <c r="BU107" i="8"/>
  <c r="AO112" i="11"/>
  <c r="C20" i="8"/>
  <c r="P20" i="7"/>
  <c r="AN21" i="8"/>
  <c r="BK21" i="1"/>
  <c r="V21" i="10"/>
  <c r="AC21" i="7"/>
  <c r="C21" i="11"/>
  <c r="AG111" i="5"/>
  <c r="L112" i="11"/>
  <c r="E111" i="9"/>
  <c r="B111" i="2"/>
  <c r="B111" i="1"/>
  <c r="BI111" i="1" s="1"/>
  <c r="E106" i="11"/>
  <c r="J112" i="2"/>
  <c r="AQ105" i="1"/>
  <c r="U105" i="1" s="1"/>
  <c r="J106" i="1" s="1"/>
  <c r="D105" i="11"/>
  <c r="AK105" i="5"/>
  <c r="BM105" i="1"/>
  <c r="AO106" i="8"/>
  <c r="AP105" i="8"/>
  <c r="AR105" i="8"/>
  <c r="C105" i="9"/>
  <c r="AR105" i="1"/>
  <c r="V105" i="1" s="1"/>
  <c r="K106" i="1" s="1"/>
  <c r="BN105" i="1"/>
  <c r="BC113" i="5"/>
  <c r="AC112" i="1"/>
  <c r="BP114" i="5"/>
  <c r="AB113" i="1"/>
  <c r="BK115" i="5"/>
  <c r="AD113" i="1"/>
  <c r="BN116" i="5"/>
  <c r="AF114" i="1"/>
  <c r="BE113" i="5"/>
  <c r="AE111" i="1"/>
  <c r="W111" i="1" s="1"/>
  <c r="AZ116" i="5"/>
  <c r="O108" i="8"/>
  <c r="N112" i="1"/>
  <c r="O113" i="1"/>
  <c r="DK113" i="8" s="1"/>
  <c r="DJ112" i="8"/>
  <c r="DI112" i="8"/>
  <c r="AS21" i="8"/>
  <c r="AO21" i="1"/>
  <c r="AD109" i="9"/>
  <c r="AV109" i="1" s="1"/>
  <c r="BL21" i="1"/>
  <c r="AT108" i="8"/>
  <c r="AQ108" i="8"/>
  <c r="M109" i="1"/>
  <c r="F108" i="11"/>
  <c r="AW108" i="8"/>
  <c r="AC108" i="11"/>
  <c r="T108" i="8" s="1"/>
  <c r="AA108" i="11"/>
  <c r="Y108" i="11"/>
  <c r="AH108" i="1" s="1"/>
  <c r="Z108" i="11"/>
  <c r="AC108" i="2" s="1"/>
  <c r="AD108" i="11"/>
  <c r="AI108" i="1" s="1"/>
  <c r="AB108" i="11"/>
  <c r="P108" i="8" s="1"/>
  <c r="EM106" i="8"/>
  <c r="G106" i="1" s="1"/>
  <c r="M106" i="8" s="1"/>
  <c r="AJ115" i="14"/>
  <c r="CM114" i="8"/>
  <c r="DZ107" i="8"/>
  <c r="A114" i="2"/>
  <c r="M114" i="5"/>
  <c r="B114" i="14"/>
  <c r="A114" i="9"/>
  <c r="K114" i="11"/>
  <c r="J115" i="10"/>
  <c r="AD114" i="8"/>
  <c r="A114" i="7"/>
  <c r="A114" i="8"/>
  <c r="DR109" i="8"/>
  <c r="DS109" i="8"/>
  <c r="DX108" i="8"/>
  <c r="EB108" i="8" s="1"/>
  <c r="DN109" i="8"/>
  <c r="DO109" i="8"/>
  <c r="CS110" i="8"/>
  <c r="DP110" i="8" s="1"/>
  <c r="CT110" i="8"/>
  <c r="DQ110" i="8" s="1"/>
  <c r="CU110" i="8"/>
  <c r="D110" i="9"/>
  <c r="EI108" i="8"/>
  <c r="Y112" i="1"/>
  <c r="AP108" i="5"/>
  <c r="Q115" i="2"/>
  <c r="I116" i="8"/>
  <c r="CQ110" i="8"/>
  <c r="DA110" i="8" s="1"/>
  <c r="AQ108" i="5"/>
  <c r="AU108" i="1" s="1"/>
  <c r="V111" i="2"/>
  <c r="AB110" i="8"/>
  <c r="F112" i="7"/>
  <c r="H113" i="5"/>
  <c r="D112" i="10"/>
  <c r="BS110" i="5"/>
  <c r="E110" i="1"/>
  <c r="DL110" i="8"/>
  <c r="AU110" i="5"/>
  <c r="AB109" i="2"/>
  <c r="A111" i="5"/>
  <c r="E111" i="5" s="1"/>
  <c r="AH110" i="5"/>
  <c r="AC110" i="10" s="1"/>
  <c r="AI110" i="5"/>
  <c r="DY108" i="8"/>
  <c r="Q110" i="1"/>
  <c r="E110" i="14" s="1"/>
  <c r="BO110" i="8"/>
  <c r="DM110" i="8" s="1"/>
  <c r="A110" i="11"/>
  <c r="EO110" i="8"/>
  <c r="C110" i="14"/>
  <c r="AR112" i="5"/>
  <c r="AV110" i="5"/>
  <c r="DD111" i="5"/>
  <c r="I111" i="7"/>
  <c r="K112" i="5"/>
  <c r="G111" i="10"/>
  <c r="DE111" i="5"/>
  <c r="L112" i="5"/>
  <c r="J111" i="7"/>
  <c r="H111" i="10"/>
  <c r="B110" i="7"/>
  <c r="AE110" i="7" s="1"/>
  <c r="AF110" i="7" s="1"/>
  <c r="A110" i="10"/>
  <c r="AA110" i="10" s="1"/>
  <c r="B110" i="9"/>
  <c r="BN110" i="8"/>
  <c r="W110" i="8"/>
  <c r="I113" i="5"/>
  <c r="E112" i="10"/>
  <c r="DB112" i="5"/>
  <c r="G112" i="7"/>
  <c r="AN109" i="5"/>
  <c r="EE107" i="8"/>
  <c r="EF107" i="8" s="1"/>
  <c r="Q107" i="8"/>
  <c r="N113" i="2"/>
  <c r="B115" i="10"/>
  <c r="F116" i="5"/>
  <c r="D115" i="7"/>
  <c r="N109" i="7"/>
  <c r="N109" i="11"/>
  <c r="EE108" i="8"/>
  <c r="EF108" i="8" s="1"/>
  <c r="DC113" i="5"/>
  <c r="H113" i="7"/>
  <c r="J114" i="5"/>
  <c r="F113" i="10"/>
  <c r="DH109" i="8"/>
  <c r="EH109" i="8" s="1"/>
  <c r="EP109" i="8"/>
  <c r="R113" i="2"/>
  <c r="J114" i="8"/>
  <c r="P115" i="2"/>
  <c r="H116" i="8"/>
  <c r="X113" i="1"/>
  <c r="DA112" i="5"/>
  <c r="DG109" i="8"/>
  <c r="EG109" i="8" s="1"/>
  <c r="CW109" i="8"/>
  <c r="CV109" i="8"/>
  <c r="CY109" i="8"/>
  <c r="EA109" i="8" s="1"/>
  <c r="DB109" i="8"/>
  <c r="EC109" i="8" s="1"/>
  <c r="ED109" i="8" s="1"/>
  <c r="CX109" i="8"/>
  <c r="AC109" i="10"/>
  <c r="X109" i="10" s="1"/>
  <c r="Y109" i="10" s="1"/>
  <c r="AM109" i="5"/>
  <c r="AO109" i="5"/>
  <c r="AL109" i="5"/>
  <c r="P109" i="1"/>
  <c r="D108" i="14"/>
  <c r="K115" i="8"/>
  <c r="S114" i="2"/>
  <c r="Q109" i="7"/>
  <c r="AE109" i="7"/>
  <c r="AF109" i="7" s="1"/>
  <c r="CY113" i="5"/>
  <c r="DG113" i="5"/>
  <c r="CN109" i="8"/>
  <c r="CO109" i="8"/>
  <c r="CR109" i="8"/>
  <c r="Y20" i="2"/>
  <c r="X20" i="2" s="1"/>
  <c r="O114" i="2"/>
  <c r="DE114" i="8"/>
  <c r="G113" i="5"/>
  <c r="E112" i="7"/>
  <c r="CZ112" i="5"/>
  <c r="C112" i="10"/>
  <c r="AA113" i="7"/>
  <c r="AE113" i="8" s="1"/>
  <c r="BC113" i="8" s="1"/>
  <c r="K113" i="10"/>
  <c r="M114" i="2"/>
  <c r="DF114" i="8"/>
  <c r="B112" i="5"/>
  <c r="DF111" i="5"/>
  <c r="AU107" i="8" l="1"/>
  <c r="AT107" i="1" s="1"/>
  <c r="AF109" i="11"/>
  <c r="AE109" i="11"/>
  <c r="AC109" i="8" s="1"/>
  <c r="CA110" i="8"/>
  <c r="CH110" i="8"/>
  <c r="AV107" i="8"/>
  <c r="AW107" i="1" s="1"/>
  <c r="L107" i="1" s="1"/>
  <c r="E107" i="11" s="1"/>
  <c r="BP108" i="8"/>
  <c r="CF108" i="8"/>
  <c r="CG108" i="8"/>
  <c r="BT108" i="8"/>
  <c r="BY108" i="8"/>
  <c r="BZ108" i="8"/>
  <c r="BU108" i="8"/>
  <c r="BQ108" i="8"/>
  <c r="AO113" i="11"/>
  <c r="L113" i="11"/>
  <c r="E112" i="9"/>
  <c r="AG112" i="5"/>
  <c r="B112" i="1"/>
  <c r="BI112" i="1" s="1"/>
  <c r="B112" i="2"/>
  <c r="AO107" i="8"/>
  <c r="BO107" i="1"/>
  <c r="BM106" i="1"/>
  <c r="D106" i="11"/>
  <c r="AQ106" i="1"/>
  <c r="U106" i="1" s="1"/>
  <c r="J107" i="1" s="1"/>
  <c r="AK106" i="5"/>
  <c r="AP106" i="8"/>
  <c r="AR106" i="8"/>
  <c r="BN106" i="1"/>
  <c r="AR106" i="1"/>
  <c r="V106" i="1" s="1"/>
  <c r="K107" i="1" s="1"/>
  <c r="C106" i="9"/>
  <c r="AC113" i="1"/>
  <c r="BC114" i="5"/>
  <c r="B113" i="5"/>
  <c r="BP115" i="5"/>
  <c r="AB114" i="1"/>
  <c r="AZ117" i="5"/>
  <c r="BK116" i="5"/>
  <c r="AD114" i="1"/>
  <c r="BN117" i="5"/>
  <c r="AF115" i="1"/>
  <c r="BE114" i="5"/>
  <c r="AE112" i="1"/>
  <c r="N113" i="1"/>
  <c r="O114" i="1"/>
  <c r="DK114" i="8" s="1"/>
  <c r="DI113" i="8"/>
  <c r="DJ113" i="8"/>
  <c r="E111" i="1"/>
  <c r="EQ111" i="8"/>
  <c r="CZ111" i="8" s="1"/>
  <c r="AD110" i="9"/>
  <c r="AV110" i="1" s="1"/>
  <c r="A111" i="11"/>
  <c r="AT109" i="8"/>
  <c r="AW109" i="8"/>
  <c r="AQ109" i="8"/>
  <c r="M110" i="1"/>
  <c r="F109" i="11"/>
  <c r="Y109" i="11"/>
  <c r="AH109" i="1" s="1"/>
  <c r="AC109" i="11"/>
  <c r="T109" i="8" s="1"/>
  <c r="AA109" i="11"/>
  <c r="Z109" i="11"/>
  <c r="AC109" i="2" s="1"/>
  <c r="AB109" i="11"/>
  <c r="P109" i="8" s="1"/>
  <c r="AD109" i="11"/>
  <c r="AI109" i="1" s="1"/>
  <c r="EM107" i="8"/>
  <c r="G107" i="1" s="1"/>
  <c r="M107" i="8" s="1"/>
  <c r="A115" i="2"/>
  <c r="A115" i="7"/>
  <c r="A115" i="9"/>
  <c r="M115" i="5"/>
  <c r="A115" i="8"/>
  <c r="K115" i="11"/>
  <c r="B115" i="14"/>
  <c r="AD115" i="8"/>
  <c r="J116" i="10"/>
  <c r="AJ116" i="14"/>
  <c r="CM115" i="8"/>
  <c r="B111" i="9"/>
  <c r="DR110" i="8"/>
  <c r="DS110" i="8"/>
  <c r="W111" i="8"/>
  <c r="C111" i="14"/>
  <c r="AB110" i="2"/>
  <c r="BN111" i="8"/>
  <c r="CR111" i="8" s="1"/>
  <c r="BS111" i="5"/>
  <c r="BO111" i="8"/>
  <c r="DM111" i="8" s="1"/>
  <c r="Q111" i="1"/>
  <c r="E111" i="14" s="1"/>
  <c r="EP110" i="8"/>
  <c r="DT110" i="8"/>
  <c r="EO111" i="8"/>
  <c r="DT111" i="8" s="1"/>
  <c r="DX109" i="8"/>
  <c r="EB109" i="8" s="1"/>
  <c r="DZ108" i="8"/>
  <c r="EM108" i="8" s="1"/>
  <c r="G108" i="1" s="1"/>
  <c r="M108" i="8" s="1"/>
  <c r="DB110" i="8"/>
  <c r="EC110" i="8" s="1"/>
  <c r="ED110" i="8" s="1"/>
  <c r="DN110" i="8"/>
  <c r="DO110" i="8"/>
  <c r="AV111" i="5"/>
  <c r="CS111" i="8"/>
  <c r="DP111" i="8" s="1"/>
  <c r="CT111" i="8"/>
  <c r="DQ111" i="8" s="1"/>
  <c r="CU111" i="8"/>
  <c r="D111" i="9"/>
  <c r="D112" i="9" s="1"/>
  <c r="Y113" i="1"/>
  <c r="J113" i="2"/>
  <c r="AB111" i="8"/>
  <c r="AU111" i="5"/>
  <c r="A111" i="10"/>
  <c r="AA111" i="10" s="1"/>
  <c r="AI111" i="5"/>
  <c r="B111" i="7"/>
  <c r="AE111" i="7" s="1"/>
  <c r="AF111" i="7" s="1"/>
  <c r="AH111" i="5"/>
  <c r="AC111" i="10" s="1"/>
  <c r="CO110" i="8"/>
  <c r="CN110" i="8"/>
  <c r="CR110" i="8"/>
  <c r="DC110" i="8" s="1"/>
  <c r="N110" i="11"/>
  <c r="DH110" i="8"/>
  <c r="EH110" i="8" s="1"/>
  <c r="Q116" i="2"/>
  <c r="I117" i="8"/>
  <c r="DG110" i="8"/>
  <c r="EG110" i="8" s="1"/>
  <c r="CY110" i="8"/>
  <c r="EA110" i="8" s="1"/>
  <c r="CV110" i="8"/>
  <c r="CW110" i="8"/>
  <c r="CX110" i="8"/>
  <c r="CQ111" i="8"/>
  <c r="DL111" i="8"/>
  <c r="AO110" i="5"/>
  <c r="AR113" i="5"/>
  <c r="AM110" i="5"/>
  <c r="AN110" i="5"/>
  <c r="N110" i="7"/>
  <c r="F113" i="7"/>
  <c r="D113" i="10"/>
  <c r="H114" i="5"/>
  <c r="AL110" i="5"/>
  <c r="V112" i="2"/>
  <c r="Q110" i="7"/>
  <c r="A112" i="5"/>
  <c r="E112" i="5" s="1"/>
  <c r="EQ112" i="8" s="1"/>
  <c r="CZ112" i="8" s="1"/>
  <c r="X110" i="10"/>
  <c r="Y110" i="10" s="1"/>
  <c r="DD112" i="5"/>
  <c r="K113" i="5"/>
  <c r="G112" i="10"/>
  <c r="I112" i="7"/>
  <c r="J112" i="7"/>
  <c r="H112" i="10"/>
  <c r="DE112" i="5"/>
  <c r="L113" i="5"/>
  <c r="G113" i="7"/>
  <c r="I114" i="5"/>
  <c r="DB113" i="5"/>
  <c r="E113" i="10"/>
  <c r="EI109" i="8"/>
  <c r="AP109" i="5"/>
  <c r="Q108" i="8"/>
  <c r="AQ109" i="5"/>
  <c r="AU109" i="1" s="1"/>
  <c r="DY109" i="8"/>
  <c r="M115" i="2"/>
  <c r="DF115" i="8"/>
  <c r="K116" i="8"/>
  <c r="S115" i="2"/>
  <c r="AH110" i="7"/>
  <c r="AG110" i="7"/>
  <c r="AI110" i="7" s="1"/>
  <c r="J115" i="8"/>
  <c r="R114" i="2"/>
  <c r="CY114" i="5"/>
  <c r="B21" i="8"/>
  <c r="D21" i="2" s="1"/>
  <c r="E21" i="2"/>
  <c r="BD21" i="8"/>
  <c r="AB21" i="7"/>
  <c r="L21" i="2"/>
  <c r="H21" i="11"/>
  <c r="P110" i="1"/>
  <c r="D109" i="14"/>
  <c r="O115" i="2"/>
  <c r="DE115" i="8"/>
  <c r="DD109" i="8"/>
  <c r="DC109" i="8"/>
  <c r="O109" i="8" s="1"/>
  <c r="AG109" i="7"/>
  <c r="AI109" i="7" s="1"/>
  <c r="AH109" i="7"/>
  <c r="W112" i="1"/>
  <c r="DA113" i="5"/>
  <c r="B116" i="10"/>
  <c r="D116" i="7"/>
  <c r="F117" i="5"/>
  <c r="P116" i="2"/>
  <c r="H117" i="8"/>
  <c r="J115" i="5"/>
  <c r="DC114" i="5"/>
  <c r="F114" i="10"/>
  <c r="H114" i="7"/>
  <c r="DG114" i="5"/>
  <c r="C113" i="10"/>
  <c r="G114" i="5"/>
  <c r="CZ113" i="5"/>
  <c r="E113" i="7"/>
  <c r="X114" i="1"/>
  <c r="AA114" i="7"/>
  <c r="AE114" i="8" s="1"/>
  <c r="BC114" i="8" s="1"/>
  <c r="K114" i="10"/>
  <c r="N114" i="2"/>
  <c r="DF112" i="5"/>
  <c r="AV108" i="8" l="1"/>
  <c r="AW108" i="1" s="1"/>
  <c r="L108" i="1" s="1"/>
  <c r="E108" i="11" s="1"/>
  <c r="CA111" i="8"/>
  <c r="CH111" i="8"/>
  <c r="AU108" i="8"/>
  <c r="AT108" i="1" s="1"/>
  <c r="BQ109" i="8"/>
  <c r="CG109" i="8"/>
  <c r="CF109" i="8"/>
  <c r="BY109" i="8"/>
  <c r="BU109" i="8"/>
  <c r="BZ109" i="8"/>
  <c r="BT109" i="8"/>
  <c r="BP109" i="8"/>
  <c r="AE110" i="11"/>
  <c r="AC110" i="8" s="1"/>
  <c r="AF110" i="11"/>
  <c r="AO114" i="11"/>
  <c r="Z110" i="11"/>
  <c r="AC110" i="2" s="1"/>
  <c r="AO108" i="8"/>
  <c r="AG113" i="5"/>
  <c r="L114" i="11"/>
  <c r="E113" i="9"/>
  <c r="B113" i="2"/>
  <c r="B113" i="1"/>
  <c r="BI113" i="1" s="1"/>
  <c r="AQ107" i="1"/>
  <c r="U107" i="1" s="1"/>
  <c r="J108" i="1" s="1"/>
  <c r="AK107" i="5"/>
  <c r="BM107" i="1"/>
  <c r="D107" i="11"/>
  <c r="AP107" i="8"/>
  <c r="AR107" i="8"/>
  <c r="AR107" i="1"/>
  <c r="V107" i="1" s="1"/>
  <c r="K108" i="1" s="1"/>
  <c r="C107" i="9"/>
  <c r="BN107" i="1"/>
  <c r="AC114" i="1"/>
  <c r="BC115" i="5"/>
  <c r="BN118" i="5"/>
  <c r="AF116" i="1"/>
  <c r="BE115" i="5"/>
  <c r="AE113" i="1"/>
  <c r="W113" i="1" s="1"/>
  <c r="BP116" i="5"/>
  <c r="AB115" i="1"/>
  <c r="AZ118" i="5"/>
  <c r="BK117" i="5"/>
  <c r="AD115" i="1"/>
  <c r="O110" i="8"/>
  <c r="CW111" i="8"/>
  <c r="DA111" i="8"/>
  <c r="N114" i="1"/>
  <c r="O115" i="1"/>
  <c r="DK115" i="8" s="1"/>
  <c r="DI114" i="8"/>
  <c r="DJ114" i="8"/>
  <c r="AD111" i="9"/>
  <c r="AV111" i="1" s="1"/>
  <c r="CN111" i="8"/>
  <c r="CO111" i="8"/>
  <c r="AN111" i="5"/>
  <c r="AC110" i="11"/>
  <c r="T110" i="8" s="1"/>
  <c r="N111" i="11"/>
  <c r="Y110" i="11"/>
  <c r="AH110" i="1" s="1"/>
  <c r="AA110" i="11"/>
  <c r="X111" i="10"/>
  <c r="Y111" i="10" s="1"/>
  <c r="AD110" i="11"/>
  <c r="AI110" i="1" s="1"/>
  <c r="AB110" i="11"/>
  <c r="P110" i="8" s="1"/>
  <c r="AT110" i="8"/>
  <c r="AW110" i="8"/>
  <c r="AQ110" i="8"/>
  <c r="M111" i="1"/>
  <c r="F110" i="11"/>
  <c r="EP111" i="8"/>
  <c r="DH111" i="8"/>
  <c r="EH111" i="8" s="1"/>
  <c r="AM111" i="5"/>
  <c r="AL111" i="5"/>
  <c r="A116" i="2"/>
  <c r="A116" i="7"/>
  <c r="J117" i="10"/>
  <c r="AD116" i="8"/>
  <c r="A116" i="8"/>
  <c r="B116" i="14"/>
  <c r="M116" i="5"/>
  <c r="A116" i="9"/>
  <c r="K116" i="11"/>
  <c r="AJ117" i="14"/>
  <c r="CM116" i="8"/>
  <c r="N111" i="7"/>
  <c r="AO111" i="5"/>
  <c r="Q111" i="7"/>
  <c r="DR111" i="8"/>
  <c r="DS111" i="8"/>
  <c r="DZ109" i="8"/>
  <c r="DX110" i="8"/>
  <c r="EB110" i="8" s="1"/>
  <c r="CY111" i="8"/>
  <c r="EA111" i="8" s="1"/>
  <c r="DN111" i="8"/>
  <c r="DO111" i="8"/>
  <c r="AV112" i="5"/>
  <c r="CU112" i="8"/>
  <c r="CT112" i="8"/>
  <c r="DQ112" i="8" s="1"/>
  <c r="CS112" i="8"/>
  <c r="DP112" i="8" s="1"/>
  <c r="DD110" i="8"/>
  <c r="EE110" i="8" s="1"/>
  <c r="EF110" i="8" s="1"/>
  <c r="Y114" i="1"/>
  <c r="EI110" i="8"/>
  <c r="Q117" i="2"/>
  <c r="I118" i="8"/>
  <c r="CX111" i="8"/>
  <c r="DY110" i="8"/>
  <c r="CV111" i="8"/>
  <c r="DG111" i="8"/>
  <c r="EG111" i="8" s="1"/>
  <c r="DB111" i="8"/>
  <c r="EC111" i="8" s="1"/>
  <c r="ED111" i="8" s="1"/>
  <c r="CQ112" i="8"/>
  <c r="DA112" i="8" s="1"/>
  <c r="AP110" i="5"/>
  <c r="AQ110" i="5"/>
  <c r="AU110" i="1" s="1"/>
  <c r="V113" i="2"/>
  <c r="AR114" i="5"/>
  <c r="A113" i="5"/>
  <c r="E113" i="5" s="1"/>
  <c r="EQ113" i="8" s="1"/>
  <c r="CZ113" i="8" s="1"/>
  <c r="Q112" i="1"/>
  <c r="E112" i="14" s="1"/>
  <c r="H115" i="5"/>
  <c r="D114" i="10"/>
  <c r="F114" i="7"/>
  <c r="W112" i="8"/>
  <c r="A112" i="10"/>
  <c r="AA112" i="10" s="1"/>
  <c r="EO112" i="8"/>
  <c r="B112" i="9"/>
  <c r="AB111" i="2"/>
  <c r="BN112" i="8"/>
  <c r="CR112" i="8" s="1"/>
  <c r="B112" i="7"/>
  <c r="AE112" i="7" s="1"/>
  <c r="AF112" i="7" s="1"/>
  <c r="AI112" i="5"/>
  <c r="BS112" i="5"/>
  <c r="AH112" i="5"/>
  <c r="AC112" i="10" s="1"/>
  <c r="AU112" i="5"/>
  <c r="DL112" i="8"/>
  <c r="BO112" i="8"/>
  <c r="DM112" i="8" s="1"/>
  <c r="E112" i="1"/>
  <c r="AB112" i="8"/>
  <c r="C112" i="14"/>
  <c r="A112" i="11"/>
  <c r="DD113" i="5"/>
  <c r="K114" i="5"/>
  <c r="I113" i="7"/>
  <c r="G113" i="10"/>
  <c r="L114" i="5"/>
  <c r="H113" i="10"/>
  <c r="DE113" i="5"/>
  <c r="J113" i="7"/>
  <c r="I115" i="5"/>
  <c r="G114" i="7"/>
  <c r="E114" i="10"/>
  <c r="DB114" i="5"/>
  <c r="DG115" i="5"/>
  <c r="U21" i="2"/>
  <c r="W20" i="2" s="1"/>
  <c r="C21" i="2" s="1"/>
  <c r="R115" i="2"/>
  <c r="J116" i="8"/>
  <c r="AH111" i="7"/>
  <c r="AG111" i="7"/>
  <c r="AI111" i="7" s="1"/>
  <c r="P117" i="2"/>
  <c r="H118" i="8"/>
  <c r="EE109" i="8"/>
  <c r="EF109" i="8" s="1"/>
  <c r="Q109" i="8"/>
  <c r="P111" i="1"/>
  <c r="D110" i="14"/>
  <c r="DA114" i="5"/>
  <c r="O116" i="2"/>
  <c r="DE116" i="8"/>
  <c r="AA115" i="7"/>
  <c r="AE115" i="8" s="1"/>
  <c r="BC115" i="8" s="1"/>
  <c r="K115" i="10"/>
  <c r="H115" i="7"/>
  <c r="DC115" i="5"/>
  <c r="J116" i="5"/>
  <c r="F115" i="10"/>
  <c r="DC111" i="8"/>
  <c r="DD111" i="8"/>
  <c r="M116" i="2"/>
  <c r="DF116" i="8"/>
  <c r="B114" i="5"/>
  <c r="K117" i="8"/>
  <c r="S116" i="2"/>
  <c r="B117" i="10"/>
  <c r="F118" i="5"/>
  <c r="D117" i="7"/>
  <c r="CY115" i="5"/>
  <c r="N115" i="2"/>
  <c r="X115" i="1"/>
  <c r="E114" i="7"/>
  <c r="G115" i="5"/>
  <c r="CZ114" i="5"/>
  <c r="C114" i="10"/>
  <c r="J114" i="2"/>
  <c r="DF113" i="5"/>
  <c r="BO108" i="1" l="1"/>
  <c r="AU109" i="8"/>
  <c r="AT109" i="1" s="1"/>
  <c r="AF111" i="11"/>
  <c r="AE111" i="11"/>
  <c r="AC111" i="8" s="1"/>
  <c r="CA112" i="8"/>
  <c r="CH112" i="8"/>
  <c r="CG110" i="8"/>
  <c r="CF110" i="8"/>
  <c r="BY110" i="8"/>
  <c r="BT110" i="8"/>
  <c r="BU110" i="8"/>
  <c r="BQ110" i="8"/>
  <c r="BZ110" i="8"/>
  <c r="BP110" i="8"/>
  <c r="AV109" i="8"/>
  <c r="AW109" i="1" s="1"/>
  <c r="L109" i="1" s="1"/>
  <c r="BO109" i="1" s="1"/>
  <c r="AO115" i="11"/>
  <c r="L115" i="11"/>
  <c r="AG114" i="5"/>
  <c r="E114" i="9"/>
  <c r="B114" i="2"/>
  <c r="B114" i="1"/>
  <c r="BI114" i="1" s="1"/>
  <c r="J115" i="2"/>
  <c r="D108" i="11"/>
  <c r="AK108" i="5"/>
  <c r="AQ108" i="1"/>
  <c r="U108" i="1" s="1"/>
  <c r="J109" i="1" s="1"/>
  <c r="BM108" i="1"/>
  <c r="AP108" i="8"/>
  <c r="AR108" i="8"/>
  <c r="BN108" i="1"/>
  <c r="C108" i="9"/>
  <c r="AR108" i="1"/>
  <c r="V108" i="1" s="1"/>
  <c r="K109" i="1" s="1"/>
  <c r="AC115" i="1"/>
  <c r="BC116" i="5"/>
  <c r="AZ119" i="5"/>
  <c r="BN119" i="5"/>
  <c r="AF117" i="1"/>
  <c r="BK118" i="5"/>
  <c r="AD116" i="1"/>
  <c r="BE116" i="5"/>
  <c r="AE114" i="1"/>
  <c r="W114" i="1" s="1"/>
  <c r="BP117" i="5"/>
  <c r="AB116" i="1"/>
  <c r="R21" i="8"/>
  <c r="S21" i="8" s="1"/>
  <c r="O111" i="8"/>
  <c r="DY111" i="8"/>
  <c r="N115" i="1"/>
  <c r="O116" i="1"/>
  <c r="DK116" i="8" s="1"/>
  <c r="DI115" i="8"/>
  <c r="DJ115" i="8"/>
  <c r="AD112" i="9"/>
  <c r="AV112" i="1" s="1"/>
  <c r="AP111" i="5"/>
  <c r="Q110" i="8"/>
  <c r="AT111" i="8"/>
  <c r="AQ111" i="8"/>
  <c r="F111" i="11"/>
  <c r="M112" i="1"/>
  <c r="AW111" i="8"/>
  <c r="AC111" i="11"/>
  <c r="T111" i="8" s="1"/>
  <c r="AA111" i="11"/>
  <c r="Y111" i="11"/>
  <c r="AH111" i="1" s="1"/>
  <c r="AB111" i="11"/>
  <c r="P111" i="8" s="1"/>
  <c r="AD111" i="11"/>
  <c r="AI111" i="1" s="1"/>
  <c r="Z111" i="11"/>
  <c r="AC111" i="2" s="1"/>
  <c r="DZ110" i="8"/>
  <c r="EM110" i="8" s="1"/>
  <c r="G110" i="1" s="1"/>
  <c r="M110" i="8" s="1"/>
  <c r="EI111" i="8"/>
  <c r="AQ111" i="5"/>
  <c r="AU111" i="1" s="1"/>
  <c r="EM109" i="8"/>
  <c r="G109" i="1" s="1"/>
  <c r="M109" i="8" s="1"/>
  <c r="AJ118" i="14"/>
  <c r="CM117" i="8"/>
  <c r="A117" i="2"/>
  <c r="A117" i="7"/>
  <c r="A117" i="8"/>
  <c r="M117" i="5"/>
  <c r="A117" i="9"/>
  <c r="K117" i="11"/>
  <c r="AD117" i="8"/>
  <c r="J118" i="10"/>
  <c r="B117" i="14"/>
  <c r="B115" i="5"/>
  <c r="EP112" i="8"/>
  <c r="DT112" i="8"/>
  <c r="DR112" i="8"/>
  <c r="DS112" i="8"/>
  <c r="DX111" i="8"/>
  <c r="EB111" i="8" s="1"/>
  <c r="DB112" i="8"/>
  <c r="EC112" i="8" s="1"/>
  <c r="ED112" i="8" s="1"/>
  <c r="DN112" i="8"/>
  <c r="DO112" i="8"/>
  <c r="CS113" i="8"/>
  <c r="DP113" i="8" s="1"/>
  <c r="CT113" i="8"/>
  <c r="DQ113" i="8" s="1"/>
  <c r="CU113" i="8"/>
  <c r="Y115" i="1"/>
  <c r="Q118" i="2"/>
  <c r="I119" i="8"/>
  <c r="CY112" i="8"/>
  <c r="EA112" i="8" s="1"/>
  <c r="CX112" i="8"/>
  <c r="CW112" i="8"/>
  <c r="DG112" i="8"/>
  <c r="EG112" i="8" s="1"/>
  <c r="CV112" i="8"/>
  <c r="CQ113" i="8"/>
  <c r="DA113" i="8" s="1"/>
  <c r="CN112" i="8"/>
  <c r="D113" i="9"/>
  <c r="CO112" i="8"/>
  <c r="AN112" i="5"/>
  <c r="A114" i="5"/>
  <c r="E114" i="5" s="1"/>
  <c r="EQ114" i="8" s="1"/>
  <c r="CZ114" i="8" s="1"/>
  <c r="Q112" i="7"/>
  <c r="V114" i="2"/>
  <c r="X112" i="10"/>
  <c r="Y112" i="10" s="1"/>
  <c r="B113" i="9"/>
  <c r="AR115" i="5"/>
  <c r="AH113" i="5"/>
  <c r="AC113" i="10" s="1"/>
  <c r="AI113" i="5"/>
  <c r="A113" i="11"/>
  <c r="AU113" i="5"/>
  <c r="BO113" i="8"/>
  <c r="DM113" i="8" s="1"/>
  <c r="A113" i="10"/>
  <c r="AA113" i="10" s="1"/>
  <c r="N112" i="7"/>
  <c r="AB113" i="8"/>
  <c r="BS113" i="5"/>
  <c r="B113" i="7"/>
  <c r="AE113" i="7" s="1"/>
  <c r="AF113" i="7" s="1"/>
  <c r="EO113" i="8"/>
  <c r="C113" i="14"/>
  <c r="W113" i="8"/>
  <c r="BN113" i="8"/>
  <c r="DH112" i="8"/>
  <c r="EH112" i="8" s="1"/>
  <c r="Q113" i="1"/>
  <c r="E113" i="14" s="1"/>
  <c r="E113" i="1"/>
  <c r="DL113" i="8"/>
  <c r="AB112" i="2"/>
  <c r="AV113" i="5"/>
  <c r="F115" i="7"/>
  <c r="H116" i="5"/>
  <c r="D115" i="10"/>
  <c r="AM112" i="5"/>
  <c r="AL112" i="5"/>
  <c r="N112" i="11"/>
  <c r="AO112" i="5"/>
  <c r="DD114" i="5"/>
  <c r="K115" i="5"/>
  <c r="I114" i="7"/>
  <c r="G114" i="10"/>
  <c r="DE114" i="5"/>
  <c r="L115" i="5"/>
  <c r="J114" i="7"/>
  <c r="H114" i="10"/>
  <c r="E115" i="10"/>
  <c r="DB115" i="5"/>
  <c r="I116" i="5"/>
  <c r="G115" i="7"/>
  <c r="P112" i="1"/>
  <c r="D111" i="14"/>
  <c r="X116" i="1"/>
  <c r="F119" i="5"/>
  <c r="B118" i="10"/>
  <c r="D118" i="7"/>
  <c r="K118" i="8"/>
  <c r="S117" i="2"/>
  <c r="DG116" i="5"/>
  <c r="N116" i="2"/>
  <c r="CZ115" i="5"/>
  <c r="G116" i="5"/>
  <c r="C115" i="10"/>
  <c r="E115" i="7"/>
  <c r="CY116" i="5"/>
  <c r="M117" i="2"/>
  <c r="DF117" i="8"/>
  <c r="DA115" i="5"/>
  <c r="J117" i="8"/>
  <c r="R116" i="2"/>
  <c r="J117" i="5"/>
  <c r="H116" i="7"/>
  <c r="F116" i="10"/>
  <c r="DC116" i="5"/>
  <c r="AG112" i="7"/>
  <c r="AI112" i="7" s="1"/>
  <c r="AH112" i="7"/>
  <c r="DD112" i="8"/>
  <c r="DC112" i="8"/>
  <c r="O117" i="2"/>
  <c r="DE117" i="8"/>
  <c r="H119" i="8"/>
  <c r="P118" i="2"/>
  <c r="F21" i="2"/>
  <c r="F21" i="1"/>
  <c r="H21" i="2"/>
  <c r="I21" i="2"/>
  <c r="EE111" i="8"/>
  <c r="EF111" i="8" s="1"/>
  <c r="K116" i="10"/>
  <c r="AA116" i="7"/>
  <c r="AE116" i="8" s="1"/>
  <c r="BC116" i="8" s="1"/>
  <c r="DF114" i="5"/>
  <c r="AU110" i="8" l="1"/>
  <c r="AT110" i="1" s="1"/>
  <c r="E109" i="11"/>
  <c r="AV110" i="8"/>
  <c r="AW110" i="1" s="1"/>
  <c r="L110" i="1" s="1"/>
  <c r="BO110" i="1" s="1"/>
  <c r="CA113" i="8"/>
  <c r="CH113" i="8"/>
  <c r="BQ111" i="8"/>
  <c r="BP111" i="8"/>
  <c r="BZ111" i="8"/>
  <c r="CF111" i="8"/>
  <c r="BT111" i="8"/>
  <c r="BU111" i="8"/>
  <c r="BY111" i="8"/>
  <c r="CG111" i="8"/>
  <c r="AF112" i="11"/>
  <c r="AE112" i="11"/>
  <c r="AC112" i="8" s="1"/>
  <c r="AO109" i="8"/>
  <c r="AO116" i="11"/>
  <c r="L116" i="11"/>
  <c r="AG115" i="5"/>
  <c r="E115" i="9"/>
  <c r="B115" i="2"/>
  <c r="B115" i="1"/>
  <c r="BI115" i="1" s="1"/>
  <c r="J116" i="2"/>
  <c r="D109" i="11"/>
  <c r="BM109" i="1"/>
  <c r="AQ109" i="1"/>
  <c r="U109" i="1" s="1"/>
  <c r="J110" i="1" s="1"/>
  <c r="AK109" i="5"/>
  <c r="AP109" i="8"/>
  <c r="AO110" i="8"/>
  <c r="C109" i="9"/>
  <c r="AR109" i="8"/>
  <c r="BN109" i="1"/>
  <c r="AR109" i="1"/>
  <c r="V109" i="1" s="1"/>
  <c r="K110" i="1" s="1"/>
  <c r="AC116" i="1"/>
  <c r="BC117" i="5"/>
  <c r="BE117" i="5"/>
  <c r="AE115" i="1"/>
  <c r="AZ120" i="5"/>
  <c r="BP118" i="5"/>
  <c r="AB117" i="1"/>
  <c r="BN120" i="5"/>
  <c r="AF118" i="1"/>
  <c r="BK119" i="5"/>
  <c r="AD117" i="1"/>
  <c r="O112" i="8"/>
  <c r="N116" i="1"/>
  <c r="O117" i="1"/>
  <c r="DK117" i="8" s="1"/>
  <c r="DJ116" i="8"/>
  <c r="DI116" i="8"/>
  <c r="AD113" i="9"/>
  <c r="AV113" i="1" s="1"/>
  <c r="AT112" i="8"/>
  <c r="AQ112" i="8"/>
  <c r="M113" i="1"/>
  <c r="F112" i="11"/>
  <c r="AW112" i="8"/>
  <c r="AC112" i="11"/>
  <c r="T112" i="8" s="1"/>
  <c r="Y112" i="11"/>
  <c r="AH112" i="1" s="1"/>
  <c r="AA112" i="11"/>
  <c r="Z112" i="11"/>
  <c r="AC112" i="2" s="1"/>
  <c r="AD112" i="11"/>
  <c r="AI112" i="1" s="1"/>
  <c r="AB112" i="11"/>
  <c r="P112" i="8" s="1"/>
  <c r="Q111" i="8"/>
  <c r="A118" i="2"/>
  <c r="M118" i="5"/>
  <c r="A118" i="8"/>
  <c r="K118" i="11"/>
  <c r="AD118" i="8"/>
  <c r="J119" i="10"/>
  <c r="B118" i="14"/>
  <c r="A118" i="7"/>
  <c r="A118" i="9"/>
  <c r="CM118" i="8"/>
  <c r="AJ119" i="14"/>
  <c r="DR113" i="8"/>
  <c r="DS113" i="8"/>
  <c r="EP113" i="8"/>
  <c r="DT113" i="8"/>
  <c r="DX112" i="8"/>
  <c r="EB112" i="8" s="1"/>
  <c r="DZ111" i="8"/>
  <c r="EM111" i="8" s="1"/>
  <c r="G111" i="1" s="1"/>
  <c r="M111" i="8" s="1"/>
  <c r="DB113" i="8"/>
  <c r="EC113" i="8" s="1"/>
  <c r="ED113" i="8" s="1"/>
  <c r="DN113" i="8"/>
  <c r="DO113" i="8"/>
  <c r="CS114" i="8"/>
  <c r="DP114" i="8" s="1"/>
  <c r="CT114" i="8"/>
  <c r="DQ114" i="8" s="1"/>
  <c r="CU114" i="8"/>
  <c r="Y116" i="1"/>
  <c r="DH113" i="8"/>
  <c r="EH113" i="8" s="1"/>
  <c r="Q119" i="2"/>
  <c r="I120" i="8"/>
  <c r="DY112" i="8"/>
  <c r="EI112" i="8"/>
  <c r="CW113" i="8"/>
  <c r="CX113" i="8"/>
  <c r="CV113" i="8"/>
  <c r="DG113" i="8"/>
  <c r="EG113" i="8" s="1"/>
  <c r="DL114" i="8"/>
  <c r="CY113" i="8"/>
  <c r="EA113" i="8" s="1"/>
  <c r="AP112" i="5"/>
  <c r="AH114" i="5"/>
  <c r="D114" i="9"/>
  <c r="AL113" i="5"/>
  <c r="W114" i="8"/>
  <c r="X113" i="10"/>
  <c r="Y113" i="10" s="1"/>
  <c r="N113" i="11"/>
  <c r="AN113" i="5"/>
  <c r="BN114" i="8"/>
  <c r="CR114" i="8" s="1"/>
  <c r="B114" i="7"/>
  <c r="Q114" i="7" s="1"/>
  <c r="BO114" i="8"/>
  <c r="DM114" i="8" s="1"/>
  <c r="C114" i="14"/>
  <c r="AB114" i="8"/>
  <c r="AV114" i="5"/>
  <c r="AI114" i="5"/>
  <c r="EO114" i="8"/>
  <c r="AU114" i="5"/>
  <c r="Q114" i="1"/>
  <c r="E114" i="14" s="1"/>
  <c r="AO113" i="5"/>
  <c r="BS114" i="5"/>
  <c r="A114" i="11"/>
  <c r="E114" i="1"/>
  <c r="A114" i="10"/>
  <c r="AA114" i="10" s="1"/>
  <c r="AB113" i="2"/>
  <c r="B114" i="9"/>
  <c r="CQ114" i="8"/>
  <c r="DA114" i="8" s="1"/>
  <c r="CN113" i="8"/>
  <c r="CO113" i="8"/>
  <c r="CR113" i="8"/>
  <c r="DC113" i="8" s="1"/>
  <c r="N113" i="7"/>
  <c r="AM113" i="5"/>
  <c r="Q113" i="7"/>
  <c r="D116" i="10"/>
  <c r="F116" i="7"/>
  <c r="H117" i="5"/>
  <c r="AR116" i="5"/>
  <c r="AQ112" i="5"/>
  <c r="AU112" i="1" s="1"/>
  <c r="V115" i="2"/>
  <c r="A115" i="5"/>
  <c r="E115" i="5" s="1"/>
  <c r="EQ115" i="8" s="1"/>
  <c r="CZ115" i="8" s="1"/>
  <c r="DD115" i="5"/>
  <c r="K116" i="5"/>
  <c r="I115" i="7"/>
  <c r="G115" i="10"/>
  <c r="L116" i="5"/>
  <c r="H115" i="10"/>
  <c r="J115" i="7"/>
  <c r="DE115" i="5"/>
  <c r="E116" i="10"/>
  <c r="I117" i="5"/>
  <c r="G116" i="7"/>
  <c r="DB116" i="5"/>
  <c r="U21" i="8"/>
  <c r="V21" i="8"/>
  <c r="DG117" i="5"/>
  <c r="I21" i="11"/>
  <c r="O21" i="7"/>
  <c r="J118" i="8"/>
  <c r="R117" i="2"/>
  <c r="P119" i="2"/>
  <c r="H120" i="8"/>
  <c r="M118" i="2"/>
  <c r="DF118" i="8"/>
  <c r="X117" i="1"/>
  <c r="B116" i="5"/>
  <c r="J21" i="11"/>
  <c r="AP21" i="1"/>
  <c r="T21" i="1" s="1"/>
  <c r="I22" i="1" s="1"/>
  <c r="G21" i="2"/>
  <c r="Z21" i="2" s="1"/>
  <c r="Z22" i="8" s="1"/>
  <c r="J118" i="5"/>
  <c r="H117" i="7"/>
  <c r="F117" i="10"/>
  <c r="DC117" i="5"/>
  <c r="AG113" i="7"/>
  <c r="AI113" i="7" s="1"/>
  <c r="AH113" i="7"/>
  <c r="E116" i="7"/>
  <c r="G117" i="5"/>
  <c r="CZ116" i="5"/>
  <c r="C116" i="10"/>
  <c r="P113" i="1"/>
  <c r="D112" i="14"/>
  <c r="D119" i="7"/>
  <c r="B119" i="10"/>
  <c r="F120" i="5"/>
  <c r="EE112" i="8"/>
  <c r="EF112" i="8" s="1"/>
  <c r="W115" i="1"/>
  <c r="DA116" i="5"/>
  <c r="N117" i="2"/>
  <c r="AA117" i="7"/>
  <c r="AE117" i="8" s="1"/>
  <c r="BC117" i="8" s="1"/>
  <c r="K117" i="10"/>
  <c r="DE118" i="8"/>
  <c r="O118" i="2"/>
  <c r="CY117" i="5"/>
  <c r="K119" i="8"/>
  <c r="S118" i="2"/>
  <c r="AA21" i="1"/>
  <c r="S21" i="1" s="1"/>
  <c r="H22" i="1" s="1"/>
  <c r="DF115" i="5"/>
  <c r="E110" i="11" l="1"/>
  <c r="AV111" i="8"/>
  <c r="AW111" i="1" s="1"/>
  <c r="L111" i="1" s="1"/>
  <c r="AO111" i="8" s="1"/>
  <c r="AF113" i="11"/>
  <c r="AE113" i="11"/>
  <c r="AC113" i="8" s="1"/>
  <c r="CA114" i="8"/>
  <c r="CH114" i="8"/>
  <c r="CF112" i="8"/>
  <c r="BT112" i="8"/>
  <c r="BP112" i="8"/>
  <c r="BY112" i="8"/>
  <c r="BU112" i="8"/>
  <c r="BQ112" i="8"/>
  <c r="BZ112" i="8"/>
  <c r="CG112" i="8"/>
  <c r="AU111" i="8"/>
  <c r="AT111" i="1" s="1"/>
  <c r="AO117" i="11"/>
  <c r="L117" i="11"/>
  <c r="E116" i="9"/>
  <c r="AG116" i="5"/>
  <c r="B116" i="1"/>
  <c r="BI116" i="1" s="1"/>
  <c r="B116" i="2"/>
  <c r="E111" i="11"/>
  <c r="AQ110" i="1"/>
  <c r="U110" i="1" s="1"/>
  <c r="J111" i="1" s="1"/>
  <c r="BM110" i="1"/>
  <c r="AP110" i="8"/>
  <c r="D110" i="11"/>
  <c r="AK110" i="5"/>
  <c r="C110" i="9"/>
  <c r="AR110" i="8"/>
  <c r="AR110" i="1"/>
  <c r="V110" i="1" s="1"/>
  <c r="K111" i="1" s="1"/>
  <c r="BN110" i="1"/>
  <c r="J117" i="2"/>
  <c r="AC117" i="1"/>
  <c r="BC118" i="5"/>
  <c r="BK120" i="5"/>
  <c r="AD118" i="1"/>
  <c r="BE118" i="5"/>
  <c r="AE116" i="1"/>
  <c r="AZ121" i="5"/>
  <c r="BP119" i="5"/>
  <c r="AB118" i="1"/>
  <c r="BN121" i="5"/>
  <c r="AF119" i="1"/>
  <c r="O113" i="8"/>
  <c r="N117" i="1"/>
  <c r="O118" i="1"/>
  <c r="DK118" i="8" s="1"/>
  <c r="DI117" i="8"/>
  <c r="DJ117" i="8"/>
  <c r="AD114" i="9"/>
  <c r="AV114" i="1" s="1"/>
  <c r="DZ112" i="8"/>
  <c r="EM112" i="8" s="1"/>
  <c r="G112" i="1" s="1"/>
  <c r="M112" i="8" s="1"/>
  <c r="AT113" i="8"/>
  <c r="AQ113" i="8"/>
  <c r="F113" i="11"/>
  <c r="M114" i="1"/>
  <c r="AW113" i="8"/>
  <c r="AA113" i="11"/>
  <c r="Y113" i="11"/>
  <c r="AH113" i="1" s="1"/>
  <c r="AC113" i="11"/>
  <c r="T113" i="8" s="1"/>
  <c r="AB113" i="11"/>
  <c r="P113" i="8" s="1"/>
  <c r="Z113" i="11"/>
  <c r="AC113" i="2" s="1"/>
  <c r="AD113" i="11"/>
  <c r="AI113" i="1" s="1"/>
  <c r="CM119" i="8"/>
  <c r="AJ120" i="14"/>
  <c r="A119" i="2"/>
  <c r="A119" i="8"/>
  <c r="J120" i="10"/>
  <c r="K119" i="11"/>
  <c r="M119" i="5"/>
  <c r="A119" i="9"/>
  <c r="AD119" i="8"/>
  <c r="B119" i="14"/>
  <c r="A119" i="7"/>
  <c r="DR114" i="8"/>
  <c r="DS114" i="8"/>
  <c r="EP114" i="8"/>
  <c r="DT114" i="8"/>
  <c r="DX113" i="8"/>
  <c r="EB113" i="8" s="1"/>
  <c r="CY114" i="8"/>
  <c r="EA114" i="8" s="1"/>
  <c r="DN114" i="8"/>
  <c r="DO114" i="8"/>
  <c r="CT115" i="8"/>
  <c r="DQ115" i="8" s="1"/>
  <c r="CU115" i="8"/>
  <c r="CS115" i="8"/>
  <c r="DP115" i="8" s="1"/>
  <c r="Y117" i="1"/>
  <c r="EI113" i="8"/>
  <c r="Q120" i="2"/>
  <c r="I121" i="8"/>
  <c r="DD113" i="8"/>
  <c r="EE113" i="8" s="1"/>
  <c r="EF113" i="8" s="1"/>
  <c r="DY113" i="8"/>
  <c r="N114" i="7"/>
  <c r="N114" i="11"/>
  <c r="DH114" i="8"/>
  <c r="EH114" i="8" s="1"/>
  <c r="DL115" i="8"/>
  <c r="AN114" i="5"/>
  <c r="AL114" i="5"/>
  <c r="D115" i="9"/>
  <c r="AC114" i="10"/>
  <c r="X114" i="10" s="1"/>
  <c r="Y114" i="10" s="1"/>
  <c r="AM114" i="5"/>
  <c r="AO114" i="5"/>
  <c r="AE114" i="7"/>
  <c r="AF114" i="7" s="1"/>
  <c r="AP113" i="5"/>
  <c r="Q115" i="1"/>
  <c r="E115" i="14" s="1"/>
  <c r="CV114" i="8"/>
  <c r="CN114" i="8"/>
  <c r="DG114" i="8"/>
  <c r="EG114" i="8" s="1"/>
  <c r="CO114" i="8"/>
  <c r="CW114" i="8"/>
  <c r="CX114" i="8"/>
  <c r="AQ113" i="5"/>
  <c r="AU113" i="1" s="1"/>
  <c r="DB114" i="8"/>
  <c r="EC114" i="8" s="1"/>
  <c r="ED114" i="8" s="1"/>
  <c r="Q112" i="8"/>
  <c r="V116" i="2"/>
  <c r="AV115" i="5"/>
  <c r="AI115" i="5"/>
  <c r="AH115" i="5"/>
  <c r="AC115" i="10" s="1"/>
  <c r="B115" i="7"/>
  <c r="AE115" i="7" s="1"/>
  <c r="AF115" i="7" s="1"/>
  <c r="AB114" i="2"/>
  <c r="BN115" i="8"/>
  <c r="BO115" i="8"/>
  <c r="DM115" i="8" s="1"/>
  <c r="A115" i="11"/>
  <c r="BS115" i="5"/>
  <c r="C115" i="14"/>
  <c r="D117" i="10"/>
  <c r="H118" i="5"/>
  <c r="F117" i="7"/>
  <c r="A116" i="5"/>
  <c r="E116" i="5" s="1"/>
  <c r="EQ116" i="8" s="1"/>
  <c r="CZ116" i="8" s="1"/>
  <c r="B115" i="9"/>
  <c r="AR117" i="5"/>
  <c r="CQ115" i="8"/>
  <c r="DA115" i="8" s="1"/>
  <c r="EO115" i="8"/>
  <c r="W115" i="8"/>
  <c r="A115" i="10"/>
  <c r="AA115" i="10" s="1"/>
  <c r="AB115" i="8"/>
  <c r="AU115" i="5"/>
  <c r="E115" i="1"/>
  <c r="DD116" i="5"/>
  <c r="K117" i="5"/>
  <c r="I116" i="7"/>
  <c r="G116" i="10"/>
  <c r="L117" i="5"/>
  <c r="J116" i="7"/>
  <c r="DE116" i="5"/>
  <c r="H116" i="10"/>
  <c r="DB117" i="5"/>
  <c r="I118" i="5"/>
  <c r="G117" i="7"/>
  <c r="E117" i="10"/>
  <c r="CY118" i="5"/>
  <c r="AA118" i="7"/>
  <c r="AE118" i="8" s="1"/>
  <c r="BC118" i="8" s="1"/>
  <c r="K118" i="10"/>
  <c r="P21" i="7"/>
  <c r="F21" i="9"/>
  <c r="B117" i="5"/>
  <c r="D120" i="7"/>
  <c r="B120" i="10"/>
  <c r="F121" i="5"/>
  <c r="DC114" i="8"/>
  <c r="DD114" i="8"/>
  <c r="K120" i="8"/>
  <c r="S119" i="2"/>
  <c r="AJ22" i="5"/>
  <c r="BK22" i="1"/>
  <c r="AN22" i="8"/>
  <c r="V22" i="10"/>
  <c r="AC22" i="7"/>
  <c r="C22" i="11"/>
  <c r="C21" i="8"/>
  <c r="F118" i="10"/>
  <c r="H118" i="7"/>
  <c r="DC118" i="5"/>
  <c r="J119" i="5"/>
  <c r="P120" i="2"/>
  <c r="H121" i="8"/>
  <c r="O119" i="2"/>
  <c r="DE119" i="8"/>
  <c r="J118" i="2"/>
  <c r="W116" i="1"/>
  <c r="DA117" i="5"/>
  <c r="G118" i="5"/>
  <c r="CZ117" i="5"/>
  <c r="E117" i="7"/>
  <c r="C117" i="10"/>
  <c r="R118" i="2"/>
  <c r="J119" i="8"/>
  <c r="D113" i="14"/>
  <c r="P114" i="1"/>
  <c r="X118" i="1"/>
  <c r="N118" i="2"/>
  <c r="M119" i="2"/>
  <c r="DF119" i="8"/>
  <c r="DG118" i="5"/>
  <c r="DF116" i="5"/>
  <c r="BO111" i="1" l="1"/>
  <c r="AU112" i="8"/>
  <c r="AT112" i="1" s="1"/>
  <c r="CA115" i="8"/>
  <c r="CH115" i="8"/>
  <c r="AV112" i="8"/>
  <c r="AW112" i="1" s="1"/>
  <c r="L112" i="1" s="1"/>
  <c r="AO112" i="8" s="1"/>
  <c r="BP113" i="8"/>
  <c r="CG113" i="8"/>
  <c r="BZ113" i="8"/>
  <c r="BU113" i="8"/>
  <c r="BQ113" i="8"/>
  <c r="BY113" i="8"/>
  <c r="BT113" i="8"/>
  <c r="CF113" i="8"/>
  <c r="AF114" i="11"/>
  <c r="AE114" i="11"/>
  <c r="AC114" i="8" s="1"/>
  <c r="AO118" i="11"/>
  <c r="L118" i="11"/>
  <c r="E117" i="9"/>
  <c r="AG117" i="5"/>
  <c r="B117" i="1"/>
  <c r="BI117" i="1" s="1"/>
  <c r="B117" i="2"/>
  <c r="D111" i="11"/>
  <c r="AK111" i="5"/>
  <c r="BM111" i="1"/>
  <c r="AQ111" i="1"/>
  <c r="U111" i="1" s="1"/>
  <c r="J112" i="1" s="1"/>
  <c r="AP111" i="8"/>
  <c r="AR111" i="8"/>
  <c r="AR111" i="1"/>
  <c r="V111" i="1" s="1"/>
  <c r="K112" i="1" s="1"/>
  <c r="BN111" i="1"/>
  <c r="C111" i="9"/>
  <c r="BC119" i="5"/>
  <c r="AC118" i="1"/>
  <c r="BP120" i="5"/>
  <c r="AB119" i="1"/>
  <c r="BN122" i="5"/>
  <c r="AF120" i="1"/>
  <c r="BE119" i="5"/>
  <c r="AE117" i="1"/>
  <c r="W117" i="1" s="1"/>
  <c r="BK121" i="5"/>
  <c r="AD119" i="1"/>
  <c r="AZ122" i="5"/>
  <c r="O114" i="8"/>
  <c r="N118" i="1"/>
  <c r="O119" i="1"/>
  <c r="DK119" i="8" s="1"/>
  <c r="DI118" i="8"/>
  <c r="DJ118" i="8"/>
  <c r="AS22" i="8"/>
  <c r="AO22" i="1"/>
  <c r="AD115" i="9"/>
  <c r="AV115" i="1" s="1"/>
  <c r="BL22" i="1"/>
  <c r="AT114" i="8"/>
  <c r="AQ114" i="8"/>
  <c r="F114" i="11"/>
  <c r="M115" i="1"/>
  <c r="AW114" i="8"/>
  <c r="DZ113" i="8"/>
  <c r="EM113" i="8" s="1"/>
  <c r="G113" i="1" s="1"/>
  <c r="M113" i="8" s="1"/>
  <c r="Y114" i="11"/>
  <c r="AH114" i="1" s="1"/>
  <c r="AC114" i="11"/>
  <c r="T114" i="8" s="1"/>
  <c r="AA114" i="11"/>
  <c r="AD114" i="11"/>
  <c r="AI114" i="1" s="1"/>
  <c r="Z114" i="11"/>
  <c r="AC114" i="2" s="1"/>
  <c r="AB114" i="11"/>
  <c r="P114" i="8" s="1"/>
  <c r="Q113" i="8"/>
  <c r="AJ121" i="14"/>
  <c r="CM120" i="8"/>
  <c r="A120" i="2"/>
  <c r="M120" i="5"/>
  <c r="J121" i="10"/>
  <c r="A120" i="9"/>
  <c r="A120" i="7"/>
  <c r="A120" i="8"/>
  <c r="B120" i="14"/>
  <c r="K120" i="11"/>
  <c r="AD120" i="8"/>
  <c r="DR115" i="8"/>
  <c r="DS115" i="8"/>
  <c r="DH115" i="8"/>
  <c r="EH115" i="8" s="1"/>
  <c r="DT115" i="8"/>
  <c r="DX114" i="8"/>
  <c r="EB114" i="8" s="1"/>
  <c r="CX115" i="8"/>
  <c r="DN115" i="8"/>
  <c r="DO115" i="8"/>
  <c r="CS116" i="8"/>
  <c r="DP116" i="8" s="1"/>
  <c r="CT116" i="8"/>
  <c r="DQ116" i="8" s="1"/>
  <c r="CU116" i="8"/>
  <c r="Y118" i="1"/>
  <c r="AH114" i="7"/>
  <c r="Q121" i="2"/>
  <c r="I122" i="8"/>
  <c r="AG114" i="7"/>
  <c r="AI114" i="7" s="1"/>
  <c r="EI114" i="8"/>
  <c r="D116" i="9"/>
  <c r="AP114" i="5"/>
  <c r="CW115" i="8"/>
  <c r="DY114" i="8"/>
  <c r="CN115" i="8"/>
  <c r="AQ114" i="5"/>
  <c r="AU114" i="1" s="1"/>
  <c r="AR118" i="5"/>
  <c r="AL115" i="5"/>
  <c r="CR115" i="8"/>
  <c r="DC115" i="8" s="1"/>
  <c r="CO115" i="8"/>
  <c r="N115" i="11"/>
  <c r="AO115" i="5"/>
  <c r="A117" i="5"/>
  <c r="E117" i="5" s="1"/>
  <c r="EQ117" i="8" s="1"/>
  <c r="CZ117" i="8" s="1"/>
  <c r="CV115" i="8"/>
  <c r="X115" i="10"/>
  <c r="Y115" i="10" s="1"/>
  <c r="Q115" i="7"/>
  <c r="AM115" i="5"/>
  <c r="EP115" i="8"/>
  <c r="H119" i="5"/>
  <c r="F118" i="7"/>
  <c r="D118" i="10"/>
  <c r="V117" i="2"/>
  <c r="N115" i="7"/>
  <c r="AN115" i="5"/>
  <c r="DG115" i="8"/>
  <c r="EG115" i="8" s="1"/>
  <c r="DB115" i="8"/>
  <c r="EC115" i="8" s="1"/>
  <c r="ED115" i="8" s="1"/>
  <c r="CY115" i="8"/>
  <c r="EA115" i="8" s="1"/>
  <c r="DD117" i="5"/>
  <c r="K118" i="5"/>
  <c r="G117" i="10"/>
  <c r="I117" i="7"/>
  <c r="L118" i="5"/>
  <c r="J117" i="7"/>
  <c r="H117" i="10"/>
  <c r="DE117" i="5"/>
  <c r="DB118" i="5"/>
  <c r="G118" i="7"/>
  <c r="E118" i="10"/>
  <c r="I119" i="5"/>
  <c r="F119" i="10"/>
  <c r="H119" i="7"/>
  <c r="DC119" i="5"/>
  <c r="J120" i="5"/>
  <c r="S120" i="2"/>
  <c r="K121" i="8"/>
  <c r="BS116" i="5"/>
  <c r="A116" i="11"/>
  <c r="B116" i="9"/>
  <c r="Q116" i="1"/>
  <c r="E116" i="14" s="1"/>
  <c r="C116" i="14"/>
  <c r="B116" i="7"/>
  <c r="AV116" i="5"/>
  <c r="E116" i="1"/>
  <c r="W116" i="8"/>
  <c r="AU116" i="5"/>
  <c r="A116" i="10"/>
  <c r="AA116" i="10" s="1"/>
  <c r="AB115" i="2"/>
  <c r="AH116" i="5"/>
  <c r="AI116" i="5"/>
  <c r="BN116" i="8"/>
  <c r="BO116" i="8"/>
  <c r="DM116" i="8" s="1"/>
  <c r="AB116" i="8"/>
  <c r="EO116" i="8"/>
  <c r="DT116" i="8" s="1"/>
  <c r="CQ116" i="8"/>
  <c r="DA116" i="8" s="1"/>
  <c r="DL116" i="8"/>
  <c r="K119" i="10"/>
  <c r="AA119" i="7"/>
  <c r="AE119" i="8" s="1"/>
  <c r="BC119" i="8" s="1"/>
  <c r="EE114" i="8"/>
  <c r="EF114" i="8" s="1"/>
  <c r="DG119" i="5"/>
  <c r="DA118" i="5"/>
  <c r="R119" i="2"/>
  <c r="J120" i="8"/>
  <c r="B118" i="5"/>
  <c r="B121" i="10"/>
  <c r="F122" i="5"/>
  <c r="D121" i="7"/>
  <c r="C118" i="10"/>
  <c r="E118" i="7"/>
  <c r="G119" i="5"/>
  <c r="CZ118" i="5"/>
  <c r="X119" i="1"/>
  <c r="P121" i="2"/>
  <c r="H122" i="8"/>
  <c r="CY119" i="5"/>
  <c r="DE120" i="8"/>
  <c r="O120" i="2"/>
  <c r="DF120" i="8"/>
  <c r="M120" i="2"/>
  <c r="N119" i="2"/>
  <c r="P115" i="1"/>
  <c r="D114" i="14"/>
  <c r="AG115" i="7"/>
  <c r="AI115" i="7" s="1"/>
  <c r="AH115" i="7"/>
  <c r="Y21" i="2"/>
  <c r="X21" i="2" s="1"/>
  <c r="DF117" i="5"/>
  <c r="BO112" i="1" l="1"/>
  <c r="E112" i="11"/>
  <c r="AV113" i="8"/>
  <c r="AW113" i="1" s="1"/>
  <c r="L113" i="1" s="1"/>
  <c r="E113" i="11" s="1"/>
  <c r="AU113" i="8"/>
  <c r="AT113" i="1" s="1"/>
  <c r="CA116" i="8"/>
  <c r="CH116" i="8"/>
  <c r="BY114" i="8"/>
  <c r="BP114" i="8"/>
  <c r="CF114" i="8"/>
  <c r="BU114" i="8"/>
  <c r="CG114" i="8"/>
  <c r="BQ114" i="8"/>
  <c r="BT114" i="8"/>
  <c r="BZ114" i="8"/>
  <c r="AE115" i="11"/>
  <c r="AC115" i="8" s="1"/>
  <c r="AF115" i="11"/>
  <c r="AO119" i="11"/>
  <c r="AO113" i="8"/>
  <c r="AG118" i="5"/>
  <c r="L119" i="11"/>
  <c r="E118" i="9"/>
  <c r="B118" i="2"/>
  <c r="B118" i="1"/>
  <c r="BI118" i="1" s="1"/>
  <c r="BO113" i="1"/>
  <c r="D112" i="11"/>
  <c r="BM112" i="1"/>
  <c r="AQ112" i="1"/>
  <c r="U112" i="1" s="1"/>
  <c r="J113" i="1" s="1"/>
  <c r="AQ113" i="1" s="1"/>
  <c r="U113" i="1" s="1"/>
  <c r="AP112" i="8"/>
  <c r="AK112" i="5"/>
  <c r="BN112" i="1"/>
  <c r="AR112" i="1"/>
  <c r="V112" i="1" s="1"/>
  <c r="K113" i="1" s="1"/>
  <c r="AR112" i="8"/>
  <c r="C112" i="9"/>
  <c r="AC119" i="1"/>
  <c r="BC120" i="5"/>
  <c r="B119" i="5"/>
  <c r="AZ123" i="5"/>
  <c r="BN123" i="5"/>
  <c r="AF121" i="1"/>
  <c r="BK122" i="5"/>
  <c r="AD120" i="1"/>
  <c r="BE120" i="5"/>
  <c r="AE118" i="1"/>
  <c r="W118" i="1" s="1"/>
  <c r="BP121" i="5"/>
  <c r="AB120" i="1"/>
  <c r="O115" i="8"/>
  <c r="N119" i="1"/>
  <c r="O120" i="1"/>
  <c r="DK120" i="8" s="1"/>
  <c r="DI119" i="8"/>
  <c r="DJ119" i="8"/>
  <c r="AD116" i="9"/>
  <c r="AV116" i="1" s="1"/>
  <c r="DZ114" i="8"/>
  <c r="EM114" i="8" s="1"/>
  <c r="G114" i="1" s="1"/>
  <c r="M114" i="8" s="1"/>
  <c r="AT115" i="8"/>
  <c r="AQ115" i="8"/>
  <c r="M116" i="1"/>
  <c r="F115" i="11"/>
  <c r="AW115" i="8"/>
  <c r="Y115" i="11"/>
  <c r="AH115" i="1" s="1"/>
  <c r="AC115" i="11"/>
  <c r="T115" i="8" s="1"/>
  <c r="AA115" i="11"/>
  <c r="AB115" i="11"/>
  <c r="P115" i="8" s="1"/>
  <c r="Z115" i="11"/>
  <c r="AC115" i="2" s="1"/>
  <c r="AD115" i="11"/>
  <c r="AI115" i="1" s="1"/>
  <c r="AJ122" i="14"/>
  <c r="CM121" i="8"/>
  <c r="EI115" i="8"/>
  <c r="A121" i="2"/>
  <c r="A121" i="7"/>
  <c r="A121" i="8"/>
  <c r="M121" i="5"/>
  <c r="A121" i="9"/>
  <c r="K121" i="11"/>
  <c r="J122" i="10"/>
  <c r="AD121" i="8"/>
  <c r="B121" i="14"/>
  <c r="DR116" i="8"/>
  <c r="DS116" i="8"/>
  <c r="DX115" i="8"/>
  <c r="EB115" i="8" s="1"/>
  <c r="DN116" i="8"/>
  <c r="DO116" i="8"/>
  <c r="DY115" i="8"/>
  <c r="CS117" i="8"/>
  <c r="DP117" i="8" s="1"/>
  <c r="CU117" i="8"/>
  <c r="CT117" i="8"/>
  <c r="DQ117" i="8" s="1"/>
  <c r="Y119" i="1"/>
  <c r="J119" i="2"/>
  <c r="Q122" i="2"/>
  <c r="I123" i="8"/>
  <c r="AP115" i="5"/>
  <c r="DD115" i="8"/>
  <c r="EE115" i="8" s="1"/>
  <c r="EF115" i="8" s="1"/>
  <c r="AQ115" i="5"/>
  <c r="AU115" i="1" s="1"/>
  <c r="Q114" i="8"/>
  <c r="AR119" i="5"/>
  <c r="H120" i="5"/>
  <c r="F119" i="7"/>
  <c r="D119" i="10"/>
  <c r="V118" i="2"/>
  <c r="A118" i="5"/>
  <c r="E118" i="5" s="1"/>
  <c r="EQ118" i="8" s="1"/>
  <c r="CZ118" i="8" s="1"/>
  <c r="K119" i="5"/>
  <c r="I118" i="7"/>
  <c r="G118" i="10"/>
  <c r="DD118" i="5"/>
  <c r="H118" i="10"/>
  <c r="L119" i="5"/>
  <c r="J118" i="7"/>
  <c r="DE118" i="5"/>
  <c r="I120" i="5"/>
  <c r="DB119" i="5"/>
  <c r="E119" i="10"/>
  <c r="G119" i="7"/>
  <c r="AN116" i="5"/>
  <c r="CY120" i="5"/>
  <c r="AE116" i="7"/>
  <c r="AF116" i="7" s="1"/>
  <c r="Q116" i="7"/>
  <c r="D115" i="14"/>
  <c r="P116" i="1"/>
  <c r="CO116" i="8"/>
  <c r="CR116" i="8"/>
  <c r="CN116" i="8"/>
  <c r="D117" i="9"/>
  <c r="D122" i="7"/>
  <c r="F123" i="5"/>
  <c r="B122" i="10"/>
  <c r="M121" i="2"/>
  <c r="DF121" i="8"/>
  <c r="K120" i="10"/>
  <c r="AA120" i="7"/>
  <c r="AE120" i="8" s="1"/>
  <c r="BC120" i="8" s="1"/>
  <c r="S121" i="2"/>
  <c r="K122" i="8"/>
  <c r="X120" i="1"/>
  <c r="R120" i="2"/>
  <c r="J121" i="8"/>
  <c r="DG120" i="5"/>
  <c r="H22" i="11"/>
  <c r="B22" i="8"/>
  <c r="D22" i="2" s="1"/>
  <c r="BD22" i="8"/>
  <c r="L22" i="2"/>
  <c r="E22" i="2"/>
  <c r="AB22" i="7"/>
  <c r="N116" i="7"/>
  <c r="N116" i="11"/>
  <c r="N120" i="2"/>
  <c r="CY116" i="8"/>
  <c r="EA116" i="8" s="1"/>
  <c r="DB116" i="8"/>
  <c r="EC116" i="8" s="1"/>
  <c r="ED116" i="8" s="1"/>
  <c r="DG116" i="8"/>
  <c r="EG116" i="8" s="1"/>
  <c r="CV116" i="8"/>
  <c r="CX116" i="8"/>
  <c r="CW116" i="8"/>
  <c r="F120" i="10"/>
  <c r="DC120" i="5"/>
  <c r="J121" i="5"/>
  <c r="H120" i="7"/>
  <c r="O121" i="2"/>
  <c r="DE121" i="8"/>
  <c r="P122" i="2"/>
  <c r="H123" i="8"/>
  <c r="AM116" i="5"/>
  <c r="AO116" i="5"/>
  <c r="AC116" i="10"/>
  <c r="X116" i="10" s="1"/>
  <c r="Y116" i="10" s="1"/>
  <c r="AL116" i="5"/>
  <c r="BS117" i="5"/>
  <c r="AU117" i="5"/>
  <c r="Q117" i="1"/>
  <c r="E117" i="14" s="1"/>
  <c r="A117" i="11"/>
  <c r="B117" i="9"/>
  <c r="E117" i="1"/>
  <c r="AV117" i="5"/>
  <c r="C117" i="14"/>
  <c r="B117" i="7"/>
  <c r="A117" i="10"/>
  <c r="AA117" i="10" s="1"/>
  <c r="W117" i="8"/>
  <c r="AB116" i="2"/>
  <c r="AI117" i="5"/>
  <c r="AH117" i="5"/>
  <c r="BN117" i="8"/>
  <c r="BO117" i="8"/>
  <c r="DM117" i="8" s="1"/>
  <c r="EO117" i="8"/>
  <c r="DT117" i="8" s="1"/>
  <c r="AB117" i="8"/>
  <c r="CQ117" i="8"/>
  <c r="DA117" i="8" s="1"/>
  <c r="DL117" i="8"/>
  <c r="E119" i="7"/>
  <c r="C119" i="10"/>
  <c r="G120" i="5"/>
  <c r="CZ119" i="5"/>
  <c r="DA119" i="5"/>
  <c r="DH116" i="8"/>
  <c r="EH116" i="8" s="1"/>
  <c r="EP116" i="8"/>
  <c r="DF118" i="5"/>
  <c r="AV114" i="8" l="1"/>
  <c r="AW114" i="1" s="1"/>
  <c r="L114" i="1" s="1"/>
  <c r="BO114" i="1" s="1"/>
  <c r="AE116" i="11"/>
  <c r="AC116" i="8" s="1"/>
  <c r="AF116" i="11"/>
  <c r="CA117" i="8"/>
  <c r="CH117" i="8"/>
  <c r="AU114" i="8"/>
  <c r="AT114" i="1" s="1"/>
  <c r="BQ115" i="8"/>
  <c r="BP115" i="8"/>
  <c r="CF115" i="8"/>
  <c r="BT115" i="8"/>
  <c r="BU115" i="8"/>
  <c r="BY115" i="8"/>
  <c r="CG115" i="8"/>
  <c r="BZ115" i="8"/>
  <c r="AO120" i="11"/>
  <c r="L120" i="11"/>
  <c r="AG119" i="5"/>
  <c r="E119" i="9"/>
  <c r="B119" i="1"/>
  <c r="BI119" i="1" s="1"/>
  <c r="B119" i="2"/>
  <c r="E114" i="11"/>
  <c r="J114" i="1"/>
  <c r="AP114" i="8" s="1"/>
  <c r="D113" i="11"/>
  <c r="AK113" i="5"/>
  <c r="AP113" i="8"/>
  <c r="BM113" i="1"/>
  <c r="AR113" i="1"/>
  <c r="V113" i="1" s="1"/>
  <c r="K114" i="1" s="1"/>
  <c r="AR113" i="8"/>
  <c r="C113" i="9"/>
  <c r="BN113" i="1"/>
  <c r="AC120" i="1"/>
  <c r="BC121" i="5"/>
  <c r="BN124" i="5"/>
  <c r="AF122" i="1"/>
  <c r="BP122" i="5"/>
  <c r="AB121" i="1"/>
  <c r="BK123" i="5"/>
  <c r="AD121" i="1"/>
  <c r="BE121" i="5"/>
  <c r="AE119" i="1"/>
  <c r="W119" i="1" s="1"/>
  <c r="AZ124" i="5"/>
  <c r="N120" i="1"/>
  <c r="O121" i="1"/>
  <c r="DK121" i="8" s="1"/>
  <c r="DJ120" i="8"/>
  <c r="DI120" i="8"/>
  <c r="AD117" i="9"/>
  <c r="AV117" i="1" s="1"/>
  <c r="AT116" i="8"/>
  <c r="AW116" i="8"/>
  <c r="AQ116" i="8"/>
  <c r="F116" i="11"/>
  <c r="M117" i="1"/>
  <c r="AA116" i="11"/>
  <c r="Y116" i="11"/>
  <c r="AH116" i="1" s="1"/>
  <c r="AC116" i="11"/>
  <c r="T116" i="8" s="1"/>
  <c r="AB116" i="11"/>
  <c r="P116" i="8" s="1"/>
  <c r="AD116" i="11"/>
  <c r="AI116" i="1" s="1"/>
  <c r="Z116" i="11"/>
  <c r="AC116" i="2" s="1"/>
  <c r="AJ123" i="14"/>
  <c r="CM122" i="8"/>
  <c r="A122" i="2"/>
  <c r="K122" i="11"/>
  <c r="A122" i="7"/>
  <c r="J123" i="10"/>
  <c r="M122" i="5"/>
  <c r="A122" i="9"/>
  <c r="B122" i="14"/>
  <c r="A122" i="8"/>
  <c r="AD122" i="8"/>
  <c r="DR117" i="8"/>
  <c r="DS117" i="8"/>
  <c r="DZ115" i="8"/>
  <c r="EM115" i="8" s="1"/>
  <c r="G115" i="1" s="1"/>
  <c r="M115" i="8" s="1"/>
  <c r="DX116" i="8"/>
  <c r="EB116" i="8" s="1"/>
  <c r="DN117" i="8"/>
  <c r="DO117" i="8"/>
  <c r="CS118" i="8"/>
  <c r="DP118" i="8" s="1"/>
  <c r="CT118" i="8"/>
  <c r="DQ118" i="8" s="1"/>
  <c r="CU118" i="8"/>
  <c r="Y120" i="1"/>
  <c r="Q123" i="2"/>
  <c r="I124" i="8"/>
  <c r="DL118" i="8"/>
  <c r="AR120" i="5"/>
  <c r="E118" i="1"/>
  <c r="F120" i="7"/>
  <c r="D120" i="10"/>
  <c r="H121" i="5"/>
  <c r="V119" i="2"/>
  <c r="BN118" i="8"/>
  <c r="CO118" i="8" s="1"/>
  <c r="BO118" i="8"/>
  <c r="DM118" i="8" s="1"/>
  <c r="AU118" i="5"/>
  <c r="AB118" i="8"/>
  <c r="BS118" i="5"/>
  <c r="W118" i="8"/>
  <c r="EO118" i="8"/>
  <c r="A118" i="11"/>
  <c r="B118" i="7"/>
  <c r="AE118" i="7" s="1"/>
  <c r="AF118" i="7" s="1"/>
  <c r="B118" i="9"/>
  <c r="C118" i="14"/>
  <c r="AB117" i="2"/>
  <c r="AV118" i="5"/>
  <c r="AH118" i="5"/>
  <c r="AC118" i="10" s="1"/>
  <c r="Q118" i="1"/>
  <c r="E118" i="14" s="1"/>
  <c r="AI118" i="5"/>
  <c r="A118" i="10"/>
  <c r="AA118" i="10" s="1"/>
  <c r="CQ118" i="8"/>
  <c r="DA118" i="8" s="1"/>
  <c r="DD119" i="5"/>
  <c r="I119" i="7"/>
  <c r="K120" i="5"/>
  <c r="G119" i="10"/>
  <c r="A119" i="5"/>
  <c r="E119" i="5" s="1"/>
  <c r="EQ119" i="8" s="1"/>
  <c r="CZ119" i="8" s="1"/>
  <c r="J119" i="7"/>
  <c r="L120" i="5"/>
  <c r="DE119" i="5"/>
  <c r="H119" i="10"/>
  <c r="G120" i="7"/>
  <c r="DB120" i="5"/>
  <c r="I121" i="5"/>
  <c r="E120" i="10"/>
  <c r="EI116" i="8"/>
  <c r="AP116" i="5"/>
  <c r="DY116" i="8"/>
  <c r="Q115" i="8"/>
  <c r="DC116" i="8"/>
  <c r="O116" i="8" s="1"/>
  <c r="DD116" i="8"/>
  <c r="N117" i="11"/>
  <c r="O122" i="2"/>
  <c r="DE122" i="8"/>
  <c r="DG121" i="5"/>
  <c r="AA121" i="7"/>
  <c r="AE121" i="8" s="1"/>
  <c r="BC121" i="8" s="1"/>
  <c r="K121" i="10"/>
  <c r="B120" i="5"/>
  <c r="D118" i="9"/>
  <c r="J120" i="2"/>
  <c r="CY121" i="5"/>
  <c r="AO117" i="5"/>
  <c r="AC117" i="10"/>
  <c r="X117" i="10" s="1"/>
  <c r="Y117" i="10" s="1"/>
  <c r="AM117" i="5"/>
  <c r="AL117" i="5"/>
  <c r="N121" i="2"/>
  <c r="M122" i="2"/>
  <c r="DF122" i="8"/>
  <c r="AH116" i="7"/>
  <c r="AG116" i="7"/>
  <c r="AI116" i="7" s="1"/>
  <c r="DA120" i="5"/>
  <c r="X121" i="1"/>
  <c r="K123" i="8"/>
  <c r="S122" i="2"/>
  <c r="N117" i="7"/>
  <c r="CX117" i="8"/>
  <c r="DG117" i="8"/>
  <c r="EG117" i="8" s="1"/>
  <c r="CV117" i="8"/>
  <c r="CW117" i="8"/>
  <c r="CY117" i="8"/>
  <c r="EA117" i="8" s="1"/>
  <c r="DB117" i="8"/>
  <c r="EC117" i="8" s="1"/>
  <c r="ED117" i="8" s="1"/>
  <c r="CO117" i="8"/>
  <c r="CR117" i="8"/>
  <c r="CN117" i="8"/>
  <c r="H124" i="8"/>
  <c r="P123" i="2"/>
  <c r="U22" i="2"/>
  <c r="W21" i="2" s="1"/>
  <c r="C22" i="2" s="1"/>
  <c r="DH117" i="8"/>
  <c r="EH117" i="8" s="1"/>
  <c r="EP117" i="8"/>
  <c r="F121" i="10"/>
  <c r="DC121" i="5"/>
  <c r="H121" i="7"/>
  <c r="J122" i="5"/>
  <c r="G121" i="5"/>
  <c r="E120" i="7"/>
  <c r="CZ120" i="5"/>
  <c r="C120" i="10"/>
  <c r="AE117" i="7"/>
  <c r="AF117" i="7" s="1"/>
  <c r="Q117" i="7"/>
  <c r="J122" i="8"/>
  <c r="R121" i="2"/>
  <c r="F124" i="5"/>
  <c r="B123" i="10"/>
  <c r="D123" i="7"/>
  <c r="D116" i="14"/>
  <c r="P117" i="1"/>
  <c r="AN117" i="5"/>
  <c r="AQ116" i="5"/>
  <c r="AU116" i="1" s="1"/>
  <c r="DF119" i="5"/>
  <c r="AO114" i="8" l="1"/>
  <c r="BQ116" i="8"/>
  <c r="CG116" i="8"/>
  <c r="BZ116" i="8"/>
  <c r="BT116" i="8"/>
  <c r="BU116" i="8"/>
  <c r="BP116" i="8"/>
  <c r="CF116" i="8"/>
  <c r="BY116" i="8"/>
  <c r="AF117" i="11"/>
  <c r="AE117" i="11"/>
  <c r="AC117" i="8" s="1"/>
  <c r="CA118" i="8"/>
  <c r="CH118" i="8"/>
  <c r="AU115" i="8"/>
  <c r="AT115" i="1" s="1"/>
  <c r="AV115" i="8"/>
  <c r="AW115" i="1" s="1"/>
  <c r="L115" i="1" s="1"/>
  <c r="E115" i="11" s="1"/>
  <c r="AO121" i="11"/>
  <c r="L121" i="11"/>
  <c r="E120" i="9"/>
  <c r="AG120" i="5"/>
  <c r="B120" i="2"/>
  <c r="B120" i="1"/>
  <c r="BI120" i="1" s="1"/>
  <c r="AQ114" i="1"/>
  <c r="U114" i="1" s="1"/>
  <c r="J115" i="1" s="1"/>
  <c r="AK114" i="5"/>
  <c r="BM114" i="1"/>
  <c r="D114" i="11"/>
  <c r="AR114" i="8"/>
  <c r="BN114" i="1"/>
  <c r="AR114" i="1"/>
  <c r="V114" i="1" s="1"/>
  <c r="K115" i="1" s="1"/>
  <c r="C114" i="9"/>
  <c r="J121" i="2"/>
  <c r="BC122" i="5"/>
  <c r="AC121" i="1"/>
  <c r="AZ125" i="5"/>
  <c r="BN125" i="5"/>
  <c r="AF123" i="1"/>
  <c r="BP123" i="5"/>
  <c r="AB122" i="1"/>
  <c r="BE122" i="5"/>
  <c r="AE120" i="1"/>
  <c r="W120" i="1" s="1"/>
  <c r="BK124" i="5"/>
  <c r="AD122" i="1"/>
  <c r="R22" i="8"/>
  <c r="S22" i="8" s="1"/>
  <c r="N121" i="1"/>
  <c r="O122" i="1"/>
  <c r="DK122" i="8" s="1"/>
  <c r="DI121" i="8"/>
  <c r="DJ121" i="8"/>
  <c r="AD118" i="9"/>
  <c r="AV118" i="1" s="1"/>
  <c r="AT117" i="8"/>
  <c r="AQ117" i="8"/>
  <c r="F117" i="11"/>
  <c r="M118" i="1"/>
  <c r="AW117" i="8"/>
  <c r="DZ116" i="8"/>
  <c r="Y117" i="11"/>
  <c r="AH117" i="1" s="1"/>
  <c r="AA117" i="11"/>
  <c r="AC117" i="11"/>
  <c r="T117" i="8" s="1"/>
  <c r="AB117" i="11"/>
  <c r="P117" i="8" s="1"/>
  <c r="Z117" i="11"/>
  <c r="AC117" i="2" s="1"/>
  <c r="AD117" i="11"/>
  <c r="AI117" i="1" s="1"/>
  <c r="A123" i="2"/>
  <c r="K123" i="11"/>
  <c r="J124" i="10"/>
  <c r="A123" i="7"/>
  <c r="A123" i="9"/>
  <c r="A123" i="8"/>
  <c r="B123" i="14"/>
  <c r="M123" i="5"/>
  <c r="AD123" i="8"/>
  <c r="AJ124" i="14"/>
  <c r="CM123" i="8"/>
  <c r="DR118" i="8"/>
  <c r="DS118" i="8"/>
  <c r="EP118" i="8"/>
  <c r="DT118" i="8"/>
  <c r="DX117" i="8"/>
  <c r="EB117" i="8" s="1"/>
  <c r="CY118" i="8"/>
  <c r="EA118" i="8" s="1"/>
  <c r="DN118" i="8"/>
  <c r="DO118" i="8"/>
  <c r="BO119" i="8"/>
  <c r="DM119" i="8" s="1"/>
  <c r="CS119" i="8"/>
  <c r="DP119" i="8" s="1"/>
  <c r="CT119" i="8"/>
  <c r="DQ119" i="8" s="1"/>
  <c r="CU119" i="8"/>
  <c r="Y121" i="1"/>
  <c r="I125" i="8"/>
  <c r="Q124" i="2"/>
  <c r="N118" i="7"/>
  <c r="DH118" i="8"/>
  <c r="EH118" i="8" s="1"/>
  <c r="Q119" i="1"/>
  <c r="E119" i="14" s="1"/>
  <c r="AB119" i="8"/>
  <c r="AB118" i="2"/>
  <c r="A119" i="11"/>
  <c r="AL118" i="5"/>
  <c r="BS119" i="5"/>
  <c r="AV119" i="5"/>
  <c r="EO119" i="8"/>
  <c r="CQ119" i="8"/>
  <c r="DA119" i="8" s="1"/>
  <c r="AM118" i="5"/>
  <c r="N118" i="11"/>
  <c r="E119" i="1"/>
  <c r="B119" i="7"/>
  <c r="AE119" i="7" s="1"/>
  <c r="AF119" i="7" s="1"/>
  <c r="AH119" i="5"/>
  <c r="AU119" i="5"/>
  <c r="AO118" i="5"/>
  <c r="BN119" i="8"/>
  <c r="CR119" i="8" s="1"/>
  <c r="B119" i="9"/>
  <c r="H122" i="5"/>
  <c r="D121" i="10"/>
  <c r="F121" i="7"/>
  <c r="AR121" i="5"/>
  <c r="C119" i="14"/>
  <c r="AI119" i="5"/>
  <c r="W119" i="8"/>
  <c r="DL119" i="8"/>
  <c r="A119" i="10"/>
  <c r="AA119" i="10" s="1"/>
  <c r="A120" i="5"/>
  <c r="E120" i="5" s="1"/>
  <c r="EQ120" i="8" s="1"/>
  <c r="CZ120" i="8" s="1"/>
  <c r="CR118" i="8"/>
  <c r="DC118" i="8" s="1"/>
  <c r="AN118" i="5"/>
  <c r="CN118" i="8"/>
  <c r="Q118" i="7"/>
  <c r="CX118" i="8"/>
  <c r="V120" i="2"/>
  <c r="X118" i="10"/>
  <c r="Y118" i="10" s="1"/>
  <c r="D119" i="9"/>
  <c r="DB118" i="8"/>
  <c r="EC118" i="8" s="1"/>
  <c r="ED118" i="8" s="1"/>
  <c r="CV118" i="8"/>
  <c r="DG118" i="8"/>
  <c r="EG118" i="8" s="1"/>
  <c r="CW118" i="8"/>
  <c r="G120" i="10"/>
  <c r="K121" i="5"/>
  <c r="DD120" i="5"/>
  <c r="I120" i="7"/>
  <c r="J120" i="7"/>
  <c r="L121" i="5"/>
  <c r="DE120" i="5"/>
  <c r="H120" i="10"/>
  <c r="DB121" i="5"/>
  <c r="G121" i="7"/>
  <c r="I122" i="5"/>
  <c r="E121" i="10"/>
  <c r="AQ117" i="5"/>
  <c r="AU117" i="1" s="1"/>
  <c r="EI117" i="8"/>
  <c r="DY117" i="8"/>
  <c r="D117" i="14"/>
  <c r="P118" i="1"/>
  <c r="H125" i="8"/>
  <c r="P124" i="2"/>
  <c r="AP117" i="5"/>
  <c r="D124" i="7"/>
  <c r="B124" i="10"/>
  <c r="F125" i="5"/>
  <c r="AG117" i="7"/>
  <c r="AI117" i="7" s="1"/>
  <c r="AH117" i="7"/>
  <c r="CZ121" i="5"/>
  <c r="C121" i="10"/>
  <c r="E121" i="7"/>
  <c r="G122" i="5"/>
  <c r="AH118" i="7"/>
  <c r="AG118" i="7"/>
  <c r="AI118" i="7" s="1"/>
  <c r="DA121" i="5"/>
  <c r="M123" i="2"/>
  <c r="DF123" i="8"/>
  <c r="AA122" i="7"/>
  <c r="AE122" i="8" s="1"/>
  <c r="BC122" i="8" s="1"/>
  <c r="K122" i="10"/>
  <c r="EE116" i="8"/>
  <c r="EF116" i="8" s="1"/>
  <c r="Q116" i="8"/>
  <c r="H22" i="2"/>
  <c r="F22" i="1"/>
  <c r="F22" i="2"/>
  <c r="I22" i="2"/>
  <c r="O123" i="2"/>
  <c r="DE123" i="8"/>
  <c r="DD117" i="8"/>
  <c r="DC117" i="8"/>
  <c r="O117" i="8" s="1"/>
  <c r="DG122" i="5"/>
  <c r="X122" i="1"/>
  <c r="K124" i="8"/>
  <c r="S123" i="2"/>
  <c r="J123" i="8"/>
  <c r="R122" i="2"/>
  <c r="J123" i="5"/>
  <c r="H122" i="7"/>
  <c r="F122" i="10"/>
  <c r="DC122" i="5"/>
  <c r="N122" i="2"/>
  <c r="CY122" i="5"/>
  <c r="B121" i="5"/>
  <c r="DF120" i="5"/>
  <c r="BO115" i="1" l="1"/>
  <c r="CF117" i="8"/>
  <c r="CG117" i="8"/>
  <c r="BP117" i="8"/>
  <c r="BU117" i="8"/>
  <c r="BQ117" i="8"/>
  <c r="BY117" i="8"/>
  <c r="BT117" i="8"/>
  <c r="BZ117" i="8"/>
  <c r="AU116" i="8"/>
  <c r="AT116" i="1" s="1"/>
  <c r="AE118" i="11"/>
  <c r="AC118" i="8" s="1"/>
  <c r="AF118" i="11"/>
  <c r="AV116" i="8"/>
  <c r="AW116" i="1" s="1"/>
  <c r="L116" i="1" s="1"/>
  <c r="CA119" i="8"/>
  <c r="CH119" i="8"/>
  <c r="AO115" i="8"/>
  <c r="AO122" i="11"/>
  <c r="N119" i="11"/>
  <c r="L122" i="11"/>
  <c r="E121" i="9"/>
  <c r="AG121" i="5"/>
  <c r="B121" i="2"/>
  <c r="B121" i="1"/>
  <c r="BI121" i="1" s="1"/>
  <c r="D115" i="11"/>
  <c r="BM115" i="1"/>
  <c r="AK115" i="5"/>
  <c r="AQ115" i="1"/>
  <c r="U115" i="1" s="1"/>
  <c r="J116" i="1" s="1"/>
  <c r="BM116" i="1" s="1"/>
  <c r="AP115" i="8"/>
  <c r="AR115" i="8"/>
  <c r="BN115" i="1"/>
  <c r="AR115" i="1"/>
  <c r="V115" i="1" s="1"/>
  <c r="K116" i="1" s="1"/>
  <c r="C115" i="9"/>
  <c r="AC122" i="1"/>
  <c r="BC123" i="5"/>
  <c r="B122" i="5"/>
  <c r="BK125" i="5"/>
  <c r="AD123" i="1"/>
  <c r="BN126" i="5"/>
  <c r="AF124" i="1"/>
  <c r="AZ126" i="5"/>
  <c r="BP124" i="5"/>
  <c r="AB123" i="1"/>
  <c r="BE123" i="5"/>
  <c r="AE121" i="1"/>
  <c r="W121" i="1" s="1"/>
  <c r="O118" i="8"/>
  <c r="N122" i="1"/>
  <c r="O123" i="1"/>
  <c r="DK123" i="8" s="1"/>
  <c r="DI122" i="8"/>
  <c r="DJ122" i="8"/>
  <c r="AD119" i="9"/>
  <c r="AV119" i="1" s="1"/>
  <c r="AT118" i="8"/>
  <c r="AQ118" i="8"/>
  <c r="M119" i="1"/>
  <c r="F118" i="11"/>
  <c r="AW118" i="8"/>
  <c r="EM116" i="8"/>
  <c r="G116" i="1" s="1"/>
  <c r="M116" i="8" s="1"/>
  <c r="Y118" i="11"/>
  <c r="AH118" i="1" s="1"/>
  <c r="AC118" i="11"/>
  <c r="T118" i="8" s="1"/>
  <c r="AA118" i="11"/>
  <c r="Z118" i="11"/>
  <c r="AC118" i="2" s="1"/>
  <c r="AB118" i="11"/>
  <c r="P118" i="8" s="1"/>
  <c r="AD118" i="11"/>
  <c r="AI118" i="1" s="1"/>
  <c r="DZ117" i="8"/>
  <c r="A124" i="2"/>
  <c r="A124" i="7"/>
  <c r="J125" i="10"/>
  <c r="AD124" i="8"/>
  <c r="A124" i="8"/>
  <c r="B124" i="14"/>
  <c r="M124" i="5"/>
  <c r="A124" i="9"/>
  <c r="K124" i="11"/>
  <c r="AJ125" i="14"/>
  <c r="CM124" i="8"/>
  <c r="DH119" i="8"/>
  <c r="EH119" i="8" s="1"/>
  <c r="DT119" i="8"/>
  <c r="DR119" i="8"/>
  <c r="DS119" i="8"/>
  <c r="DX118" i="8"/>
  <c r="EB118" i="8" s="1"/>
  <c r="DB119" i="8"/>
  <c r="EC119" i="8" s="1"/>
  <c r="ED119" i="8" s="1"/>
  <c r="DN119" i="8"/>
  <c r="DO119" i="8"/>
  <c r="AO119" i="5"/>
  <c r="E120" i="1"/>
  <c r="CU120" i="8"/>
  <c r="CT120" i="8"/>
  <c r="DQ120" i="8" s="1"/>
  <c r="CS120" i="8"/>
  <c r="DP120" i="8" s="1"/>
  <c r="Y122" i="1"/>
  <c r="J122" i="2"/>
  <c r="I126" i="8"/>
  <c r="Q125" i="2"/>
  <c r="EP119" i="8"/>
  <c r="EI118" i="8"/>
  <c r="AH120" i="5"/>
  <c r="N119" i="7"/>
  <c r="DD118" i="8"/>
  <c r="EE118" i="8" s="1"/>
  <c r="EF118" i="8" s="1"/>
  <c r="CO119" i="8"/>
  <c r="CN119" i="8"/>
  <c r="AP118" i="5"/>
  <c r="D120" i="9"/>
  <c r="CV119" i="8"/>
  <c r="DG119" i="8"/>
  <c r="EG119" i="8" s="1"/>
  <c r="CX119" i="8"/>
  <c r="CY119" i="8"/>
  <c r="EA119" i="8" s="1"/>
  <c r="CW119" i="8"/>
  <c r="CQ120" i="8"/>
  <c r="DA120" i="8" s="1"/>
  <c r="AQ118" i="5"/>
  <c r="AU118" i="1" s="1"/>
  <c r="AM119" i="5"/>
  <c r="Q119" i="7"/>
  <c r="AC119" i="10"/>
  <c r="X119" i="10" s="1"/>
  <c r="Y119" i="10" s="1"/>
  <c r="AL119" i="5"/>
  <c r="AN119" i="5"/>
  <c r="DY118" i="8"/>
  <c r="D122" i="10"/>
  <c r="F122" i="7"/>
  <c r="H123" i="5"/>
  <c r="AR122" i="5"/>
  <c r="DL120" i="8"/>
  <c r="Q120" i="1"/>
  <c r="E120" i="14" s="1"/>
  <c r="A120" i="10"/>
  <c r="AA120" i="10" s="1"/>
  <c r="AV120" i="5"/>
  <c r="B120" i="9"/>
  <c r="BO120" i="8"/>
  <c r="DM120" i="8" s="1"/>
  <c r="AI120" i="5"/>
  <c r="BN120" i="8"/>
  <c r="AU120" i="5"/>
  <c r="AL120" i="5" s="1"/>
  <c r="EO120" i="8"/>
  <c r="C120" i="14"/>
  <c r="A120" i="11"/>
  <c r="W120" i="8"/>
  <c r="B120" i="7"/>
  <c r="Q120" i="7" s="1"/>
  <c r="AB120" i="8"/>
  <c r="AB119" i="2"/>
  <c r="BS120" i="5"/>
  <c r="A121" i="5"/>
  <c r="E121" i="5" s="1"/>
  <c r="EQ121" i="8" s="1"/>
  <c r="CZ121" i="8" s="1"/>
  <c r="V121" i="2"/>
  <c r="K122" i="5"/>
  <c r="G121" i="10"/>
  <c r="DD121" i="5"/>
  <c r="I121" i="7"/>
  <c r="DE121" i="5"/>
  <c r="H121" i="10"/>
  <c r="L122" i="5"/>
  <c r="J121" i="7"/>
  <c r="I123" i="5"/>
  <c r="E122" i="10"/>
  <c r="G122" i="7"/>
  <c r="DB122" i="5"/>
  <c r="O124" i="2"/>
  <c r="DE124" i="8"/>
  <c r="N123" i="2"/>
  <c r="J124" i="8"/>
  <c r="R123" i="2"/>
  <c r="AP22" i="1"/>
  <c r="T22" i="1" s="1"/>
  <c r="I23" i="1" s="1"/>
  <c r="J22" i="11"/>
  <c r="G22" i="2"/>
  <c r="Z22" i="2" s="1"/>
  <c r="Z23" i="8" s="1"/>
  <c r="C122" i="10"/>
  <c r="G123" i="5"/>
  <c r="E122" i="7"/>
  <c r="CZ122" i="5"/>
  <c r="CY123" i="5"/>
  <c r="O22" i="7"/>
  <c r="I22" i="11"/>
  <c r="DF124" i="8"/>
  <c r="M124" i="2"/>
  <c r="V22" i="8"/>
  <c r="U22" i="8"/>
  <c r="AA123" i="7"/>
  <c r="AE123" i="8" s="1"/>
  <c r="BC123" i="8" s="1"/>
  <c r="K123" i="10"/>
  <c r="DC119" i="8"/>
  <c r="DD119" i="8"/>
  <c r="DC123" i="5"/>
  <c r="F123" i="10"/>
  <c r="J124" i="5"/>
  <c r="H123" i="7"/>
  <c r="X123" i="1"/>
  <c r="DG123" i="5"/>
  <c r="EE117" i="8"/>
  <c r="EF117" i="8" s="1"/>
  <c r="Q117" i="8"/>
  <c r="H126" i="8"/>
  <c r="P125" i="2"/>
  <c r="AA22" i="1"/>
  <c r="S22" i="1" s="1"/>
  <c r="H23" i="1" s="1"/>
  <c r="P119" i="1"/>
  <c r="D118" i="14"/>
  <c r="K125" i="8"/>
  <c r="S124" i="2"/>
  <c r="AH119" i="7"/>
  <c r="AG119" i="7"/>
  <c r="AI119" i="7" s="1"/>
  <c r="DA122" i="5"/>
  <c r="D125" i="7"/>
  <c r="F126" i="5"/>
  <c r="B125" i="10"/>
  <c r="DF121" i="5"/>
  <c r="CX120" i="8" l="1"/>
  <c r="E116" i="11"/>
  <c r="BO116" i="1"/>
  <c r="AO116" i="8"/>
  <c r="CA120" i="8"/>
  <c r="CH120" i="8"/>
  <c r="AV117" i="8"/>
  <c r="AW117" i="1" s="1"/>
  <c r="L117" i="1" s="1"/>
  <c r="AO117" i="8" s="1"/>
  <c r="AU117" i="8"/>
  <c r="AT117" i="1" s="1"/>
  <c r="AF119" i="11"/>
  <c r="AE119" i="11"/>
  <c r="AC119" i="8" s="1"/>
  <c r="CF118" i="8"/>
  <c r="CG118" i="8"/>
  <c r="BZ118" i="8"/>
  <c r="BP118" i="8"/>
  <c r="BT118" i="8"/>
  <c r="BU118" i="8"/>
  <c r="BY118" i="8"/>
  <c r="BQ118" i="8"/>
  <c r="AO123" i="11"/>
  <c r="AG122" i="5"/>
  <c r="L123" i="11"/>
  <c r="E122" i="9"/>
  <c r="B122" i="1"/>
  <c r="BI122" i="1" s="1"/>
  <c r="B122" i="2"/>
  <c r="AK116" i="5"/>
  <c r="E117" i="11"/>
  <c r="AQ116" i="1"/>
  <c r="U116" i="1" s="1"/>
  <c r="J117" i="1" s="1"/>
  <c r="BO117" i="1"/>
  <c r="D116" i="11"/>
  <c r="AP116" i="8"/>
  <c r="AR116" i="8"/>
  <c r="AR116" i="1"/>
  <c r="V116" i="1" s="1"/>
  <c r="K117" i="1" s="1"/>
  <c r="C116" i="9"/>
  <c r="BN116" i="1"/>
  <c r="AC123" i="1"/>
  <c r="BC124" i="5"/>
  <c r="BK126" i="5"/>
  <c r="AD124" i="1"/>
  <c r="BN127" i="5"/>
  <c r="AF125" i="1"/>
  <c r="BE124" i="5"/>
  <c r="AE122" i="1"/>
  <c r="W122" i="1" s="1"/>
  <c r="AZ127" i="5"/>
  <c r="BP125" i="5"/>
  <c r="AB124" i="1"/>
  <c r="O119" i="8"/>
  <c r="N123" i="1"/>
  <c r="O124" i="1"/>
  <c r="DK124" i="8" s="1"/>
  <c r="DI123" i="8"/>
  <c r="DJ123" i="8"/>
  <c r="AD120" i="9"/>
  <c r="AV120" i="1" s="1"/>
  <c r="AT119" i="8"/>
  <c r="AQ119" i="8"/>
  <c r="F119" i="11"/>
  <c r="M120" i="1"/>
  <c r="AW119" i="8"/>
  <c r="AA119" i="11"/>
  <c r="Y119" i="11"/>
  <c r="AH119" i="1" s="1"/>
  <c r="AC119" i="11"/>
  <c r="T119" i="8" s="1"/>
  <c r="AD119" i="11"/>
  <c r="AI119" i="1" s="1"/>
  <c r="Z119" i="11"/>
  <c r="AC119" i="2" s="1"/>
  <c r="AB119" i="11"/>
  <c r="P119" i="8" s="1"/>
  <c r="Q118" i="8"/>
  <c r="DZ118" i="8"/>
  <c r="EM118" i="8" s="1"/>
  <c r="G118" i="1" s="1"/>
  <c r="M118" i="8" s="1"/>
  <c r="EM117" i="8"/>
  <c r="G117" i="1" s="1"/>
  <c r="M117" i="8" s="1"/>
  <c r="EI119" i="8"/>
  <c r="A125" i="2"/>
  <c r="A125" i="7"/>
  <c r="A125" i="8"/>
  <c r="M125" i="5"/>
  <c r="A125" i="9"/>
  <c r="K125" i="11"/>
  <c r="B125" i="14"/>
  <c r="J126" i="10"/>
  <c r="AD125" i="8"/>
  <c r="AJ126" i="14"/>
  <c r="CM125" i="8"/>
  <c r="DR120" i="8"/>
  <c r="DS120" i="8"/>
  <c r="EP120" i="8"/>
  <c r="DT120" i="8"/>
  <c r="DX119" i="8"/>
  <c r="EB119" i="8" s="1"/>
  <c r="DB120" i="8"/>
  <c r="EC120" i="8" s="1"/>
  <c r="ED120" i="8" s="1"/>
  <c r="DN120" i="8"/>
  <c r="DO120" i="8"/>
  <c r="AQ119" i="5"/>
  <c r="AU119" i="1" s="1"/>
  <c r="CS121" i="8"/>
  <c r="DP121" i="8" s="1"/>
  <c r="CT121" i="8"/>
  <c r="DQ121" i="8" s="1"/>
  <c r="CU121" i="8"/>
  <c r="Y123" i="1"/>
  <c r="AO120" i="5"/>
  <c r="AC120" i="10"/>
  <c r="X120" i="10" s="1"/>
  <c r="Y120" i="10" s="1"/>
  <c r="I127" i="8"/>
  <c r="Q126" i="2"/>
  <c r="AM120" i="5"/>
  <c r="DY119" i="8"/>
  <c r="CW120" i="8"/>
  <c r="DY120" i="8" s="1"/>
  <c r="DG120" i="8"/>
  <c r="EG120" i="8" s="1"/>
  <c r="CY120" i="8"/>
  <c r="EA120" i="8" s="1"/>
  <c r="D121" i="9"/>
  <c r="CV120" i="8"/>
  <c r="AN120" i="5"/>
  <c r="AP120" i="5" s="1"/>
  <c r="AP119" i="5"/>
  <c r="DH120" i="8"/>
  <c r="EH120" i="8" s="1"/>
  <c r="AE120" i="7"/>
  <c r="AF120" i="7" s="1"/>
  <c r="N120" i="7"/>
  <c r="D123" i="10"/>
  <c r="F123" i="7"/>
  <c r="H124" i="5"/>
  <c r="CO120" i="8"/>
  <c r="CR120" i="8"/>
  <c r="DD120" i="8" s="1"/>
  <c r="CN120" i="8"/>
  <c r="N120" i="11"/>
  <c r="AR123" i="5"/>
  <c r="G122" i="10"/>
  <c r="DD122" i="5"/>
  <c r="I122" i="7"/>
  <c r="K123" i="5"/>
  <c r="V122" i="2"/>
  <c r="A122" i="5"/>
  <c r="E122" i="5" s="1"/>
  <c r="EQ122" i="8" s="1"/>
  <c r="CZ122" i="8" s="1"/>
  <c r="H122" i="10"/>
  <c r="DE122" i="5"/>
  <c r="J122" i="7"/>
  <c r="L123" i="5"/>
  <c r="G123" i="7"/>
  <c r="E123" i="10"/>
  <c r="I124" i="5"/>
  <c r="DB123" i="5"/>
  <c r="X124" i="1"/>
  <c r="CZ123" i="5"/>
  <c r="G124" i="5"/>
  <c r="E123" i="7"/>
  <c r="C123" i="10"/>
  <c r="AV121" i="5"/>
  <c r="Q121" i="1"/>
  <c r="E121" i="14" s="1"/>
  <c r="BS121" i="5"/>
  <c r="B121" i="7"/>
  <c r="A121" i="11"/>
  <c r="E121" i="1"/>
  <c r="A121" i="10"/>
  <c r="AA121" i="10" s="1"/>
  <c r="C121" i="14"/>
  <c r="W121" i="8"/>
  <c r="B121" i="9"/>
  <c r="AU121" i="5"/>
  <c r="AB120" i="2"/>
  <c r="AI121" i="5"/>
  <c r="AH121" i="5"/>
  <c r="BN121" i="8"/>
  <c r="BO121" i="8"/>
  <c r="DM121" i="8" s="1"/>
  <c r="EO121" i="8"/>
  <c r="DT121" i="8" s="1"/>
  <c r="AB121" i="8"/>
  <c r="DL121" i="8"/>
  <c r="CQ121" i="8"/>
  <c r="DA121" i="8" s="1"/>
  <c r="J125" i="8"/>
  <c r="R124" i="2"/>
  <c r="P120" i="1"/>
  <c r="D119" i="14"/>
  <c r="CY124" i="5"/>
  <c r="B123" i="5"/>
  <c r="DG124" i="5"/>
  <c r="K124" i="10"/>
  <c r="AA124" i="7"/>
  <c r="AE124" i="8" s="1"/>
  <c r="BC124" i="8" s="1"/>
  <c r="P126" i="2"/>
  <c r="H127" i="8"/>
  <c r="B126" i="10"/>
  <c r="F127" i="5"/>
  <c r="D126" i="7"/>
  <c r="DA123" i="5"/>
  <c r="C23" i="11"/>
  <c r="V23" i="10"/>
  <c r="AN23" i="8"/>
  <c r="AJ23" i="5"/>
  <c r="AC23" i="7"/>
  <c r="BK23" i="1"/>
  <c r="H124" i="7"/>
  <c r="F124" i="10"/>
  <c r="DC124" i="5"/>
  <c r="J125" i="5"/>
  <c r="EE119" i="8"/>
  <c r="EF119" i="8" s="1"/>
  <c r="DF125" i="8"/>
  <c r="M125" i="2"/>
  <c r="DE125" i="8"/>
  <c r="O125" i="2"/>
  <c r="K126" i="8"/>
  <c r="S125" i="2"/>
  <c r="F22" i="9"/>
  <c r="P22" i="7"/>
  <c r="J123" i="2"/>
  <c r="C22" i="8"/>
  <c r="N124" i="2"/>
  <c r="DF122" i="5"/>
  <c r="AE120" i="11" l="1"/>
  <c r="AC120" i="8" s="1"/>
  <c r="AF120" i="11"/>
  <c r="BP119" i="8"/>
  <c r="BU119" i="8"/>
  <c r="CG119" i="8"/>
  <c r="BQ119" i="8"/>
  <c r="BT119" i="8"/>
  <c r="BZ119" i="8"/>
  <c r="BY119" i="8"/>
  <c r="CF119" i="8"/>
  <c r="AV118" i="8"/>
  <c r="AW118" i="1" s="1"/>
  <c r="L118" i="1" s="1"/>
  <c r="E118" i="11" s="1"/>
  <c r="AU118" i="8"/>
  <c r="AT118" i="1" s="1"/>
  <c r="CA121" i="8"/>
  <c r="CH121" i="8"/>
  <c r="AO124" i="11"/>
  <c r="AG123" i="5"/>
  <c r="L124" i="11"/>
  <c r="E123" i="9"/>
  <c r="B123" i="2"/>
  <c r="B123" i="1"/>
  <c r="BI123" i="1" s="1"/>
  <c r="AO118" i="8"/>
  <c r="AQ117" i="1"/>
  <c r="U117" i="1" s="1"/>
  <c r="J118" i="1" s="1"/>
  <c r="D118" i="11" s="1"/>
  <c r="AK117" i="5"/>
  <c r="D117" i="11"/>
  <c r="BM117" i="1"/>
  <c r="AP117" i="8"/>
  <c r="BO118" i="1"/>
  <c r="AR117" i="8"/>
  <c r="C117" i="9"/>
  <c r="BN117" i="1"/>
  <c r="AR117" i="1"/>
  <c r="V117" i="1" s="1"/>
  <c r="K118" i="1" s="1"/>
  <c r="BC125" i="5"/>
  <c r="AC124" i="1"/>
  <c r="BK127" i="5"/>
  <c r="AD125" i="1"/>
  <c r="AZ128" i="5"/>
  <c r="BP126" i="5"/>
  <c r="AB125" i="1"/>
  <c r="BN128" i="5"/>
  <c r="AF126" i="1"/>
  <c r="BE125" i="5"/>
  <c r="AE123" i="1"/>
  <c r="W123" i="1" s="1"/>
  <c r="N124" i="1"/>
  <c r="O125" i="1"/>
  <c r="DK125" i="8" s="1"/>
  <c r="DJ124" i="8"/>
  <c r="DI124" i="8"/>
  <c r="AS23" i="8"/>
  <c r="AO23" i="1"/>
  <c r="AD121" i="9"/>
  <c r="AV121" i="1" s="1"/>
  <c r="BL23" i="1"/>
  <c r="AT120" i="8"/>
  <c r="AQ120" i="8"/>
  <c r="F120" i="11"/>
  <c r="M121" i="1"/>
  <c r="AW120" i="8"/>
  <c r="AA120" i="11"/>
  <c r="AC120" i="11"/>
  <c r="T120" i="8" s="1"/>
  <c r="Y120" i="11"/>
  <c r="AH120" i="1" s="1"/>
  <c r="Z120" i="11"/>
  <c r="AC120" i="2" s="1"/>
  <c r="AD120" i="11"/>
  <c r="AI120" i="1" s="1"/>
  <c r="AB120" i="11"/>
  <c r="P120" i="8" s="1"/>
  <c r="DZ119" i="8"/>
  <c r="EM119" i="8" s="1"/>
  <c r="G119" i="1" s="1"/>
  <c r="M119" i="8" s="1"/>
  <c r="A126" i="2"/>
  <c r="A126" i="7"/>
  <c r="B126" i="14"/>
  <c r="A126" i="9"/>
  <c r="A126" i="8"/>
  <c r="J127" i="10"/>
  <c r="M126" i="5"/>
  <c r="K126" i="11"/>
  <c r="AD126" i="8"/>
  <c r="AJ127" i="14"/>
  <c r="CM126" i="8"/>
  <c r="DR121" i="8"/>
  <c r="DS121" i="8"/>
  <c r="DX120" i="8"/>
  <c r="EB120" i="8" s="1"/>
  <c r="DN121" i="8"/>
  <c r="DO121" i="8"/>
  <c r="CS122" i="8"/>
  <c r="DP122" i="8" s="1"/>
  <c r="CT122" i="8"/>
  <c r="DQ122" i="8" s="1"/>
  <c r="CU122" i="8"/>
  <c r="AQ120" i="5"/>
  <c r="AU120" i="1" s="1"/>
  <c r="Y124" i="1"/>
  <c r="AH120" i="7"/>
  <c r="Q127" i="2"/>
  <c r="I128" i="8"/>
  <c r="EI120" i="8"/>
  <c r="DL122" i="8"/>
  <c r="A122" i="11"/>
  <c r="AG120" i="7"/>
  <c r="AI120" i="7" s="1"/>
  <c r="DC120" i="8"/>
  <c r="O120" i="8" s="1"/>
  <c r="AB121" i="2"/>
  <c r="Q119" i="8"/>
  <c r="C122" i="14"/>
  <c r="F124" i="7"/>
  <c r="D124" i="10"/>
  <c r="H125" i="5"/>
  <c r="AH122" i="5"/>
  <c r="AC122" i="10" s="1"/>
  <c r="AI122" i="5"/>
  <c r="B122" i="7"/>
  <c r="AE122" i="7" s="1"/>
  <c r="AF122" i="7" s="1"/>
  <c r="BN122" i="8"/>
  <c r="CN122" i="8" s="1"/>
  <c r="Q122" i="1"/>
  <c r="E122" i="14" s="1"/>
  <c r="E122" i="1"/>
  <c r="BO122" i="8"/>
  <c r="DM122" i="8" s="1"/>
  <c r="AU122" i="5"/>
  <c r="AR124" i="5"/>
  <c r="AB122" i="8"/>
  <c r="W122" i="8"/>
  <c r="AV122" i="5"/>
  <c r="B122" i="9"/>
  <c r="EO122" i="8"/>
  <c r="BS122" i="5"/>
  <c r="A122" i="10"/>
  <c r="AA122" i="10" s="1"/>
  <c r="CQ122" i="8"/>
  <c r="DA122" i="8" s="1"/>
  <c r="H123" i="10"/>
  <c r="DE123" i="5"/>
  <c r="L124" i="5"/>
  <c r="J123" i="7"/>
  <c r="DD123" i="5"/>
  <c r="I123" i="7"/>
  <c r="G123" i="10"/>
  <c r="K124" i="5"/>
  <c r="A123" i="5"/>
  <c r="E123" i="5" s="1"/>
  <c r="EQ123" i="8" s="1"/>
  <c r="CZ123" i="8" s="1"/>
  <c r="V123" i="2"/>
  <c r="DB124" i="5"/>
  <c r="I125" i="5"/>
  <c r="G124" i="7"/>
  <c r="E124" i="10"/>
  <c r="AN121" i="5"/>
  <c r="Y22" i="2"/>
  <c r="X22" i="2" s="1"/>
  <c r="O126" i="2"/>
  <c r="DE126" i="8"/>
  <c r="K125" i="10"/>
  <c r="AA125" i="7"/>
  <c r="AE125" i="8" s="1"/>
  <c r="BC125" i="8" s="1"/>
  <c r="DH121" i="8"/>
  <c r="EH121" i="8" s="1"/>
  <c r="EP121" i="8"/>
  <c r="G125" i="5"/>
  <c r="CZ124" i="5"/>
  <c r="E124" i="7"/>
  <c r="C124" i="10"/>
  <c r="DF126" i="8"/>
  <c r="M126" i="2"/>
  <c r="N125" i="2"/>
  <c r="CY125" i="5"/>
  <c r="N121" i="7"/>
  <c r="Q121" i="7"/>
  <c r="AE121" i="7"/>
  <c r="AF121" i="7" s="1"/>
  <c r="N121" i="11"/>
  <c r="X125" i="1"/>
  <c r="H128" i="8"/>
  <c r="P127" i="2"/>
  <c r="DG125" i="5"/>
  <c r="CW121" i="8"/>
  <c r="CY121" i="8"/>
  <c r="EA121" i="8" s="1"/>
  <c r="DG121" i="8"/>
  <c r="EG121" i="8" s="1"/>
  <c r="CX121" i="8"/>
  <c r="DB121" i="8"/>
  <c r="EC121" i="8" s="1"/>
  <c r="ED121" i="8" s="1"/>
  <c r="CV121" i="8"/>
  <c r="AO121" i="5"/>
  <c r="AC121" i="10"/>
  <c r="X121" i="10" s="1"/>
  <c r="Y121" i="10" s="1"/>
  <c r="AM121" i="5"/>
  <c r="AL121" i="5"/>
  <c r="DA124" i="5"/>
  <c r="K127" i="8"/>
  <c r="S126" i="2"/>
  <c r="F125" i="10"/>
  <c r="H125" i="7"/>
  <c r="J126" i="5"/>
  <c r="DC125" i="5"/>
  <c r="J124" i="2"/>
  <c r="R125" i="2"/>
  <c r="J126" i="8"/>
  <c r="B127" i="10"/>
  <c r="D127" i="7"/>
  <c r="F128" i="5"/>
  <c r="P121" i="1"/>
  <c r="D120" i="14"/>
  <c r="CR121" i="8"/>
  <c r="CN121" i="8"/>
  <c r="CO121" i="8"/>
  <c r="D122" i="9"/>
  <c r="B124" i="5"/>
  <c r="DF123" i="5"/>
  <c r="AU119" i="8" l="1"/>
  <c r="AT119" i="1" s="1"/>
  <c r="BT120" i="8"/>
  <c r="CF120" i="8"/>
  <c r="BZ120" i="8"/>
  <c r="BY120" i="8"/>
  <c r="CG120" i="8"/>
  <c r="BP120" i="8"/>
  <c r="BQ120" i="8"/>
  <c r="BU120" i="8"/>
  <c r="CA122" i="8"/>
  <c r="CH122" i="8"/>
  <c r="AF121" i="11"/>
  <c r="AE121" i="11"/>
  <c r="AC121" i="8" s="1"/>
  <c r="AV119" i="8"/>
  <c r="AW119" i="1" s="1"/>
  <c r="L119" i="1" s="1"/>
  <c r="E119" i="11" s="1"/>
  <c r="AO125" i="11"/>
  <c r="L125" i="11"/>
  <c r="AG124" i="5"/>
  <c r="E124" i="9"/>
  <c r="B124" i="1"/>
  <c r="BI124" i="1" s="1"/>
  <c r="B124" i="2"/>
  <c r="BM118" i="1"/>
  <c r="AQ118" i="1"/>
  <c r="U118" i="1" s="1"/>
  <c r="J119" i="1" s="1"/>
  <c r="AK118" i="5"/>
  <c r="AP118" i="8"/>
  <c r="AR118" i="8"/>
  <c r="AR118" i="1"/>
  <c r="V118" i="1" s="1"/>
  <c r="K119" i="1" s="1"/>
  <c r="BN118" i="1"/>
  <c r="C118" i="9"/>
  <c r="AC125" i="1"/>
  <c r="BC126" i="5"/>
  <c r="BK128" i="5"/>
  <c r="AD126" i="1"/>
  <c r="BN129" i="5"/>
  <c r="AF127" i="1"/>
  <c r="BE126" i="5"/>
  <c r="AE124" i="1"/>
  <c r="W124" i="1" s="1"/>
  <c r="AZ129" i="5"/>
  <c r="BP127" i="5"/>
  <c r="AB126" i="1"/>
  <c r="N125" i="1"/>
  <c r="O126" i="1"/>
  <c r="DK126" i="8" s="1"/>
  <c r="DI125" i="8"/>
  <c r="DJ125" i="8"/>
  <c r="AD122" i="9"/>
  <c r="AV122" i="1" s="1"/>
  <c r="AT121" i="8"/>
  <c r="AW121" i="8"/>
  <c r="AQ121" i="8"/>
  <c r="M122" i="1"/>
  <c r="F121" i="11"/>
  <c r="AC121" i="11"/>
  <c r="T121" i="8" s="1"/>
  <c r="Y121" i="11"/>
  <c r="AH121" i="1" s="1"/>
  <c r="AA121" i="11"/>
  <c r="AB121" i="11"/>
  <c r="P121" i="8" s="1"/>
  <c r="AD121" i="11"/>
  <c r="AI121" i="1" s="1"/>
  <c r="Z121" i="11"/>
  <c r="AC121" i="2" s="1"/>
  <c r="AJ128" i="14"/>
  <c r="CM127" i="8"/>
  <c r="A127" i="2"/>
  <c r="A127" i="8"/>
  <c r="B127" i="14"/>
  <c r="A127" i="7"/>
  <c r="K127" i="11"/>
  <c r="A127" i="9"/>
  <c r="M127" i="5"/>
  <c r="AD127" i="8"/>
  <c r="J128" i="10"/>
  <c r="DR122" i="8"/>
  <c r="DS122" i="8"/>
  <c r="DZ120" i="8"/>
  <c r="EP122" i="8"/>
  <c r="DT122" i="8"/>
  <c r="DX121" i="8"/>
  <c r="EB121" i="8" s="1"/>
  <c r="DB122" i="8"/>
  <c r="EC122" i="8" s="1"/>
  <c r="ED122" i="8" s="1"/>
  <c r="DN122" i="8"/>
  <c r="DO122" i="8"/>
  <c r="CT123" i="8"/>
  <c r="DQ123" i="8" s="1"/>
  <c r="CU123" i="8"/>
  <c r="CS123" i="8"/>
  <c r="DP123" i="8" s="1"/>
  <c r="Y125" i="1"/>
  <c r="I129" i="8"/>
  <c r="Q128" i="2"/>
  <c r="DH122" i="8"/>
  <c r="EH122" i="8" s="1"/>
  <c r="CV122" i="8"/>
  <c r="X122" i="10"/>
  <c r="Y122" i="10" s="1"/>
  <c r="N122" i="11"/>
  <c r="AN122" i="5"/>
  <c r="EE120" i="8"/>
  <c r="EF120" i="8" s="1"/>
  <c r="AL122" i="5"/>
  <c r="N122" i="7"/>
  <c r="Q122" i="7"/>
  <c r="CY122" i="8"/>
  <c r="EA122" i="8" s="1"/>
  <c r="CR122" i="8"/>
  <c r="DD122" i="8" s="1"/>
  <c r="CO122" i="8"/>
  <c r="D123" i="9"/>
  <c r="D125" i="10"/>
  <c r="H126" i="5"/>
  <c r="F125" i="7"/>
  <c r="CX122" i="8"/>
  <c r="AO122" i="5"/>
  <c r="AM122" i="5"/>
  <c r="CW122" i="8"/>
  <c r="DG122" i="8"/>
  <c r="EG122" i="8" s="1"/>
  <c r="AP121" i="5"/>
  <c r="DE124" i="5"/>
  <c r="L125" i="5"/>
  <c r="H124" i="10"/>
  <c r="J124" i="7"/>
  <c r="DD124" i="5"/>
  <c r="K125" i="5"/>
  <c r="G124" i="10"/>
  <c r="I124" i="7"/>
  <c r="AR125" i="5"/>
  <c r="V124" i="2"/>
  <c r="A124" i="5"/>
  <c r="E124" i="5" s="1"/>
  <c r="EQ124" i="8" s="1"/>
  <c r="CZ124" i="8" s="1"/>
  <c r="E125" i="10"/>
  <c r="DB125" i="5"/>
  <c r="G125" i="7"/>
  <c r="I126" i="5"/>
  <c r="EI121" i="8"/>
  <c r="Q120" i="8"/>
  <c r="AH122" i="7"/>
  <c r="AG122" i="7"/>
  <c r="AI122" i="7" s="1"/>
  <c r="E123" i="1"/>
  <c r="B123" i="9"/>
  <c r="BS123" i="5"/>
  <c r="A123" i="11"/>
  <c r="Q123" i="1"/>
  <c r="E123" i="14" s="1"/>
  <c r="B123" i="7"/>
  <c r="W123" i="8"/>
  <c r="A123" i="10"/>
  <c r="AA123" i="10" s="1"/>
  <c r="AU123" i="5"/>
  <c r="C123" i="14"/>
  <c r="AV123" i="5"/>
  <c r="AB122" i="2"/>
  <c r="AI123" i="5"/>
  <c r="AH123" i="5"/>
  <c r="BN123" i="8"/>
  <c r="BO123" i="8"/>
  <c r="DM123" i="8" s="1"/>
  <c r="AB123" i="8"/>
  <c r="EO123" i="8"/>
  <c r="DT123" i="8" s="1"/>
  <c r="DL123" i="8"/>
  <c r="CQ123" i="8"/>
  <c r="DA123" i="8" s="1"/>
  <c r="AA126" i="7"/>
  <c r="AE126" i="8" s="1"/>
  <c r="BC126" i="8" s="1"/>
  <c r="K126" i="10"/>
  <c r="DE127" i="8"/>
  <c r="O127" i="2"/>
  <c r="E23" i="2"/>
  <c r="BD23" i="8"/>
  <c r="L23" i="2"/>
  <c r="H23" i="11"/>
  <c r="B23" i="8"/>
  <c r="D23" i="2" s="1"/>
  <c r="AB23" i="7"/>
  <c r="S127" i="2"/>
  <c r="K128" i="8"/>
  <c r="DA125" i="5"/>
  <c r="AG121" i="7"/>
  <c r="AI121" i="7" s="1"/>
  <c r="AH121" i="7"/>
  <c r="N126" i="2"/>
  <c r="B125" i="5"/>
  <c r="DG126" i="5"/>
  <c r="J127" i="8"/>
  <c r="R126" i="2"/>
  <c r="CY126" i="5"/>
  <c r="DF127" i="8"/>
  <c r="M127" i="2"/>
  <c r="AQ121" i="5"/>
  <c r="AU121" i="1" s="1"/>
  <c r="DY121" i="8"/>
  <c r="DD121" i="8"/>
  <c r="DC121" i="8"/>
  <c r="O121" i="8" s="1"/>
  <c r="D121" i="14"/>
  <c r="P122" i="1"/>
  <c r="E125" i="7"/>
  <c r="C125" i="10"/>
  <c r="CZ125" i="5"/>
  <c r="G126" i="5"/>
  <c r="F129" i="5"/>
  <c r="D128" i="7"/>
  <c r="B128" i="10"/>
  <c r="DC126" i="5"/>
  <c r="F126" i="10"/>
  <c r="J127" i="5"/>
  <c r="H126" i="7"/>
  <c r="H129" i="8"/>
  <c r="P128" i="2"/>
  <c r="X126" i="1"/>
  <c r="J125" i="2"/>
  <c r="DF124" i="5"/>
  <c r="AO119" i="8" l="1"/>
  <c r="BO119" i="1"/>
  <c r="BP121" i="8"/>
  <c r="BT121" i="8"/>
  <c r="BZ121" i="8"/>
  <c r="CF121" i="8"/>
  <c r="BY121" i="8"/>
  <c r="BQ121" i="8"/>
  <c r="BU121" i="8"/>
  <c r="CG121" i="8"/>
  <c r="CA123" i="8"/>
  <c r="CH123" i="8"/>
  <c r="AV120" i="8"/>
  <c r="AW120" i="1" s="1"/>
  <c r="L120" i="1" s="1"/>
  <c r="AE122" i="11"/>
  <c r="AC122" i="8" s="1"/>
  <c r="AF122" i="11"/>
  <c r="AU120" i="8"/>
  <c r="AT120" i="1" s="1"/>
  <c r="AO126" i="11"/>
  <c r="L126" i="11"/>
  <c r="AG125" i="5"/>
  <c r="E125" i="9"/>
  <c r="B125" i="1"/>
  <c r="BI125" i="1" s="1"/>
  <c r="B125" i="2"/>
  <c r="D119" i="11"/>
  <c r="AQ119" i="1"/>
  <c r="U119" i="1" s="1"/>
  <c r="J120" i="1" s="1"/>
  <c r="BM119" i="1"/>
  <c r="AK119" i="5"/>
  <c r="AP119" i="8"/>
  <c r="BN119" i="1"/>
  <c r="AR119" i="1"/>
  <c r="V119" i="1" s="1"/>
  <c r="K120" i="1" s="1"/>
  <c r="AR119" i="8"/>
  <c r="C119" i="9"/>
  <c r="AC126" i="1"/>
  <c r="BC127" i="5"/>
  <c r="BK129" i="5"/>
  <c r="AD127" i="1"/>
  <c r="BN130" i="5"/>
  <c r="AF128" i="1"/>
  <c r="BP128" i="5"/>
  <c r="AB127" i="1"/>
  <c r="BE127" i="5"/>
  <c r="AE125" i="1"/>
  <c r="W125" i="1" s="1"/>
  <c r="AZ130" i="5"/>
  <c r="N126" i="1"/>
  <c r="O127" i="1"/>
  <c r="DK127" i="8" s="1"/>
  <c r="DI126" i="8"/>
  <c r="DJ126" i="8"/>
  <c r="AD123" i="9"/>
  <c r="AV123" i="1" s="1"/>
  <c r="AT122" i="8"/>
  <c r="AQ122" i="8"/>
  <c r="M123" i="1"/>
  <c r="F122" i="11"/>
  <c r="AW122" i="8"/>
  <c r="Y122" i="11"/>
  <c r="AH122" i="1" s="1"/>
  <c r="AA122" i="11"/>
  <c r="AC122" i="11"/>
  <c r="T122" i="8" s="1"/>
  <c r="Z122" i="11"/>
  <c r="AC122" i="2" s="1"/>
  <c r="AB122" i="11"/>
  <c r="P122" i="8" s="1"/>
  <c r="AD122" i="11"/>
  <c r="AI122" i="1" s="1"/>
  <c r="DZ121" i="8"/>
  <c r="EI122" i="8"/>
  <c r="AJ129" i="14"/>
  <c r="CM128" i="8"/>
  <c r="EM120" i="8"/>
  <c r="G120" i="1" s="1"/>
  <c r="M120" i="8" s="1"/>
  <c r="A128" i="2"/>
  <c r="M128" i="5"/>
  <c r="A128" i="8"/>
  <c r="A128" i="7"/>
  <c r="A128" i="9"/>
  <c r="J129" i="10"/>
  <c r="B128" i="14"/>
  <c r="K128" i="11"/>
  <c r="AD128" i="8"/>
  <c r="DR123" i="8"/>
  <c r="DS123" i="8"/>
  <c r="DX122" i="8"/>
  <c r="EB122" i="8" s="1"/>
  <c r="DN123" i="8"/>
  <c r="DO123" i="8"/>
  <c r="CS124" i="8"/>
  <c r="DP124" i="8" s="1"/>
  <c r="CT124" i="8"/>
  <c r="DQ124" i="8" s="1"/>
  <c r="CU124" i="8"/>
  <c r="Y126" i="1"/>
  <c r="I130" i="8"/>
  <c r="Q129" i="2"/>
  <c r="D124" i="9"/>
  <c r="A125" i="5"/>
  <c r="E125" i="5" s="1"/>
  <c r="EQ125" i="8" s="1"/>
  <c r="CZ125" i="8" s="1"/>
  <c r="AP122" i="5"/>
  <c r="V125" i="2"/>
  <c r="AR126" i="5"/>
  <c r="DC122" i="8"/>
  <c r="O122" i="8" s="1"/>
  <c r="H127" i="5"/>
  <c r="F126" i="7"/>
  <c r="D126" i="10"/>
  <c r="AQ122" i="5"/>
  <c r="AU122" i="1" s="1"/>
  <c r="DY122" i="8"/>
  <c r="H125" i="10"/>
  <c r="DE125" i="5"/>
  <c r="L126" i="5"/>
  <c r="J125" i="7"/>
  <c r="DD125" i="5"/>
  <c r="G125" i="10"/>
  <c r="K126" i="5"/>
  <c r="I125" i="7"/>
  <c r="I127" i="5"/>
  <c r="E126" i="10"/>
  <c r="DB126" i="5"/>
  <c r="G126" i="7"/>
  <c r="CY127" i="5"/>
  <c r="H127" i="7"/>
  <c r="DC127" i="5"/>
  <c r="J128" i="5"/>
  <c r="F127" i="10"/>
  <c r="D129" i="7"/>
  <c r="F130" i="5"/>
  <c r="B129" i="10"/>
  <c r="CR123" i="8"/>
  <c r="CN123" i="8"/>
  <c r="CO123" i="8"/>
  <c r="H130" i="8"/>
  <c r="P129" i="2"/>
  <c r="EE121" i="8"/>
  <c r="EF121" i="8" s="1"/>
  <c r="Q121" i="8"/>
  <c r="D122" i="14"/>
  <c r="P123" i="1"/>
  <c r="DG127" i="5"/>
  <c r="DA126" i="5"/>
  <c r="J126" i="2"/>
  <c r="B126" i="5"/>
  <c r="C124" i="14"/>
  <c r="B124" i="7"/>
  <c r="E124" i="1"/>
  <c r="BS124" i="5"/>
  <c r="W124" i="8"/>
  <c r="B124" i="9"/>
  <c r="Q124" i="1"/>
  <c r="E124" i="14" s="1"/>
  <c r="A124" i="11"/>
  <c r="AU124" i="5"/>
  <c r="A124" i="10"/>
  <c r="AA124" i="10" s="1"/>
  <c r="AV124" i="5"/>
  <c r="AB123" i="2"/>
  <c r="AH124" i="5"/>
  <c r="AI124" i="5"/>
  <c r="BN124" i="8"/>
  <c r="BO124" i="8"/>
  <c r="DM124" i="8" s="1"/>
  <c r="AB124" i="8"/>
  <c r="EO124" i="8"/>
  <c r="DT124" i="8" s="1"/>
  <c r="CQ124" i="8"/>
  <c r="DA124" i="8" s="1"/>
  <c r="DL124" i="8"/>
  <c r="AE123" i="7"/>
  <c r="AF123" i="7" s="1"/>
  <c r="Q123" i="7"/>
  <c r="R127" i="2"/>
  <c r="J128" i="8"/>
  <c r="X127" i="1"/>
  <c r="M128" i="2"/>
  <c r="DF128" i="8"/>
  <c r="N127" i="2"/>
  <c r="U23" i="2"/>
  <c r="W22" i="2" s="1"/>
  <c r="C23" i="2" s="1"/>
  <c r="AA127" i="7"/>
  <c r="AE127" i="8" s="1"/>
  <c r="BC127" i="8" s="1"/>
  <c r="K127" i="10"/>
  <c r="N123" i="7"/>
  <c r="DG123" i="8"/>
  <c r="EG123" i="8" s="1"/>
  <c r="CV123" i="8"/>
  <c r="CX123" i="8"/>
  <c r="CW123" i="8"/>
  <c r="DB123" i="8"/>
  <c r="EC123" i="8" s="1"/>
  <c r="ED123" i="8" s="1"/>
  <c r="CY123" i="8"/>
  <c r="EA123" i="8" s="1"/>
  <c r="DH123" i="8"/>
  <c r="EH123" i="8" s="1"/>
  <c r="EP123" i="8"/>
  <c r="N123" i="11"/>
  <c r="AC123" i="10"/>
  <c r="X123" i="10" s="1"/>
  <c r="Y123" i="10" s="1"/>
  <c r="AM123" i="5"/>
  <c r="AO123" i="5"/>
  <c r="AL123" i="5"/>
  <c r="C126" i="10"/>
  <c r="G127" i="5"/>
  <c r="CZ126" i="5"/>
  <c r="E126" i="7"/>
  <c r="S128" i="2"/>
  <c r="K129" i="8"/>
  <c r="O128" i="2"/>
  <c r="DE128" i="8"/>
  <c r="AN123" i="5"/>
  <c r="DF125" i="5"/>
  <c r="BO120" i="1" l="1"/>
  <c r="AO120" i="8"/>
  <c r="E120" i="11"/>
  <c r="BT122" i="8"/>
  <c r="BY122" i="8"/>
  <c r="CF122" i="8"/>
  <c r="BU122" i="8"/>
  <c r="CG122" i="8"/>
  <c r="BQ122" i="8"/>
  <c r="BP122" i="8"/>
  <c r="BZ122" i="8"/>
  <c r="AV121" i="8"/>
  <c r="AW121" i="1" s="1"/>
  <c r="L121" i="1" s="1"/>
  <c r="CA124" i="8"/>
  <c r="CH124" i="8"/>
  <c r="AE123" i="11"/>
  <c r="AC123" i="8" s="1"/>
  <c r="AF123" i="11"/>
  <c r="AU121" i="8"/>
  <c r="AT121" i="1" s="1"/>
  <c r="AO127" i="11"/>
  <c r="L127" i="11"/>
  <c r="AG126" i="5"/>
  <c r="E126" i="9"/>
  <c r="B126" i="2"/>
  <c r="B126" i="1"/>
  <c r="BI126" i="1" s="1"/>
  <c r="B127" i="5"/>
  <c r="AP120" i="8"/>
  <c r="AK120" i="5"/>
  <c r="AQ120" i="1"/>
  <c r="U120" i="1" s="1"/>
  <c r="J121" i="1" s="1"/>
  <c r="BM120" i="1"/>
  <c r="D120" i="11"/>
  <c r="AR120" i="8"/>
  <c r="C120" i="9"/>
  <c r="AR120" i="1"/>
  <c r="V120" i="1" s="1"/>
  <c r="K121" i="1" s="1"/>
  <c r="BN120" i="1"/>
  <c r="BC128" i="5"/>
  <c r="AC127" i="1"/>
  <c r="BE128" i="5"/>
  <c r="AE126" i="1"/>
  <c r="BK130" i="5"/>
  <c r="AD128" i="1"/>
  <c r="AZ131" i="5"/>
  <c r="BN131" i="5"/>
  <c r="AF129" i="1"/>
  <c r="BP129" i="5"/>
  <c r="AB128" i="1"/>
  <c r="R23" i="8"/>
  <c r="S23" i="8" s="1"/>
  <c r="F23" i="2"/>
  <c r="N127" i="1"/>
  <c r="O128" i="1"/>
  <c r="DK128" i="8" s="1"/>
  <c r="DI127" i="8"/>
  <c r="DJ127" i="8"/>
  <c r="AD124" i="9"/>
  <c r="AV124" i="1" s="1"/>
  <c r="DZ122" i="8"/>
  <c r="AT123" i="8"/>
  <c r="AQ123" i="8"/>
  <c r="F123" i="11"/>
  <c r="M124" i="1"/>
  <c r="AW123" i="8"/>
  <c r="Y123" i="11"/>
  <c r="AH123" i="1" s="1"/>
  <c r="AC123" i="11"/>
  <c r="T123" i="8" s="1"/>
  <c r="AA123" i="11"/>
  <c r="AD123" i="11"/>
  <c r="AI123" i="1" s="1"/>
  <c r="AB123" i="11"/>
  <c r="P123" i="8" s="1"/>
  <c r="Z123" i="11"/>
  <c r="AC123" i="2" s="1"/>
  <c r="EM121" i="8"/>
  <c r="G121" i="1" s="1"/>
  <c r="M121" i="8" s="1"/>
  <c r="A129" i="2"/>
  <c r="M129" i="5"/>
  <c r="J130" i="10"/>
  <c r="A129" i="9"/>
  <c r="AD129" i="8"/>
  <c r="B129" i="14"/>
  <c r="K129" i="11"/>
  <c r="A129" i="7"/>
  <c r="A129" i="8"/>
  <c r="CM129" i="8"/>
  <c r="AJ130" i="14"/>
  <c r="DR124" i="8"/>
  <c r="DS124" i="8"/>
  <c r="DX123" i="8"/>
  <c r="EB123" i="8" s="1"/>
  <c r="DN124" i="8"/>
  <c r="DO124" i="8"/>
  <c r="C125" i="14"/>
  <c r="CU125" i="8"/>
  <c r="CS125" i="8"/>
  <c r="DP125" i="8" s="1"/>
  <c r="CT125" i="8"/>
  <c r="DQ125" i="8" s="1"/>
  <c r="Y127" i="1"/>
  <c r="I131" i="8"/>
  <c r="Q130" i="2"/>
  <c r="D125" i="9"/>
  <c r="BN125" i="8"/>
  <c r="A125" i="10"/>
  <c r="AA125" i="10" s="1"/>
  <c r="AB125" i="8"/>
  <c r="B125" i="7"/>
  <c r="AE125" i="7" s="1"/>
  <c r="AF125" i="7" s="1"/>
  <c r="B125" i="9"/>
  <c r="BO125" i="8"/>
  <c r="DM125" i="8" s="1"/>
  <c r="EO125" i="8"/>
  <c r="BS125" i="5"/>
  <c r="W125" i="8"/>
  <c r="AU125" i="5"/>
  <c r="AV125" i="5"/>
  <c r="E125" i="1"/>
  <c r="AB124" i="2"/>
  <c r="Q125" i="1"/>
  <c r="E125" i="14" s="1"/>
  <c r="AI125" i="5"/>
  <c r="A125" i="11"/>
  <c r="AH125" i="5"/>
  <c r="CQ125" i="8"/>
  <c r="DA125" i="8" s="1"/>
  <c r="DL125" i="8"/>
  <c r="EE122" i="8"/>
  <c r="EF122" i="8" s="1"/>
  <c r="V126" i="2"/>
  <c r="Q122" i="8"/>
  <c r="AR127" i="5"/>
  <c r="A126" i="5"/>
  <c r="E126" i="5" s="1"/>
  <c r="EQ126" i="8" s="1"/>
  <c r="CZ126" i="8" s="1"/>
  <c r="AN124" i="5"/>
  <c r="D127" i="10"/>
  <c r="F127" i="7"/>
  <c r="H128" i="5"/>
  <c r="H126" i="10"/>
  <c r="DE126" i="5"/>
  <c r="L127" i="5"/>
  <c r="J126" i="7"/>
  <c r="DD126" i="5"/>
  <c r="K127" i="5"/>
  <c r="I126" i="7"/>
  <c r="G126" i="10"/>
  <c r="G127" i="7"/>
  <c r="I128" i="5"/>
  <c r="DB127" i="5"/>
  <c r="E127" i="10"/>
  <c r="DY123" i="8"/>
  <c r="AA128" i="7"/>
  <c r="AE128" i="8" s="1"/>
  <c r="BC128" i="8" s="1"/>
  <c r="K128" i="10"/>
  <c r="M129" i="2"/>
  <c r="DF129" i="8"/>
  <c r="CY128" i="5"/>
  <c r="CZ127" i="5"/>
  <c r="G128" i="5"/>
  <c r="C127" i="10"/>
  <c r="E127" i="7"/>
  <c r="AG123" i="7"/>
  <c r="AI123" i="7" s="1"/>
  <c r="AH123" i="7"/>
  <c r="CO124" i="8"/>
  <c r="CN124" i="8"/>
  <c r="CR124" i="8"/>
  <c r="AQ123" i="5"/>
  <c r="AU123" i="1" s="1"/>
  <c r="X128" i="1"/>
  <c r="N124" i="11"/>
  <c r="D123" i="14"/>
  <c r="P124" i="1"/>
  <c r="J127" i="2"/>
  <c r="S129" i="2"/>
  <c r="K130" i="8"/>
  <c r="DC123" i="8"/>
  <c r="O123" i="8" s="1"/>
  <c r="DD123" i="8"/>
  <c r="DE129" i="8"/>
  <c r="O129" i="2"/>
  <c r="DG128" i="5"/>
  <c r="P130" i="2"/>
  <c r="H131" i="8"/>
  <c r="AP123" i="5"/>
  <c r="DG124" i="8"/>
  <c r="EG124" i="8" s="1"/>
  <c r="CW124" i="8"/>
  <c r="CY124" i="8"/>
  <c r="EA124" i="8" s="1"/>
  <c r="CV124" i="8"/>
  <c r="CX124" i="8"/>
  <c r="DB124" i="8"/>
  <c r="EC124" i="8" s="1"/>
  <c r="ED124" i="8" s="1"/>
  <c r="N128" i="2"/>
  <c r="N124" i="7"/>
  <c r="AE124" i="7"/>
  <c r="AF124" i="7" s="1"/>
  <c r="Q124" i="7"/>
  <c r="EI123" i="8"/>
  <c r="AC124" i="10"/>
  <c r="X124" i="10" s="1"/>
  <c r="Y124" i="10" s="1"/>
  <c r="AM124" i="5"/>
  <c r="AO124" i="5"/>
  <c r="AL124" i="5"/>
  <c r="DH124" i="8"/>
  <c r="EH124" i="8" s="1"/>
  <c r="EP124" i="8"/>
  <c r="B130" i="10"/>
  <c r="D130" i="7"/>
  <c r="F131" i="5"/>
  <c r="W126" i="1"/>
  <c r="DA127" i="5"/>
  <c r="J129" i="8"/>
  <c r="R128" i="2"/>
  <c r="F128" i="10"/>
  <c r="H128" i="7"/>
  <c r="DC128" i="5"/>
  <c r="J129" i="5"/>
  <c r="DF126" i="5"/>
  <c r="AU122" i="8" l="1"/>
  <c r="AT122" i="1" s="1"/>
  <c r="AO121" i="8"/>
  <c r="BO121" i="1"/>
  <c r="E121" i="11"/>
  <c r="AV122" i="8"/>
  <c r="AW122" i="1" s="1"/>
  <c r="L122" i="1" s="1"/>
  <c r="AE124" i="11"/>
  <c r="AC124" i="8" s="1"/>
  <c r="AF124" i="11"/>
  <c r="CA125" i="8"/>
  <c r="CH125" i="8"/>
  <c r="BY123" i="8"/>
  <c r="BQ123" i="8"/>
  <c r="CG123" i="8"/>
  <c r="BP123" i="8"/>
  <c r="BT123" i="8"/>
  <c r="BZ123" i="8"/>
  <c r="CF123" i="8"/>
  <c r="BU123" i="8"/>
  <c r="AO128" i="11"/>
  <c r="L128" i="11"/>
  <c r="E127" i="9"/>
  <c r="AG127" i="5"/>
  <c r="B127" i="2"/>
  <c r="B127" i="1"/>
  <c r="BI127" i="1" s="1"/>
  <c r="BM121" i="1"/>
  <c r="D121" i="11"/>
  <c r="AQ121" i="1"/>
  <c r="U121" i="1" s="1"/>
  <c r="J122" i="1" s="1"/>
  <c r="AK121" i="5"/>
  <c r="AP121" i="8"/>
  <c r="AR121" i="8"/>
  <c r="BN121" i="1"/>
  <c r="AR121" i="1"/>
  <c r="V121" i="1" s="1"/>
  <c r="K122" i="1" s="1"/>
  <c r="C121" i="9"/>
  <c r="AC128" i="1"/>
  <c r="BC129" i="5"/>
  <c r="BN132" i="5"/>
  <c r="AF130" i="1"/>
  <c r="BE129" i="5"/>
  <c r="AE127" i="1"/>
  <c r="W127" i="1" s="1"/>
  <c r="BP130" i="5"/>
  <c r="AB129" i="1"/>
  <c r="BK131" i="5"/>
  <c r="AD129" i="1"/>
  <c r="AZ132" i="5"/>
  <c r="H23" i="2"/>
  <c r="F23" i="1"/>
  <c r="I23" i="2"/>
  <c r="AA23" i="1" s="1"/>
  <c r="S23" i="1" s="1"/>
  <c r="H24" i="1" s="1"/>
  <c r="N128" i="1"/>
  <c r="O129" i="1"/>
  <c r="DK129" i="8" s="1"/>
  <c r="DJ128" i="8"/>
  <c r="DI128" i="8"/>
  <c r="EM122" i="8"/>
  <c r="G122" i="1" s="1"/>
  <c r="M122" i="8" s="1"/>
  <c r="AD125" i="9"/>
  <c r="AV125" i="1" s="1"/>
  <c r="AT124" i="8"/>
  <c r="AW124" i="8"/>
  <c r="AQ124" i="8"/>
  <c r="M125" i="1"/>
  <c r="F124" i="11"/>
  <c r="AA124" i="11"/>
  <c r="AC124" i="11"/>
  <c r="T124" i="8" s="1"/>
  <c r="Y124" i="11"/>
  <c r="AH124" i="1" s="1"/>
  <c r="AB124" i="11"/>
  <c r="P124" i="8" s="1"/>
  <c r="Z124" i="11"/>
  <c r="AC124" i="2" s="1"/>
  <c r="AD124" i="11"/>
  <c r="AI124" i="1" s="1"/>
  <c r="DZ123" i="8"/>
  <c r="CM130" i="8"/>
  <c r="AJ131" i="14"/>
  <c r="A130" i="2"/>
  <c r="A130" i="7"/>
  <c r="J131" i="10"/>
  <c r="AD130" i="8"/>
  <c r="B130" i="14"/>
  <c r="A130" i="8"/>
  <c r="K130" i="11"/>
  <c r="A130" i="9"/>
  <c r="M130" i="5"/>
  <c r="DH125" i="8"/>
  <c r="EH125" i="8" s="1"/>
  <c r="DT125" i="8"/>
  <c r="DR125" i="8"/>
  <c r="DS125" i="8"/>
  <c r="DX124" i="8"/>
  <c r="EB124" i="8" s="1"/>
  <c r="CX125" i="8"/>
  <c r="DN125" i="8"/>
  <c r="DO125" i="8"/>
  <c r="B126" i="9"/>
  <c r="CS126" i="8"/>
  <c r="DP126" i="8" s="1"/>
  <c r="CT126" i="8"/>
  <c r="DQ126" i="8" s="1"/>
  <c r="CU126" i="8"/>
  <c r="N125" i="7"/>
  <c r="Y128" i="1"/>
  <c r="AL125" i="5"/>
  <c r="Q125" i="7"/>
  <c r="I132" i="8"/>
  <c r="Q131" i="2"/>
  <c r="AN125" i="5"/>
  <c r="EP125" i="8"/>
  <c r="N125" i="11"/>
  <c r="D126" i="9"/>
  <c r="C126" i="14"/>
  <c r="AI126" i="5"/>
  <c r="AH126" i="5"/>
  <c r="B126" i="7"/>
  <c r="Q126" i="7" s="1"/>
  <c r="CR125" i="8"/>
  <c r="DC125" i="8" s="1"/>
  <c r="CO125" i="8"/>
  <c r="BO126" i="8"/>
  <c r="DM126" i="8" s="1"/>
  <c r="AU126" i="5"/>
  <c r="CN125" i="8"/>
  <c r="AC125" i="10"/>
  <c r="X125" i="10" s="1"/>
  <c r="Y125" i="10" s="1"/>
  <c r="V127" i="2"/>
  <c r="EO126" i="8"/>
  <c r="W126" i="8"/>
  <c r="Q126" i="1"/>
  <c r="E126" i="14" s="1"/>
  <c r="AO125" i="5"/>
  <c r="AB126" i="8"/>
  <c r="A126" i="11"/>
  <c r="BS126" i="5"/>
  <c r="AM125" i="5"/>
  <c r="BN126" i="8"/>
  <c r="CN126" i="8" s="1"/>
  <c r="E126" i="1"/>
  <c r="A126" i="10"/>
  <c r="AA126" i="10" s="1"/>
  <c r="AV126" i="5"/>
  <c r="AB125" i="2"/>
  <c r="CW125" i="8"/>
  <c r="DB125" i="8"/>
  <c r="EC125" i="8" s="1"/>
  <c r="ED125" i="8" s="1"/>
  <c r="DG125" i="8"/>
  <c r="EG125" i="8" s="1"/>
  <c r="CV125" i="8"/>
  <c r="CQ126" i="8"/>
  <c r="DA126" i="8" s="1"/>
  <c r="CY125" i="8"/>
  <c r="EA125" i="8" s="1"/>
  <c r="DL126" i="8"/>
  <c r="A127" i="5"/>
  <c r="E127" i="5" s="1"/>
  <c r="EQ127" i="8" s="1"/>
  <c r="CZ127" i="8" s="1"/>
  <c r="H129" i="5"/>
  <c r="D128" i="10"/>
  <c r="F128" i="7"/>
  <c r="AP124" i="5"/>
  <c r="AR128" i="5"/>
  <c r="J127" i="7"/>
  <c r="DE127" i="5"/>
  <c r="H127" i="10"/>
  <c r="L128" i="5"/>
  <c r="DD127" i="5"/>
  <c r="G127" i="10"/>
  <c r="K128" i="5"/>
  <c r="I127" i="7"/>
  <c r="E128" i="10"/>
  <c r="I129" i="5"/>
  <c r="DB128" i="5"/>
  <c r="G128" i="7"/>
  <c r="CZ128" i="5"/>
  <c r="G129" i="5"/>
  <c r="C128" i="10"/>
  <c r="E128" i="7"/>
  <c r="M130" i="2"/>
  <c r="DF130" i="8"/>
  <c r="DY124" i="8"/>
  <c r="AG125" i="7"/>
  <c r="AI125" i="7" s="1"/>
  <c r="AH125" i="7"/>
  <c r="AG124" i="7"/>
  <c r="AI124" i="7" s="1"/>
  <c r="AH124" i="7"/>
  <c r="DG129" i="5"/>
  <c r="DC124" i="8"/>
  <c r="O124" i="8" s="1"/>
  <c r="DD124" i="8"/>
  <c r="K131" i="8"/>
  <c r="S130" i="2"/>
  <c r="R129" i="2"/>
  <c r="J130" i="8"/>
  <c r="U23" i="8"/>
  <c r="V23" i="8"/>
  <c r="EE123" i="8"/>
  <c r="EF123" i="8" s="1"/>
  <c r="Q123" i="8"/>
  <c r="AQ124" i="5"/>
  <c r="AU124" i="1" s="1"/>
  <c r="B128" i="5"/>
  <c r="AP23" i="1"/>
  <c r="T23" i="1" s="1"/>
  <c r="I24" i="1" s="1"/>
  <c r="J23" i="11"/>
  <c r="G23" i="2"/>
  <c r="Z23" i="2" s="1"/>
  <c r="Z24" i="8" s="1"/>
  <c r="B24" i="8" s="1"/>
  <c r="D124" i="14"/>
  <c r="P125" i="1"/>
  <c r="CY129" i="5"/>
  <c r="K129" i="10"/>
  <c r="AA129" i="7"/>
  <c r="AE129" i="8" s="1"/>
  <c r="BC129" i="8" s="1"/>
  <c r="B131" i="10"/>
  <c r="F132" i="5"/>
  <c r="D131" i="7"/>
  <c r="DA128" i="5"/>
  <c r="X129" i="1"/>
  <c r="EI124" i="8"/>
  <c r="N129" i="2"/>
  <c r="O130" i="2"/>
  <c r="DE130" i="8"/>
  <c r="F129" i="10"/>
  <c r="H129" i="7"/>
  <c r="J130" i="5"/>
  <c r="DC129" i="5"/>
  <c r="H132" i="8"/>
  <c r="P131" i="2"/>
  <c r="J128" i="2"/>
  <c r="DF127" i="5"/>
  <c r="AO122" i="8" l="1"/>
  <c r="BO122" i="1"/>
  <c r="E122" i="11"/>
  <c r="AF125" i="11"/>
  <c r="AE125" i="11"/>
  <c r="AC125" i="8" s="1"/>
  <c r="AU123" i="8"/>
  <c r="AT123" i="1" s="1"/>
  <c r="CA126" i="8"/>
  <c r="CH126" i="8"/>
  <c r="AV123" i="8"/>
  <c r="AW123" i="1" s="1"/>
  <c r="L123" i="1" s="1"/>
  <c r="BT124" i="8"/>
  <c r="CF124" i="8"/>
  <c r="BP124" i="8"/>
  <c r="CG124" i="8"/>
  <c r="BY124" i="8"/>
  <c r="BU124" i="8"/>
  <c r="BZ124" i="8"/>
  <c r="BQ124" i="8"/>
  <c r="AO129" i="11"/>
  <c r="L129" i="11"/>
  <c r="E128" i="9"/>
  <c r="AG128" i="5"/>
  <c r="B128" i="2"/>
  <c r="B128" i="1"/>
  <c r="BI128" i="1" s="1"/>
  <c r="J129" i="2"/>
  <c r="BM122" i="1"/>
  <c r="AK122" i="5"/>
  <c r="AQ122" i="1"/>
  <c r="U122" i="1" s="1"/>
  <c r="J123" i="1" s="1"/>
  <c r="D123" i="11" s="1"/>
  <c r="D122" i="11"/>
  <c r="AP122" i="8"/>
  <c r="AR122" i="8"/>
  <c r="C122" i="9"/>
  <c r="BN122" i="1"/>
  <c r="AR122" i="1"/>
  <c r="V122" i="1" s="1"/>
  <c r="K123" i="1" s="1"/>
  <c r="I23" i="11"/>
  <c r="O23" i="7"/>
  <c r="BC130" i="5"/>
  <c r="AC129" i="1"/>
  <c r="AZ133" i="5"/>
  <c r="BN133" i="5"/>
  <c r="AF131" i="1"/>
  <c r="BE130" i="5"/>
  <c r="AE128" i="1"/>
  <c r="W128" i="1" s="1"/>
  <c r="BP131" i="5"/>
  <c r="AB130" i="1"/>
  <c r="BK132" i="5"/>
  <c r="AD130" i="1"/>
  <c r="O125" i="8"/>
  <c r="N129" i="1"/>
  <c r="O130" i="1"/>
  <c r="DK130" i="8" s="1"/>
  <c r="DI129" i="8"/>
  <c r="DJ129" i="8"/>
  <c r="AD126" i="9"/>
  <c r="AV126" i="1" s="1"/>
  <c r="AT125" i="8"/>
  <c r="AQ125" i="8"/>
  <c r="F125" i="11"/>
  <c r="M126" i="1"/>
  <c r="AW125" i="8"/>
  <c r="AC125" i="11"/>
  <c r="T125" i="8" s="1"/>
  <c r="AA125" i="11"/>
  <c r="Y125" i="11"/>
  <c r="AH125" i="1" s="1"/>
  <c r="AD125" i="11"/>
  <c r="AI125" i="1" s="1"/>
  <c r="AB125" i="11"/>
  <c r="P125" i="8" s="1"/>
  <c r="Z125" i="11"/>
  <c r="AC125" i="2" s="1"/>
  <c r="DZ124" i="8"/>
  <c r="EM123" i="8"/>
  <c r="G123" i="1" s="1"/>
  <c r="M123" i="8" s="1"/>
  <c r="A131" i="2"/>
  <c r="A131" i="7"/>
  <c r="A131" i="9"/>
  <c r="M131" i="5"/>
  <c r="A131" i="8"/>
  <c r="K131" i="11"/>
  <c r="B131" i="14"/>
  <c r="AD131" i="8"/>
  <c r="J132" i="10"/>
  <c r="AJ132" i="14"/>
  <c r="CM131" i="8"/>
  <c r="EI125" i="8"/>
  <c r="EP126" i="8"/>
  <c r="DT126" i="8"/>
  <c r="DR126" i="8"/>
  <c r="DS126" i="8"/>
  <c r="DX125" i="8"/>
  <c r="EB125" i="8" s="1"/>
  <c r="DY125" i="8"/>
  <c r="DN126" i="8"/>
  <c r="DO126" i="8"/>
  <c r="CS127" i="8"/>
  <c r="DP127" i="8" s="1"/>
  <c r="CT127" i="8"/>
  <c r="DQ127" i="8" s="1"/>
  <c r="CU127" i="8"/>
  <c r="AE126" i="7"/>
  <c r="AF126" i="7" s="1"/>
  <c r="AH126" i="7" s="1"/>
  <c r="DD125" i="8"/>
  <c r="EE125" i="8" s="1"/>
  <c r="EF125" i="8" s="1"/>
  <c r="Y129" i="1"/>
  <c r="D127" i="9"/>
  <c r="AP125" i="5"/>
  <c r="DH126" i="8"/>
  <c r="EH126" i="8" s="1"/>
  <c r="Q132" i="2"/>
  <c r="I133" i="8"/>
  <c r="AN126" i="5"/>
  <c r="AQ125" i="5"/>
  <c r="AU125" i="1" s="1"/>
  <c r="N126" i="7"/>
  <c r="CR126" i="8"/>
  <c r="DC126" i="8" s="1"/>
  <c r="CO126" i="8"/>
  <c r="AL126" i="5"/>
  <c r="N126" i="11"/>
  <c r="AM126" i="5"/>
  <c r="AO126" i="5"/>
  <c r="AC126" i="10"/>
  <c r="X126" i="10" s="1"/>
  <c r="Y126" i="10" s="1"/>
  <c r="A128" i="5"/>
  <c r="E128" i="5" s="1"/>
  <c r="EQ128" i="8" s="1"/>
  <c r="CZ128" i="8" s="1"/>
  <c r="CY126" i="8"/>
  <c r="EA126" i="8" s="1"/>
  <c r="DG126" i="8"/>
  <c r="EG126" i="8" s="1"/>
  <c r="DB126" i="8"/>
  <c r="EC126" i="8" s="1"/>
  <c r="ED126" i="8" s="1"/>
  <c r="CX126" i="8"/>
  <c r="CW126" i="8"/>
  <c r="CV126" i="8"/>
  <c r="CQ127" i="8"/>
  <c r="DA127" i="8" s="1"/>
  <c r="A127" i="11"/>
  <c r="BO127" i="8"/>
  <c r="DM127" i="8" s="1"/>
  <c r="A127" i="10"/>
  <c r="AA127" i="10" s="1"/>
  <c r="BS127" i="5"/>
  <c r="W127" i="8"/>
  <c r="B127" i="7"/>
  <c r="AE127" i="7" s="1"/>
  <c r="AF127" i="7" s="1"/>
  <c r="AB127" i="8"/>
  <c r="C127" i="14"/>
  <c r="AB126" i="2"/>
  <c r="AV127" i="5"/>
  <c r="EO127" i="8"/>
  <c r="B127" i="9"/>
  <c r="AH127" i="5"/>
  <c r="AU127" i="5"/>
  <c r="AI127" i="5"/>
  <c r="E127" i="1"/>
  <c r="BN127" i="8"/>
  <c r="CR127" i="8" s="1"/>
  <c r="Q127" i="1"/>
  <c r="E127" i="14" s="1"/>
  <c r="DL127" i="8"/>
  <c r="AR129" i="5"/>
  <c r="F129" i="7"/>
  <c r="H130" i="5"/>
  <c r="D129" i="10"/>
  <c r="V128" i="2"/>
  <c r="J128" i="7"/>
  <c r="L129" i="5"/>
  <c r="DE128" i="5"/>
  <c r="H128" i="10"/>
  <c r="DD128" i="5"/>
  <c r="G128" i="10"/>
  <c r="I128" i="7"/>
  <c r="K129" i="5"/>
  <c r="G129" i="7"/>
  <c r="E129" i="10"/>
  <c r="DB129" i="5"/>
  <c r="I130" i="5"/>
  <c r="B129" i="5"/>
  <c r="X130" i="1"/>
  <c r="F133" i="5"/>
  <c r="D132" i="7"/>
  <c r="B132" i="10"/>
  <c r="AA130" i="7"/>
  <c r="AE130" i="8" s="1"/>
  <c r="BC130" i="8" s="1"/>
  <c r="K130" i="10"/>
  <c r="M131" i="2"/>
  <c r="DF131" i="8"/>
  <c r="DG130" i="5"/>
  <c r="K132" i="8"/>
  <c r="S131" i="2"/>
  <c r="AJ24" i="5"/>
  <c r="BK24" i="1"/>
  <c r="V24" i="10"/>
  <c r="C24" i="11"/>
  <c r="AN24" i="8"/>
  <c r="AC24" i="7"/>
  <c r="E129" i="7"/>
  <c r="CZ129" i="5"/>
  <c r="G130" i="5"/>
  <c r="C129" i="10"/>
  <c r="P23" i="7"/>
  <c r="F23" i="9"/>
  <c r="EE124" i="8"/>
  <c r="EF124" i="8" s="1"/>
  <c r="Q124" i="8"/>
  <c r="O131" i="2"/>
  <c r="DE131" i="8"/>
  <c r="P132" i="2"/>
  <c r="H133" i="8"/>
  <c r="D125" i="14"/>
  <c r="P126" i="1"/>
  <c r="C23" i="8"/>
  <c r="DC130" i="5"/>
  <c r="H130" i="7"/>
  <c r="J131" i="5"/>
  <c r="F130" i="10"/>
  <c r="N130" i="2"/>
  <c r="DA129" i="5"/>
  <c r="CY130" i="5"/>
  <c r="R130" i="2"/>
  <c r="J131" i="8"/>
  <c r="DF128" i="5"/>
  <c r="AU124" i="8" l="1"/>
  <c r="AT124" i="1" s="1"/>
  <c r="E123" i="11"/>
  <c r="AO123" i="8"/>
  <c r="BO123" i="1"/>
  <c r="CA127" i="8"/>
  <c r="CH127" i="8"/>
  <c r="AE126" i="11"/>
  <c r="AC126" i="8" s="1"/>
  <c r="AF126" i="11"/>
  <c r="AV124" i="8"/>
  <c r="AW124" i="1" s="1"/>
  <c r="L124" i="1" s="1"/>
  <c r="CF125" i="8"/>
  <c r="BP125" i="8"/>
  <c r="BU125" i="8"/>
  <c r="CG125" i="8"/>
  <c r="BT125" i="8"/>
  <c r="BQ125" i="8"/>
  <c r="BY125" i="8"/>
  <c r="BZ125" i="8"/>
  <c r="AO130" i="11"/>
  <c r="L130" i="11"/>
  <c r="E129" i="9"/>
  <c r="AG129" i="5"/>
  <c r="B129" i="1"/>
  <c r="BI129" i="1" s="1"/>
  <c r="B129" i="2"/>
  <c r="AP123" i="8"/>
  <c r="AK123" i="5"/>
  <c r="BM123" i="1"/>
  <c r="AQ123" i="1"/>
  <c r="U123" i="1" s="1"/>
  <c r="J124" i="1" s="1"/>
  <c r="AQ124" i="1" s="1"/>
  <c r="U124" i="1" s="1"/>
  <c r="AR123" i="8"/>
  <c r="BN123" i="1"/>
  <c r="AR123" i="1"/>
  <c r="V123" i="1" s="1"/>
  <c r="K124" i="1" s="1"/>
  <c r="C123" i="9"/>
  <c r="BC131" i="5"/>
  <c r="AC130" i="1"/>
  <c r="J130" i="2"/>
  <c r="O126" i="8"/>
  <c r="BP132" i="5"/>
  <c r="AB131" i="1"/>
  <c r="AZ134" i="5"/>
  <c r="BK133" i="5"/>
  <c r="AD131" i="1"/>
  <c r="BN134" i="5"/>
  <c r="AF132" i="1"/>
  <c r="BE131" i="5"/>
  <c r="AE129" i="1"/>
  <c r="N130" i="1"/>
  <c r="O131" i="1"/>
  <c r="DK131" i="8" s="1"/>
  <c r="DI130" i="8"/>
  <c r="DJ130" i="8"/>
  <c r="AS24" i="8"/>
  <c r="AO24" i="1"/>
  <c r="AD127" i="9"/>
  <c r="AV127" i="1" s="1"/>
  <c r="AG126" i="7"/>
  <c r="AI126" i="7" s="1"/>
  <c r="BL24" i="1"/>
  <c r="AT126" i="8"/>
  <c r="AW126" i="8"/>
  <c r="AQ126" i="8"/>
  <c r="F126" i="11"/>
  <c r="M127" i="1"/>
  <c r="Y126" i="11"/>
  <c r="AH126" i="1" s="1"/>
  <c r="AA126" i="11"/>
  <c r="AC126" i="11"/>
  <c r="T126" i="8" s="1"/>
  <c r="AB126" i="11"/>
  <c r="P126" i="8" s="1"/>
  <c r="AD126" i="11"/>
  <c r="AI126" i="1" s="1"/>
  <c r="Z126" i="11"/>
  <c r="AC126" i="2" s="1"/>
  <c r="EM124" i="8"/>
  <c r="G124" i="1" s="1"/>
  <c r="M124" i="8" s="1"/>
  <c r="A132" i="2"/>
  <c r="A132" i="9"/>
  <c r="B132" i="14"/>
  <c r="K132" i="11"/>
  <c r="J133" i="10"/>
  <c r="M132" i="5"/>
  <c r="A132" i="7"/>
  <c r="AD132" i="8"/>
  <c r="A132" i="8"/>
  <c r="CM132" i="8"/>
  <c r="AJ133" i="14"/>
  <c r="DH127" i="8"/>
  <c r="EH127" i="8" s="1"/>
  <c r="DT127" i="8"/>
  <c r="DR127" i="8"/>
  <c r="DS127" i="8"/>
  <c r="DX126" i="8"/>
  <c r="EB126" i="8" s="1"/>
  <c r="DZ125" i="8"/>
  <c r="EM125" i="8" s="1"/>
  <c r="G125" i="1" s="1"/>
  <c r="M125" i="8" s="1"/>
  <c r="DB127" i="8"/>
  <c r="EC127" i="8" s="1"/>
  <c r="ED127" i="8" s="1"/>
  <c r="DN127" i="8"/>
  <c r="DO127" i="8"/>
  <c r="CU128" i="8"/>
  <c r="CT128" i="8"/>
  <c r="DQ128" i="8" s="1"/>
  <c r="CS128" i="8"/>
  <c r="DP128" i="8" s="1"/>
  <c r="Y130" i="1"/>
  <c r="DD126" i="8"/>
  <c r="EE126" i="8" s="1"/>
  <c r="EF126" i="8" s="1"/>
  <c r="EI126" i="8"/>
  <c r="I134" i="8"/>
  <c r="Q133" i="2"/>
  <c r="AP126" i="5"/>
  <c r="CV127" i="8"/>
  <c r="Q125" i="8"/>
  <c r="AQ126" i="5"/>
  <c r="AU126" i="1" s="1"/>
  <c r="EP127" i="8"/>
  <c r="AL127" i="5"/>
  <c r="CX127" i="8"/>
  <c r="CW127" i="8"/>
  <c r="DG127" i="8"/>
  <c r="EG127" i="8" s="1"/>
  <c r="CY127" i="8"/>
  <c r="EA127" i="8" s="1"/>
  <c r="Q127" i="7"/>
  <c r="DY126" i="8"/>
  <c r="D128" i="9"/>
  <c r="CN127" i="8"/>
  <c r="CO127" i="8"/>
  <c r="V129" i="2"/>
  <c r="AO127" i="5"/>
  <c r="N127" i="7"/>
  <c r="AN127" i="5"/>
  <c r="AM127" i="5"/>
  <c r="AC127" i="10"/>
  <c r="X127" i="10" s="1"/>
  <c r="Y127" i="10" s="1"/>
  <c r="N127" i="11"/>
  <c r="H131" i="5"/>
  <c r="D130" i="10"/>
  <c r="F130" i="7"/>
  <c r="J129" i="7"/>
  <c r="DE129" i="5"/>
  <c r="L130" i="5"/>
  <c r="H129" i="10"/>
  <c r="A129" i="5"/>
  <c r="E129" i="5" s="1"/>
  <c r="EQ129" i="8" s="1"/>
  <c r="CZ129" i="8" s="1"/>
  <c r="DD129" i="5"/>
  <c r="G129" i="10"/>
  <c r="K130" i="5"/>
  <c r="I129" i="7"/>
  <c r="AR130" i="5"/>
  <c r="DB130" i="5"/>
  <c r="E130" i="10"/>
  <c r="I131" i="5"/>
  <c r="G130" i="7"/>
  <c r="D126" i="14"/>
  <c r="P127" i="1"/>
  <c r="CY131" i="5"/>
  <c r="Y23" i="2"/>
  <c r="X23" i="2" s="1"/>
  <c r="D133" i="7"/>
  <c r="B133" i="10"/>
  <c r="F134" i="5"/>
  <c r="DC131" i="5"/>
  <c r="F131" i="10"/>
  <c r="H131" i="7"/>
  <c r="J132" i="5"/>
  <c r="K133" i="8"/>
  <c r="S132" i="2"/>
  <c r="P133" i="2"/>
  <c r="H134" i="8"/>
  <c r="DG131" i="5"/>
  <c r="M132" i="2"/>
  <c r="DF132" i="8"/>
  <c r="X131" i="1"/>
  <c r="W129" i="1"/>
  <c r="DA130" i="5"/>
  <c r="DE132" i="8"/>
  <c r="O132" i="2"/>
  <c r="E130" i="7"/>
  <c r="CZ130" i="5"/>
  <c r="G131" i="5"/>
  <c r="C130" i="10"/>
  <c r="B130" i="5"/>
  <c r="N131" i="2"/>
  <c r="AH127" i="7"/>
  <c r="AG127" i="7"/>
  <c r="AI127" i="7" s="1"/>
  <c r="DD127" i="8"/>
  <c r="DC127" i="8"/>
  <c r="C128" i="14"/>
  <c r="B128" i="7"/>
  <c r="W128" i="8"/>
  <c r="E128" i="1"/>
  <c r="BS128" i="5"/>
  <c r="Q128" i="1"/>
  <c r="E128" i="14" s="1"/>
  <c r="A128" i="11"/>
  <c r="AV128" i="5"/>
  <c r="AU128" i="5"/>
  <c r="B128" i="9"/>
  <c r="A128" i="10"/>
  <c r="AA128" i="10" s="1"/>
  <c r="AB127" i="2"/>
  <c r="AI128" i="5"/>
  <c r="AH128" i="5"/>
  <c r="BN128" i="8"/>
  <c r="BO128" i="8"/>
  <c r="DM128" i="8" s="1"/>
  <c r="AB128" i="8"/>
  <c r="EO128" i="8"/>
  <c r="DT128" i="8" s="1"/>
  <c r="DL128" i="8"/>
  <c r="CQ128" i="8"/>
  <c r="DA128" i="8" s="1"/>
  <c r="J132" i="8"/>
  <c r="R131" i="2"/>
  <c r="K131" i="10"/>
  <c r="AA131" i="7"/>
  <c r="AE131" i="8" s="1"/>
  <c r="BC131" i="8" s="1"/>
  <c r="DF129" i="5"/>
  <c r="E124" i="11" l="1"/>
  <c r="BO124" i="1"/>
  <c r="AO124" i="8"/>
  <c r="AV125" i="8"/>
  <c r="AW125" i="1" s="1"/>
  <c r="L125" i="1" s="1"/>
  <c r="AU125" i="8"/>
  <c r="AT125" i="1" s="1"/>
  <c r="AF127" i="11"/>
  <c r="AE127" i="11"/>
  <c r="AC127" i="8" s="1"/>
  <c r="CA128" i="8"/>
  <c r="CH128" i="8"/>
  <c r="BQ126" i="8"/>
  <c r="BT126" i="8"/>
  <c r="BZ126" i="8"/>
  <c r="BU126" i="8"/>
  <c r="BP126" i="8"/>
  <c r="CF126" i="8"/>
  <c r="BY126" i="8"/>
  <c r="CG126" i="8"/>
  <c r="AO131" i="11"/>
  <c r="L131" i="11"/>
  <c r="E130" i="9"/>
  <c r="AG130" i="5"/>
  <c r="B130" i="1"/>
  <c r="BI130" i="1" s="1"/>
  <c r="B130" i="2"/>
  <c r="BM124" i="1"/>
  <c r="D124" i="11"/>
  <c r="AK124" i="5"/>
  <c r="J125" i="1"/>
  <c r="AQ125" i="1" s="1"/>
  <c r="U125" i="1" s="1"/>
  <c r="AP124" i="8"/>
  <c r="AR124" i="8"/>
  <c r="C124" i="9"/>
  <c r="BN124" i="1"/>
  <c r="AR124" i="1"/>
  <c r="V124" i="1" s="1"/>
  <c r="K125" i="1" s="1"/>
  <c r="B131" i="5"/>
  <c r="AC131" i="1"/>
  <c r="BC132" i="5"/>
  <c r="BP133" i="5"/>
  <c r="AB132" i="1"/>
  <c r="BE132" i="5"/>
  <c r="AE130" i="1"/>
  <c r="AZ135" i="5"/>
  <c r="BK134" i="5"/>
  <c r="AD132" i="1"/>
  <c r="BN135" i="5"/>
  <c r="AF134" i="1" s="1"/>
  <c r="AF133" i="1"/>
  <c r="O127" i="8"/>
  <c r="N131" i="1"/>
  <c r="O132" i="1"/>
  <c r="DK132" i="8" s="1"/>
  <c r="DI131" i="8"/>
  <c r="DJ131" i="8"/>
  <c r="AD128" i="9"/>
  <c r="AV128" i="1" s="1"/>
  <c r="EI127" i="8"/>
  <c r="AT127" i="8"/>
  <c r="AQ127" i="8"/>
  <c r="M128" i="1"/>
  <c r="F127" i="11"/>
  <c r="AW127" i="8"/>
  <c r="AC127" i="11"/>
  <c r="T127" i="8" s="1"/>
  <c r="Y127" i="11"/>
  <c r="AH127" i="1" s="1"/>
  <c r="AA127" i="11"/>
  <c r="Z127" i="11"/>
  <c r="AC127" i="2" s="1"/>
  <c r="AB127" i="11"/>
  <c r="P127" i="8" s="1"/>
  <c r="AD127" i="11"/>
  <c r="AI127" i="1" s="1"/>
  <c r="DZ126" i="8"/>
  <c r="EM126" i="8" s="1"/>
  <c r="G126" i="1" s="1"/>
  <c r="M126" i="8" s="1"/>
  <c r="AJ134" i="14"/>
  <c r="CM133" i="8"/>
  <c r="A133" i="2"/>
  <c r="A133" i="9"/>
  <c r="B133" i="14"/>
  <c r="A133" i="7"/>
  <c r="M133" i="5"/>
  <c r="K133" i="11"/>
  <c r="AD133" i="8"/>
  <c r="A133" i="8"/>
  <c r="J134" i="10"/>
  <c r="DR128" i="8"/>
  <c r="DS128" i="8"/>
  <c r="DX127" i="8"/>
  <c r="EB127" i="8" s="1"/>
  <c r="DN128" i="8"/>
  <c r="DO128" i="8"/>
  <c r="CS129" i="8"/>
  <c r="DP129" i="8" s="1"/>
  <c r="CT129" i="8"/>
  <c r="DQ129" i="8" s="1"/>
  <c r="CU129" i="8"/>
  <c r="Y131" i="1"/>
  <c r="J131" i="2"/>
  <c r="I135" i="8"/>
  <c r="Q134" i="2"/>
  <c r="AP127" i="5"/>
  <c r="DY127" i="8"/>
  <c r="DL129" i="8"/>
  <c r="AQ127" i="5"/>
  <c r="AU127" i="1" s="1"/>
  <c r="V130" i="2"/>
  <c r="Q126" i="8"/>
  <c r="A129" i="10"/>
  <c r="AA129" i="10" s="1"/>
  <c r="B129" i="7"/>
  <c r="AE129" i="7" s="1"/>
  <c r="AF129" i="7" s="1"/>
  <c r="A130" i="5"/>
  <c r="E130" i="5" s="1"/>
  <c r="EQ130" i="8" s="1"/>
  <c r="CZ130" i="8" s="1"/>
  <c r="AB128" i="2"/>
  <c r="AV129" i="5"/>
  <c r="C129" i="14"/>
  <c r="AI129" i="5"/>
  <c r="BS129" i="5"/>
  <c r="BN129" i="8"/>
  <c r="CO129" i="8" s="1"/>
  <c r="W129" i="8"/>
  <c r="AH129" i="5"/>
  <c r="A129" i="11"/>
  <c r="EO129" i="8"/>
  <c r="BO129" i="8"/>
  <c r="DM129" i="8" s="1"/>
  <c r="AU129" i="5"/>
  <c r="AB129" i="8"/>
  <c r="Q129" i="1"/>
  <c r="E129" i="14" s="1"/>
  <c r="E129" i="1"/>
  <c r="H132" i="5"/>
  <c r="F131" i="7"/>
  <c r="D131" i="10"/>
  <c r="AR131" i="5"/>
  <c r="B129" i="9"/>
  <c r="DE130" i="5"/>
  <c r="J130" i="7"/>
  <c r="L131" i="5"/>
  <c r="H130" i="10"/>
  <c r="CQ129" i="8"/>
  <c r="DA129" i="8" s="1"/>
  <c r="K131" i="5"/>
  <c r="I130" i="7"/>
  <c r="DD130" i="5"/>
  <c r="G130" i="10"/>
  <c r="I132" i="5"/>
  <c r="G131" i="7"/>
  <c r="DB131" i="5"/>
  <c r="E131" i="10"/>
  <c r="N128" i="7"/>
  <c r="Q128" i="7"/>
  <c r="AE128" i="7"/>
  <c r="AF128" i="7" s="1"/>
  <c r="E131" i="7"/>
  <c r="CZ131" i="5"/>
  <c r="G132" i="5"/>
  <c r="C131" i="10"/>
  <c r="M133" i="2"/>
  <c r="DF133" i="8"/>
  <c r="W130" i="1"/>
  <c r="DA131" i="5"/>
  <c r="H135" i="8"/>
  <c r="P135" i="2" s="1"/>
  <c r="P134" i="2"/>
  <c r="AB24" i="7"/>
  <c r="L24" i="2"/>
  <c r="BD24" i="8"/>
  <c r="D24" i="2"/>
  <c r="E24" i="2"/>
  <c r="H24" i="11"/>
  <c r="K134" i="8"/>
  <c r="S133" i="2"/>
  <c r="P128" i="1"/>
  <c r="D127" i="14"/>
  <c r="N132" i="2"/>
  <c r="O133" i="2"/>
  <c r="DE133" i="8"/>
  <c r="AN128" i="5"/>
  <c r="AA132" i="7"/>
  <c r="AE132" i="8" s="1"/>
  <c r="BC132" i="8" s="1"/>
  <c r="K132" i="10"/>
  <c r="CX128" i="8"/>
  <c r="CV128" i="8"/>
  <c r="CY128" i="8"/>
  <c r="EA128" i="8" s="1"/>
  <c r="DG128" i="8"/>
  <c r="EG128" i="8" s="1"/>
  <c r="DB128" i="8"/>
  <c r="EC128" i="8" s="1"/>
  <c r="ED128" i="8" s="1"/>
  <c r="CW128" i="8"/>
  <c r="AO128" i="5"/>
  <c r="AC128" i="10"/>
  <c r="X128" i="10" s="1"/>
  <c r="Y128" i="10" s="1"/>
  <c r="AM128" i="5"/>
  <c r="AL128" i="5"/>
  <c r="B134" i="10"/>
  <c r="D134" i="7"/>
  <c r="F135" i="5"/>
  <c r="CO128" i="8"/>
  <c r="CR128" i="8"/>
  <c r="CN128" i="8"/>
  <c r="X132" i="1"/>
  <c r="H132" i="7"/>
  <c r="J133" i="5"/>
  <c r="F132" i="10"/>
  <c r="DC132" i="5"/>
  <c r="EE127" i="8"/>
  <c r="EF127" i="8" s="1"/>
  <c r="DH128" i="8"/>
  <c r="EH128" i="8" s="1"/>
  <c r="EP128" i="8"/>
  <c r="J133" i="8"/>
  <c r="R132" i="2"/>
  <c r="N128" i="11"/>
  <c r="DG132" i="5"/>
  <c r="CY132" i="5"/>
  <c r="D129" i="9"/>
  <c r="DF130" i="5"/>
  <c r="E125" i="11" l="1"/>
  <c r="AO125" i="8"/>
  <c r="BO125" i="1"/>
  <c r="CG127" i="8"/>
  <c r="CF127" i="8"/>
  <c r="BT127" i="8"/>
  <c r="BU127" i="8"/>
  <c r="BP127" i="8"/>
  <c r="BQ127" i="8"/>
  <c r="BY127" i="8"/>
  <c r="BZ127" i="8"/>
  <c r="AU126" i="8"/>
  <c r="AT126" i="1" s="1"/>
  <c r="AV126" i="8"/>
  <c r="AW126" i="1" s="1"/>
  <c r="L126" i="1" s="1"/>
  <c r="CA129" i="8"/>
  <c r="CH129" i="8"/>
  <c r="AE128" i="11"/>
  <c r="AC128" i="8" s="1"/>
  <c r="AF128" i="11"/>
  <c r="AO132" i="11"/>
  <c r="L132" i="11"/>
  <c r="E131" i="9"/>
  <c r="AG131" i="5"/>
  <c r="B131" i="1"/>
  <c r="BI131" i="1" s="1"/>
  <c r="B131" i="2"/>
  <c r="B132" i="5"/>
  <c r="J132" i="2"/>
  <c r="J126" i="1"/>
  <c r="D126" i="11" s="1"/>
  <c r="AP125" i="8"/>
  <c r="AK125" i="5"/>
  <c r="D125" i="11"/>
  <c r="BM125" i="1"/>
  <c r="AR125" i="8"/>
  <c r="C125" i="9"/>
  <c r="BN125" i="1"/>
  <c r="AR125" i="1"/>
  <c r="V125" i="1" s="1"/>
  <c r="K126" i="1" s="1"/>
  <c r="AC132" i="1"/>
  <c r="BC133" i="5"/>
  <c r="BK135" i="5"/>
  <c r="AD134" i="1" s="1"/>
  <c r="AD133" i="1"/>
  <c r="BP134" i="5"/>
  <c r="AB133" i="1"/>
  <c r="BE133" i="5"/>
  <c r="AE131" i="1"/>
  <c r="W131" i="1" s="1"/>
  <c r="N132" i="1"/>
  <c r="O133" i="1"/>
  <c r="DK133" i="8" s="1"/>
  <c r="DJ132" i="8"/>
  <c r="DI132" i="8"/>
  <c r="Q135" i="2"/>
  <c r="AD129" i="9"/>
  <c r="AV129" i="1" s="1"/>
  <c r="AT128" i="8"/>
  <c r="AQ128" i="8"/>
  <c r="F128" i="11"/>
  <c r="M129" i="1"/>
  <c r="AW128" i="8"/>
  <c r="CR129" i="8"/>
  <c r="DD129" i="8" s="1"/>
  <c r="AC128" i="11"/>
  <c r="T128" i="8" s="1"/>
  <c r="Y128" i="11"/>
  <c r="AH128" i="1" s="1"/>
  <c r="AA128" i="11"/>
  <c r="Z128" i="11"/>
  <c r="AC128" i="2" s="1"/>
  <c r="AD128" i="11"/>
  <c r="AI128" i="1" s="1"/>
  <c r="AB128" i="11"/>
  <c r="P128" i="8" s="1"/>
  <c r="DZ127" i="8"/>
  <c r="EM127" i="8" s="1"/>
  <c r="G127" i="1" s="1"/>
  <c r="M127" i="8" s="1"/>
  <c r="AJ135" i="14"/>
  <c r="CM135" i="8" s="1"/>
  <c r="CM134" i="8"/>
  <c r="A134" i="2"/>
  <c r="K134" i="11"/>
  <c r="B134" i="14"/>
  <c r="AD134" i="8"/>
  <c r="A134" i="7"/>
  <c r="J135" i="10"/>
  <c r="A134" i="9"/>
  <c r="A134" i="8"/>
  <c r="M134" i="5"/>
  <c r="DR129" i="8"/>
  <c r="DS129" i="8"/>
  <c r="DH129" i="8"/>
  <c r="EH129" i="8" s="1"/>
  <c r="DT129" i="8"/>
  <c r="DX128" i="8"/>
  <c r="EB128" i="8" s="1"/>
  <c r="CX129" i="8"/>
  <c r="DN129" i="8"/>
  <c r="DO129" i="8"/>
  <c r="CS130" i="8"/>
  <c r="DP130" i="8" s="1"/>
  <c r="CT130" i="8"/>
  <c r="DQ130" i="8" s="1"/>
  <c r="CU130" i="8"/>
  <c r="Y132" i="1"/>
  <c r="D130" i="9"/>
  <c r="Q129" i="7"/>
  <c r="AN129" i="5"/>
  <c r="CN129" i="8"/>
  <c r="N129" i="7"/>
  <c r="EP129" i="8"/>
  <c r="AL129" i="5"/>
  <c r="V131" i="2"/>
  <c r="AM129" i="5"/>
  <c r="AC129" i="10"/>
  <c r="X129" i="10" s="1"/>
  <c r="Y129" i="10" s="1"/>
  <c r="A131" i="5"/>
  <c r="E131" i="5" s="1"/>
  <c r="EQ131" i="8" s="1"/>
  <c r="CZ131" i="8" s="1"/>
  <c r="DB129" i="8"/>
  <c r="EC129" i="8" s="1"/>
  <c r="ED129" i="8" s="1"/>
  <c r="AO129" i="5"/>
  <c r="AR132" i="5"/>
  <c r="N129" i="11"/>
  <c r="H133" i="5"/>
  <c r="F132" i="7"/>
  <c r="D132" i="10"/>
  <c r="DG129" i="8"/>
  <c r="EG129" i="8" s="1"/>
  <c r="CW129" i="8"/>
  <c r="CY129" i="8"/>
  <c r="EA129" i="8" s="1"/>
  <c r="DE131" i="5"/>
  <c r="L132" i="5"/>
  <c r="J131" i="7"/>
  <c r="H131" i="10"/>
  <c r="DD131" i="5"/>
  <c r="K132" i="5"/>
  <c r="G131" i="10"/>
  <c r="I131" i="7"/>
  <c r="CV129" i="8"/>
  <c r="I133" i="5"/>
  <c r="G132" i="7"/>
  <c r="E132" i="10"/>
  <c r="DB132" i="5"/>
  <c r="AQ128" i="5"/>
  <c r="AU128" i="1" s="1"/>
  <c r="EI128" i="8"/>
  <c r="DY128" i="8"/>
  <c r="P129" i="1"/>
  <c r="D128" i="14"/>
  <c r="M134" i="2"/>
  <c r="DF134" i="8"/>
  <c r="U24" i="2"/>
  <c r="W23" i="2" s="1"/>
  <c r="C24" i="2" s="1"/>
  <c r="X133" i="1"/>
  <c r="X134" i="1"/>
  <c r="R133" i="2"/>
  <c r="J134" i="8"/>
  <c r="G133" i="5"/>
  <c r="C132" i="10"/>
  <c r="E132" i="7"/>
  <c r="CZ132" i="5"/>
  <c r="Q127" i="8"/>
  <c r="DG133" i="5"/>
  <c r="DC128" i="8"/>
  <c r="O128" i="8" s="1"/>
  <c r="DD128" i="8"/>
  <c r="D135" i="7"/>
  <c r="B135" i="10"/>
  <c r="J134" i="5"/>
  <c r="F133" i="10"/>
  <c r="H133" i="7"/>
  <c r="DC133" i="5"/>
  <c r="AU130" i="5"/>
  <c r="AV130" i="5"/>
  <c r="E130" i="1"/>
  <c r="A130" i="10"/>
  <c r="AA130" i="10" s="1"/>
  <c r="A130" i="11"/>
  <c r="C130" i="14"/>
  <c r="BS130" i="5"/>
  <c r="B130" i="7"/>
  <c r="B130" i="9"/>
  <c r="W130" i="8"/>
  <c r="Q130" i="1"/>
  <c r="E130" i="14" s="1"/>
  <c r="AB129" i="2"/>
  <c r="AH130" i="5"/>
  <c r="AI130" i="5"/>
  <c r="BN130" i="8"/>
  <c r="BO130" i="8"/>
  <c r="DM130" i="8" s="1"/>
  <c r="EO130" i="8"/>
  <c r="DT130" i="8" s="1"/>
  <c r="AB130" i="8"/>
  <c r="CQ130" i="8"/>
  <c r="DA130" i="8" s="1"/>
  <c r="DL130" i="8"/>
  <c r="DA132" i="5"/>
  <c r="O134" i="2"/>
  <c r="DE134" i="8"/>
  <c r="K135" i="8"/>
  <c r="S135" i="2" s="1"/>
  <c r="S134" i="2"/>
  <c r="AG128" i="7"/>
  <c r="AI128" i="7" s="1"/>
  <c r="AH128" i="7"/>
  <c r="CY133" i="5"/>
  <c r="AA133" i="7"/>
  <c r="AE133" i="8" s="1"/>
  <c r="BC133" i="8" s="1"/>
  <c r="K133" i="10"/>
  <c r="N133" i="2"/>
  <c r="AG129" i="7"/>
  <c r="AI129" i="7" s="1"/>
  <c r="AH129" i="7"/>
  <c r="AP128" i="5"/>
  <c r="DF131" i="5"/>
  <c r="AV127" i="8" l="1"/>
  <c r="AW127" i="1" s="1"/>
  <c r="E126" i="11"/>
  <c r="AO126" i="8"/>
  <c r="BO126" i="1"/>
  <c r="L127" i="1"/>
  <c r="AO127" i="8" s="1"/>
  <c r="AU127" i="8"/>
  <c r="AT127" i="1" s="1"/>
  <c r="AF129" i="11"/>
  <c r="AE129" i="11"/>
  <c r="AC129" i="8" s="1"/>
  <c r="BQ128" i="8"/>
  <c r="CG128" i="8"/>
  <c r="BZ128" i="8"/>
  <c r="CF128" i="8"/>
  <c r="BP128" i="8"/>
  <c r="AU128" i="8" s="1"/>
  <c r="BT128" i="8"/>
  <c r="BU128" i="8"/>
  <c r="BY128" i="8"/>
  <c r="CA130" i="8"/>
  <c r="CH130" i="8"/>
  <c r="AO133" i="11"/>
  <c r="L133" i="11"/>
  <c r="E132" i="9"/>
  <c r="AG132" i="5"/>
  <c r="B132" i="2"/>
  <c r="B132" i="1"/>
  <c r="BI132" i="1" s="1"/>
  <c r="BO127" i="1"/>
  <c r="E127" i="11"/>
  <c r="BM126" i="1"/>
  <c r="AK126" i="5"/>
  <c r="AQ126" i="1"/>
  <c r="U126" i="1" s="1"/>
  <c r="J127" i="1" s="1"/>
  <c r="J133" i="2"/>
  <c r="AP126" i="8"/>
  <c r="AR126" i="8"/>
  <c r="C126" i="9"/>
  <c r="AR126" i="1"/>
  <c r="V126" i="1" s="1"/>
  <c r="K127" i="1" s="1"/>
  <c r="BN126" i="1"/>
  <c r="AC133" i="1"/>
  <c r="BC134" i="5"/>
  <c r="BP135" i="5"/>
  <c r="AB135" i="1" s="1"/>
  <c r="AB134" i="1"/>
  <c r="BE134" i="5"/>
  <c r="AE132" i="1"/>
  <c r="W132" i="1" s="1"/>
  <c r="R24" i="8"/>
  <c r="S24" i="8" s="1"/>
  <c r="N133" i="1"/>
  <c r="O134" i="1"/>
  <c r="DK134" i="8" s="1"/>
  <c r="DI133" i="8"/>
  <c r="DJ133" i="8"/>
  <c r="AD130" i="9"/>
  <c r="AV130" i="1" s="1"/>
  <c r="DC129" i="8"/>
  <c r="EE129" i="8" s="1"/>
  <c r="EF129" i="8" s="1"/>
  <c r="EI129" i="8"/>
  <c r="AT129" i="8"/>
  <c r="AQ129" i="8"/>
  <c r="F129" i="11"/>
  <c r="M130" i="1"/>
  <c r="AW129" i="8"/>
  <c r="AC129" i="11"/>
  <c r="T129" i="8" s="1"/>
  <c r="Y129" i="11"/>
  <c r="AH129" i="1" s="1"/>
  <c r="AA129" i="11"/>
  <c r="Z129" i="11"/>
  <c r="AC129" i="2" s="1"/>
  <c r="AD129" i="11"/>
  <c r="AI129" i="1" s="1"/>
  <c r="AB129" i="11"/>
  <c r="P129" i="8" s="1"/>
  <c r="DZ128" i="8"/>
  <c r="A135" i="2"/>
  <c r="A135" i="8"/>
  <c r="A135" i="7"/>
  <c r="K135" i="11"/>
  <c r="B135" i="14"/>
  <c r="A135" i="9"/>
  <c r="AD135" i="8"/>
  <c r="M135" i="5"/>
  <c r="DR130" i="8"/>
  <c r="DS130" i="8"/>
  <c r="DX129" i="8"/>
  <c r="EB129" i="8" s="1"/>
  <c r="DN130" i="8"/>
  <c r="DO130" i="8"/>
  <c r="DY129" i="8"/>
  <c r="AB130" i="2"/>
  <c r="CT131" i="8"/>
  <c r="DQ131" i="8" s="1"/>
  <c r="CU131" i="8"/>
  <c r="CS131" i="8"/>
  <c r="DP131" i="8" s="1"/>
  <c r="Y133" i="1"/>
  <c r="Y134" i="1"/>
  <c r="D131" i="9"/>
  <c r="AP129" i="5"/>
  <c r="CQ131" i="8"/>
  <c r="DA131" i="8" s="1"/>
  <c r="AU131" i="5"/>
  <c r="AH131" i="5"/>
  <c r="AV131" i="5"/>
  <c r="AI131" i="5"/>
  <c r="BN131" i="8"/>
  <c r="CR131" i="8" s="1"/>
  <c r="E131" i="1"/>
  <c r="BO131" i="8"/>
  <c r="DM131" i="8" s="1"/>
  <c r="EO131" i="8"/>
  <c r="B131" i="7"/>
  <c r="AE131" i="7" s="1"/>
  <c r="AF131" i="7" s="1"/>
  <c r="A131" i="11"/>
  <c r="DL131" i="8"/>
  <c r="C131" i="14"/>
  <c r="BS131" i="5"/>
  <c r="AB131" i="8"/>
  <c r="A131" i="10"/>
  <c r="AA131" i="10" s="1"/>
  <c r="Q131" i="1"/>
  <c r="E131" i="14" s="1"/>
  <c r="B131" i="9"/>
  <c r="W131" i="8"/>
  <c r="AQ129" i="5"/>
  <c r="AU129" i="1" s="1"/>
  <c r="AR133" i="5"/>
  <c r="F133" i="7"/>
  <c r="D133" i="10"/>
  <c r="H134" i="5"/>
  <c r="V132" i="2"/>
  <c r="DE132" i="5"/>
  <c r="H132" i="10"/>
  <c r="J132" i="7"/>
  <c r="L133" i="5"/>
  <c r="K133" i="5"/>
  <c r="DD132" i="5"/>
  <c r="G132" i="10"/>
  <c r="I132" i="7"/>
  <c r="A132" i="5"/>
  <c r="E132" i="5" s="1"/>
  <c r="EQ132" i="8" s="1"/>
  <c r="CZ132" i="8" s="1"/>
  <c r="E133" i="10"/>
  <c r="I134" i="5"/>
  <c r="DB133" i="5"/>
  <c r="G133" i="7"/>
  <c r="AN130" i="5"/>
  <c r="AT128" i="1"/>
  <c r="CY134" i="5"/>
  <c r="O135" i="2"/>
  <c r="DE135" i="8"/>
  <c r="CN130" i="8"/>
  <c r="CO130" i="8"/>
  <c r="CR130" i="8"/>
  <c r="Q130" i="7"/>
  <c r="AE130" i="7"/>
  <c r="AF130" i="7" s="1"/>
  <c r="I24" i="2"/>
  <c r="F24" i="1"/>
  <c r="F24" i="2"/>
  <c r="H24" i="2"/>
  <c r="J134" i="2"/>
  <c r="DA133" i="5"/>
  <c r="N134" i="2"/>
  <c r="N135" i="2"/>
  <c r="DG134" i="5"/>
  <c r="DH130" i="8"/>
  <c r="EH130" i="8" s="1"/>
  <c r="EP130" i="8"/>
  <c r="J135" i="8"/>
  <c r="R134" i="2"/>
  <c r="B133" i="5"/>
  <c r="AA134" i="7"/>
  <c r="AE134" i="8" s="1"/>
  <c r="BC134" i="8" s="1"/>
  <c r="K134" i="10"/>
  <c r="N130" i="7"/>
  <c r="M135" i="2"/>
  <c r="DF135" i="8"/>
  <c r="CW130" i="8"/>
  <c r="CV130" i="8"/>
  <c r="CX130" i="8"/>
  <c r="DB130" i="8"/>
  <c r="EC130" i="8" s="1"/>
  <c r="ED130" i="8" s="1"/>
  <c r="DG130" i="8"/>
  <c r="EG130" i="8" s="1"/>
  <c r="CY130" i="8"/>
  <c r="EA130" i="8" s="1"/>
  <c r="AM130" i="5"/>
  <c r="AC130" i="10"/>
  <c r="X130" i="10" s="1"/>
  <c r="Y130" i="10" s="1"/>
  <c r="AO130" i="5"/>
  <c r="AL130" i="5"/>
  <c r="N130" i="11"/>
  <c r="F134" i="10"/>
  <c r="DC134" i="5"/>
  <c r="J135" i="5"/>
  <c r="H134" i="7"/>
  <c r="EE128" i="8"/>
  <c r="EF128" i="8" s="1"/>
  <c r="Q128" i="8"/>
  <c r="C133" i="10"/>
  <c r="G134" i="5"/>
  <c r="E133" i="7"/>
  <c r="CZ133" i="5"/>
  <c r="P130" i="1"/>
  <c r="D129" i="14"/>
  <c r="DF132" i="5"/>
  <c r="CA131" i="8" l="1"/>
  <c r="CH131" i="8"/>
  <c r="AE130" i="11"/>
  <c r="AC130" i="8" s="1"/>
  <c r="AF130" i="11"/>
  <c r="BY129" i="8"/>
  <c r="CF129" i="8"/>
  <c r="BZ129" i="8"/>
  <c r="BU129" i="8"/>
  <c r="BP129" i="8"/>
  <c r="AU129" i="8" s="1"/>
  <c r="BT129" i="8"/>
  <c r="BQ129" i="8"/>
  <c r="CG129" i="8"/>
  <c r="AV128" i="8"/>
  <c r="AW128" i="1" s="1"/>
  <c r="L128" i="1" s="1"/>
  <c r="BO128" i="1" s="1"/>
  <c r="AO134" i="11"/>
  <c r="L134" i="11"/>
  <c r="E133" i="9"/>
  <c r="AG133" i="5"/>
  <c r="B133" i="2"/>
  <c r="B133" i="1"/>
  <c r="BI133" i="1" s="1"/>
  <c r="AQ127" i="1"/>
  <c r="U127" i="1" s="1"/>
  <c r="J128" i="1" s="1"/>
  <c r="D127" i="11"/>
  <c r="AK127" i="5"/>
  <c r="BM127" i="1"/>
  <c r="AP127" i="8"/>
  <c r="C127" i="9"/>
  <c r="AR127" i="1"/>
  <c r="V127" i="1" s="1"/>
  <c r="K128" i="1" s="1"/>
  <c r="BN127" i="1"/>
  <c r="AR127" i="8"/>
  <c r="AC134" i="1"/>
  <c r="BC135" i="5"/>
  <c r="O129" i="8"/>
  <c r="Q129" i="8" s="1"/>
  <c r="BE135" i="5"/>
  <c r="AE134" i="1" s="1"/>
  <c r="AE133" i="1"/>
  <c r="N134" i="1"/>
  <c r="N135" i="1" s="1"/>
  <c r="O135" i="1"/>
  <c r="DK135" i="8" s="1"/>
  <c r="DI134" i="8"/>
  <c r="DJ134" i="8"/>
  <c r="AD131" i="9"/>
  <c r="AV131" i="1" s="1"/>
  <c r="AT130" i="8"/>
  <c r="AQ130" i="8"/>
  <c r="F130" i="11"/>
  <c r="M131" i="1"/>
  <c r="AW130" i="8"/>
  <c r="CO131" i="8"/>
  <c r="AC130" i="11"/>
  <c r="T130" i="8" s="1"/>
  <c r="AA130" i="11"/>
  <c r="Y130" i="11"/>
  <c r="AH130" i="1" s="1"/>
  <c r="AD130" i="11"/>
  <c r="AI130" i="1" s="1"/>
  <c r="AB130" i="11"/>
  <c r="P130" i="8" s="1"/>
  <c r="Z130" i="11"/>
  <c r="AC130" i="2" s="1"/>
  <c r="EM128" i="8"/>
  <c r="G128" i="1" s="1"/>
  <c r="M128" i="8" s="1"/>
  <c r="DR131" i="8"/>
  <c r="DS131" i="8"/>
  <c r="EP131" i="8"/>
  <c r="DT131" i="8"/>
  <c r="B134" i="5"/>
  <c r="DZ129" i="8"/>
  <c r="EM129" i="8" s="1"/>
  <c r="G129" i="1" s="1"/>
  <c r="M129" i="8" s="1"/>
  <c r="DX130" i="8"/>
  <c r="EB130" i="8" s="1"/>
  <c r="CW131" i="8"/>
  <c r="DN131" i="8"/>
  <c r="DO131" i="8"/>
  <c r="E132" i="1"/>
  <c r="CS132" i="8"/>
  <c r="DP132" i="8" s="1"/>
  <c r="CT132" i="8"/>
  <c r="DQ132" i="8" s="1"/>
  <c r="CU132" i="8"/>
  <c r="C132" i="14"/>
  <c r="D132" i="9"/>
  <c r="CN131" i="8"/>
  <c r="AT129" i="1"/>
  <c r="BN132" i="8"/>
  <c r="CN132" i="8" s="1"/>
  <c r="AH132" i="5"/>
  <c r="AC132" i="10" s="1"/>
  <c r="AB132" i="8"/>
  <c r="BS132" i="5"/>
  <c r="AI132" i="5"/>
  <c r="AU132" i="5"/>
  <c r="B132" i="7"/>
  <c r="AE132" i="7" s="1"/>
  <c r="AF132" i="7" s="1"/>
  <c r="N131" i="11"/>
  <c r="BO132" i="8"/>
  <c r="DM132" i="8" s="1"/>
  <c r="DB131" i="8"/>
  <c r="EC131" i="8" s="1"/>
  <c r="ED131" i="8" s="1"/>
  <c r="CX131" i="8"/>
  <c r="CV131" i="8"/>
  <c r="DG131" i="8"/>
  <c r="EG131" i="8" s="1"/>
  <c r="DL132" i="8"/>
  <c r="CQ132" i="8"/>
  <c r="DA132" i="8" s="1"/>
  <c r="AB131" i="2"/>
  <c r="CY131" i="8"/>
  <c r="EA131" i="8" s="1"/>
  <c r="B132" i="9"/>
  <c r="Q132" i="1"/>
  <c r="E132" i="14" s="1"/>
  <c r="EO132" i="8"/>
  <c r="W132" i="8"/>
  <c r="Q131" i="7"/>
  <c r="AV132" i="5"/>
  <c r="AN131" i="5"/>
  <c r="AL131" i="5"/>
  <c r="A132" i="11"/>
  <c r="N131" i="7"/>
  <c r="A132" i="10"/>
  <c r="AA132" i="10" s="1"/>
  <c r="AC131" i="10"/>
  <c r="X131" i="10" s="1"/>
  <c r="Y131" i="10" s="1"/>
  <c r="DH131" i="8"/>
  <c r="EH131" i="8" s="1"/>
  <c r="AM131" i="5"/>
  <c r="AO131" i="5"/>
  <c r="A133" i="5"/>
  <c r="E133" i="5" s="1"/>
  <c r="EQ133" i="8" s="1"/>
  <c r="CZ133" i="8" s="1"/>
  <c r="V133" i="2"/>
  <c r="F134" i="7"/>
  <c r="D134" i="10"/>
  <c r="H135" i="5"/>
  <c r="AR134" i="5"/>
  <c r="J133" i="7"/>
  <c r="DE133" i="5"/>
  <c r="H133" i="10"/>
  <c r="L134" i="5"/>
  <c r="DD133" i="5"/>
  <c r="I133" i="7"/>
  <c r="G133" i="10"/>
  <c r="K134" i="5"/>
  <c r="G134" i="7"/>
  <c r="DB134" i="5"/>
  <c r="E134" i="10"/>
  <c r="I135" i="5"/>
  <c r="EI130" i="8"/>
  <c r="AP130" i="5"/>
  <c r="DY130" i="8"/>
  <c r="U24" i="8"/>
  <c r="V24" i="8"/>
  <c r="AA24" i="1"/>
  <c r="S24" i="1" s="1"/>
  <c r="H25" i="1" s="1"/>
  <c r="I24" i="11"/>
  <c r="O24" i="7"/>
  <c r="DG135" i="5"/>
  <c r="CY135" i="5"/>
  <c r="AP24" i="1"/>
  <c r="T24" i="1" s="1"/>
  <c r="I25" i="1" s="1"/>
  <c r="J24" i="11"/>
  <c r="G24" i="2"/>
  <c r="Z24" i="2" s="1"/>
  <c r="Z25" i="8" s="1"/>
  <c r="F135" i="10"/>
  <c r="H135" i="7"/>
  <c r="DC135" i="5"/>
  <c r="K135" i="10"/>
  <c r="AA135" i="7"/>
  <c r="AE135" i="8" s="1"/>
  <c r="BC135" i="8" s="1"/>
  <c r="E134" i="7"/>
  <c r="CZ134" i="5"/>
  <c r="G135" i="5"/>
  <c r="C134" i="10"/>
  <c r="DC130" i="8"/>
  <c r="O130" i="8" s="1"/>
  <c r="DD130" i="8"/>
  <c r="DC131" i="8"/>
  <c r="DD131" i="8"/>
  <c r="D130" i="14"/>
  <c r="P131" i="1"/>
  <c r="AG131" i="7"/>
  <c r="AI131" i="7" s="1"/>
  <c r="AH131" i="7"/>
  <c r="R135" i="2"/>
  <c r="W133" i="1"/>
  <c r="DA134" i="5"/>
  <c r="AH130" i="7"/>
  <c r="AG130" i="7"/>
  <c r="AI130" i="7" s="1"/>
  <c r="AQ130" i="5"/>
  <c r="AU130" i="1" s="1"/>
  <c r="DF133" i="5"/>
  <c r="AO128" i="8" l="1"/>
  <c r="AE131" i="11"/>
  <c r="AC131" i="8" s="1"/>
  <c r="AF131" i="11"/>
  <c r="BT130" i="8"/>
  <c r="CG130" i="8"/>
  <c r="CF130" i="8"/>
  <c r="BU130" i="8"/>
  <c r="BQ130" i="8"/>
  <c r="BP130" i="8"/>
  <c r="AU130" i="8" s="1"/>
  <c r="BY130" i="8"/>
  <c r="BZ130" i="8"/>
  <c r="E128" i="11"/>
  <c r="CA132" i="8"/>
  <c r="CH132" i="8"/>
  <c r="AV129" i="8"/>
  <c r="AW129" i="1" s="1"/>
  <c r="L129" i="1" s="1"/>
  <c r="AO135" i="11"/>
  <c r="AC135" i="1"/>
  <c r="L135" i="11"/>
  <c r="E134" i="9"/>
  <c r="AG134" i="5"/>
  <c r="B134" i="2"/>
  <c r="B134" i="1"/>
  <c r="BI134" i="1" s="1"/>
  <c r="BM128" i="1"/>
  <c r="AK128" i="5"/>
  <c r="D128" i="11"/>
  <c r="J135" i="2"/>
  <c r="AQ128" i="1"/>
  <c r="U128" i="1" s="1"/>
  <c r="J129" i="1" s="1"/>
  <c r="AP128" i="8"/>
  <c r="AR128" i="8"/>
  <c r="BN128" i="1"/>
  <c r="C128" i="9"/>
  <c r="AR128" i="1"/>
  <c r="V128" i="1" s="1"/>
  <c r="K129" i="1" s="1"/>
  <c r="O131" i="8"/>
  <c r="DI135" i="8"/>
  <c r="DJ135" i="8"/>
  <c r="AD132" i="9"/>
  <c r="AV132" i="1" s="1"/>
  <c r="Q132" i="7"/>
  <c r="AT131" i="8"/>
  <c r="AQ131" i="8"/>
  <c r="F131" i="11"/>
  <c r="M132" i="1"/>
  <c r="AW131" i="8"/>
  <c r="AC131" i="11"/>
  <c r="T131" i="8" s="1"/>
  <c r="Y131" i="11"/>
  <c r="AH131" i="1" s="1"/>
  <c r="AA131" i="11"/>
  <c r="AD131" i="11"/>
  <c r="AI131" i="1" s="1"/>
  <c r="AB131" i="11"/>
  <c r="P131" i="8" s="1"/>
  <c r="Z131" i="11"/>
  <c r="AC131" i="2" s="1"/>
  <c r="DZ130" i="8"/>
  <c r="DH132" i="8"/>
  <c r="EH132" i="8" s="1"/>
  <c r="DT132" i="8"/>
  <c r="DR132" i="8"/>
  <c r="DS132" i="8"/>
  <c r="DX131" i="8"/>
  <c r="EB131" i="8" s="1"/>
  <c r="DY131" i="8"/>
  <c r="DB132" i="8"/>
  <c r="EC132" i="8" s="1"/>
  <c r="ED132" i="8" s="1"/>
  <c r="DN132" i="8"/>
  <c r="DO132" i="8"/>
  <c r="CU133" i="8"/>
  <c r="CS133" i="8"/>
  <c r="DP133" i="8" s="1"/>
  <c r="CT133" i="8"/>
  <c r="DQ133" i="8" s="1"/>
  <c r="N132" i="7"/>
  <c r="EP132" i="8"/>
  <c r="AN132" i="5"/>
  <c r="CO132" i="8"/>
  <c r="CR132" i="8"/>
  <c r="DD132" i="8" s="1"/>
  <c r="D133" i="9"/>
  <c r="AL132" i="5"/>
  <c r="AO132" i="5"/>
  <c r="N132" i="11"/>
  <c r="AM132" i="5"/>
  <c r="DG132" i="8"/>
  <c r="EG132" i="8" s="1"/>
  <c r="CY132" i="8"/>
  <c r="EA132" i="8" s="1"/>
  <c r="EI131" i="8"/>
  <c r="CX132" i="8"/>
  <c r="CV132" i="8"/>
  <c r="CW132" i="8"/>
  <c r="AP131" i="5"/>
  <c r="X132" i="10"/>
  <c r="Y132" i="10" s="1"/>
  <c r="AQ131" i="5"/>
  <c r="AU131" i="1" s="1"/>
  <c r="D135" i="10"/>
  <c r="F135" i="7"/>
  <c r="G134" i="10"/>
  <c r="I134" i="7"/>
  <c r="K135" i="5"/>
  <c r="DD134" i="5"/>
  <c r="H134" i="10"/>
  <c r="L135" i="5"/>
  <c r="J134" i="7"/>
  <c r="DE134" i="5"/>
  <c r="V134" i="2"/>
  <c r="A134" i="5"/>
  <c r="E134" i="5" s="1"/>
  <c r="EQ134" i="8" s="1"/>
  <c r="CZ134" i="8" s="1"/>
  <c r="AR135" i="5"/>
  <c r="E135" i="10"/>
  <c r="G135" i="7"/>
  <c r="DB135" i="5"/>
  <c r="EE131" i="8"/>
  <c r="EF131" i="8" s="1"/>
  <c r="AT130" i="1"/>
  <c r="EE130" i="8"/>
  <c r="EF130" i="8" s="1"/>
  <c r="Q130" i="8"/>
  <c r="P132" i="1"/>
  <c r="D131" i="14"/>
  <c r="P24" i="7"/>
  <c r="F24" i="9"/>
  <c r="AU133" i="5"/>
  <c r="AV133" i="5"/>
  <c r="B133" i="9"/>
  <c r="A133" i="10"/>
  <c r="AA133" i="10" s="1"/>
  <c r="W133" i="8"/>
  <c r="Q133" i="1"/>
  <c r="E133" i="14" s="1"/>
  <c r="BS133" i="5"/>
  <c r="B133" i="7"/>
  <c r="C133" i="14"/>
  <c r="E133" i="1"/>
  <c r="A133" i="11"/>
  <c r="AB132" i="2"/>
  <c r="AH133" i="5"/>
  <c r="AI133" i="5"/>
  <c r="BN133" i="8"/>
  <c r="BO133" i="8"/>
  <c r="DM133" i="8" s="1"/>
  <c r="EO133" i="8"/>
  <c r="DT133" i="8" s="1"/>
  <c r="AB133" i="8"/>
  <c r="CQ133" i="8"/>
  <c r="DA133" i="8" s="1"/>
  <c r="DL133" i="8"/>
  <c r="C24" i="8"/>
  <c r="AH132" i="7"/>
  <c r="AG132" i="7"/>
  <c r="AI132" i="7" s="1"/>
  <c r="CZ135" i="5"/>
  <c r="E135" i="7"/>
  <c r="C135" i="10"/>
  <c r="C25" i="11"/>
  <c r="AJ25" i="5"/>
  <c r="AN25" i="8"/>
  <c r="V25" i="10"/>
  <c r="AC25" i="7"/>
  <c r="BK25" i="1"/>
  <c r="W134" i="1"/>
  <c r="DA135" i="5"/>
  <c r="B135" i="5"/>
  <c r="DF134" i="5"/>
  <c r="E129" i="11" l="1"/>
  <c r="BO129" i="1"/>
  <c r="AO129" i="8"/>
  <c r="AF132" i="11"/>
  <c r="AE132" i="11"/>
  <c r="AC132" i="8" s="1"/>
  <c r="CA133" i="8"/>
  <c r="CH133" i="8"/>
  <c r="BQ131" i="8"/>
  <c r="BP131" i="8"/>
  <c r="BZ131" i="8"/>
  <c r="BY131" i="8"/>
  <c r="CF131" i="8"/>
  <c r="CG131" i="8"/>
  <c r="BU131" i="8"/>
  <c r="BT131" i="8"/>
  <c r="AV130" i="8"/>
  <c r="AW130" i="1" s="1"/>
  <c r="L130" i="1" s="1"/>
  <c r="E135" i="9"/>
  <c r="AG135" i="5"/>
  <c r="B135" i="2"/>
  <c r="B135" i="1"/>
  <c r="BI135" i="1" s="1"/>
  <c r="D129" i="11"/>
  <c r="AK129" i="5"/>
  <c r="BM129" i="1"/>
  <c r="AQ129" i="1"/>
  <c r="U129" i="1" s="1"/>
  <c r="J130" i="1" s="1"/>
  <c r="AP129" i="8"/>
  <c r="BN129" i="1"/>
  <c r="AR129" i="1"/>
  <c r="V129" i="1" s="1"/>
  <c r="K130" i="1" s="1"/>
  <c r="AR129" i="8"/>
  <c r="C129" i="9"/>
  <c r="AS25" i="8"/>
  <c r="AO25" i="1"/>
  <c r="AD133" i="9"/>
  <c r="AV133" i="1" s="1"/>
  <c r="BL25" i="1"/>
  <c r="AT132" i="8"/>
  <c r="AW132" i="8"/>
  <c r="AQ132" i="8"/>
  <c r="F132" i="11"/>
  <c r="M133" i="1"/>
  <c r="AA132" i="11"/>
  <c r="AC132" i="11"/>
  <c r="T132" i="8" s="1"/>
  <c r="Y132" i="11"/>
  <c r="AH132" i="1" s="1"/>
  <c r="Z132" i="11"/>
  <c r="AC132" i="2" s="1"/>
  <c r="AB132" i="11"/>
  <c r="P132" i="8" s="1"/>
  <c r="AD132" i="11"/>
  <c r="AI132" i="1" s="1"/>
  <c r="EM130" i="8"/>
  <c r="G130" i="1" s="1"/>
  <c r="M130" i="8" s="1"/>
  <c r="DR133" i="8"/>
  <c r="DS133" i="8"/>
  <c r="EI132" i="8"/>
  <c r="DZ131" i="8"/>
  <c r="EM131" i="8" s="1"/>
  <c r="G131" i="1" s="1"/>
  <c r="M131" i="8" s="1"/>
  <c r="DX132" i="8"/>
  <c r="EB132" i="8" s="1"/>
  <c r="DN133" i="8"/>
  <c r="DO133" i="8"/>
  <c r="AQ132" i="5"/>
  <c r="AU132" i="1" s="1"/>
  <c r="A134" i="10"/>
  <c r="AA134" i="10" s="1"/>
  <c r="CS134" i="8"/>
  <c r="DP134" i="8" s="1"/>
  <c r="CT134" i="8"/>
  <c r="DQ134" i="8" s="1"/>
  <c r="CU134" i="8"/>
  <c r="AP132" i="5"/>
  <c r="DC132" i="8"/>
  <c r="EE132" i="8" s="1"/>
  <c r="EF132" i="8" s="1"/>
  <c r="Q131" i="8"/>
  <c r="DY132" i="8"/>
  <c r="DL134" i="8"/>
  <c r="CQ134" i="8"/>
  <c r="DA134" i="8" s="1"/>
  <c r="Q134" i="1"/>
  <c r="E134" i="14" s="1"/>
  <c r="AV134" i="5"/>
  <c r="W134" i="8"/>
  <c r="B134" i="9"/>
  <c r="C134" i="14"/>
  <c r="V135" i="2"/>
  <c r="A135" i="5"/>
  <c r="E135" i="5" s="1"/>
  <c r="EQ135" i="8" s="1"/>
  <c r="CZ135" i="8" s="1"/>
  <c r="AU134" i="5"/>
  <c r="AB134" i="8"/>
  <c r="AH134" i="5"/>
  <c r="AC134" i="10" s="1"/>
  <c r="AI134" i="5"/>
  <c r="B134" i="7"/>
  <c r="AE134" i="7" s="1"/>
  <c r="AF134" i="7" s="1"/>
  <c r="AB133" i="2"/>
  <c r="I135" i="7"/>
  <c r="G135" i="10"/>
  <c r="DD135" i="5"/>
  <c r="DE135" i="5"/>
  <c r="H135" i="10"/>
  <c r="J135" i="7"/>
  <c r="BN134" i="8"/>
  <c r="CO134" i="8" s="1"/>
  <c r="A134" i="11"/>
  <c r="BO134" i="8"/>
  <c r="DM134" i="8" s="1"/>
  <c r="E134" i="1"/>
  <c r="EO134" i="8"/>
  <c r="BS134" i="5"/>
  <c r="P133" i="1"/>
  <c r="D132" i="14"/>
  <c r="N133" i="7"/>
  <c r="CV133" i="8"/>
  <c r="DB133" i="8"/>
  <c r="EC133" i="8" s="1"/>
  <c r="ED133" i="8" s="1"/>
  <c r="CW133" i="8"/>
  <c r="CY133" i="8"/>
  <c r="EA133" i="8" s="1"/>
  <c r="CX133" i="8"/>
  <c r="DG133" i="8"/>
  <c r="EG133" i="8" s="1"/>
  <c r="AM133" i="5"/>
  <c r="AC133" i="10"/>
  <c r="X133" i="10" s="1"/>
  <c r="Y133" i="10" s="1"/>
  <c r="AO133" i="5"/>
  <c r="AL133" i="5"/>
  <c r="AN133" i="5"/>
  <c r="DH133" i="8"/>
  <c r="EH133" i="8" s="1"/>
  <c r="EP133" i="8"/>
  <c r="N133" i="11"/>
  <c r="Y24" i="2"/>
  <c r="X24" i="2" s="1"/>
  <c r="CR133" i="8"/>
  <c r="CN133" i="8"/>
  <c r="CO133" i="8"/>
  <c r="D134" i="9"/>
  <c r="Q133" i="7"/>
  <c r="AE133" i="7"/>
  <c r="AF133" i="7" s="1"/>
  <c r="DF135" i="5"/>
  <c r="AO130" i="8" l="1"/>
  <c r="E130" i="11"/>
  <c r="BO130" i="1"/>
  <c r="AF133" i="11"/>
  <c r="AE133" i="11"/>
  <c r="AC133" i="8" s="1"/>
  <c r="CA134" i="8"/>
  <c r="CH134" i="8"/>
  <c r="AU131" i="8"/>
  <c r="AT131" i="1" s="1"/>
  <c r="AV131" i="8"/>
  <c r="AW131" i="1" s="1"/>
  <c r="L131" i="1" s="1"/>
  <c r="BY132" i="8"/>
  <c r="BZ132" i="8"/>
  <c r="CG132" i="8"/>
  <c r="BP132" i="8"/>
  <c r="CF132" i="8"/>
  <c r="BT132" i="8"/>
  <c r="BU132" i="8"/>
  <c r="BQ132" i="8"/>
  <c r="AQ130" i="1"/>
  <c r="U130" i="1" s="1"/>
  <c r="J131" i="1" s="1"/>
  <c r="BM130" i="1"/>
  <c r="AK130" i="5"/>
  <c r="D130" i="11"/>
  <c r="AP130" i="8"/>
  <c r="AR130" i="8"/>
  <c r="AR130" i="1"/>
  <c r="V130" i="1" s="1"/>
  <c r="K131" i="1" s="1"/>
  <c r="C130" i="9"/>
  <c r="BN130" i="1"/>
  <c r="O132" i="8"/>
  <c r="Q132" i="8" s="1"/>
  <c r="AD134" i="9"/>
  <c r="AV134" i="1" s="1"/>
  <c r="AT133" i="8"/>
  <c r="AW133" i="8"/>
  <c r="AQ133" i="8"/>
  <c r="F133" i="11"/>
  <c r="M134" i="1"/>
  <c r="Y133" i="11"/>
  <c r="AH133" i="1" s="1"/>
  <c r="AC133" i="11"/>
  <c r="T133" i="8" s="1"/>
  <c r="AA133" i="11"/>
  <c r="AB133" i="11"/>
  <c r="P133" i="8" s="1"/>
  <c r="AD133" i="11"/>
  <c r="AI133" i="1" s="1"/>
  <c r="Z133" i="11"/>
  <c r="AC133" i="2" s="1"/>
  <c r="EP134" i="8"/>
  <c r="DT134" i="8"/>
  <c r="DR134" i="8"/>
  <c r="DS134" i="8"/>
  <c r="DZ132" i="8"/>
  <c r="EM132" i="8" s="1"/>
  <c r="G132" i="1" s="1"/>
  <c r="M132" i="8" s="1"/>
  <c r="DX133" i="8"/>
  <c r="EB133" i="8" s="1"/>
  <c r="DB134" i="8"/>
  <c r="EC134" i="8" s="1"/>
  <c r="ED134" i="8" s="1"/>
  <c r="DN134" i="8"/>
  <c r="DO134" i="8"/>
  <c r="X134" i="10"/>
  <c r="Y134" i="10" s="1"/>
  <c r="CS135" i="8"/>
  <c r="DP135" i="8" s="1"/>
  <c r="CT135" i="8"/>
  <c r="DQ135" i="8" s="1"/>
  <c r="CU135" i="8"/>
  <c r="CN134" i="8"/>
  <c r="DL135" i="8"/>
  <c r="Q134" i="7"/>
  <c r="CY134" i="8"/>
  <c r="EA134" i="8" s="1"/>
  <c r="DG134" i="8"/>
  <c r="EG134" i="8" s="1"/>
  <c r="CX134" i="8"/>
  <c r="CV134" i="8"/>
  <c r="CW134" i="8"/>
  <c r="AM134" i="5"/>
  <c r="B135" i="7"/>
  <c r="AE135" i="7" s="1"/>
  <c r="AF135" i="7" s="1"/>
  <c r="B135" i="9"/>
  <c r="AV135" i="5"/>
  <c r="AB134" i="2"/>
  <c r="AH135" i="5"/>
  <c r="C135" i="14"/>
  <c r="AI135" i="5"/>
  <c r="BS135" i="5"/>
  <c r="BN135" i="8"/>
  <c r="CO135" i="8" s="1"/>
  <c r="AU135" i="5"/>
  <c r="BO135" i="8"/>
  <c r="DM135" i="8" s="1"/>
  <c r="W135" i="8"/>
  <c r="CQ135" i="8"/>
  <c r="DA135" i="8" s="1"/>
  <c r="EO135" i="8"/>
  <c r="DH135" i="8" s="1"/>
  <c r="EH135" i="8" s="1"/>
  <c r="Q135" i="1"/>
  <c r="E135" i="14" s="1"/>
  <c r="A135" i="10"/>
  <c r="AA135" i="10" s="1"/>
  <c r="AB135" i="8"/>
  <c r="A135" i="11"/>
  <c r="E135" i="1"/>
  <c r="DH134" i="8"/>
  <c r="EH134" i="8" s="1"/>
  <c r="AN134" i="5"/>
  <c r="N134" i="7"/>
  <c r="AO134" i="5"/>
  <c r="AL134" i="5"/>
  <c r="N134" i="11"/>
  <c r="CR134" i="8"/>
  <c r="DC134" i="8" s="1"/>
  <c r="D135" i="9"/>
  <c r="DY133" i="8"/>
  <c r="AP133" i="5"/>
  <c r="B25" i="8"/>
  <c r="D25" i="2" s="1"/>
  <c r="BD25" i="8"/>
  <c r="E25" i="2"/>
  <c r="L25" i="2"/>
  <c r="H25" i="11"/>
  <c r="AB25" i="7"/>
  <c r="DD133" i="8"/>
  <c r="DC133" i="8"/>
  <c r="O133" i="8" s="1"/>
  <c r="EI133" i="8"/>
  <c r="AH133" i="7"/>
  <c r="AG133" i="7"/>
  <c r="AI133" i="7" s="1"/>
  <c r="AQ133" i="5"/>
  <c r="AU133" i="1" s="1"/>
  <c r="D133" i="14"/>
  <c r="P134" i="1"/>
  <c r="AG134" i="7"/>
  <c r="AI134" i="7" s="1"/>
  <c r="AH134" i="7"/>
  <c r="AU132" i="8" l="1"/>
  <c r="AT132" i="1" s="1"/>
  <c r="BO131" i="1"/>
  <c r="AO131" i="8"/>
  <c r="E131" i="11"/>
  <c r="AE134" i="11"/>
  <c r="AC134" i="8" s="1"/>
  <c r="AF134" i="11"/>
  <c r="CA135" i="8"/>
  <c r="CH135" i="8"/>
  <c r="BU135" i="8"/>
  <c r="AE135" i="11"/>
  <c r="AC135" i="8" s="1"/>
  <c r="CF135" i="8" s="1"/>
  <c r="AF135" i="11"/>
  <c r="AV132" i="8"/>
  <c r="AW132" i="1" s="1"/>
  <c r="L132" i="1" s="1"/>
  <c r="BY133" i="8"/>
  <c r="BZ133" i="8"/>
  <c r="BT133" i="8"/>
  <c r="BQ133" i="8"/>
  <c r="CG133" i="8"/>
  <c r="BP133" i="8"/>
  <c r="AU133" i="8" s="1"/>
  <c r="CF133" i="8"/>
  <c r="BU133" i="8"/>
  <c r="D131" i="11"/>
  <c r="AP131" i="8"/>
  <c r="AK131" i="5"/>
  <c r="AQ131" i="1"/>
  <c r="U131" i="1" s="1"/>
  <c r="J132" i="1" s="1"/>
  <c r="BM131" i="1"/>
  <c r="C131" i="9"/>
  <c r="AR131" i="8"/>
  <c r="AR131" i="1"/>
  <c r="V131" i="1" s="1"/>
  <c r="K132" i="1" s="1"/>
  <c r="BN131" i="1"/>
  <c r="O134" i="8"/>
  <c r="AD135" i="9"/>
  <c r="AV135" i="1" s="1"/>
  <c r="AT134" i="8"/>
  <c r="AT135" i="8"/>
  <c r="AQ134" i="8"/>
  <c r="M135" i="1"/>
  <c r="F134" i="11"/>
  <c r="AW134" i="8"/>
  <c r="Y135" i="11"/>
  <c r="AH135" i="1" s="1"/>
  <c r="AC135" i="11"/>
  <c r="T135" i="8" s="1"/>
  <c r="AA135" i="11"/>
  <c r="Z135" i="11"/>
  <c r="AC135" i="2" s="1"/>
  <c r="AB135" i="11"/>
  <c r="P135" i="8" s="1"/>
  <c r="AD135" i="11"/>
  <c r="AI135" i="1" s="1"/>
  <c r="Y134" i="11"/>
  <c r="AH134" i="1" s="1"/>
  <c r="AA134" i="11"/>
  <c r="AC134" i="11"/>
  <c r="T134" i="8" s="1"/>
  <c r="AD134" i="11"/>
  <c r="AI134" i="1" s="1"/>
  <c r="AB134" i="11"/>
  <c r="P134" i="8" s="1"/>
  <c r="Z134" i="11"/>
  <c r="AC134" i="2" s="1"/>
  <c r="DZ133" i="8"/>
  <c r="CN135" i="8"/>
  <c r="EP135" i="8"/>
  <c r="DT135" i="8"/>
  <c r="DR135" i="8"/>
  <c r="DS135" i="8"/>
  <c r="DX134" i="8"/>
  <c r="EB134" i="8" s="1"/>
  <c r="DG135" i="8"/>
  <c r="EG135" i="8" s="1"/>
  <c r="EI135" i="8" s="1"/>
  <c r="DN135" i="8"/>
  <c r="DO135" i="8"/>
  <c r="DY134" i="8"/>
  <c r="EI134" i="8"/>
  <c r="AT133" i="1"/>
  <c r="AQ134" i="5"/>
  <c r="AU134" i="1" s="1"/>
  <c r="Q135" i="7"/>
  <c r="N135" i="11"/>
  <c r="AL135" i="5"/>
  <c r="DD134" i="8"/>
  <c r="EE134" i="8" s="1"/>
  <c r="EF134" i="8" s="1"/>
  <c r="N135" i="7"/>
  <c r="CR135" i="8"/>
  <c r="DD135" i="8" s="1"/>
  <c r="AN135" i="5"/>
  <c r="CY135" i="8"/>
  <c r="EA135" i="8" s="1"/>
  <c r="AO135" i="5"/>
  <c r="DB135" i="8"/>
  <c r="EC135" i="8" s="1"/>
  <c r="ED135" i="8" s="1"/>
  <c r="AC135" i="10"/>
  <c r="X135" i="10" s="1"/>
  <c r="Y135" i="10" s="1"/>
  <c r="CV135" i="8"/>
  <c r="CW135" i="8"/>
  <c r="AM135" i="5"/>
  <c r="CX135" i="8"/>
  <c r="AP134" i="5"/>
  <c r="D134" i="14"/>
  <c r="P135" i="1"/>
  <c r="U25" i="2"/>
  <c r="W24" i="2" s="1"/>
  <c r="C25" i="2" s="1"/>
  <c r="AH135" i="7"/>
  <c r="AG135" i="7"/>
  <c r="AI135" i="7" s="1"/>
  <c r="EE133" i="8"/>
  <c r="EF133" i="8" s="1"/>
  <c r="Q133" i="8"/>
  <c r="AO132" i="8" l="1"/>
  <c r="E132" i="11"/>
  <c r="BO132" i="1"/>
  <c r="CG135" i="8"/>
  <c r="AV133" i="8"/>
  <c r="AW133" i="1" s="1"/>
  <c r="L133" i="1" s="1"/>
  <c r="BQ135" i="8"/>
  <c r="BT135" i="8"/>
  <c r="BP135" i="8"/>
  <c r="BZ135" i="8"/>
  <c r="BY135" i="8"/>
  <c r="BU134" i="8"/>
  <c r="BY134" i="8"/>
  <c r="BZ134" i="8"/>
  <c r="BQ134" i="8"/>
  <c r="CF134" i="8"/>
  <c r="CG134" i="8"/>
  <c r="BP134" i="8"/>
  <c r="BT134" i="8"/>
  <c r="D135" i="14"/>
  <c r="AK132" i="5"/>
  <c r="D132" i="11"/>
  <c r="BM132" i="1"/>
  <c r="AQ132" i="1"/>
  <c r="U132" i="1" s="1"/>
  <c r="J133" i="1" s="1"/>
  <c r="AP132" i="8"/>
  <c r="AR132" i="8"/>
  <c r="BN132" i="1"/>
  <c r="AR132" i="1"/>
  <c r="V132" i="1" s="1"/>
  <c r="K133" i="1" s="1"/>
  <c r="C132" i="9"/>
  <c r="R25" i="8"/>
  <c r="S25" i="8" s="1"/>
  <c r="F25" i="1"/>
  <c r="AW135" i="8"/>
  <c r="AQ135" i="8"/>
  <c r="F135" i="11"/>
  <c r="EM133" i="8"/>
  <c r="G133" i="1" s="1"/>
  <c r="M133" i="8" s="1"/>
  <c r="DX135" i="8"/>
  <c r="EB135" i="8" s="1"/>
  <c r="DZ134" i="8"/>
  <c r="EM134" i="8" s="1"/>
  <c r="G134" i="1" s="1"/>
  <c r="M134" i="8" s="1"/>
  <c r="Q134" i="8"/>
  <c r="DC135" i="8"/>
  <c r="O135" i="8" s="1"/>
  <c r="AP135" i="5"/>
  <c r="AV135" i="8"/>
  <c r="AW135" i="1" s="1"/>
  <c r="DY135" i="8"/>
  <c r="AU135" i="8"/>
  <c r="AQ135" i="5"/>
  <c r="AU135" i="1" s="1"/>
  <c r="I25" i="2"/>
  <c r="AA25" i="1" s="1"/>
  <c r="S25" i="1" s="1"/>
  <c r="H26" i="1" s="1"/>
  <c r="H25" i="2"/>
  <c r="E133" i="11" l="1"/>
  <c r="BO133" i="1"/>
  <c r="AO133" i="8"/>
  <c r="AV134" i="8"/>
  <c r="AW134" i="1" s="1"/>
  <c r="L134" i="1" s="1"/>
  <c r="AU134" i="8"/>
  <c r="AT134" i="1" s="1"/>
  <c r="AQ133" i="1"/>
  <c r="U133" i="1" s="1"/>
  <c r="J134" i="1" s="1"/>
  <c r="AK133" i="5"/>
  <c r="AP133" i="8"/>
  <c r="D133" i="11"/>
  <c r="BM133" i="1"/>
  <c r="AR133" i="8"/>
  <c r="AR133" i="1"/>
  <c r="V133" i="1" s="1"/>
  <c r="K134" i="1" s="1"/>
  <c r="C133" i="9"/>
  <c r="BN133" i="1"/>
  <c r="F25" i="2"/>
  <c r="J25" i="11" s="1"/>
  <c r="DZ135" i="8"/>
  <c r="Q135" i="8"/>
  <c r="EE135" i="8"/>
  <c r="EF135" i="8" s="1"/>
  <c r="AT135" i="1"/>
  <c r="AC26" i="7"/>
  <c r="AJ26" i="5"/>
  <c r="BK26" i="1"/>
  <c r="C26" i="11"/>
  <c r="AN26" i="8"/>
  <c r="V26" i="10"/>
  <c r="U25" i="8"/>
  <c r="V25" i="8"/>
  <c r="O25" i="7"/>
  <c r="I25" i="11"/>
  <c r="AO134" i="8" l="1"/>
  <c r="L135" i="1"/>
  <c r="BO135" i="1" s="1"/>
  <c r="E134" i="11"/>
  <c r="BO134" i="1"/>
  <c r="BM134" i="1"/>
  <c r="AP134" i="8"/>
  <c r="AK134" i="5"/>
  <c r="D134" i="11"/>
  <c r="AQ134" i="1"/>
  <c r="U134" i="1" s="1"/>
  <c r="J135" i="1" s="1"/>
  <c r="AR134" i="1"/>
  <c r="V134" i="1" s="1"/>
  <c r="K135" i="1" s="1"/>
  <c r="AR134" i="8"/>
  <c r="BN134" i="1"/>
  <c r="C134" i="9"/>
  <c r="G25" i="2"/>
  <c r="Z25" i="2" s="1"/>
  <c r="Z26" i="8" s="1"/>
  <c r="AP25" i="1"/>
  <c r="T25" i="1" s="1"/>
  <c r="EM135" i="8"/>
  <c r="G135" i="1" s="1"/>
  <c r="M135" i="8" s="1"/>
  <c r="F25" i="9"/>
  <c r="P25" i="7"/>
  <c r="AO135" i="8" l="1"/>
  <c r="E135" i="11"/>
  <c r="BM135" i="1"/>
  <c r="AQ135" i="1"/>
  <c r="U135" i="1" s="1"/>
  <c r="AK135" i="5"/>
  <c r="D135" i="11"/>
  <c r="I26" i="1"/>
  <c r="BL26" i="1" s="1"/>
  <c r="AP135" i="8"/>
  <c r="BN135" i="1"/>
  <c r="AR135" i="1"/>
  <c r="V135" i="1" s="1"/>
  <c r="AR135" i="8"/>
  <c r="C135" i="9"/>
  <c r="C25" i="8"/>
  <c r="Y25" i="2"/>
  <c r="X25" i="2" s="1"/>
  <c r="AS26" i="8" l="1"/>
  <c r="AO26" i="1"/>
  <c r="AB26" i="7"/>
  <c r="H26" i="11"/>
  <c r="E26" i="2"/>
  <c r="B26" i="8"/>
  <c r="D26" i="2" s="1"/>
  <c r="BD26" i="8"/>
  <c r="L26" i="2"/>
  <c r="U26" i="2" l="1"/>
  <c r="W25" i="2" s="1"/>
  <c r="C26" i="2" s="1"/>
  <c r="R26" i="8" l="1"/>
  <c r="S26" i="8" s="1"/>
  <c r="F26" i="2" l="1"/>
  <c r="J26" i="11" s="1"/>
  <c r="F26" i="1"/>
  <c r="I26" i="2"/>
  <c r="O26" i="7" s="1"/>
  <c r="H26" i="2"/>
  <c r="U26" i="8"/>
  <c r="V26" i="8"/>
  <c r="AP26" i="1" l="1"/>
  <c r="T26" i="1" s="1"/>
  <c r="I27" i="1" s="1"/>
  <c r="AA26" i="1"/>
  <c r="S26" i="1" s="1"/>
  <c r="G26" i="2"/>
  <c r="Z26" i="2" s="1"/>
  <c r="Z27" i="8" s="1"/>
  <c r="I26" i="11"/>
  <c r="P26" i="7"/>
  <c r="F26" i="9"/>
  <c r="H27" i="1" l="1"/>
  <c r="AJ27" i="5" s="1"/>
  <c r="C26" i="8"/>
  <c r="AS27" i="8"/>
  <c r="AO27" i="1"/>
  <c r="BL27" i="1"/>
  <c r="Y26" i="2"/>
  <c r="X26" i="2" s="1"/>
  <c r="V27" i="10" l="1"/>
  <c r="AN27" i="8"/>
  <c r="BK27" i="1"/>
  <c r="C27" i="11"/>
  <c r="AC27" i="7"/>
  <c r="AB27" i="7"/>
  <c r="E27" i="2"/>
  <c r="B27" i="8"/>
  <c r="D27" i="2" s="1"/>
  <c r="BD27" i="8"/>
  <c r="L27" i="2"/>
  <c r="H27" i="11"/>
  <c r="U27" i="2" l="1"/>
  <c r="W26" i="2" l="1"/>
  <c r="C27" i="2" s="1"/>
  <c r="R27" i="8" s="1"/>
  <c r="S27" i="8" s="1"/>
  <c r="F27" i="2" l="1"/>
  <c r="G27" i="2" s="1"/>
  <c r="I27" i="2"/>
  <c r="F27" i="1"/>
  <c r="H27" i="2"/>
  <c r="U27" i="8"/>
  <c r="V27" i="8"/>
  <c r="Z27" i="2" l="1"/>
  <c r="I27" i="11"/>
  <c r="AP27" i="1"/>
  <c r="T27" i="1" s="1"/>
  <c r="AA27" i="1"/>
  <c r="S27" i="1" s="1"/>
  <c r="J27" i="11"/>
  <c r="P27" i="7" s="1"/>
  <c r="O27" i="7"/>
  <c r="C27" i="8"/>
  <c r="Z28" i="8" l="1"/>
  <c r="I28" i="1"/>
  <c r="H28" i="1"/>
  <c r="BK28" i="1" s="1"/>
  <c r="F27" i="9"/>
  <c r="Y27" i="2"/>
  <c r="X27" i="2" l="1"/>
  <c r="AC28" i="7"/>
  <c r="AO28" i="1"/>
  <c r="AJ28" i="5"/>
  <c r="AS28" i="8"/>
  <c r="BL28" i="1"/>
  <c r="V28" i="10"/>
  <c r="AN28" i="8"/>
  <c r="C28" i="11"/>
  <c r="E28" i="2"/>
  <c r="L28" i="2"/>
  <c r="B28" i="8"/>
  <c r="D28" i="2" s="1"/>
  <c r="BD28" i="8"/>
  <c r="AB28" i="7"/>
  <c r="H28" i="11"/>
  <c r="U28" i="2" l="1"/>
  <c r="W27" i="2" s="1"/>
  <c r="C28" i="2" l="1"/>
  <c r="R28" i="8"/>
  <c r="S28" i="8" s="1"/>
  <c r="H28" i="2" l="1"/>
  <c r="I28" i="2"/>
  <c r="AA28" i="1" s="1"/>
  <c r="S28" i="1" s="1"/>
  <c r="H29" i="1" s="1"/>
  <c r="F28" i="2"/>
  <c r="G28" i="2" s="1"/>
  <c r="Z28" i="2" s="1"/>
  <c r="Z29" i="8" s="1"/>
  <c r="F28" i="1"/>
  <c r="V28" i="8"/>
  <c r="U28" i="8"/>
  <c r="J28" i="11" l="1"/>
  <c r="F28" i="9" s="1"/>
  <c r="I28" i="11"/>
  <c r="O28" i="7"/>
  <c r="AP28" i="1"/>
  <c r="T28" i="1" s="1"/>
  <c r="I29" i="1" s="1"/>
  <c r="AJ29" i="5"/>
  <c r="AC29" i="7"/>
  <c r="C29" i="11"/>
  <c r="V29" i="10"/>
  <c r="AN29" i="8"/>
  <c r="BK29" i="1"/>
  <c r="C28" i="8"/>
  <c r="P28" i="7" l="1"/>
  <c r="AS29" i="8"/>
  <c r="AO29" i="1"/>
  <c r="BL29" i="1"/>
  <c r="Y28" i="2"/>
  <c r="X28" i="2" s="1"/>
  <c r="E29" i="2" l="1"/>
  <c r="B29" i="8"/>
  <c r="D29" i="2" s="1"/>
  <c r="L29" i="2"/>
  <c r="H29" i="11"/>
  <c r="AB29" i="7"/>
  <c r="BD29" i="8"/>
  <c r="U29" i="2" l="1"/>
  <c r="W28" i="2" s="1"/>
  <c r="C29" i="2" s="1"/>
  <c r="R29" i="8" l="1"/>
  <c r="S29" i="8" s="1"/>
  <c r="F29" i="2"/>
  <c r="I29" i="2" l="1"/>
  <c r="I29" i="11" s="1"/>
  <c r="H29" i="2"/>
  <c r="F29" i="1"/>
  <c r="J29" i="11"/>
  <c r="AP29" i="1"/>
  <c r="T29" i="1" s="1"/>
  <c r="I30" i="1" s="1"/>
  <c r="G29" i="2"/>
  <c r="Z29" i="2" s="1"/>
  <c r="Z30" i="8" s="1"/>
  <c r="V29" i="8"/>
  <c r="U29" i="8"/>
  <c r="AA29" i="1" l="1"/>
  <c r="S29" i="1" s="1"/>
  <c r="O29" i="7"/>
  <c r="AO30" i="1"/>
  <c r="P29" i="7"/>
  <c r="F29" i="9"/>
  <c r="C29" i="8"/>
  <c r="H30" i="1" l="1"/>
  <c r="C30" i="11" s="1"/>
  <c r="AS30" i="8"/>
  <c r="BL30" i="1"/>
  <c r="Y29" i="2"/>
  <c r="X29" i="2" s="1"/>
  <c r="AC30" i="7" l="1"/>
  <c r="AJ30" i="5"/>
  <c r="AN30" i="8"/>
  <c r="BK30" i="1"/>
  <c r="V30" i="10"/>
  <c r="L30" i="2"/>
  <c r="E30" i="2"/>
  <c r="H30" i="11"/>
  <c r="B30" i="8"/>
  <c r="D30" i="2" s="1"/>
  <c r="AB30" i="7"/>
  <c r="BD30" i="8"/>
  <c r="U30" i="2" l="1"/>
  <c r="W29" i="2" s="1"/>
  <c r="C30" i="2" s="1"/>
  <c r="R30" i="8" l="1"/>
  <c r="S30" i="8" s="1"/>
  <c r="F30" i="2" l="1"/>
  <c r="AP30" i="1" s="1"/>
  <c r="T30" i="1" s="1"/>
  <c r="I31" i="1" s="1"/>
  <c r="H30" i="2"/>
  <c r="I30" i="2"/>
  <c r="AA30" i="1" s="1"/>
  <c r="S30" i="1" s="1"/>
  <c r="H31" i="1" s="1"/>
  <c r="F30" i="1"/>
  <c r="U30" i="8"/>
  <c r="V30" i="8"/>
  <c r="O30" i="7" l="1"/>
  <c r="I30" i="11"/>
  <c r="J30" i="11"/>
  <c r="F30" i="9" s="1"/>
  <c r="G30" i="2"/>
  <c r="Z30" i="2" s="1"/>
  <c r="Z31" i="8" s="1"/>
  <c r="BK31" i="1"/>
  <c r="AN31" i="8"/>
  <c r="AJ31" i="5"/>
  <c r="V31" i="10"/>
  <c r="C31" i="11"/>
  <c r="AC31" i="7"/>
  <c r="E31" i="2" l="1"/>
  <c r="L31" i="2"/>
  <c r="P30" i="7"/>
  <c r="C30" i="8"/>
  <c r="BL31" i="1"/>
  <c r="AO31" i="1"/>
  <c r="AS31" i="8"/>
  <c r="Y30" i="2"/>
  <c r="X30" i="2" s="1"/>
  <c r="AB31" i="7" l="1"/>
  <c r="H31" i="11"/>
  <c r="B31" i="8"/>
  <c r="D31" i="2" s="1"/>
  <c r="BD31" i="8"/>
  <c r="U31" i="2" l="1"/>
  <c r="W30" i="2" s="1"/>
  <c r="C31" i="2" s="1"/>
  <c r="F31" i="2" l="1"/>
  <c r="G31" i="2" s="1"/>
  <c r="Z31" i="2" s="1"/>
  <c r="I31" i="2"/>
  <c r="H31" i="2"/>
  <c r="R31" i="8"/>
  <c r="S31" i="8" s="1"/>
  <c r="Y31" i="2" l="1"/>
  <c r="X31" i="2" s="1"/>
  <c r="F31" i="1"/>
  <c r="O31" i="7"/>
  <c r="Z32" i="8"/>
  <c r="U31" i="8"/>
  <c r="V31" i="8"/>
  <c r="J31" i="11" l="1"/>
  <c r="P31" i="7" s="1"/>
  <c r="AP31" i="1"/>
  <c r="T31" i="1" s="1"/>
  <c r="I31" i="11"/>
  <c r="AA31" i="1"/>
  <c r="S31" i="1" s="1"/>
  <c r="C31" i="8"/>
  <c r="I32" i="1" l="1"/>
  <c r="AO32" i="1" s="1"/>
  <c r="H32" i="1"/>
  <c r="AC32" i="7" s="1"/>
  <c r="F31" i="9"/>
  <c r="AN32" i="8" l="1"/>
  <c r="AJ32" i="5"/>
  <c r="AS32" i="8"/>
  <c r="BL32" i="1"/>
  <c r="V32" i="10"/>
  <c r="BK32" i="1"/>
  <c r="C32" i="11"/>
  <c r="E32" i="2"/>
  <c r="L32" i="2"/>
  <c r="BD32" i="8"/>
  <c r="H32" i="11"/>
  <c r="AB32" i="7"/>
  <c r="B32" i="8"/>
  <c r="D32" i="2" s="1"/>
  <c r="U32" i="2" l="1"/>
  <c r="W31" i="2" l="1"/>
  <c r="C32" i="2" s="1"/>
  <c r="R32" i="8" s="1"/>
  <c r="S32" i="8" s="1"/>
  <c r="F32" i="1" l="1"/>
  <c r="I32" i="2"/>
  <c r="AA32" i="1" s="1"/>
  <c r="S32" i="1" s="1"/>
  <c r="F32" i="2"/>
  <c r="J32" i="11" s="1"/>
  <c r="H32" i="2"/>
  <c r="V32" i="8"/>
  <c r="U32" i="8"/>
  <c r="H33" i="1" l="1"/>
  <c r="AN33" i="8" s="1"/>
  <c r="AP32" i="1"/>
  <c r="T32" i="1" s="1"/>
  <c r="G32" i="2"/>
  <c r="Z32" i="2" s="1"/>
  <c r="Z33" i="8" s="1"/>
  <c r="O32" i="7"/>
  <c r="I32" i="11"/>
  <c r="P32" i="7"/>
  <c r="F32" i="9"/>
  <c r="C33" i="11" l="1"/>
  <c r="I33" i="1"/>
  <c r="AO33" i="1" s="1"/>
  <c r="V33" i="10"/>
  <c r="AJ33" i="5"/>
  <c r="BK33" i="1"/>
  <c r="AC33" i="7"/>
  <c r="C32" i="8"/>
  <c r="Y32" i="2"/>
  <c r="X32" i="2" s="1"/>
  <c r="AS33" i="8" l="1"/>
  <c r="BL33" i="1"/>
  <c r="L33" i="2"/>
  <c r="E33" i="2"/>
  <c r="BD33" i="8"/>
  <c r="B33" i="8"/>
  <c r="D33" i="2" s="1"/>
  <c r="AB33" i="7"/>
  <c r="H33" i="11"/>
  <c r="U33" i="2" l="1"/>
  <c r="W32" i="2" s="1"/>
  <c r="C33" i="2" s="1"/>
  <c r="R33" i="8" l="1"/>
  <c r="S33" i="8" s="1"/>
  <c r="F33" i="1"/>
  <c r="I33" i="2" l="1"/>
  <c r="AA33" i="1" s="1"/>
  <c r="S33" i="1" s="1"/>
  <c r="H33" i="2"/>
  <c r="F33" i="2"/>
  <c r="J33" i="11" s="1"/>
  <c r="U33" i="8"/>
  <c r="V33" i="8"/>
  <c r="H34" i="1" l="1"/>
  <c r="AN34" i="8" s="1"/>
  <c r="G33" i="2"/>
  <c r="Z33" i="2" s="1"/>
  <c r="Z34" i="8" s="1"/>
  <c r="I33" i="11"/>
  <c r="O33" i="7"/>
  <c r="AP33" i="1"/>
  <c r="T33" i="1" s="1"/>
  <c r="I34" i="1" s="1"/>
  <c r="P33" i="7"/>
  <c r="F33" i="9"/>
  <c r="BK34" i="1" l="1"/>
  <c r="AC34" i="7"/>
  <c r="V34" i="10"/>
  <c r="C34" i="11"/>
  <c r="AJ34" i="5"/>
  <c r="C33" i="8"/>
  <c r="BL34" i="1"/>
  <c r="AO34" i="1"/>
  <c r="AS34" i="8"/>
  <c r="Y33" i="2"/>
  <c r="X33" i="2" s="1"/>
  <c r="L34" i="2" l="1"/>
  <c r="B34" i="8"/>
  <c r="D34" i="2" s="1"/>
  <c r="BD34" i="8"/>
  <c r="H34" i="11"/>
  <c r="E34" i="2"/>
  <c r="AB34" i="7"/>
  <c r="U34" i="2" l="1"/>
  <c r="W33" i="2" s="1"/>
  <c r="C34" i="2" s="1"/>
  <c r="R34" i="8" l="1"/>
  <c r="S34" i="8" s="1"/>
  <c r="F34" i="2"/>
  <c r="H34" i="2" l="1"/>
  <c r="I34" i="2"/>
  <c r="I34" i="11" s="1"/>
  <c r="F34" i="1"/>
  <c r="U34" i="8"/>
  <c r="V34" i="8"/>
  <c r="J34" i="11"/>
  <c r="AP34" i="1"/>
  <c r="T34" i="1" s="1"/>
  <c r="I35" i="1" s="1"/>
  <c r="G34" i="2"/>
  <c r="Z34" i="2" s="1"/>
  <c r="Z35" i="8" s="1"/>
  <c r="O34" i="7" l="1"/>
  <c r="AA34" i="1"/>
  <c r="S34" i="1" s="1"/>
  <c r="P34" i="7"/>
  <c r="F34" i="9"/>
  <c r="C34" i="8"/>
  <c r="H35" i="1" l="1"/>
  <c r="AC35" i="7" s="1"/>
  <c r="BL35" i="1"/>
  <c r="AO35" i="1"/>
  <c r="AS35" i="8"/>
  <c r="Y34" i="2"/>
  <c r="X34" i="2" s="1"/>
  <c r="AN35" i="8" l="1"/>
  <c r="V35" i="10"/>
  <c r="AJ35" i="5"/>
  <c r="BK35" i="1"/>
  <c r="C35" i="11"/>
  <c r="H35" i="11"/>
  <c r="AB35" i="7"/>
  <c r="L35" i="2"/>
  <c r="BD35" i="8"/>
  <c r="B35" i="8"/>
  <c r="D35" i="2" s="1"/>
  <c r="E35" i="2"/>
  <c r="U35" i="2" l="1"/>
  <c r="W34" i="2" s="1"/>
  <c r="C35" i="2" s="1"/>
  <c r="R35" i="8" l="1"/>
  <c r="S35" i="8" s="1"/>
  <c r="H35" i="2" l="1"/>
  <c r="I35" i="2"/>
  <c r="I35" i="11" s="1"/>
  <c r="F35" i="1"/>
  <c r="F35" i="2"/>
  <c r="J35" i="11" s="1"/>
  <c r="V35" i="8"/>
  <c r="U35" i="8"/>
  <c r="AP35" i="1" l="1"/>
  <c r="T35" i="1" s="1"/>
  <c r="G35" i="2"/>
  <c r="Z35" i="2" s="1"/>
  <c r="Z36" i="8" s="1"/>
  <c r="O35" i="7"/>
  <c r="AA35" i="1"/>
  <c r="S35" i="1" s="1"/>
  <c r="P35" i="7"/>
  <c r="F35" i="9"/>
  <c r="I36" i="1" l="1"/>
  <c r="AS36" i="8" s="1"/>
  <c r="H36" i="1"/>
  <c r="AJ36" i="5" s="1"/>
  <c r="C35" i="8"/>
  <c r="Y35" i="2"/>
  <c r="X35" i="2" s="1"/>
  <c r="AO36" i="1" l="1"/>
  <c r="AN36" i="8"/>
  <c r="C36" i="11"/>
  <c r="BL36" i="1"/>
  <c r="AC36" i="7"/>
  <c r="V36" i="10"/>
  <c r="BK36" i="1"/>
  <c r="B36" i="8"/>
  <c r="D36" i="2" s="1"/>
  <c r="E36" i="2"/>
  <c r="AB36" i="7"/>
  <c r="BD36" i="8"/>
  <c r="H36" i="11"/>
  <c r="L36" i="2"/>
  <c r="U36" i="2" l="1"/>
  <c r="W35" i="2" s="1"/>
  <c r="C36" i="2" s="1"/>
  <c r="R36" i="8" l="1"/>
  <c r="S36" i="8" s="1"/>
  <c r="I36" i="2"/>
  <c r="H36" i="2" l="1"/>
  <c r="F36" i="1"/>
  <c r="F36" i="2"/>
  <c r="AP36" i="1" s="1"/>
  <c r="T36" i="1" s="1"/>
  <c r="I37" i="1" s="1"/>
  <c r="O36" i="7"/>
  <c r="I36" i="11"/>
  <c r="U36" i="8"/>
  <c r="V36" i="8"/>
  <c r="AA36" i="1"/>
  <c r="S36" i="1" s="1"/>
  <c r="H37" i="1" s="1"/>
  <c r="G36" i="2" l="1"/>
  <c r="Z36" i="2" s="1"/>
  <c r="Z37" i="8" s="1"/>
  <c r="J36" i="11"/>
  <c r="P36" i="7" s="1"/>
  <c r="AO37" i="1"/>
  <c r="C37" i="11"/>
  <c r="V37" i="10"/>
  <c r="BK37" i="1"/>
  <c r="AN37" i="8"/>
  <c r="AJ37" i="5"/>
  <c r="AC37" i="7"/>
  <c r="C36" i="8" l="1"/>
  <c r="F36" i="9"/>
  <c r="BL37" i="1"/>
  <c r="AS37" i="8"/>
  <c r="Y36" i="2"/>
  <c r="X36" i="2" s="1"/>
  <c r="H37" i="11" l="1"/>
  <c r="AB37" i="7"/>
  <c r="BD37" i="8"/>
  <c r="E37" i="2"/>
  <c r="L37" i="2"/>
  <c r="B37" i="8"/>
  <c r="D37" i="2" s="1"/>
  <c r="U37" i="2" l="1"/>
  <c r="W36" i="2" s="1"/>
  <c r="C37" i="2" s="1"/>
  <c r="R37" i="8" l="1"/>
  <c r="S37" i="8" s="1"/>
  <c r="I37" i="2"/>
  <c r="F37" i="1" l="1"/>
  <c r="H37" i="2"/>
  <c r="F37" i="2"/>
  <c r="G37" i="2" s="1"/>
  <c r="Z37" i="2" s="1"/>
  <c r="Z38" i="8" s="1"/>
  <c r="I37" i="11"/>
  <c r="O37" i="7"/>
  <c r="V37" i="8"/>
  <c r="U37" i="8"/>
  <c r="AA37" i="1"/>
  <c r="S37" i="1" s="1"/>
  <c r="H38" i="1" s="1"/>
  <c r="AP37" i="1" l="1"/>
  <c r="T37" i="1" s="1"/>
  <c r="I38" i="1" s="1"/>
  <c r="J37" i="11"/>
  <c r="F37" i="9" s="1"/>
  <c r="BK38" i="1"/>
  <c r="AC38" i="7"/>
  <c r="AN38" i="8"/>
  <c r="C38" i="11"/>
  <c r="AJ38" i="5"/>
  <c r="V38" i="10"/>
  <c r="C37" i="8"/>
  <c r="P37" i="7" l="1"/>
  <c r="AS38" i="8"/>
  <c r="AO38" i="1"/>
  <c r="BL38" i="1"/>
  <c r="Y37" i="2"/>
  <c r="X37" i="2" s="1"/>
  <c r="L38" i="2" l="1"/>
  <c r="E38" i="2"/>
  <c r="B38" i="8"/>
  <c r="D38" i="2" s="1"/>
  <c r="H38" i="11"/>
  <c r="AB38" i="7"/>
  <c r="BD38" i="8"/>
  <c r="U38" i="2" l="1"/>
  <c r="W37" i="2" s="1"/>
  <c r="C38" i="2" s="1"/>
  <c r="R38" i="8" l="1"/>
  <c r="S38" i="8" s="1"/>
  <c r="F38" i="1"/>
  <c r="I38" i="2" l="1"/>
  <c r="I38" i="11" s="1"/>
  <c r="F38" i="2"/>
  <c r="J38" i="11" s="1"/>
  <c r="H38" i="2"/>
  <c r="V38" i="8"/>
  <c r="U38" i="8"/>
  <c r="G38" i="2" l="1"/>
  <c r="Z38" i="2" s="1"/>
  <c r="Z39" i="8" s="1"/>
  <c r="AA38" i="1"/>
  <c r="S38" i="1" s="1"/>
  <c r="O38" i="7"/>
  <c r="AP38" i="1"/>
  <c r="T38" i="1" s="1"/>
  <c r="F38" i="9"/>
  <c r="P38" i="7"/>
  <c r="H39" i="1" l="1"/>
  <c r="AJ39" i="5" s="1"/>
  <c r="I39" i="1"/>
  <c r="BL39" i="1" s="1"/>
  <c r="C38" i="8"/>
  <c r="Y38" i="2"/>
  <c r="X38" i="2" s="1"/>
  <c r="AN39" i="8" l="1"/>
  <c r="BK39" i="1"/>
  <c r="AS39" i="8"/>
  <c r="AO39" i="1"/>
  <c r="AC39" i="7"/>
  <c r="V39" i="10"/>
  <c r="C39" i="11"/>
  <c r="B39" i="8"/>
  <c r="D39" i="2" s="1"/>
  <c r="H39" i="11"/>
  <c r="BD39" i="8"/>
  <c r="E39" i="2"/>
  <c r="AB39" i="7"/>
  <c r="L39" i="2"/>
  <c r="U39" i="2" l="1"/>
  <c r="W38" i="2" s="1"/>
  <c r="C39" i="2" s="1"/>
  <c r="R39" i="8" l="1"/>
  <c r="S39" i="8" s="1"/>
  <c r="F39" i="2"/>
  <c r="F39" i="1" l="1"/>
  <c r="H39" i="2"/>
  <c r="I39" i="2"/>
  <c r="AA39" i="1" s="1"/>
  <c r="S39" i="1" s="1"/>
  <c r="H40" i="1" s="1"/>
  <c r="U39" i="8"/>
  <c r="V39" i="8"/>
  <c r="AP39" i="1"/>
  <c r="T39" i="1" s="1"/>
  <c r="I40" i="1" s="1"/>
  <c r="J39" i="11"/>
  <c r="G39" i="2"/>
  <c r="Z39" i="2" s="1"/>
  <c r="Z40" i="8" s="1"/>
  <c r="O39" i="7" l="1"/>
  <c r="I39" i="11"/>
  <c r="F39" i="9"/>
  <c r="P39" i="7"/>
  <c r="C39" i="8"/>
  <c r="V40" i="10"/>
  <c r="C40" i="11"/>
  <c r="AJ40" i="5"/>
  <c r="AC40" i="7"/>
  <c r="AN40" i="8"/>
  <c r="BK40" i="1"/>
  <c r="AS40" i="8" l="1"/>
  <c r="AO40" i="1"/>
  <c r="BL40" i="1"/>
  <c r="Y39" i="2"/>
  <c r="X39" i="2" s="1"/>
  <c r="L40" i="2" l="1"/>
  <c r="H40" i="11"/>
  <c r="B40" i="8"/>
  <c r="D40" i="2" s="1"/>
  <c r="BD40" i="8"/>
  <c r="AB40" i="7"/>
  <c r="E40" i="2"/>
  <c r="U40" i="2" l="1"/>
  <c r="W39" i="2" s="1"/>
  <c r="C40" i="2" s="1"/>
  <c r="R40" i="8" l="1"/>
  <c r="S40" i="8" s="1"/>
  <c r="H40" i="2" l="1"/>
  <c r="F40" i="2"/>
  <c r="AP40" i="1" s="1"/>
  <c r="T40" i="1" s="1"/>
  <c r="I41" i="1" s="1"/>
  <c r="I40" i="2"/>
  <c r="O40" i="7" s="1"/>
  <c r="F40" i="1"/>
  <c r="U40" i="8"/>
  <c r="V40" i="8"/>
  <c r="AA40" i="1" l="1"/>
  <c r="S40" i="1" s="1"/>
  <c r="J40" i="11"/>
  <c r="F40" i="9" s="1"/>
  <c r="G40" i="2"/>
  <c r="Z40" i="2" s="1"/>
  <c r="Z41" i="8" s="1"/>
  <c r="I40" i="11"/>
  <c r="H41" i="1" l="1"/>
  <c r="AN41" i="8" s="1"/>
  <c r="P40" i="7"/>
  <c r="C40" i="8"/>
  <c r="BL41" i="1"/>
  <c r="AO41" i="1"/>
  <c r="AS41" i="8"/>
  <c r="Y40" i="2"/>
  <c r="X40" i="2" s="1"/>
  <c r="BK41" i="1" l="1"/>
  <c r="C41" i="11"/>
  <c r="AJ41" i="5"/>
  <c r="V41" i="10"/>
  <c r="AC41" i="7"/>
  <c r="B41" i="8"/>
  <c r="D41" i="2" s="1"/>
  <c r="E41" i="2"/>
  <c r="H41" i="11"/>
  <c r="L41" i="2"/>
  <c r="BD41" i="8"/>
  <c r="AB41" i="7"/>
  <c r="U41" i="2" l="1"/>
  <c r="W40" i="2" s="1"/>
  <c r="C41" i="2" s="1"/>
  <c r="R41" i="8" l="1"/>
  <c r="S41" i="8" s="1"/>
  <c r="H41" i="2"/>
  <c r="I41" i="2" l="1"/>
  <c r="I41" i="11" s="1"/>
  <c r="F41" i="2"/>
  <c r="J41" i="11" s="1"/>
  <c r="F41" i="1"/>
  <c r="U41" i="8"/>
  <c r="V41" i="8"/>
  <c r="G41" i="2" l="1"/>
  <c r="Z41" i="2" s="1"/>
  <c r="Z42" i="8" s="1"/>
  <c r="AA41" i="1"/>
  <c r="S41" i="1" s="1"/>
  <c r="O41" i="7"/>
  <c r="AP41" i="1"/>
  <c r="T41" i="1" s="1"/>
  <c r="I42" i="1" s="1"/>
  <c r="P41" i="7"/>
  <c r="F41" i="9"/>
  <c r="H42" i="1" l="1"/>
  <c r="AN42" i="8" s="1"/>
  <c r="C41" i="8"/>
  <c r="BL42" i="1"/>
  <c r="AO42" i="1"/>
  <c r="AS42" i="8"/>
  <c r="Y41" i="2"/>
  <c r="X41" i="2" s="1"/>
  <c r="BK42" i="1" l="1"/>
  <c r="V42" i="10"/>
  <c r="C42" i="11"/>
  <c r="AC42" i="7"/>
  <c r="AJ42" i="5"/>
  <c r="L42" i="2"/>
  <c r="H42" i="11"/>
  <c r="E42" i="2"/>
  <c r="BD42" i="8"/>
  <c r="AB42" i="7"/>
  <c r="B42" i="8"/>
  <c r="D42" i="2" s="1"/>
  <c r="U42" i="2" l="1"/>
  <c r="W41" i="2" s="1"/>
  <c r="C42" i="2" s="1"/>
  <c r="R42" i="8" l="1"/>
  <c r="S42" i="8" s="1"/>
  <c r="F42" i="1" l="1"/>
  <c r="F42" i="2"/>
  <c r="G42" i="2" s="1"/>
  <c r="Z42" i="2" s="1"/>
  <c r="Z43" i="8" s="1"/>
  <c r="I42" i="2"/>
  <c r="O42" i="7" s="1"/>
  <c r="H42" i="2"/>
  <c r="U42" i="8"/>
  <c r="V42" i="8"/>
  <c r="AA42" i="1" l="1"/>
  <c r="S42" i="1" s="1"/>
  <c r="I42" i="11"/>
  <c r="J42" i="11"/>
  <c r="F42" i="9" s="1"/>
  <c r="AP42" i="1"/>
  <c r="T42" i="1" s="1"/>
  <c r="I43" i="1" s="1"/>
  <c r="C42" i="8"/>
  <c r="H43" i="1" l="1"/>
  <c r="P42" i="7"/>
  <c r="AS43" i="8"/>
  <c r="AO43" i="1"/>
  <c r="BL43" i="1"/>
  <c r="Y42" i="2"/>
  <c r="X42" i="2" s="1"/>
  <c r="C43" i="11" l="1"/>
  <c r="BK43" i="1"/>
  <c r="AN43" i="8"/>
  <c r="V43" i="10"/>
  <c r="AC43" i="7"/>
  <c r="AJ43" i="5"/>
  <c r="E43" i="2"/>
  <c r="B43" i="8"/>
  <c r="D43" i="2" s="1"/>
  <c r="AB43" i="7"/>
  <c r="L43" i="2"/>
  <c r="H43" i="11"/>
  <c r="BD43" i="8"/>
  <c r="U43" i="2" l="1"/>
  <c r="W42" i="2" s="1"/>
  <c r="C43" i="2" s="1"/>
  <c r="R43" i="8" l="1"/>
  <c r="S43" i="8" s="1"/>
  <c r="H43" i="2" l="1"/>
  <c r="I43" i="2"/>
  <c r="I43" i="11" s="1"/>
  <c r="F43" i="1"/>
  <c r="F43" i="2"/>
  <c r="AP43" i="1" s="1"/>
  <c r="T43" i="1" s="1"/>
  <c r="I44" i="1" s="1"/>
  <c r="U43" i="8"/>
  <c r="V43" i="8"/>
  <c r="J43" i="11" l="1"/>
  <c r="P43" i="7" s="1"/>
  <c r="G43" i="2"/>
  <c r="Z43" i="2" s="1"/>
  <c r="Z44" i="8" s="1"/>
  <c r="O43" i="7"/>
  <c r="AA43" i="1"/>
  <c r="S43" i="1" s="1"/>
  <c r="H44" i="1" l="1"/>
  <c r="V44" i="10" s="1"/>
  <c r="F43" i="9"/>
  <c r="C43" i="8"/>
  <c r="BL44" i="1"/>
  <c r="AO44" i="1"/>
  <c r="AS44" i="8"/>
  <c r="Y43" i="2"/>
  <c r="X43" i="2" s="1"/>
  <c r="BK44" i="1" l="1"/>
  <c r="AJ44" i="5"/>
  <c r="AN44" i="8"/>
  <c r="AC44" i="7"/>
  <c r="C44" i="11"/>
  <c r="BD44" i="8"/>
  <c r="AB44" i="7"/>
  <c r="H44" i="11"/>
  <c r="L44" i="2"/>
  <c r="E44" i="2"/>
  <c r="B44" i="8"/>
  <c r="D44" i="2" s="1"/>
  <c r="U44" i="2" l="1"/>
  <c r="W43" i="2" s="1"/>
  <c r="C44" i="2" s="1"/>
  <c r="R44" i="8" l="1"/>
  <c r="S44" i="8" s="1"/>
  <c r="F44" i="2" l="1"/>
  <c r="AP44" i="1" s="1"/>
  <c r="T44" i="1" s="1"/>
  <c r="I45" i="1" s="1"/>
  <c r="I44" i="2"/>
  <c r="AA44" i="1" s="1"/>
  <c r="S44" i="1" s="1"/>
  <c r="H45" i="1" s="1"/>
  <c r="H44" i="2"/>
  <c r="F44" i="1"/>
  <c r="V44" i="8"/>
  <c r="U44" i="8"/>
  <c r="O44" i="7" l="1"/>
  <c r="J44" i="11"/>
  <c r="P44" i="7" s="1"/>
  <c r="G44" i="2"/>
  <c r="Z44" i="2" s="1"/>
  <c r="Z45" i="8" s="1"/>
  <c r="I44" i="11"/>
  <c r="BK45" i="1"/>
  <c r="C45" i="11"/>
  <c r="AN45" i="8"/>
  <c r="V45" i="10"/>
  <c r="AC45" i="7"/>
  <c r="AJ45" i="5"/>
  <c r="F44" i="9" l="1"/>
  <c r="C44" i="8"/>
  <c r="AS45" i="8"/>
  <c r="AO45" i="1"/>
  <c r="BL45" i="1"/>
  <c r="Y44" i="2"/>
  <c r="X44" i="2" s="1"/>
  <c r="L45" i="2" l="1"/>
  <c r="B45" i="8"/>
  <c r="D45" i="2" s="1"/>
  <c r="BD45" i="8"/>
  <c r="H45" i="11"/>
  <c r="AB45" i="7"/>
  <c r="E45" i="2"/>
  <c r="U45" i="2" l="1"/>
  <c r="W44" i="2" s="1"/>
  <c r="C45" i="2" s="1"/>
  <c r="R45" i="8" l="1"/>
  <c r="S45" i="8" s="1"/>
  <c r="H45" i="2"/>
  <c r="I45" i="2" l="1"/>
  <c r="I45" i="11" s="1"/>
  <c r="F45" i="2"/>
  <c r="G45" i="2" s="1"/>
  <c r="Z45" i="2" s="1"/>
  <c r="Z46" i="8" s="1"/>
  <c r="F45" i="1"/>
  <c r="V45" i="8"/>
  <c r="U45" i="8"/>
  <c r="J45" i="11" l="1"/>
  <c r="P45" i="7" s="1"/>
  <c r="O45" i="7"/>
  <c r="AP45" i="1"/>
  <c r="T45" i="1" s="1"/>
  <c r="AA45" i="1"/>
  <c r="S45" i="1" s="1"/>
  <c r="C45" i="8"/>
  <c r="I46" i="1" l="1"/>
  <c r="H46" i="1"/>
  <c r="C46" i="11" s="1"/>
  <c r="F45" i="9"/>
  <c r="Y45" i="2"/>
  <c r="X45" i="2" s="1"/>
  <c r="AJ46" i="5" l="1"/>
  <c r="AS46" i="8"/>
  <c r="AN46" i="8"/>
  <c r="BL46" i="1"/>
  <c r="AO46" i="1"/>
  <c r="BK46" i="1"/>
  <c r="AC46" i="7"/>
  <c r="V46" i="10"/>
  <c r="BD46" i="8"/>
  <c r="B46" i="8"/>
  <c r="D46" i="2" s="1"/>
  <c r="H46" i="11"/>
  <c r="L46" i="2"/>
  <c r="E46" i="2"/>
  <c r="AB46" i="7"/>
  <c r="U46" i="2" l="1"/>
  <c r="W45" i="2" s="1"/>
  <c r="C46" i="2" s="1"/>
  <c r="R46" i="8" l="1"/>
  <c r="S46" i="8" s="1"/>
  <c r="F46" i="1" l="1"/>
  <c r="I46" i="2"/>
  <c r="AA46" i="1" s="1"/>
  <c r="S46" i="1" s="1"/>
  <c r="H47" i="1" s="1"/>
  <c r="F46" i="2"/>
  <c r="G46" i="2" s="1"/>
  <c r="Z46" i="2" s="1"/>
  <c r="Z47" i="8" s="1"/>
  <c r="H46" i="2"/>
  <c r="V46" i="8"/>
  <c r="U46" i="8"/>
  <c r="J46" i="11" l="1"/>
  <c r="P46" i="7" s="1"/>
  <c r="AP46" i="1"/>
  <c r="T46" i="1" s="1"/>
  <c r="O46" i="7"/>
  <c r="I46" i="11"/>
  <c r="BK47" i="1"/>
  <c r="C47" i="11"/>
  <c r="V47" i="10"/>
  <c r="AC47" i="7"/>
  <c r="AN47" i="8"/>
  <c r="AJ47" i="5"/>
  <c r="C46" i="8"/>
  <c r="I47" i="1" l="1"/>
  <c r="BL47" i="1" s="1"/>
  <c r="F46" i="9"/>
  <c r="Y46" i="2"/>
  <c r="X46" i="2" s="1"/>
  <c r="AO47" i="1" l="1"/>
  <c r="AS47" i="8"/>
  <c r="BD47" i="8"/>
  <c r="L47" i="2"/>
  <c r="B47" i="8"/>
  <c r="D47" i="2" s="1"/>
  <c r="E47" i="2"/>
  <c r="H47" i="11"/>
  <c r="AB47" i="7"/>
  <c r="U47" i="2" l="1"/>
  <c r="W46" i="2" s="1"/>
  <c r="C47" i="2" s="1"/>
  <c r="R47" i="8" l="1"/>
  <c r="S47" i="8" s="1"/>
  <c r="F47" i="1"/>
  <c r="I47" i="2" l="1"/>
  <c r="O47" i="7" s="1"/>
  <c r="F47" i="2"/>
  <c r="J47" i="11" s="1"/>
  <c r="H47" i="2"/>
  <c r="U47" i="8"/>
  <c r="V47" i="8"/>
  <c r="G47" i="2" l="1"/>
  <c r="Z47" i="2" s="1"/>
  <c r="Z48" i="8" s="1"/>
  <c r="I47" i="11"/>
  <c r="AP47" i="1"/>
  <c r="T47" i="1" s="1"/>
  <c r="I48" i="1" s="1"/>
  <c r="AA47" i="1"/>
  <c r="S47" i="1" s="1"/>
  <c r="F47" i="9"/>
  <c r="P47" i="7"/>
  <c r="H48" i="1" l="1"/>
  <c r="AJ48" i="5" s="1"/>
  <c r="C47" i="8"/>
  <c r="AS48" i="8"/>
  <c r="AO48" i="1"/>
  <c r="BL48" i="1"/>
  <c r="Y47" i="2"/>
  <c r="X47" i="2" s="1"/>
  <c r="AC48" i="7" l="1"/>
  <c r="C48" i="11"/>
  <c r="V48" i="10"/>
  <c r="BK48" i="1"/>
  <c r="AN48" i="8"/>
  <c r="H48" i="11"/>
  <c r="B48" i="8"/>
  <c r="D48" i="2" s="1"/>
  <c r="BD48" i="8"/>
  <c r="E48" i="2"/>
  <c r="L48" i="2"/>
  <c r="AB48" i="7"/>
  <c r="U48" i="2" l="1"/>
  <c r="W47" i="2" s="1"/>
  <c r="C48" i="2" s="1"/>
  <c r="R48" i="8" l="1"/>
  <c r="S48" i="8" s="1"/>
  <c r="I48" i="2"/>
  <c r="F48" i="1" l="1"/>
  <c r="F48" i="2"/>
  <c r="AP48" i="1" s="1"/>
  <c r="T48" i="1" s="1"/>
  <c r="I49" i="1" s="1"/>
  <c r="H48" i="2"/>
  <c r="O48" i="7"/>
  <c r="I48" i="11"/>
  <c r="U48" i="8"/>
  <c r="V48" i="8"/>
  <c r="AA48" i="1"/>
  <c r="S48" i="1" s="1"/>
  <c r="H49" i="1" s="1"/>
  <c r="G48" i="2" l="1"/>
  <c r="Z48" i="2" s="1"/>
  <c r="Z49" i="8" s="1"/>
  <c r="J48" i="11"/>
  <c r="P48" i="7" s="1"/>
  <c r="AO49" i="1"/>
  <c r="V49" i="10"/>
  <c r="AJ49" i="5"/>
  <c r="BK49" i="1"/>
  <c r="C49" i="11"/>
  <c r="AN49" i="8"/>
  <c r="AC49" i="7"/>
  <c r="C48" i="8" l="1"/>
  <c r="F48" i="9"/>
  <c r="AS49" i="8"/>
  <c r="BL49" i="1"/>
  <c r="Y48" i="2"/>
  <c r="X48" i="2" s="1"/>
  <c r="E49" i="2" l="1"/>
  <c r="BD49" i="8"/>
  <c r="AB49" i="7"/>
  <c r="L49" i="2"/>
  <c r="H49" i="11"/>
  <c r="B49" i="8"/>
  <c r="D49" i="2" s="1"/>
  <c r="U49" i="2" l="1"/>
  <c r="W48" i="2" s="1"/>
  <c r="C49" i="2" s="1"/>
  <c r="R49" i="8" l="1"/>
  <c r="S49" i="8" s="1"/>
  <c r="I49" i="2" l="1"/>
  <c r="I49" i="11" s="1"/>
  <c r="H49" i="2"/>
  <c r="F49" i="2"/>
  <c r="J49" i="11" s="1"/>
  <c r="F49" i="1"/>
  <c r="V49" i="8"/>
  <c r="U49" i="8"/>
  <c r="G49" i="2" l="1"/>
  <c r="Z49" i="2" s="1"/>
  <c r="Z50" i="8" s="1"/>
  <c r="AP49" i="1"/>
  <c r="T49" i="1" s="1"/>
  <c r="O49" i="7"/>
  <c r="AA49" i="1"/>
  <c r="S49" i="1" s="1"/>
  <c r="P49" i="7"/>
  <c r="F49" i="9"/>
  <c r="I50" i="1" l="1"/>
  <c r="AO50" i="1" s="1"/>
  <c r="H50" i="1"/>
  <c r="AJ50" i="5" s="1"/>
  <c r="C49" i="8"/>
  <c r="Y49" i="2"/>
  <c r="X49" i="2" s="1"/>
  <c r="BL50" i="1" l="1"/>
  <c r="AC50" i="7"/>
  <c r="AS50" i="8"/>
  <c r="C50" i="11"/>
  <c r="V50" i="10"/>
  <c r="AN50" i="8"/>
  <c r="BK50" i="1"/>
  <c r="E50" i="2"/>
  <c r="H50" i="11"/>
  <c r="AB50" i="7"/>
  <c r="BD50" i="8"/>
  <c r="L50" i="2"/>
  <c r="B50" i="8"/>
  <c r="D50" i="2" s="1"/>
  <c r="U50" i="2" l="1"/>
  <c r="W49" i="2" s="1"/>
  <c r="C50" i="2" s="1"/>
  <c r="R50" i="8" l="1"/>
  <c r="S50" i="8" s="1"/>
  <c r="I50" i="2" l="1"/>
  <c r="I50" i="11" s="1"/>
  <c r="H50" i="2"/>
  <c r="F50" i="2"/>
  <c r="J50" i="11" s="1"/>
  <c r="F50" i="1"/>
  <c r="V50" i="8"/>
  <c r="U50" i="8"/>
  <c r="AP50" i="1" l="1"/>
  <c r="T50" i="1" s="1"/>
  <c r="I51" i="1" s="1"/>
  <c r="G50" i="2"/>
  <c r="Z50" i="2" s="1"/>
  <c r="Z51" i="8" s="1"/>
  <c r="AA50" i="1"/>
  <c r="S50" i="1" s="1"/>
  <c r="O50" i="7"/>
  <c r="P50" i="7"/>
  <c r="F50" i="9"/>
  <c r="H51" i="1" l="1"/>
  <c r="C50" i="8"/>
  <c r="AS51" i="8"/>
  <c r="AO51" i="1"/>
  <c r="BL51" i="1"/>
  <c r="Y50" i="2"/>
  <c r="X50" i="2" s="1"/>
  <c r="AC51" i="7" l="1"/>
  <c r="AN51" i="8"/>
  <c r="BK51" i="1"/>
  <c r="AJ51" i="5"/>
  <c r="V51" i="10"/>
  <c r="C51" i="11"/>
  <c r="AB51" i="7"/>
  <c r="H51" i="11"/>
  <c r="L51" i="2"/>
  <c r="BD51" i="8"/>
  <c r="B51" i="8"/>
  <c r="D51" i="2" s="1"/>
  <c r="E51" i="2"/>
  <c r="U51" i="2" l="1"/>
  <c r="W50" i="2" s="1"/>
  <c r="C51" i="2" s="1"/>
  <c r="R51" i="8" l="1"/>
  <c r="S51" i="8" s="1"/>
  <c r="F51" i="2"/>
  <c r="F51" i="1" l="1"/>
  <c r="H51" i="2"/>
  <c r="I51" i="2"/>
  <c r="AA51" i="1" s="1"/>
  <c r="S51" i="1" s="1"/>
  <c r="V51" i="8"/>
  <c r="U51" i="8"/>
  <c r="J51" i="11"/>
  <c r="AP51" i="1"/>
  <c r="T51" i="1" s="1"/>
  <c r="I52" i="1" s="1"/>
  <c r="G51" i="2"/>
  <c r="Z51" i="2" s="1"/>
  <c r="Z52" i="8" s="1"/>
  <c r="H52" i="1" l="1"/>
  <c r="AJ52" i="5" s="1"/>
  <c r="O51" i="7"/>
  <c r="I51" i="11"/>
  <c r="AO52" i="1"/>
  <c r="C51" i="8"/>
  <c r="P51" i="7"/>
  <c r="F51" i="9"/>
  <c r="AC52" i="7" l="1"/>
  <c r="V52" i="10"/>
  <c r="AN52" i="8"/>
  <c r="BK52" i="1"/>
  <c r="C52" i="11"/>
  <c r="AS52" i="8"/>
  <c r="BL52" i="1"/>
  <c r="Y51" i="2"/>
  <c r="X51" i="2" s="1"/>
  <c r="E52" i="2" l="1"/>
  <c r="L52" i="2"/>
  <c r="BD52" i="8"/>
  <c r="AB52" i="7"/>
  <c r="H52" i="11"/>
  <c r="B52" i="8"/>
  <c r="D52" i="2" s="1"/>
  <c r="U52" i="2" l="1"/>
  <c r="W51" i="2" s="1"/>
  <c r="C52" i="2" s="1"/>
  <c r="R52" i="8" l="1"/>
  <c r="S52" i="8" s="1"/>
  <c r="I52" i="2" l="1"/>
  <c r="O52" i="7" s="1"/>
  <c r="F52" i="2"/>
  <c r="G52" i="2" s="1"/>
  <c r="Z52" i="2" s="1"/>
  <c r="Z53" i="8" s="1"/>
  <c r="H52" i="2"/>
  <c r="F52" i="1"/>
  <c r="V52" i="8"/>
  <c r="U52" i="8"/>
  <c r="J52" i="11" l="1"/>
  <c r="F52" i="9" s="1"/>
  <c r="AP52" i="1"/>
  <c r="T52" i="1" s="1"/>
  <c r="AA52" i="1"/>
  <c r="S52" i="1" s="1"/>
  <c r="I52" i="11"/>
  <c r="C52" i="8"/>
  <c r="I53" i="1" l="1"/>
  <c r="BL53" i="1" s="1"/>
  <c r="H53" i="1"/>
  <c r="AN53" i="8" s="1"/>
  <c r="P52" i="7"/>
  <c r="Y52" i="2"/>
  <c r="X52" i="2" s="1"/>
  <c r="AC53" i="7" l="1"/>
  <c r="AO53" i="1"/>
  <c r="C53" i="11"/>
  <c r="AS53" i="8"/>
  <c r="BK53" i="1"/>
  <c r="V53" i="10"/>
  <c r="AJ53" i="5"/>
  <c r="B53" i="8"/>
  <c r="D53" i="2" s="1"/>
  <c r="AB53" i="7"/>
  <c r="BD53" i="8"/>
  <c r="E53" i="2"/>
  <c r="H53" i="11"/>
  <c r="L53" i="2"/>
  <c r="U53" i="2" l="1"/>
  <c r="W52" i="2" s="1"/>
  <c r="C53" i="2" s="1"/>
  <c r="R53" i="8" l="1"/>
  <c r="S53" i="8" s="1"/>
  <c r="F53" i="2" l="1"/>
  <c r="G53" i="2" s="1"/>
  <c r="Z53" i="2" s="1"/>
  <c r="Z54" i="8" s="1"/>
  <c r="I53" i="2"/>
  <c r="AA53" i="1" s="1"/>
  <c r="S53" i="1" s="1"/>
  <c r="H53" i="2"/>
  <c r="F53" i="1"/>
  <c r="V53" i="8"/>
  <c r="U53" i="8"/>
  <c r="H54" i="1" l="1"/>
  <c r="AJ54" i="5" s="1"/>
  <c r="I53" i="11"/>
  <c r="O53" i="7"/>
  <c r="J53" i="11"/>
  <c r="F53" i="9" s="1"/>
  <c r="AP53" i="1"/>
  <c r="T53" i="1" s="1"/>
  <c r="C53" i="8"/>
  <c r="AN54" i="8" l="1"/>
  <c r="I54" i="1"/>
  <c r="AO54" i="1" s="1"/>
  <c r="AC54" i="7"/>
  <c r="BK54" i="1"/>
  <c r="V54" i="10"/>
  <c r="C54" i="11"/>
  <c r="P53" i="7"/>
  <c r="Y53" i="2"/>
  <c r="X53" i="2" s="1"/>
  <c r="AS54" i="8" l="1"/>
  <c r="BL54" i="1"/>
  <c r="L54" i="2"/>
  <c r="BD54" i="8"/>
  <c r="B54" i="8"/>
  <c r="D54" i="2" s="1"/>
  <c r="H54" i="11"/>
  <c r="AB54" i="7"/>
  <c r="E54" i="2"/>
  <c r="U54" i="2" l="1"/>
  <c r="W53" i="2" s="1"/>
  <c r="C54" i="2" s="1"/>
  <c r="R54" i="8" l="1"/>
  <c r="S54" i="8" s="1"/>
  <c r="F54" i="1"/>
  <c r="F54" i="2" l="1"/>
  <c r="J54" i="11" s="1"/>
  <c r="H54" i="2"/>
  <c r="I54" i="2"/>
  <c r="AA54" i="1" s="1"/>
  <c r="S54" i="1" s="1"/>
  <c r="H55" i="1" s="1"/>
  <c r="U54" i="8"/>
  <c r="V54" i="8"/>
  <c r="O54" i="7" l="1"/>
  <c r="I54" i="11"/>
  <c r="G54" i="2"/>
  <c r="Z54" i="2" s="1"/>
  <c r="Z55" i="8" s="1"/>
  <c r="AP54" i="1"/>
  <c r="T54" i="1" s="1"/>
  <c r="I55" i="1" s="1"/>
  <c r="F54" i="9"/>
  <c r="P54" i="7"/>
  <c r="AC55" i="7"/>
  <c r="AJ55" i="5"/>
  <c r="C55" i="11"/>
  <c r="AN55" i="8"/>
  <c r="V55" i="10"/>
  <c r="BK55" i="1"/>
  <c r="C54" i="8" l="1"/>
  <c r="AS55" i="8"/>
  <c r="AO55" i="1"/>
  <c r="BL55" i="1"/>
  <c r="Y54" i="2"/>
  <c r="X54" i="2" s="1"/>
  <c r="L55" i="2" l="1"/>
  <c r="E55" i="2"/>
  <c r="H55" i="11"/>
  <c r="AB55" i="7"/>
  <c r="BD55" i="8"/>
  <c r="B55" i="8"/>
  <c r="D55" i="2" s="1"/>
  <c r="U55" i="2" l="1"/>
  <c r="W54" i="2" s="1"/>
  <c r="C55" i="2" s="1"/>
  <c r="R55" i="8" l="1"/>
  <c r="S55" i="8" s="1"/>
  <c r="H55" i="2" l="1"/>
  <c r="I55" i="2"/>
  <c r="O55" i="7" s="1"/>
  <c r="F55" i="2"/>
  <c r="AP55" i="1" s="1"/>
  <c r="T55" i="1" s="1"/>
  <c r="I56" i="1" s="1"/>
  <c r="F55" i="1"/>
  <c r="V55" i="8"/>
  <c r="U55" i="8"/>
  <c r="J55" i="11" l="1"/>
  <c r="F55" i="9" s="1"/>
  <c r="G55" i="2"/>
  <c r="Z55" i="2" s="1"/>
  <c r="Z56" i="8" s="1"/>
  <c r="I55" i="11"/>
  <c r="AA55" i="1"/>
  <c r="S55" i="1" s="1"/>
  <c r="H56" i="1" l="1"/>
  <c r="C56" i="11" s="1"/>
  <c r="P55" i="7"/>
  <c r="C55" i="8"/>
  <c r="AS56" i="8"/>
  <c r="AO56" i="1"/>
  <c r="BL56" i="1"/>
  <c r="Y55" i="2"/>
  <c r="X55" i="2" s="1"/>
  <c r="V56" i="10" l="1"/>
  <c r="AC56" i="7"/>
  <c r="BK56" i="1"/>
  <c r="AJ56" i="5"/>
  <c r="AN56" i="8"/>
  <c r="E56" i="2"/>
  <c r="AB56" i="7"/>
  <c r="L56" i="2"/>
  <c r="H56" i="11"/>
  <c r="BD56" i="8"/>
  <c r="B56" i="8"/>
  <c r="D56" i="2" s="1"/>
  <c r="U56" i="2" l="1"/>
  <c r="W55" i="2" s="1"/>
  <c r="C56" i="2" s="1"/>
  <c r="R56" i="8" l="1"/>
  <c r="S56" i="8" s="1"/>
  <c r="H56" i="2" l="1"/>
  <c r="F56" i="2"/>
  <c r="G56" i="2" s="1"/>
  <c r="Z56" i="2" s="1"/>
  <c r="Z57" i="8" s="1"/>
  <c r="I56" i="2"/>
  <c r="O56" i="7" s="1"/>
  <c r="F56" i="1"/>
  <c r="U56" i="8"/>
  <c r="V56" i="8"/>
  <c r="AP56" i="1" l="1"/>
  <c r="T56" i="1" s="1"/>
  <c r="I56" i="11"/>
  <c r="J56" i="11"/>
  <c r="P56" i="7" s="1"/>
  <c r="AA56" i="1"/>
  <c r="S56" i="1" s="1"/>
  <c r="C56" i="8"/>
  <c r="I57" i="1" l="1"/>
  <c r="AO57" i="1" s="1"/>
  <c r="H57" i="1"/>
  <c r="AC57" i="7" s="1"/>
  <c r="F56" i="9"/>
  <c r="Y56" i="2"/>
  <c r="X56" i="2" s="1"/>
  <c r="AJ57" i="5" l="1"/>
  <c r="AN57" i="8"/>
  <c r="AS57" i="8"/>
  <c r="BL57" i="1"/>
  <c r="C57" i="11"/>
  <c r="BK57" i="1"/>
  <c r="V57" i="10"/>
  <c r="L57" i="2"/>
  <c r="E57" i="2"/>
  <c r="H57" i="11"/>
  <c r="BD57" i="8"/>
  <c r="AB57" i="7"/>
  <c r="B57" i="8"/>
  <c r="D57" i="2" s="1"/>
  <c r="U57" i="2" l="1"/>
  <c r="W56" i="2" s="1"/>
  <c r="C57" i="2" s="1"/>
  <c r="R57" i="8" l="1"/>
  <c r="S57" i="8" s="1"/>
  <c r="H57" i="2" l="1"/>
  <c r="F57" i="2"/>
  <c r="G57" i="2" s="1"/>
  <c r="Z57" i="2" s="1"/>
  <c r="Z58" i="8" s="1"/>
  <c r="I57" i="2"/>
  <c r="AA57" i="1" s="1"/>
  <c r="S57" i="1" s="1"/>
  <c r="F57" i="1"/>
  <c r="V57" i="8"/>
  <c r="U57" i="8"/>
  <c r="H58" i="1" l="1"/>
  <c r="V58" i="10" s="1"/>
  <c r="I57" i="11"/>
  <c r="O57" i="7"/>
  <c r="J57" i="11"/>
  <c r="P57" i="7" s="1"/>
  <c r="AP57" i="1"/>
  <c r="T57" i="1" s="1"/>
  <c r="I58" i="1" s="1"/>
  <c r="C57" i="8"/>
  <c r="AC58" i="7" l="1"/>
  <c r="BK58" i="1"/>
  <c r="AJ58" i="5"/>
  <c r="AN58" i="8"/>
  <c r="C58" i="11"/>
  <c r="F57" i="9"/>
  <c r="AS58" i="8"/>
  <c r="AO58" i="1"/>
  <c r="BL58" i="1"/>
  <c r="Y57" i="2"/>
  <c r="X57" i="2" s="1"/>
  <c r="B58" i="8" l="1"/>
  <c r="D58" i="2" s="1"/>
  <c r="E58" i="2"/>
  <c r="BD58" i="8"/>
  <c r="L58" i="2"/>
  <c r="AB58" i="7"/>
  <c r="H58" i="11"/>
  <c r="U58" i="2" l="1"/>
  <c r="W57" i="2" s="1"/>
  <c r="C58" i="2" s="1"/>
  <c r="R58" i="8" l="1"/>
  <c r="S58" i="8" s="1"/>
  <c r="F58" i="2"/>
  <c r="F58" i="1" l="1"/>
  <c r="H58" i="2"/>
  <c r="I58" i="2"/>
  <c r="I58" i="11" s="1"/>
  <c r="V58" i="8"/>
  <c r="U58" i="8"/>
  <c r="AP58" i="1"/>
  <c r="T58" i="1" s="1"/>
  <c r="I59" i="1" s="1"/>
  <c r="J58" i="11"/>
  <c r="G58" i="2"/>
  <c r="Z58" i="2" s="1"/>
  <c r="Z59" i="8" s="1"/>
  <c r="AA58" i="1" l="1"/>
  <c r="S58" i="1" s="1"/>
  <c r="O58" i="7"/>
  <c r="F58" i="9"/>
  <c r="P58" i="7"/>
  <c r="C58" i="8"/>
  <c r="H59" i="1" l="1"/>
  <c r="BK59" i="1" s="1"/>
  <c r="AS59" i="8"/>
  <c r="AO59" i="1"/>
  <c r="BL59" i="1"/>
  <c r="Y58" i="2"/>
  <c r="X58" i="2" s="1"/>
  <c r="AJ59" i="5" l="1"/>
  <c r="V59" i="10"/>
  <c r="AC59" i="7"/>
  <c r="AN59" i="8"/>
  <c r="C59" i="11"/>
  <c r="E59" i="2"/>
  <c r="H59" i="11"/>
  <c r="B59" i="8"/>
  <c r="D59" i="2" s="1"/>
  <c r="L59" i="2"/>
  <c r="BD59" i="8"/>
  <c r="AB59" i="7"/>
  <c r="U59" i="2" l="1"/>
  <c r="W58" i="2" s="1"/>
  <c r="C59" i="2" s="1"/>
  <c r="R59" i="8" l="1"/>
  <c r="S59" i="8" s="1"/>
  <c r="I59" i="2"/>
  <c r="F59" i="2" l="1"/>
  <c r="AP59" i="1" s="1"/>
  <c r="T59" i="1" s="1"/>
  <c r="I60" i="1" s="1"/>
  <c r="F59" i="1"/>
  <c r="H59" i="2"/>
  <c r="I59" i="11"/>
  <c r="O59" i="7"/>
  <c r="V59" i="8"/>
  <c r="U59" i="8"/>
  <c r="AA59" i="1"/>
  <c r="S59" i="1" s="1"/>
  <c r="H60" i="1" s="1"/>
  <c r="J59" i="11" l="1"/>
  <c r="P59" i="7" s="1"/>
  <c r="G59" i="2"/>
  <c r="Z59" i="2" s="1"/>
  <c r="Z60" i="8" s="1"/>
  <c r="AO60" i="1"/>
  <c r="AC60" i="7"/>
  <c r="V60" i="10"/>
  <c r="AN60" i="8"/>
  <c r="C60" i="11"/>
  <c r="AJ60" i="5"/>
  <c r="BK60" i="1"/>
  <c r="F59" i="9" l="1"/>
  <c r="C59" i="8"/>
  <c r="AS60" i="8"/>
  <c r="BL60" i="1"/>
  <c r="Y59" i="2"/>
  <c r="X59" i="2" s="1"/>
  <c r="H60" i="11" l="1"/>
  <c r="B60" i="8"/>
  <c r="D60" i="2" s="1"/>
  <c r="AB60" i="7"/>
  <c r="L60" i="2"/>
  <c r="BD60" i="8"/>
  <c r="E60" i="2"/>
  <c r="U60" i="2" l="1"/>
  <c r="W59" i="2" s="1"/>
  <c r="C60" i="2" s="1"/>
  <c r="R60" i="8" l="1"/>
  <c r="S60" i="8" s="1"/>
  <c r="F60" i="1"/>
  <c r="F60" i="2" l="1"/>
  <c r="J60" i="11" s="1"/>
  <c r="H60" i="2"/>
  <c r="I60" i="2"/>
  <c r="O60" i="7" s="1"/>
  <c r="V60" i="8"/>
  <c r="U60" i="8"/>
  <c r="AA60" i="1" l="1"/>
  <c r="S60" i="1" s="1"/>
  <c r="G60" i="2"/>
  <c r="Z60" i="2" s="1"/>
  <c r="Z61" i="8" s="1"/>
  <c r="I60" i="11"/>
  <c r="AP60" i="1"/>
  <c r="T60" i="1" s="1"/>
  <c r="I61" i="1" s="1"/>
  <c r="P60" i="7"/>
  <c r="F60" i="9"/>
  <c r="H61" i="1" l="1"/>
  <c r="V61" i="10" s="1"/>
  <c r="C60" i="8"/>
  <c r="AS61" i="8"/>
  <c r="AO61" i="1"/>
  <c r="BL61" i="1"/>
  <c r="Y60" i="2"/>
  <c r="X60" i="2" s="1"/>
  <c r="AJ61" i="5" l="1"/>
  <c r="AC61" i="7"/>
  <c r="AN61" i="8"/>
  <c r="BK61" i="1"/>
  <c r="C61" i="11"/>
  <c r="B61" i="8"/>
  <c r="D61" i="2" s="1"/>
  <c r="L61" i="2"/>
  <c r="H61" i="11"/>
  <c r="BD61" i="8"/>
  <c r="E61" i="2"/>
  <c r="AB61" i="7"/>
  <c r="U61" i="2" l="1"/>
  <c r="W60" i="2" s="1"/>
  <c r="C61" i="2" s="1"/>
  <c r="R61" i="8" l="1"/>
  <c r="S61" i="8" s="1"/>
  <c r="H61" i="2" l="1"/>
  <c r="F61" i="1"/>
  <c r="I61" i="2"/>
  <c r="AA61" i="1" s="1"/>
  <c r="S61" i="1" s="1"/>
  <c r="F61" i="2"/>
  <c r="G61" i="2" s="1"/>
  <c r="Z61" i="2" s="1"/>
  <c r="Z62" i="8" s="1"/>
  <c r="U61" i="8"/>
  <c r="V61" i="8"/>
  <c r="H62" i="1" l="1"/>
  <c r="C62" i="11" s="1"/>
  <c r="O61" i="7"/>
  <c r="AP61" i="1"/>
  <c r="T61" i="1" s="1"/>
  <c r="I62" i="1" s="1"/>
  <c r="I61" i="11"/>
  <c r="J61" i="11"/>
  <c r="F61" i="9" s="1"/>
  <c r="C61" i="8"/>
  <c r="AC62" i="7" l="1"/>
  <c r="AN62" i="8"/>
  <c r="V62" i="10"/>
  <c r="BK62" i="1"/>
  <c r="AJ62" i="5"/>
  <c r="P61" i="7"/>
  <c r="AS62" i="8"/>
  <c r="AO62" i="1"/>
  <c r="BL62" i="1"/>
  <c r="Y61" i="2"/>
  <c r="X61" i="2" s="1"/>
  <c r="BD62" i="8" l="1"/>
  <c r="B62" i="8"/>
  <c r="D62" i="2" s="1"/>
  <c r="H62" i="11"/>
  <c r="E62" i="2"/>
  <c r="L62" i="2"/>
  <c r="AB62" i="7"/>
  <c r="U62" i="2" l="1"/>
  <c r="W61" i="2" s="1"/>
  <c r="C62" i="2" s="1"/>
  <c r="R62" i="8" l="1"/>
  <c r="S62" i="8" s="1"/>
  <c r="F62" i="2"/>
  <c r="F62" i="1" l="1"/>
  <c r="I62" i="2"/>
  <c r="AA62" i="1" s="1"/>
  <c r="S62" i="1" s="1"/>
  <c r="H62" i="2"/>
  <c r="U62" i="8"/>
  <c r="V62" i="8"/>
  <c r="J62" i="11"/>
  <c r="AP62" i="1"/>
  <c r="T62" i="1" s="1"/>
  <c r="I63" i="1" s="1"/>
  <c r="G62" i="2"/>
  <c r="Z62" i="2" s="1"/>
  <c r="Z63" i="8" s="1"/>
  <c r="H63" i="1" l="1"/>
  <c r="J53" i="4" s="1"/>
  <c r="I62" i="11"/>
  <c r="O62" i="7"/>
  <c r="P62" i="7"/>
  <c r="F62" i="9"/>
  <c r="C62" i="8"/>
  <c r="AN63" i="8" l="1"/>
  <c r="AC63" i="7"/>
  <c r="BK63" i="1"/>
  <c r="V63" i="10"/>
  <c r="AJ63" i="5"/>
  <c r="I53" i="4"/>
  <c r="C63" i="11"/>
  <c r="BL63" i="1"/>
  <c r="AO63" i="1"/>
  <c r="AS63" i="8"/>
  <c r="Y62" i="2"/>
  <c r="X62" i="2" s="1"/>
  <c r="H63" i="11" l="1"/>
  <c r="L63" i="2"/>
  <c r="M27" i="7"/>
  <c r="E63" i="2"/>
  <c r="AB63" i="7"/>
  <c r="BD63" i="8"/>
  <c r="B63" i="8"/>
  <c r="D63" i="2" s="1"/>
  <c r="U63" i="2" l="1"/>
  <c r="W62" i="2" s="1"/>
  <c r="C63" i="2" s="1"/>
  <c r="R63" i="8" l="1"/>
  <c r="S63" i="8" s="1"/>
  <c r="H63" i="2" l="1"/>
  <c r="F63" i="1"/>
  <c r="F63" i="2"/>
  <c r="J63" i="11" s="1"/>
  <c r="I63" i="2"/>
  <c r="I63" i="11" s="1"/>
  <c r="V63" i="8"/>
  <c r="U63" i="8"/>
  <c r="AA63" i="1" l="1"/>
  <c r="S63" i="1" s="1"/>
  <c r="O63" i="7"/>
  <c r="AP63" i="1"/>
  <c r="T63" i="1" s="1"/>
  <c r="I64" i="1" s="1"/>
  <c r="G63" i="2"/>
  <c r="Z63" i="2" s="1"/>
  <c r="Z64" i="8" s="1"/>
  <c r="P63" i="7"/>
  <c r="F63" i="9"/>
  <c r="H64" i="1" l="1"/>
  <c r="C63" i="8"/>
  <c r="BL64" i="1"/>
  <c r="AO64" i="1"/>
  <c r="AS64" i="8"/>
  <c r="Y63" i="2"/>
  <c r="X63" i="2" s="1"/>
  <c r="AC64" i="7" l="1"/>
  <c r="V64" i="10"/>
  <c r="BK64" i="1"/>
  <c r="AN64" i="8"/>
  <c r="C64" i="11"/>
  <c r="AJ64" i="5"/>
  <c r="B64" i="8"/>
  <c r="D64" i="2" s="1"/>
  <c r="H64" i="11"/>
  <c r="E64" i="2"/>
  <c r="BD64" i="8"/>
  <c r="L64" i="2"/>
  <c r="AB64" i="7"/>
  <c r="U64" i="2" l="1"/>
  <c r="W63" i="2" s="1"/>
  <c r="C64" i="2" s="1"/>
  <c r="R64" i="8" l="1"/>
  <c r="S64" i="8" s="1"/>
  <c r="F64" i="1"/>
  <c r="I64" i="2" l="1"/>
  <c r="AA64" i="1" s="1"/>
  <c r="S64" i="1" s="1"/>
  <c r="H65" i="1" s="1"/>
  <c r="F64" i="2"/>
  <c r="AP64" i="1" s="1"/>
  <c r="T64" i="1" s="1"/>
  <c r="I65" i="1" s="1"/>
  <c r="H64" i="2"/>
  <c r="U64" i="8"/>
  <c r="V64" i="8"/>
  <c r="J64" i="11" l="1"/>
  <c r="P64" i="7" s="1"/>
  <c r="G64" i="2"/>
  <c r="Z64" i="2" s="1"/>
  <c r="Z65" i="8" s="1"/>
  <c r="I64" i="11"/>
  <c r="O64" i="7"/>
  <c r="AO65" i="1"/>
  <c r="AN65" i="8"/>
  <c r="BK65" i="1"/>
  <c r="C65" i="11"/>
  <c r="AC65" i="7"/>
  <c r="V65" i="10"/>
  <c r="AJ65" i="5"/>
  <c r="F64" i="9" l="1"/>
  <c r="C64" i="8"/>
  <c r="BL65" i="1"/>
  <c r="AS65" i="8"/>
  <c r="Y64" i="2"/>
  <c r="X64" i="2" s="1"/>
  <c r="L65" i="2" l="1"/>
  <c r="E65" i="2"/>
  <c r="AB65" i="7"/>
  <c r="B65" i="8"/>
  <c r="D65" i="2" s="1"/>
  <c r="BD65" i="8"/>
  <c r="H65" i="11"/>
  <c r="U65" i="2" l="1"/>
  <c r="W64" i="2" s="1"/>
  <c r="C65" i="2" s="1"/>
  <c r="R65" i="8" l="1"/>
  <c r="S65" i="8" s="1"/>
  <c r="I65" i="2" l="1"/>
  <c r="I65" i="11" s="1"/>
  <c r="F65" i="2"/>
  <c r="AP65" i="1" s="1"/>
  <c r="T65" i="1" s="1"/>
  <c r="I66" i="1" s="1"/>
  <c r="H65" i="2"/>
  <c r="F65" i="1"/>
  <c r="U65" i="8"/>
  <c r="V65" i="8"/>
  <c r="G65" i="2" l="1"/>
  <c r="Z65" i="2" s="1"/>
  <c r="Z66" i="8" s="1"/>
  <c r="J65" i="11"/>
  <c r="F65" i="9" s="1"/>
  <c r="AA65" i="1"/>
  <c r="S65" i="1" s="1"/>
  <c r="O65" i="7"/>
  <c r="AO66" i="1"/>
  <c r="H66" i="1" l="1"/>
  <c r="I54" i="4" s="1"/>
  <c r="C65" i="8"/>
  <c r="P65" i="7"/>
  <c r="BL66" i="1"/>
  <c r="AS66" i="8"/>
  <c r="Y65" i="2"/>
  <c r="X65" i="2" s="1"/>
  <c r="AN66" i="8" l="1"/>
  <c r="M25" i="7" s="1"/>
  <c r="AC66" i="7"/>
  <c r="V66" i="10"/>
  <c r="C66" i="11"/>
  <c r="J54" i="4"/>
  <c r="AJ66" i="5"/>
  <c r="BK66" i="1"/>
  <c r="E66" i="2"/>
  <c r="BD66" i="8"/>
  <c r="B66" i="8"/>
  <c r="D66" i="2" s="1"/>
  <c r="L66" i="2"/>
  <c r="H66" i="11"/>
  <c r="AB66" i="7"/>
  <c r="U66" i="2" l="1"/>
  <c r="W65" i="2" s="1"/>
  <c r="C66" i="2" s="1"/>
  <c r="R66" i="8" l="1"/>
  <c r="S66" i="8" s="1"/>
  <c r="F66" i="1"/>
  <c r="H66" i="2" l="1"/>
  <c r="I66" i="2"/>
  <c r="O66" i="7" s="1"/>
  <c r="F66" i="2"/>
  <c r="AP66" i="1" s="1"/>
  <c r="T66" i="1" s="1"/>
  <c r="I67" i="1" s="1"/>
  <c r="V66" i="8"/>
  <c r="U66" i="8"/>
  <c r="G66" i="2" l="1"/>
  <c r="Z66" i="2" s="1"/>
  <c r="Z67" i="8" s="1"/>
  <c r="AA66" i="1"/>
  <c r="S66" i="1" s="1"/>
  <c r="I66" i="11"/>
  <c r="J66" i="11"/>
  <c r="F66" i="9" s="1"/>
  <c r="H67" i="1" l="1"/>
  <c r="AC67" i="7" s="1"/>
  <c r="C66" i="8"/>
  <c r="P66" i="7"/>
  <c r="AS67" i="8"/>
  <c r="AO67" i="1"/>
  <c r="BL67" i="1"/>
  <c r="Y66" i="2"/>
  <c r="X66" i="2" s="1"/>
  <c r="V67" i="10" l="1"/>
  <c r="AJ67" i="5"/>
  <c r="AN67" i="8"/>
  <c r="BK67" i="1"/>
  <c r="C67" i="11"/>
  <c r="L67" i="2"/>
  <c r="B67" i="8"/>
  <c r="D67" i="2" s="1"/>
  <c r="BD67" i="8"/>
  <c r="E67" i="2"/>
  <c r="H67" i="11"/>
  <c r="AB67" i="7"/>
  <c r="U67" i="2" l="1"/>
  <c r="W66" i="2" s="1"/>
  <c r="C67" i="2" s="1"/>
  <c r="R67" i="8" l="1"/>
  <c r="S67" i="8" s="1"/>
  <c r="F67" i="2"/>
  <c r="H67" i="2" l="1"/>
  <c r="F67" i="1"/>
  <c r="I67" i="2"/>
  <c r="I67" i="11" s="1"/>
  <c r="U67" i="8"/>
  <c r="V67" i="8"/>
  <c r="J67" i="11"/>
  <c r="AP67" i="1"/>
  <c r="T67" i="1" s="1"/>
  <c r="I68" i="1" s="1"/>
  <c r="G67" i="2"/>
  <c r="Z67" i="2" s="1"/>
  <c r="Z68" i="8" s="1"/>
  <c r="AA67" i="1" l="1"/>
  <c r="S67" i="1" s="1"/>
  <c r="O67" i="7"/>
  <c r="P67" i="7"/>
  <c r="F67" i="9"/>
  <c r="C67" i="8"/>
  <c r="H68" i="1" l="1"/>
  <c r="AJ68" i="5" s="1"/>
  <c r="AS68" i="8"/>
  <c r="AO68" i="1"/>
  <c r="BL68" i="1"/>
  <c r="Y67" i="2"/>
  <c r="X67" i="2" s="1"/>
  <c r="BK68" i="1" l="1"/>
  <c r="AC68" i="7"/>
  <c r="C68" i="11"/>
  <c r="V68" i="10"/>
  <c r="AN68" i="8"/>
  <c r="AB68" i="7"/>
  <c r="L68" i="2"/>
  <c r="BD68" i="8"/>
  <c r="E68" i="2"/>
  <c r="H68" i="11"/>
  <c r="B68" i="8"/>
  <c r="D68" i="2" s="1"/>
  <c r="U68" i="2" l="1"/>
  <c r="W67" i="2" s="1"/>
  <c r="C68" i="2" s="1"/>
  <c r="R68" i="8" l="1"/>
  <c r="S68" i="8" s="1"/>
  <c r="F68" i="2"/>
  <c r="F68" i="1" l="1"/>
  <c r="I68" i="2"/>
  <c r="AA68" i="1" s="1"/>
  <c r="S68" i="1" s="1"/>
  <c r="H68" i="2"/>
  <c r="AP68" i="1"/>
  <c r="T68" i="1" s="1"/>
  <c r="I69" i="1" s="1"/>
  <c r="J68" i="11"/>
  <c r="G68" i="2"/>
  <c r="Z68" i="2" s="1"/>
  <c r="Z69" i="8" s="1"/>
  <c r="U68" i="8"/>
  <c r="V68" i="8"/>
  <c r="H69" i="1" l="1"/>
  <c r="AC69" i="7" s="1"/>
  <c r="I68" i="11"/>
  <c r="O68" i="7"/>
  <c r="F68" i="9"/>
  <c r="P68" i="7"/>
  <c r="C68" i="8"/>
  <c r="AJ69" i="5" l="1"/>
  <c r="BK69" i="1"/>
  <c r="AN69" i="8"/>
  <c r="V69" i="10"/>
  <c r="C69" i="11"/>
  <c r="BL69" i="1"/>
  <c r="AO69" i="1"/>
  <c r="AS69" i="8"/>
  <c r="Y68" i="2"/>
  <c r="X68" i="2" s="1"/>
  <c r="H69" i="11" l="1"/>
  <c r="E69" i="2"/>
  <c r="BD69" i="8"/>
  <c r="AB69" i="7"/>
  <c r="L69" i="2"/>
  <c r="B69" i="8"/>
  <c r="D69" i="2" s="1"/>
  <c r="U69" i="2" l="1"/>
  <c r="W68" i="2" s="1"/>
  <c r="C69" i="2" s="1"/>
  <c r="R69" i="8" l="1"/>
  <c r="S69" i="8" s="1"/>
  <c r="F69" i="2" l="1"/>
  <c r="J69" i="11" s="1"/>
  <c r="I69" i="2"/>
  <c r="AA69" i="1" s="1"/>
  <c r="S69" i="1" s="1"/>
  <c r="F69" i="1"/>
  <c r="H69" i="2"/>
  <c r="U69" i="8"/>
  <c r="V69" i="8"/>
  <c r="H70" i="1" l="1"/>
  <c r="V70" i="10" s="1"/>
  <c r="AP69" i="1"/>
  <c r="T69" i="1" s="1"/>
  <c r="I70" i="1" s="1"/>
  <c r="G69" i="2"/>
  <c r="Z69" i="2" s="1"/>
  <c r="Z70" i="8" s="1"/>
  <c r="I69" i="11"/>
  <c r="O69" i="7"/>
  <c r="F69" i="9"/>
  <c r="P69" i="7"/>
  <c r="C70" i="11" l="1"/>
  <c r="AC70" i="7"/>
  <c r="AN70" i="8"/>
  <c r="BK70" i="1"/>
  <c r="AJ70" i="5"/>
  <c r="C69" i="8"/>
  <c r="AS70" i="8"/>
  <c r="AO70" i="1"/>
  <c r="BL70" i="1"/>
  <c r="Y69" i="2"/>
  <c r="X69" i="2" s="1"/>
  <c r="B70" i="8" l="1"/>
  <c r="D70" i="2" s="1"/>
  <c r="E70" i="2"/>
  <c r="AB70" i="7"/>
  <c r="L70" i="2"/>
  <c r="H70" i="11"/>
  <c r="BD70" i="8"/>
  <c r="U70" i="2" l="1"/>
  <c r="W69" i="2" s="1"/>
  <c r="C70" i="2" s="1"/>
  <c r="R70" i="8" l="1"/>
  <c r="S70" i="8" s="1"/>
  <c r="I70" i="2"/>
  <c r="F70" i="1" l="1"/>
  <c r="H70" i="2"/>
  <c r="F70" i="2"/>
  <c r="AP70" i="1" s="1"/>
  <c r="T70" i="1" s="1"/>
  <c r="I71" i="1" s="1"/>
  <c r="U70" i="8"/>
  <c r="V70" i="8"/>
  <c r="O70" i="7"/>
  <c r="I70" i="11"/>
  <c r="AA70" i="1"/>
  <c r="S70" i="1" s="1"/>
  <c r="H71" i="1" s="1"/>
  <c r="G70" i="2" l="1"/>
  <c r="Z70" i="2" s="1"/>
  <c r="Z71" i="8" s="1"/>
  <c r="J70" i="11"/>
  <c r="F70" i="9" s="1"/>
  <c r="AC71" i="7"/>
  <c r="BK71" i="1"/>
  <c r="AJ71" i="5"/>
  <c r="C71" i="11"/>
  <c r="AN71" i="8"/>
  <c r="V71" i="10"/>
  <c r="C70" i="8" l="1"/>
  <c r="P70" i="7"/>
  <c r="AS71" i="8"/>
  <c r="AO71" i="1"/>
  <c r="BL71" i="1"/>
  <c r="Y70" i="2"/>
  <c r="X70" i="2" s="1"/>
  <c r="B71" i="8" l="1"/>
  <c r="D71" i="2" s="1"/>
  <c r="H71" i="11"/>
  <c r="BD71" i="8"/>
  <c r="E71" i="2"/>
  <c r="AB71" i="7"/>
  <c r="L71" i="2"/>
  <c r="U71" i="2" l="1"/>
  <c r="W70" i="2" s="1"/>
  <c r="C71" i="2" s="1"/>
  <c r="R71" i="8" l="1"/>
  <c r="S71" i="8" s="1"/>
  <c r="I71" i="2" l="1"/>
  <c r="O71" i="7" s="1"/>
  <c r="F71" i="2"/>
  <c r="G71" i="2" s="1"/>
  <c r="Z71" i="2" s="1"/>
  <c r="Z72" i="8" s="1"/>
  <c r="F71" i="1"/>
  <c r="H71" i="2"/>
  <c r="U71" i="8"/>
  <c r="V71" i="8"/>
  <c r="AP71" i="1" l="1"/>
  <c r="T71" i="1" s="1"/>
  <c r="I72" i="1" s="1"/>
  <c r="AA71" i="1"/>
  <c r="S71" i="1" s="1"/>
  <c r="J71" i="11"/>
  <c r="P71" i="7" s="1"/>
  <c r="I71" i="11"/>
  <c r="C71" i="8"/>
  <c r="H72" i="1" l="1"/>
  <c r="F71" i="9"/>
  <c r="AS72" i="8"/>
  <c r="AO72" i="1"/>
  <c r="BL72" i="1"/>
  <c r="Y71" i="2"/>
  <c r="X71" i="2" s="1"/>
  <c r="V72" i="10" l="1"/>
  <c r="AJ72" i="5"/>
  <c r="C72" i="11"/>
  <c r="BK72" i="1"/>
  <c r="AN72" i="8"/>
  <c r="AC72" i="7"/>
  <c r="E72" i="2"/>
  <c r="L72" i="2"/>
  <c r="BD72" i="8"/>
  <c r="B72" i="8"/>
  <c r="D72" i="2" s="1"/>
  <c r="H72" i="11"/>
  <c r="AB72" i="7"/>
  <c r="U72" i="2" l="1"/>
  <c r="W71" i="2" s="1"/>
  <c r="C72" i="2" s="1"/>
  <c r="R72" i="8" l="1"/>
  <c r="S72" i="8" s="1"/>
  <c r="F72" i="2"/>
  <c r="F72" i="1" l="1"/>
  <c r="H72" i="2"/>
  <c r="I72" i="2"/>
  <c r="I72" i="11" s="1"/>
  <c r="U72" i="8"/>
  <c r="V72" i="8"/>
  <c r="AP72" i="1"/>
  <c r="T72" i="1" s="1"/>
  <c r="I73" i="1" s="1"/>
  <c r="J72" i="11"/>
  <c r="G72" i="2"/>
  <c r="Z72" i="2" s="1"/>
  <c r="Z73" i="8" s="1"/>
  <c r="AA72" i="1" l="1"/>
  <c r="S72" i="1" s="1"/>
  <c r="O72" i="7"/>
  <c r="P72" i="7"/>
  <c r="F72" i="9"/>
  <c r="C72" i="8"/>
  <c r="H73" i="1" l="1"/>
  <c r="BL73" i="1"/>
  <c r="AO73" i="1"/>
  <c r="AS73" i="8"/>
  <c r="Y72" i="2"/>
  <c r="X72" i="2" s="1"/>
  <c r="BK73" i="1" l="1"/>
  <c r="V73" i="10"/>
  <c r="AN73" i="8"/>
  <c r="AC73" i="7"/>
  <c r="AJ73" i="5"/>
  <c r="C73" i="11"/>
  <c r="L73" i="2"/>
  <c r="E73" i="2"/>
  <c r="H73" i="11"/>
  <c r="B73" i="8"/>
  <c r="D73" i="2" s="1"/>
  <c r="BD73" i="8"/>
  <c r="AB73" i="7"/>
  <c r="U73" i="2" l="1"/>
  <c r="W72" i="2" s="1"/>
  <c r="C73" i="2" s="1"/>
  <c r="R73" i="8" l="1"/>
  <c r="S73" i="8" s="1"/>
  <c r="I73" i="2" l="1"/>
  <c r="I73" i="11" s="1"/>
  <c r="F73" i="1"/>
  <c r="H73" i="2"/>
  <c r="F73" i="2"/>
  <c r="AP73" i="1" s="1"/>
  <c r="T73" i="1" s="1"/>
  <c r="I74" i="1" s="1"/>
  <c r="V73" i="8"/>
  <c r="U73" i="8"/>
  <c r="G73" i="2" l="1"/>
  <c r="Z73" i="2" s="1"/>
  <c r="Z74" i="8" s="1"/>
  <c r="J73" i="11"/>
  <c r="F73" i="9" s="1"/>
  <c r="AA73" i="1"/>
  <c r="S73" i="1" s="1"/>
  <c r="O73" i="7"/>
  <c r="H74" i="1" l="1"/>
  <c r="BK74" i="1" s="1"/>
  <c r="C73" i="8"/>
  <c r="P73" i="7"/>
  <c r="AS74" i="8"/>
  <c r="AO74" i="1"/>
  <c r="BL74" i="1"/>
  <c r="Y73" i="2"/>
  <c r="X73" i="2" s="1"/>
  <c r="AJ74" i="5" l="1"/>
  <c r="AC74" i="7"/>
  <c r="C74" i="11"/>
  <c r="AN74" i="8"/>
  <c r="V74" i="10"/>
  <c r="B74" i="8"/>
  <c r="D74" i="2" s="1"/>
  <c r="L74" i="2"/>
  <c r="AB74" i="7"/>
  <c r="E74" i="2"/>
  <c r="BD74" i="8"/>
  <c r="H74" i="11"/>
  <c r="U74" i="2" l="1"/>
  <c r="W73" i="2" s="1"/>
  <c r="C74" i="2" s="1"/>
  <c r="R74" i="8" l="1"/>
  <c r="S74" i="8" s="1"/>
  <c r="F74" i="1"/>
  <c r="H74" i="2" l="1"/>
  <c r="I74" i="2"/>
  <c r="AA74" i="1" s="1"/>
  <c r="S74" i="1" s="1"/>
  <c r="F74" i="2"/>
  <c r="J74" i="11" s="1"/>
  <c r="V74" i="8"/>
  <c r="U74" i="8"/>
  <c r="H75" i="1" l="1"/>
  <c r="G74" i="2"/>
  <c r="Z74" i="2" s="1"/>
  <c r="Z75" i="8" s="1"/>
  <c r="I74" i="11"/>
  <c r="AP74" i="1"/>
  <c r="T74" i="1" s="1"/>
  <c r="O74" i="7"/>
  <c r="F74" i="9"/>
  <c r="P74" i="7"/>
  <c r="V75" i="10" l="1"/>
  <c r="I55" i="4"/>
  <c r="AN75" i="8"/>
  <c r="J55" i="4"/>
  <c r="AJ75" i="5"/>
  <c r="I75" i="1"/>
  <c r="AO75" i="1" s="1"/>
  <c r="B57" i="4"/>
  <c r="AC75" i="7"/>
  <c r="BK75" i="1"/>
  <c r="C75" i="11"/>
  <c r="C74" i="8"/>
  <c r="Y74" i="2"/>
  <c r="X74" i="2" s="1"/>
  <c r="BL75" i="1" l="1"/>
  <c r="AS75" i="8"/>
  <c r="B58" i="4"/>
  <c r="AB75" i="7"/>
  <c r="H75" i="11"/>
  <c r="F39" i="4"/>
  <c r="E75" i="2"/>
  <c r="L75" i="2"/>
  <c r="B75" i="8"/>
  <c r="D75" i="2" s="1"/>
  <c r="BD75" i="8"/>
  <c r="H39" i="4" l="1"/>
  <c r="B39" i="4"/>
  <c r="B52" i="4" s="1"/>
  <c r="U75" i="2"/>
  <c r="W74" i="2" s="1"/>
  <c r="C75" i="2" s="1"/>
  <c r="R75" i="8" l="1"/>
  <c r="S75" i="8" s="1"/>
  <c r="F75" i="2"/>
  <c r="F40" i="4" l="1"/>
  <c r="F41" i="4" s="1"/>
  <c r="H75" i="2"/>
  <c r="I75" i="2"/>
  <c r="AA75" i="1" s="1"/>
  <c r="S75" i="1" s="1"/>
  <c r="H76" i="1" s="1"/>
  <c r="B51" i="4"/>
  <c r="F75" i="1"/>
  <c r="J75" i="11"/>
  <c r="AP75" i="1"/>
  <c r="T75" i="1" s="1"/>
  <c r="I76" i="1" s="1"/>
  <c r="G75" i="2"/>
  <c r="Z75" i="2" s="1"/>
  <c r="Z76" i="8" s="1"/>
  <c r="V75" i="8"/>
  <c r="U75" i="8"/>
  <c r="O75" i="7" l="1"/>
  <c r="I75" i="11"/>
  <c r="H40" i="4"/>
  <c r="H41" i="4" s="1"/>
  <c r="AO76" i="1"/>
  <c r="C75" i="8"/>
  <c r="F75" i="9"/>
  <c r="P75" i="7"/>
  <c r="M26" i="7"/>
  <c r="B56" i="4"/>
  <c r="AS76" i="8" l="1"/>
  <c r="BL76" i="1"/>
  <c r="AN76" i="8"/>
  <c r="V76" i="10"/>
  <c r="AJ76" i="5"/>
  <c r="C76" i="11"/>
  <c r="BK76" i="1"/>
  <c r="AC76" i="7"/>
  <c r="Y75" i="2"/>
  <c r="X75" i="2" s="1"/>
  <c r="BD76" i="8" l="1"/>
  <c r="H76" i="11"/>
  <c r="AB76" i="7"/>
  <c r="L76" i="2"/>
  <c r="E76" i="2"/>
  <c r="B76" i="8"/>
  <c r="D76" i="2" s="1"/>
  <c r="U76" i="2" l="1"/>
  <c r="W75" i="2" s="1"/>
  <c r="C76" i="2" s="1"/>
  <c r="R76" i="8" l="1"/>
  <c r="S76" i="8" s="1"/>
  <c r="H76" i="2" l="1"/>
  <c r="F76" i="2"/>
  <c r="G76" i="2" s="1"/>
  <c r="Z76" i="2" s="1"/>
  <c r="Z77" i="8" s="1"/>
  <c r="F76" i="1"/>
  <c r="I76" i="2"/>
  <c r="I76" i="11" s="1"/>
  <c r="V76" i="8"/>
  <c r="U76" i="8"/>
  <c r="AA76" i="1" l="1"/>
  <c r="S76" i="1" s="1"/>
  <c r="O76" i="7"/>
  <c r="AP76" i="1"/>
  <c r="T76" i="1" s="1"/>
  <c r="I77" i="1" s="1"/>
  <c r="J76" i="11"/>
  <c r="P76" i="7" s="1"/>
  <c r="C76" i="8"/>
  <c r="H77" i="1" l="1"/>
  <c r="AN77" i="8" s="1"/>
  <c r="F76" i="9"/>
  <c r="AS77" i="8"/>
  <c r="AO77" i="1"/>
  <c r="BL77" i="1"/>
  <c r="Y76" i="2"/>
  <c r="X76" i="2" s="1"/>
  <c r="C77" i="11" l="1"/>
  <c r="V77" i="10"/>
  <c r="AJ77" i="5"/>
  <c r="AC77" i="7"/>
  <c r="BK77" i="1"/>
  <c r="H77" i="11"/>
  <c r="E77" i="2"/>
  <c r="L77" i="2"/>
  <c r="BD77" i="8"/>
  <c r="AB77" i="7"/>
  <c r="B77" i="8"/>
  <c r="D77" i="2" s="1"/>
  <c r="U77" i="2" l="1"/>
  <c r="W76" i="2" s="1"/>
  <c r="C77" i="2" s="1"/>
  <c r="R77" i="8" l="1"/>
  <c r="S77" i="8" s="1"/>
  <c r="F77" i="1" l="1"/>
  <c r="I77" i="2"/>
  <c r="O77" i="7" s="1"/>
  <c r="H77" i="2"/>
  <c r="F77" i="2"/>
  <c r="AP77" i="1" s="1"/>
  <c r="T77" i="1" s="1"/>
  <c r="I78" i="1" s="1"/>
  <c r="U77" i="8"/>
  <c r="V77" i="8"/>
  <c r="G77" i="2" l="1"/>
  <c r="Z77" i="2" s="1"/>
  <c r="Z78" i="8" s="1"/>
  <c r="J77" i="11"/>
  <c r="P77" i="7" s="1"/>
  <c r="AA77" i="1"/>
  <c r="S77" i="1" s="1"/>
  <c r="I77" i="11"/>
  <c r="H78" i="1" l="1"/>
  <c r="V78" i="10" s="1"/>
  <c r="C77" i="8"/>
  <c r="F77" i="9"/>
  <c r="AS78" i="8"/>
  <c r="AO78" i="1"/>
  <c r="BL78" i="1"/>
  <c r="Y77" i="2"/>
  <c r="X77" i="2" s="1"/>
  <c r="C78" i="11" l="1"/>
  <c r="AJ78" i="5"/>
  <c r="AN78" i="8"/>
  <c r="AC78" i="7"/>
  <c r="BK78" i="1"/>
  <c r="E78" i="2"/>
  <c r="B78" i="8"/>
  <c r="D78" i="2" s="1"/>
  <c r="H78" i="11"/>
  <c r="L78" i="2"/>
  <c r="BD78" i="8"/>
  <c r="AB78" i="7"/>
  <c r="U78" i="2" l="1"/>
  <c r="W77" i="2" s="1"/>
  <c r="C78" i="2" s="1"/>
  <c r="R78" i="8" l="1"/>
  <c r="S78" i="8" s="1"/>
  <c r="F78" i="2"/>
  <c r="I78" i="2" l="1"/>
  <c r="I78" i="11" s="1"/>
  <c r="F78" i="1"/>
  <c r="H78" i="2"/>
  <c r="AP78" i="1"/>
  <c r="T78" i="1" s="1"/>
  <c r="I79" i="1" s="1"/>
  <c r="J78" i="11"/>
  <c r="G78" i="2"/>
  <c r="Z78" i="2" s="1"/>
  <c r="Z79" i="8" s="1"/>
  <c r="U78" i="8"/>
  <c r="V78" i="8"/>
  <c r="O78" i="7" l="1"/>
  <c r="AA78" i="1"/>
  <c r="S78" i="1" s="1"/>
  <c r="AO79" i="1"/>
  <c r="P78" i="7"/>
  <c r="F78" i="9"/>
  <c r="C78" i="8"/>
  <c r="H79" i="1" l="1"/>
  <c r="AJ79" i="5" s="1"/>
  <c r="AS79" i="8"/>
  <c r="BL79" i="1"/>
  <c r="Y78" i="2"/>
  <c r="X78" i="2" s="1"/>
  <c r="AC79" i="7" l="1"/>
  <c r="V79" i="10"/>
  <c r="AN79" i="8"/>
  <c r="BK79" i="1"/>
  <c r="C79" i="11"/>
  <c r="BD79" i="8"/>
  <c r="L79" i="2"/>
  <c r="B79" i="8"/>
  <c r="D79" i="2" s="1"/>
  <c r="E79" i="2"/>
  <c r="H79" i="11"/>
  <c r="AB79" i="7"/>
  <c r="U79" i="2" l="1"/>
  <c r="W78" i="2" s="1"/>
  <c r="C79" i="2" s="1"/>
  <c r="R79" i="8" l="1"/>
  <c r="S79" i="8" s="1"/>
  <c r="I79" i="2"/>
  <c r="F79" i="2" l="1"/>
  <c r="G79" i="2" s="1"/>
  <c r="Z79" i="2" s="1"/>
  <c r="Z80" i="8" s="1"/>
  <c r="H79" i="2"/>
  <c r="F79" i="1"/>
  <c r="O79" i="7"/>
  <c r="I79" i="11"/>
  <c r="V79" i="8"/>
  <c r="U79" i="8"/>
  <c r="AA79" i="1"/>
  <c r="S79" i="1" s="1"/>
  <c r="H80" i="1" s="1"/>
  <c r="AP79" i="1" l="1"/>
  <c r="T79" i="1" s="1"/>
  <c r="I80" i="1" s="1"/>
  <c r="J79" i="11"/>
  <c r="F79" i="9" s="1"/>
  <c r="C79" i="8"/>
  <c r="V80" i="10"/>
  <c r="AN80" i="8"/>
  <c r="AJ80" i="5"/>
  <c r="AC80" i="7"/>
  <c r="C80" i="11"/>
  <c r="BK80" i="1"/>
  <c r="P79" i="7" l="1"/>
  <c r="AS80" i="8"/>
  <c r="AO80" i="1"/>
  <c r="BL80" i="1"/>
  <c r="Y79" i="2"/>
  <c r="X79" i="2" s="1"/>
  <c r="E80" i="2" l="1"/>
  <c r="L80" i="2"/>
  <c r="H80" i="11"/>
  <c r="B80" i="8"/>
  <c r="D80" i="2" s="1"/>
  <c r="BD80" i="8"/>
  <c r="AB80" i="7"/>
  <c r="U80" i="2" l="1"/>
  <c r="W79" i="2" s="1"/>
  <c r="C80" i="2" s="1"/>
  <c r="R80" i="8" l="1"/>
  <c r="S80" i="8" s="1"/>
  <c r="H80" i="2" l="1"/>
  <c r="F80" i="2"/>
  <c r="J80" i="11" s="1"/>
  <c r="I80" i="2"/>
  <c r="O80" i="7" s="1"/>
  <c r="F80" i="1"/>
  <c r="V80" i="8"/>
  <c r="U80" i="8"/>
  <c r="AA80" i="1" l="1"/>
  <c r="S80" i="1" s="1"/>
  <c r="AP80" i="1"/>
  <c r="T80" i="1" s="1"/>
  <c r="I81" i="1" s="1"/>
  <c r="G80" i="2"/>
  <c r="Z80" i="2" s="1"/>
  <c r="Z81" i="8" s="1"/>
  <c r="I80" i="11"/>
  <c r="F80" i="9"/>
  <c r="P80" i="7"/>
  <c r="H81" i="1" l="1"/>
  <c r="C80" i="8"/>
  <c r="AS81" i="8"/>
  <c r="AO81" i="1"/>
  <c r="BL81" i="1"/>
  <c r="Y80" i="2"/>
  <c r="X80" i="2" s="1"/>
  <c r="AJ81" i="5" l="1"/>
  <c r="C81" i="11"/>
  <c r="BK81" i="1"/>
  <c r="V81" i="10"/>
  <c r="AC81" i="7"/>
  <c r="AN81" i="8"/>
  <c r="AB81" i="7"/>
  <c r="BD81" i="8"/>
  <c r="B81" i="8"/>
  <c r="D81" i="2" s="1"/>
  <c r="L81" i="2"/>
  <c r="E81" i="2"/>
  <c r="H81" i="11"/>
  <c r="U81" i="2" l="1"/>
  <c r="W80" i="2" s="1"/>
  <c r="C81" i="2" s="1"/>
  <c r="R81" i="8" l="1"/>
  <c r="S81" i="8" s="1"/>
  <c r="I81" i="2" l="1"/>
  <c r="I81" i="11" s="1"/>
  <c r="H81" i="2"/>
  <c r="F81" i="2"/>
  <c r="AP81" i="1" s="1"/>
  <c r="T81" i="1" s="1"/>
  <c r="I82" i="1" s="1"/>
  <c r="F81" i="1"/>
  <c r="V81" i="8"/>
  <c r="U81" i="8"/>
  <c r="G81" i="2" l="1"/>
  <c r="Z81" i="2" s="1"/>
  <c r="Z82" i="8" s="1"/>
  <c r="J81" i="11"/>
  <c r="P81" i="7" s="1"/>
  <c r="AA81" i="1"/>
  <c r="S81" i="1" s="1"/>
  <c r="O81" i="7"/>
  <c r="H82" i="1" l="1"/>
  <c r="C82" i="11" s="1"/>
  <c r="C81" i="8"/>
  <c r="F81" i="9"/>
  <c r="AS82" i="8"/>
  <c r="AO82" i="1"/>
  <c r="BL82" i="1"/>
  <c r="Y81" i="2"/>
  <c r="X81" i="2" s="1"/>
  <c r="AJ82" i="5" l="1"/>
  <c r="BK82" i="1"/>
  <c r="V82" i="10"/>
  <c r="AC82" i="7"/>
  <c r="AN82" i="8"/>
  <c r="AB82" i="7"/>
  <c r="BD82" i="8"/>
  <c r="H82" i="11"/>
  <c r="L82" i="2"/>
  <c r="E82" i="2"/>
  <c r="B82" i="8"/>
  <c r="D82" i="2" s="1"/>
  <c r="U82" i="2" l="1"/>
  <c r="W81" i="2" s="1"/>
  <c r="C82" i="2" s="1"/>
  <c r="R82" i="8" l="1"/>
  <c r="S82" i="8" s="1"/>
  <c r="F82" i="1" l="1"/>
  <c r="H82" i="2"/>
  <c r="I82" i="2"/>
  <c r="I82" i="11" s="1"/>
  <c r="F82" i="2"/>
  <c r="AP82" i="1" s="1"/>
  <c r="T82" i="1" s="1"/>
  <c r="I83" i="1" s="1"/>
  <c r="U82" i="8"/>
  <c r="V82" i="8"/>
  <c r="AA82" i="1" l="1"/>
  <c r="S82" i="1" s="1"/>
  <c r="J82" i="11"/>
  <c r="P82" i="7" s="1"/>
  <c r="G82" i="2"/>
  <c r="Z82" i="2" s="1"/>
  <c r="Z83" i="8" s="1"/>
  <c r="O82" i="7"/>
  <c r="H83" i="1" l="1"/>
  <c r="F82" i="9"/>
  <c r="C82" i="8"/>
  <c r="AS83" i="8"/>
  <c r="AO83" i="1"/>
  <c r="BL83" i="1"/>
  <c r="Y82" i="2"/>
  <c r="X82" i="2" s="1"/>
  <c r="BK83" i="1" l="1"/>
  <c r="AC83" i="7"/>
  <c r="V83" i="10"/>
  <c r="C83" i="11"/>
  <c r="AJ83" i="5"/>
  <c r="AN83" i="8"/>
  <c r="B83" i="8"/>
  <c r="D83" i="2" s="1"/>
  <c r="H83" i="11"/>
  <c r="E83" i="2"/>
  <c r="BD83" i="8"/>
  <c r="L83" i="2"/>
  <c r="AB83" i="7"/>
  <c r="U83" i="2" l="1"/>
  <c r="W82" i="2" s="1"/>
  <c r="C83" i="2" s="1"/>
  <c r="R83" i="8" l="1"/>
  <c r="S83" i="8" s="1"/>
  <c r="I83" i="2"/>
  <c r="F83" i="1" l="1"/>
  <c r="H83" i="2"/>
  <c r="F83" i="2"/>
  <c r="G83" i="2" s="1"/>
  <c r="Z83" i="2" s="1"/>
  <c r="Z84" i="8" s="1"/>
  <c r="AA83" i="1"/>
  <c r="S83" i="1" s="1"/>
  <c r="H84" i="1" s="1"/>
  <c r="I83" i="11"/>
  <c r="O83" i="7"/>
  <c r="U83" i="8"/>
  <c r="V83" i="8"/>
  <c r="AP83" i="1" l="1"/>
  <c r="T83" i="1" s="1"/>
  <c r="J83" i="11"/>
  <c r="F83" i="9" s="1"/>
  <c r="AN84" i="8"/>
  <c r="V84" i="10"/>
  <c r="BK84" i="1"/>
  <c r="AC84" i="7"/>
  <c r="C84" i="11"/>
  <c r="AJ84" i="5"/>
  <c r="C83" i="8"/>
  <c r="I84" i="1" l="1"/>
  <c r="P83" i="7"/>
  <c r="Y83" i="2"/>
  <c r="X83" i="2" s="1"/>
  <c r="AO84" i="1" l="1"/>
  <c r="AS84" i="8"/>
  <c r="BL84" i="1"/>
  <c r="L84" i="2"/>
  <c r="B84" i="8"/>
  <c r="D84" i="2" s="1"/>
  <c r="BD84" i="8"/>
  <c r="H84" i="11"/>
  <c r="AB84" i="7"/>
  <c r="E84" i="2"/>
  <c r="U84" i="2" l="1"/>
  <c r="W83" i="2" s="1"/>
  <c r="C84" i="2" s="1"/>
  <c r="R84" i="8" l="1"/>
  <c r="S84" i="8" s="1"/>
  <c r="H84" i="2"/>
  <c r="F84" i="1" l="1"/>
  <c r="I84" i="2"/>
  <c r="O84" i="7" s="1"/>
  <c r="F84" i="2"/>
  <c r="G84" i="2" s="1"/>
  <c r="Z84" i="2" s="1"/>
  <c r="Z85" i="8" s="1"/>
  <c r="V84" i="8"/>
  <c r="U84" i="8"/>
  <c r="AA84" i="1" l="1"/>
  <c r="S84" i="1" s="1"/>
  <c r="J84" i="11"/>
  <c r="F84" i="9" s="1"/>
  <c r="AP84" i="1"/>
  <c r="T84" i="1" s="1"/>
  <c r="I85" i="1" s="1"/>
  <c r="I84" i="11"/>
  <c r="C84" i="8"/>
  <c r="H85" i="1" l="1"/>
  <c r="P84" i="7"/>
  <c r="AS85" i="8"/>
  <c r="AO85" i="1"/>
  <c r="BL85" i="1"/>
  <c r="Y84" i="2"/>
  <c r="X84" i="2" s="1"/>
  <c r="BK85" i="1" l="1"/>
  <c r="C85" i="11"/>
  <c r="AN85" i="8"/>
  <c r="AC85" i="7"/>
  <c r="AJ85" i="5"/>
  <c r="V85" i="10"/>
  <c r="AB85" i="7"/>
  <c r="B85" i="8"/>
  <c r="D85" i="2" s="1"/>
  <c r="H85" i="11"/>
  <c r="BD85" i="8"/>
  <c r="L85" i="2"/>
  <c r="E85" i="2"/>
  <c r="U85" i="2" l="1"/>
  <c r="W84" i="2" s="1"/>
  <c r="C85" i="2" s="1"/>
  <c r="R85" i="8" l="1"/>
  <c r="S85" i="8" s="1"/>
  <c r="I85" i="2" l="1"/>
  <c r="I85" i="11" s="1"/>
  <c r="H85" i="2"/>
  <c r="F85" i="1"/>
  <c r="F85" i="2"/>
  <c r="J85" i="11" s="1"/>
  <c r="U85" i="8"/>
  <c r="V85" i="8"/>
  <c r="AP85" i="1" l="1"/>
  <c r="T85" i="1" s="1"/>
  <c r="I86" i="1" s="1"/>
  <c r="G85" i="2"/>
  <c r="Z85" i="2" s="1"/>
  <c r="Z86" i="8" s="1"/>
  <c r="AA85" i="1"/>
  <c r="S85" i="1" s="1"/>
  <c r="O85" i="7"/>
  <c r="F85" i="9"/>
  <c r="P85" i="7"/>
  <c r="H86" i="1" l="1"/>
  <c r="AC86" i="7" s="1"/>
  <c r="C85" i="8"/>
  <c r="AS86" i="8"/>
  <c r="AO86" i="1"/>
  <c r="BL86" i="1"/>
  <c r="Y85" i="2"/>
  <c r="X85" i="2" s="1"/>
  <c r="C86" i="11" l="1"/>
  <c r="BK86" i="1"/>
  <c r="AN86" i="8"/>
  <c r="V86" i="10"/>
  <c r="AJ86" i="5"/>
  <c r="BD86" i="8"/>
  <c r="AB86" i="7"/>
  <c r="H86" i="11"/>
  <c r="E86" i="2"/>
  <c r="L86" i="2"/>
  <c r="B86" i="8"/>
  <c r="D86" i="2" s="1"/>
  <c r="U86" i="2" l="1"/>
  <c r="W85" i="2" s="1"/>
  <c r="C86" i="2" s="1"/>
  <c r="R86" i="8" l="1"/>
  <c r="S86" i="8" s="1"/>
  <c r="F86" i="1" l="1"/>
  <c r="F86" i="2"/>
  <c r="G86" i="2" s="1"/>
  <c r="Z86" i="2" s="1"/>
  <c r="Z87" i="8" s="1"/>
  <c r="I86" i="2"/>
  <c r="I86" i="11" s="1"/>
  <c r="H86" i="2"/>
  <c r="U86" i="8"/>
  <c r="V86" i="8"/>
  <c r="J86" i="11" l="1"/>
  <c r="P86" i="7" s="1"/>
  <c r="AA86" i="1"/>
  <c r="S86" i="1" s="1"/>
  <c r="O86" i="7"/>
  <c r="AP86" i="1"/>
  <c r="T86" i="1" s="1"/>
  <c r="I87" i="1" s="1"/>
  <c r="C86" i="8"/>
  <c r="H87" i="1" l="1"/>
  <c r="F86" i="9"/>
  <c r="AS87" i="8"/>
  <c r="AO87" i="1"/>
  <c r="BL87" i="1"/>
  <c r="Y86" i="2"/>
  <c r="X86" i="2" s="1"/>
  <c r="C87" i="11" l="1"/>
  <c r="BK87" i="1"/>
  <c r="AJ87" i="5"/>
  <c r="V87" i="10"/>
  <c r="AN87" i="8"/>
  <c r="AC87" i="7"/>
  <c r="H87" i="11"/>
  <c r="E87" i="2"/>
  <c r="AB87" i="7"/>
  <c r="L87" i="2"/>
  <c r="BD87" i="8"/>
  <c r="B87" i="8"/>
  <c r="D87" i="2" s="1"/>
  <c r="U87" i="2" l="1"/>
  <c r="W86" i="2" s="1"/>
  <c r="C87" i="2" s="1"/>
  <c r="R87" i="8" l="1"/>
  <c r="S87" i="8" s="1"/>
  <c r="I87" i="2"/>
  <c r="F87" i="2" l="1"/>
  <c r="G87" i="2" s="1"/>
  <c r="Z87" i="2" s="1"/>
  <c r="Z88" i="8" s="1"/>
  <c r="F87" i="1"/>
  <c r="H87" i="2"/>
  <c r="O87" i="7"/>
  <c r="I87" i="11"/>
  <c r="AA87" i="1"/>
  <c r="S87" i="1" s="1"/>
  <c r="H88" i="1" s="1"/>
  <c r="V87" i="8"/>
  <c r="U87" i="8"/>
  <c r="J87" i="11" l="1"/>
  <c r="P87" i="7" s="1"/>
  <c r="AP87" i="1"/>
  <c r="T87" i="1" s="1"/>
  <c r="AJ88" i="5"/>
  <c r="BK88" i="1"/>
  <c r="V88" i="10"/>
  <c r="AN88" i="8"/>
  <c r="C88" i="11"/>
  <c r="AC88" i="7"/>
  <c r="C87" i="8"/>
  <c r="I88" i="1" l="1"/>
  <c r="BL88" i="1" s="1"/>
  <c r="F87" i="9"/>
  <c r="Y87" i="2"/>
  <c r="X87" i="2" s="1"/>
  <c r="AO88" i="1" l="1"/>
  <c r="AS88" i="8"/>
  <c r="E88" i="2"/>
  <c r="BD88" i="8"/>
  <c r="B88" i="8"/>
  <c r="D88" i="2" s="1"/>
  <c r="H88" i="11"/>
  <c r="AB88" i="7"/>
  <c r="L88" i="2"/>
  <c r="U88" i="2" l="1"/>
  <c r="W87" i="2" s="1"/>
  <c r="C88" i="2" s="1"/>
  <c r="R88" i="8" l="1"/>
  <c r="S88" i="8" s="1"/>
  <c r="I88" i="2"/>
  <c r="F88" i="1" l="1"/>
  <c r="F88" i="2"/>
  <c r="J88" i="11" s="1"/>
  <c r="H88" i="2"/>
  <c r="U88" i="8"/>
  <c r="V88" i="8"/>
  <c r="O88" i="7"/>
  <c r="I88" i="11"/>
  <c r="AA88" i="1"/>
  <c r="S88" i="1" s="1"/>
  <c r="H89" i="1" s="1"/>
  <c r="G88" i="2" l="1"/>
  <c r="Z88" i="2" s="1"/>
  <c r="Z89" i="8" s="1"/>
  <c r="AP88" i="1"/>
  <c r="T88" i="1" s="1"/>
  <c r="F88" i="9"/>
  <c r="P88" i="7"/>
  <c r="V89" i="10"/>
  <c r="AJ89" i="5"/>
  <c r="BK89" i="1"/>
  <c r="AN89" i="8"/>
  <c r="AC89" i="7"/>
  <c r="C89" i="11"/>
  <c r="I89" i="1" l="1"/>
  <c r="BL89" i="1" s="1"/>
  <c r="C88" i="8"/>
  <c r="Y88" i="2"/>
  <c r="X88" i="2" s="1"/>
  <c r="AO89" i="1" l="1"/>
  <c r="AS89" i="8"/>
  <c r="H89" i="11"/>
  <c r="L89" i="2"/>
  <c r="E89" i="2"/>
  <c r="AB89" i="7"/>
  <c r="BD89" i="8"/>
  <c r="B89" i="8"/>
  <c r="D89" i="2" s="1"/>
  <c r="U89" i="2" l="1"/>
  <c r="W88" i="2" s="1"/>
  <c r="C89" i="2" s="1"/>
  <c r="R89" i="8" l="1"/>
  <c r="S89" i="8" s="1"/>
  <c r="H89" i="2" l="1"/>
  <c r="F89" i="1"/>
  <c r="F89" i="2"/>
  <c r="G89" i="2" s="1"/>
  <c r="Z89" i="2" s="1"/>
  <c r="Z90" i="8" s="1"/>
  <c r="I89" i="2"/>
  <c r="AA89" i="1" s="1"/>
  <c r="S89" i="1" s="1"/>
  <c r="V89" i="8"/>
  <c r="U89" i="8"/>
  <c r="H90" i="1" l="1"/>
  <c r="BK90" i="1" s="1"/>
  <c r="I89" i="11"/>
  <c r="AP89" i="1"/>
  <c r="T89" i="1" s="1"/>
  <c r="I90" i="1" s="1"/>
  <c r="O89" i="7"/>
  <c r="J89" i="11"/>
  <c r="P89" i="7" s="1"/>
  <c r="C89" i="8"/>
  <c r="C90" i="11" l="1"/>
  <c r="AC90" i="7"/>
  <c r="V90" i="10"/>
  <c r="AN90" i="8"/>
  <c r="AJ90" i="5"/>
  <c r="F89" i="9"/>
  <c r="AS90" i="8"/>
  <c r="AO90" i="1"/>
  <c r="BL90" i="1"/>
  <c r="Y89" i="2"/>
  <c r="X89" i="2" s="1"/>
  <c r="L90" i="2" l="1"/>
  <c r="E90" i="2"/>
  <c r="H90" i="11"/>
  <c r="B90" i="8"/>
  <c r="D90" i="2" s="1"/>
  <c r="AB90" i="7"/>
  <c r="BD90" i="8"/>
  <c r="U90" i="2" l="1"/>
  <c r="W89" i="2" s="1"/>
  <c r="C90" i="2" s="1"/>
  <c r="R90" i="8" l="1"/>
  <c r="S90" i="8" s="1"/>
  <c r="F90" i="1"/>
  <c r="I90" i="2" l="1"/>
  <c r="I90" i="11" s="1"/>
  <c r="H90" i="2"/>
  <c r="F90" i="2"/>
  <c r="G90" i="2" s="1"/>
  <c r="Z90" i="2" s="1"/>
  <c r="Z91" i="8" s="1"/>
  <c r="U90" i="8"/>
  <c r="V90" i="8"/>
  <c r="AP90" i="1" l="1"/>
  <c r="T90" i="1" s="1"/>
  <c r="I91" i="1" s="1"/>
  <c r="J90" i="11"/>
  <c r="F90" i="9" s="1"/>
  <c r="AA90" i="1"/>
  <c r="S90" i="1" s="1"/>
  <c r="O90" i="7"/>
  <c r="C90" i="8"/>
  <c r="H91" i="1" l="1"/>
  <c r="BK91" i="1" s="1"/>
  <c r="P90" i="7"/>
  <c r="BL91" i="1"/>
  <c r="AO91" i="1"/>
  <c r="AS91" i="8"/>
  <c r="Y90" i="2"/>
  <c r="X90" i="2" s="1"/>
  <c r="AN91" i="8" l="1"/>
  <c r="AJ91" i="5"/>
  <c r="C91" i="11"/>
  <c r="V91" i="10"/>
  <c r="AC91" i="7"/>
  <c r="L91" i="2"/>
  <c r="E91" i="2"/>
  <c r="AB91" i="7"/>
  <c r="BD91" i="8"/>
  <c r="H91" i="11"/>
  <c r="B91" i="8"/>
  <c r="D91" i="2" s="1"/>
  <c r="U91" i="2" l="1"/>
  <c r="W90" i="2" s="1"/>
  <c r="C91" i="2" s="1"/>
  <c r="R91" i="8" l="1"/>
  <c r="S91" i="8" s="1"/>
  <c r="F91" i="1" l="1"/>
  <c r="I91" i="2"/>
  <c r="AA91" i="1" s="1"/>
  <c r="S91" i="1" s="1"/>
  <c r="H92" i="1" s="1"/>
  <c r="H91" i="2"/>
  <c r="F91" i="2"/>
  <c r="J91" i="11" s="1"/>
  <c r="V91" i="8"/>
  <c r="U91" i="8"/>
  <c r="AP91" i="1" l="1"/>
  <c r="T91" i="1" s="1"/>
  <c r="I92" i="1" s="1"/>
  <c r="G91" i="2"/>
  <c r="Z91" i="2" s="1"/>
  <c r="Z92" i="8" s="1"/>
  <c r="O91" i="7"/>
  <c r="I91" i="11"/>
  <c r="F91" i="9"/>
  <c r="P91" i="7"/>
  <c r="AN92" i="8"/>
  <c r="C92" i="11"/>
  <c r="BK92" i="1"/>
  <c r="AJ92" i="5"/>
  <c r="AC92" i="7"/>
  <c r="V92" i="10"/>
  <c r="C91" i="8" l="1"/>
  <c r="AS92" i="8"/>
  <c r="AO92" i="1"/>
  <c r="BL92" i="1"/>
  <c r="Y91" i="2"/>
  <c r="X91" i="2" s="1"/>
  <c r="B92" i="8" l="1"/>
  <c r="D92" i="2" s="1"/>
  <c r="L92" i="2"/>
  <c r="E92" i="2"/>
  <c r="BD92" i="8"/>
  <c r="H92" i="11"/>
  <c r="AB92" i="7"/>
  <c r="U92" i="2" l="1"/>
  <c r="W91" i="2" s="1"/>
  <c r="C92" i="2" s="1"/>
  <c r="R92" i="8" l="1"/>
  <c r="S92" i="8" s="1"/>
  <c r="I92" i="2" l="1"/>
  <c r="AA92" i="1" s="1"/>
  <c r="S92" i="1" s="1"/>
  <c r="F92" i="2"/>
  <c r="J92" i="11" s="1"/>
  <c r="H92" i="2"/>
  <c r="F92" i="1"/>
  <c r="U92" i="8"/>
  <c r="V92" i="8"/>
  <c r="H93" i="1" l="1"/>
  <c r="BK93" i="1" s="1"/>
  <c r="AP92" i="1"/>
  <c r="T92" i="1" s="1"/>
  <c r="G92" i="2"/>
  <c r="Z92" i="2" s="1"/>
  <c r="Z93" i="8" s="1"/>
  <c r="O92" i="7"/>
  <c r="I92" i="11"/>
  <c r="F92" i="9"/>
  <c r="P92" i="7"/>
  <c r="V93" i="10" l="1"/>
  <c r="I93" i="1"/>
  <c r="AO93" i="1" s="1"/>
  <c r="AC93" i="7"/>
  <c r="AN93" i="8"/>
  <c r="C93" i="11"/>
  <c r="AJ93" i="5"/>
  <c r="C92" i="8"/>
  <c r="Y92" i="2"/>
  <c r="X92" i="2" s="1"/>
  <c r="AS93" i="8" l="1"/>
  <c r="BL93" i="1"/>
  <c r="AB93" i="7"/>
  <c r="B93" i="8"/>
  <c r="D93" i="2" s="1"/>
  <c r="BD93" i="8"/>
  <c r="E93" i="2"/>
  <c r="L93" i="2"/>
  <c r="H93" i="11"/>
  <c r="U93" i="2" l="1"/>
  <c r="W92" i="2" s="1"/>
  <c r="C93" i="2" s="1"/>
  <c r="R93" i="8" l="1"/>
  <c r="S93" i="8" s="1"/>
  <c r="F93" i="2"/>
  <c r="H93" i="2" l="1"/>
  <c r="F93" i="1"/>
  <c r="I93" i="2"/>
  <c r="AA93" i="1" s="1"/>
  <c r="S93" i="1" s="1"/>
  <c r="J93" i="11"/>
  <c r="AP93" i="1"/>
  <c r="T93" i="1" s="1"/>
  <c r="I94" i="1" s="1"/>
  <c r="G93" i="2"/>
  <c r="Z93" i="2" s="1"/>
  <c r="Z94" i="8" s="1"/>
  <c r="V93" i="8"/>
  <c r="U93" i="8"/>
  <c r="H94" i="1" l="1"/>
  <c r="BK94" i="1" s="1"/>
  <c r="O93" i="7"/>
  <c r="I93" i="11"/>
  <c r="AO94" i="1"/>
  <c r="C93" i="8"/>
  <c r="F93" i="9"/>
  <c r="P93" i="7"/>
  <c r="AC94" i="7" l="1"/>
  <c r="V94" i="10"/>
  <c r="AJ94" i="5"/>
  <c r="AN94" i="8"/>
  <c r="C94" i="11"/>
  <c r="AS94" i="8"/>
  <c r="BL94" i="1"/>
  <c r="Y93" i="2"/>
  <c r="X93" i="2" s="1"/>
  <c r="AB94" i="7" l="1"/>
  <c r="BD94" i="8"/>
  <c r="L94" i="2"/>
  <c r="H94" i="11"/>
  <c r="B94" i="8"/>
  <c r="D94" i="2" s="1"/>
  <c r="E94" i="2"/>
  <c r="U94" i="2" l="1"/>
  <c r="W93" i="2" s="1"/>
  <c r="C94" i="2" s="1"/>
  <c r="R94" i="8" l="1"/>
  <c r="S94" i="8" s="1"/>
  <c r="I94" i="2" l="1"/>
  <c r="I94" i="11" s="1"/>
  <c r="H94" i="2"/>
  <c r="F94" i="2"/>
  <c r="J94" i="11" s="1"/>
  <c r="F94" i="1"/>
  <c r="U94" i="8"/>
  <c r="V94" i="8"/>
  <c r="G94" i="2" l="1"/>
  <c r="Z94" i="2" s="1"/>
  <c r="Z95" i="8" s="1"/>
  <c r="AP94" i="1"/>
  <c r="T94" i="1" s="1"/>
  <c r="I95" i="1" s="1"/>
  <c r="AA94" i="1"/>
  <c r="S94" i="1" s="1"/>
  <c r="O94" i="7"/>
  <c r="P94" i="7"/>
  <c r="F94" i="9"/>
  <c r="H95" i="1" l="1"/>
  <c r="V95" i="10" s="1"/>
  <c r="C94" i="8"/>
  <c r="AS95" i="8"/>
  <c r="AO95" i="1"/>
  <c r="BL95" i="1"/>
  <c r="Y94" i="2"/>
  <c r="X94" i="2" s="1"/>
  <c r="AJ95" i="5" l="1"/>
  <c r="AC95" i="7"/>
  <c r="BK95" i="1"/>
  <c r="C95" i="11"/>
  <c r="AN95" i="8"/>
  <c r="L95" i="2"/>
  <c r="E95" i="2"/>
  <c r="H95" i="11"/>
  <c r="AB95" i="7"/>
  <c r="B95" i="8"/>
  <c r="D95" i="2" s="1"/>
  <c r="BD95" i="8"/>
  <c r="U95" i="2" l="1"/>
  <c r="W94" i="2" s="1"/>
  <c r="C95" i="2" s="1"/>
  <c r="R95" i="8" l="1"/>
  <c r="S95" i="8" s="1"/>
  <c r="F95" i="2"/>
  <c r="F95" i="1" l="1"/>
  <c r="I95" i="2"/>
  <c r="AA95" i="1" s="1"/>
  <c r="S95" i="1" s="1"/>
  <c r="H95" i="2"/>
  <c r="U95" i="8"/>
  <c r="V95" i="8"/>
  <c r="AP95" i="1"/>
  <c r="T95" i="1" s="1"/>
  <c r="I96" i="1" s="1"/>
  <c r="J95" i="11"/>
  <c r="G95" i="2"/>
  <c r="Z95" i="2" s="1"/>
  <c r="Z96" i="8" s="1"/>
  <c r="H96" i="1" l="1"/>
  <c r="AC96" i="7" s="1"/>
  <c r="O95" i="7"/>
  <c r="I95" i="11"/>
  <c r="P95" i="7"/>
  <c r="F95" i="9"/>
  <c r="C95" i="8"/>
  <c r="V96" i="10" l="1"/>
  <c r="C96" i="11"/>
  <c r="AN96" i="8"/>
  <c r="AJ96" i="5"/>
  <c r="BK96" i="1"/>
  <c r="AS96" i="8"/>
  <c r="AO96" i="1"/>
  <c r="BL96" i="1"/>
  <c r="Y95" i="2"/>
  <c r="X95" i="2" s="1"/>
  <c r="B96" i="8" l="1"/>
  <c r="D96" i="2" s="1"/>
  <c r="BD96" i="8"/>
  <c r="E96" i="2"/>
  <c r="L96" i="2"/>
  <c r="H96" i="11"/>
  <c r="AB96" i="7"/>
  <c r="U96" i="2" l="1"/>
  <c r="W95" i="2" s="1"/>
  <c r="C96" i="2" s="1"/>
  <c r="R96" i="8" l="1"/>
  <c r="S96" i="8" s="1"/>
  <c r="H96" i="2" l="1"/>
  <c r="F96" i="2"/>
  <c r="J96" i="11" s="1"/>
  <c r="I96" i="2"/>
  <c r="AA96" i="1" s="1"/>
  <c r="S96" i="1" s="1"/>
  <c r="F96" i="1"/>
  <c r="U96" i="8"/>
  <c r="V96" i="8"/>
  <c r="H97" i="1" l="1"/>
  <c r="AN97" i="8" s="1"/>
  <c r="AP96" i="1"/>
  <c r="T96" i="1" s="1"/>
  <c r="G96" i="2"/>
  <c r="Z96" i="2" s="1"/>
  <c r="Z97" i="8" s="1"/>
  <c r="O96" i="7"/>
  <c r="I96" i="11"/>
  <c r="P96" i="7"/>
  <c r="F96" i="9"/>
  <c r="BK97" i="1" l="1"/>
  <c r="I97" i="1"/>
  <c r="AO97" i="1" s="1"/>
  <c r="AC97" i="7"/>
  <c r="AJ97" i="5"/>
  <c r="V97" i="10"/>
  <c r="C97" i="11"/>
  <c r="C96" i="8"/>
  <c r="Y96" i="2"/>
  <c r="X96" i="2" s="1"/>
  <c r="BL97" i="1" l="1"/>
  <c r="AS97" i="8"/>
  <c r="B97" i="8"/>
  <c r="D97" i="2" s="1"/>
  <c r="AB97" i="7"/>
  <c r="L97" i="2"/>
  <c r="H97" i="11"/>
  <c r="BD97" i="8"/>
  <c r="E97" i="2"/>
  <c r="U97" i="2" l="1"/>
  <c r="W96" i="2" s="1"/>
  <c r="C97" i="2" s="1"/>
  <c r="R97" i="8" l="1"/>
  <c r="S97" i="8" s="1"/>
  <c r="I97" i="2" l="1"/>
  <c r="O97" i="7" s="1"/>
  <c r="F97" i="2"/>
  <c r="J97" i="11" s="1"/>
  <c r="F97" i="1"/>
  <c r="H97" i="2"/>
  <c r="V97" i="8"/>
  <c r="U97" i="8"/>
  <c r="AP97" i="1" l="1"/>
  <c r="T97" i="1" s="1"/>
  <c r="I98" i="1" s="1"/>
  <c r="G97" i="2"/>
  <c r="Z97" i="2" s="1"/>
  <c r="Z98" i="8" s="1"/>
  <c r="AA97" i="1"/>
  <c r="S97" i="1" s="1"/>
  <c r="I97" i="11"/>
  <c r="F97" i="9"/>
  <c r="P97" i="7"/>
  <c r="H98" i="1" l="1"/>
  <c r="C97" i="8"/>
  <c r="AS98" i="8"/>
  <c r="AO98" i="1"/>
  <c r="BL98" i="1"/>
  <c r="Y97" i="2"/>
  <c r="X97" i="2" s="1"/>
  <c r="C98" i="11" l="1"/>
  <c r="AN98" i="8"/>
  <c r="AC98" i="7"/>
  <c r="AJ98" i="5"/>
  <c r="BK98" i="1"/>
  <c r="V98" i="10"/>
  <c r="H98" i="11"/>
  <c r="B98" i="8"/>
  <c r="D98" i="2" s="1"/>
  <c r="AB98" i="7"/>
  <c r="BD98" i="8"/>
  <c r="L98" i="2"/>
  <c r="E98" i="2"/>
  <c r="U98" i="2" l="1"/>
  <c r="W97" i="2" s="1"/>
  <c r="C98" i="2" s="1"/>
  <c r="R98" i="8" l="1"/>
  <c r="S98" i="8" s="1"/>
  <c r="F98" i="1" l="1"/>
  <c r="I98" i="2"/>
  <c r="O98" i="7" s="1"/>
  <c r="H98" i="2"/>
  <c r="F98" i="2"/>
  <c r="J98" i="11" s="1"/>
  <c r="V98" i="8"/>
  <c r="U98" i="8"/>
  <c r="G98" i="2" l="1"/>
  <c r="Z98" i="2" s="1"/>
  <c r="Z99" i="8" s="1"/>
  <c r="AP98" i="1"/>
  <c r="T98" i="1" s="1"/>
  <c r="AA98" i="1"/>
  <c r="S98" i="1" s="1"/>
  <c r="I98" i="11"/>
  <c r="F98" i="9"/>
  <c r="P98" i="7"/>
  <c r="I99" i="1" l="1"/>
  <c r="BL99" i="1" s="1"/>
  <c r="H99" i="1"/>
  <c r="AC99" i="7" s="1"/>
  <c r="C98" i="8"/>
  <c r="Y98" i="2"/>
  <c r="X98" i="2" s="1"/>
  <c r="AO99" i="1" l="1"/>
  <c r="BK99" i="1"/>
  <c r="AN99" i="8"/>
  <c r="AS99" i="8"/>
  <c r="C99" i="11"/>
  <c r="AJ99" i="5"/>
  <c r="V99" i="10"/>
  <c r="E99" i="2"/>
  <c r="H99" i="11"/>
  <c r="AB99" i="7"/>
  <c r="B99" i="8"/>
  <c r="D99" i="2" s="1"/>
  <c r="L99" i="2"/>
  <c r="BD99" i="8"/>
  <c r="U99" i="2" l="1"/>
  <c r="W98" i="2" s="1"/>
  <c r="C99" i="2" s="1"/>
  <c r="R99" i="8" l="1"/>
  <c r="S99" i="8" s="1"/>
  <c r="F99" i="1" l="1"/>
  <c r="F99" i="2"/>
  <c r="AP99" i="1" s="1"/>
  <c r="T99" i="1" s="1"/>
  <c r="I100" i="1" s="1"/>
  <c r="H99" i="2"/>
  <c r="I99" i="2"/>
  <c r="I99" i="11" s="1"/>
  <c r="V99" i="8"/>
  <c r="U99" i="8"/>
  <c r="O99" i="7" l="1"/>
  <c r="AA99" i="1"/>
  <c r="S99" i="1" s="1"/>
  <c r="J99" i="11"/>
  <c r="F99" i="9" s="1"/>
  <c r="G99" i="2"/>
  <c r="Z99" i="2" s="1"/>
  <c r="Z100" i="8" s="1"/>
  <c r="AO100" i="1"/>
  <c r="H100" i="1" l="1"/>
  <c r="AC100" i="7" s="1"/>
  <c r="P99" i="7"/>
  <c r="C99" i="8"/>
  <c r="AS100" i="8"/>
  <c r="BL100" i="1"/>
  <c r="Y99" i="2"/>
  <c r="X99" i="2" s="1"/>
  <c r="BK100" i="1" l="1"/>
  <c r="AJ100" i="5"/>
  <c r="AN100" i="8"/>
  <c r="V100" i="10"/>
  <c r="C100" i="11"/>
  <c r="BD100" i="8"/>
  <c r="L100" i="2"/>
  <c r="E100" i="2"/>
  <c r="AB100" i="7"/>
  <c r="H100" i="11"/>
  <c r="B100" i="8"/>
  <c r="D100" i="2" s="1"/>
  <c r="U100" i="2" l="1"/>
  <c r="W99" i="2" s="1"/>
  <c r="C100" i="2" s="1"/>
  <c r="R100" i="8" l="1"/>
  <c r="S100" i="8" s="1"/>
  <c r="F100" i="1"/>
  <c r="I100" i="2" l="1"/>
  <c r="O100" i="7" s="1"/>
  <c r="H100" i="2"/>
  <c r="F100" i="2"/>
  <c r="J100" i="11" s="1"/>
  <c r="V100" i="8"/>
  <c r="U100" i="8"/>
  <c r="G100" i="2" l="1"/>
  <c r="Z100" i="2" s="1"/>
  <c r="Z101" i="8" s="1"/>
  <c r="AA100" i="1"/>
  <c r="S100" i="1" s="1"/>
  <c r="AP100" i="1"/>
  <c r="T100" i="1" s="1"/>
  <c r="I101" i="1" s="1"/>
  <c r="I100" i="11"/>
  <c r="F100" i="9"/>
  <c r="P100" i="7"/>
  <c r="H101" i="1" l="1"/>
  <c r="BK101" i="1" s="1"/>
  <c r="C100" i="8"/>
  <c r="AS101" i="8"/>
  <c r="AO101" i="1"/>
  <c r="BL101" i="1"/>
  <c r="Y100" i="2"/>
  <c r="X100" i="2" s="1"/>
  <c r="AJ101" i="5" l="1"/>
  <c r="V101" i="10"/>
  <c r="AC101" i="7"/>
  <c r="C101" i="11"/>
  <c r="AN101" i="8"/>
  <c r="BD101" i="8"/>
  <c r="B101" i="8"/>
  <c r="D101" i="2" s="1"/>
  <c r="E101" i="2"/>
  <c r="AB101" i="7"/>
  <c r="H101" i="11"/>
  <c r="L101" i="2"/>
  <c r="U101" i="2" l="1"/>
  <c r="W100" i="2" s="1"/>
  <c r="C101" i="2" s="1"/>
  <c r="R101" i="8" l="1"/>
  <c r="S101" i="8" s="1"/>
  <c r="I101" i="2" l="1"/>
  <c r="O101" i="7" s="1"/>
  <c r="F101" i="2"/>
  <c r="AP101" i="1" s="1"/>
  <c r="T101" i="1" s="1"/>
  <c r="I102" i="1" s="1"/>
  <c r="H101" i="2"/>
  <c r="F101" i="1"/>
  <c r="V101" i="8"/>
  <c r="U101" i="8"/>
  <c r="AA101" i="1" l="1"/>
  <c r="S101" i="1" s="1"/>
  <c r="J101" i="11"/>
  <c r="F101" i="9" s="1"/>
  <c r="G101" i="2"/>
  <c r="Z101" i="2" s="1"/>
  <c r="Z102" i="8" s="1"/>
  <c r="I101" i="11"/>
  <c r="AO102" i="1"/>
  <c r="H102" i="1" l="1"/>
  <c r="BK102" i="1" s="1"/>
  <c r="P101" i="7"/>
  <c r="C101" i="8"/>
  <c r="AS102" i="8"/>
  <c r="BL102" i="1"/>
  <c r="Y101" i="2"/>
  <c r="X101" i="2" s="1"/>
  <c r="AJ102" i="5" l="1"/>
  <c r="AN102" i="8"/>
  <c r="V102" i="10"/>
  <c r="AC102" i="7"/>
  <c r="C102" i="11"/>
  <c r="AB102" i="7"/>
  <c r="B102" i="8"/>
  <c r="D102" i="2" s="1"/>
  <c r="BD102" i="8"/>
  <c r="H102" i="11"/>
  <c r="E102" i="2"/>
  <c r="L102" i="2"/>
  <c r="U102" i="2" l="1"/>
  <c r="W101" i="2" s="1"/>
  <c r="C102" i="2" s="1"/>
  <c r="R102" i="8" l="1"/>
  <c r="S102" i="8" s="1"/>
  <c r="H102" i="2" l="1"/>
  <c r="F102" i="2"/>
  <c r="G102" i="2" s="1"/>
  <c r="Z102" i="2" s="1"/>
  <c r="Z103" i="8" s="1"/>
  <c r="F102" i="1"/>
  <c r="I102" i="2"/>
  <c r="AA102" i="1" s="1"/>
  <c r="S102" i="1" s="1"/>
  <c r="U102" i="8"/>
  <c r="V102" i="8"/>
  <c r="H103" i="1" l="1"/>
  <c r="BK103" i="1" s="1"/>
  <c r="I102" i="11"/>
  <c r="O102" i="7"/>
  <c r="J102" i="11"/>
  <c r="F102" i="9" s="1"/>
  <c r="AP102" i="1"/>
  <c r="T102" i="1" s="1"/>
  <c r="C102" i="8"/>
  <c r="I103" i="1" l="1"/>
  <c r="AS103" i="8" s="1"/>
  <c r="V103" i="10"/>
  <c r="AN103" i="8"/>
  <c r="C103" i="11"/>
  <c r="AJ103" i="5"/>
  <c r="AC103" i="7"/>
  <c r="P102" i="7"/>
  <c r="Y102" i="2"/>
  <c r="X102" i="2" s="1"/>
  <c r="AO103" i="1" l="1"/>
  <c r="BL103" i="1"/>
  <c r="H103" i="11"/>
  <c r="AB103" i="7"/>
  <c r="B103" i="8"/>
  <c r="D103" i="2" s="1"/>
  <c r="L103" i="2"/>
  <c r="E103" i="2"/>
  <c r="BD103" i="8"/>
  <c r="U103" i="2" l="1"/>
  <c r="W102" i="2" s="1"/>
  <c r="C103" i="2" s="1"/>
  <c r="R103" i="8" l="1"/>
  <c r="S103" i="8" s="1"/>
  <c r="I103" i="2" l="1"/>
  <c r="O103" i="7" s="1"/>
  <c r="H103" i="2"/>
  <c r="F103" i="2"/>
  <c r="J103" i="11" s="1"/>
  <c r="F103" i="1"/>
  <c r="U103" i="8"/>
  <c r="V103" i="8"/>
  <c r="G103" i="2" l="1"/>
  <c r="Z103" i="2" s="1"/>
  <c r="Z104" i="8" s="1"/>
  <c r="AP103" i="1"/>
  <c r="T103" i="1" s="1"/>
  <c r="I104" i="1" s="1"/>
  <c r="AA103" i="1"/>
  <c r="S103" i="1" s="1"/>
  <c r="I103" i="11"/>
  <c r="P103" i="7"/>
  <c r="F103" i="9"/>
  <c r="H104" i="1" l="1"/>
  <c r="C103" i="8"/>
  <c r="AS104" i="8"/>
  <c r="AO104" i="1"/>
  <c r="BL104" i="1"/>
  <c r="Y103" i="2"/>
  <c r="X103" i="2" s="1"/>
  <c r="BK104" i="1" l="1"/>
  <c r="AJ104" i="5"/>
  <c r="AC104" i="7"/>
  <c r="V104" i="10"/>
  <c r="C104" i="11"/>
  <c r="AN104" i="8"/>
  <c r="BD104" i="8"/>
  <c r="L104" i="2"/>
  <c r="H104" i="11"/>
  <c r="B104" i="8"/>
  <c r="D104" i="2" s="1"/>
  <c r="E104" i="2"/>
  <c r="AB104" i="7"/>
  <c r="U104" i="2" l="1"/>
  <c r="W103" i="2" s="1"/>
  <c r="C104" i="2" s="1"/>
  <c r="R104" i="8" l="1"/>
  <c r="S104" i="8" s="1"/>
  <c r="F104" i="2" l="1"/>
  <c r="G104" i="2" s="1"/>
  <c r="Z104" i="2" s="1"/>
  <c r="Z105" i="8" s="1"/>
  <c r="F104" i="1"/>
  <c r="I104" i="2"/>
  <c r="AA104" i="1" s="1"/>
  <c r="S104" i="1" s="1"/>
  <c r="H105" i="1" s="1"/>
  <c r="H104" i="2"/>
  <c r="V104" i="8"/>
  <c r="U104" i="8"/>
  <c r="I104" i="11" l="1"/>
  <c r="O104" i="7"/>
  <c r="AP104" i="1"/>
  <c r="T104" i="1" s="1"/>
  <c r="I105" i="1" s="1"/>
  <c r="J104" i="11"/>
  <c r="F104" i="9" s="1"/>
  <c r="C104" i="8"/>
  <c r="AJ105" i="5"/>
  <c r="BK105" i="1"/>
  <c r="AN105" i="8"/>
  <c r="AC105" i="7"/>
  <c r="C105" i="11"/>
  <c r="V105" i="10"/>
  <c r="P104" i="7" l="1"/>
  <c r="AS105" i="8"/>
  <c r="AO105" i="1"/>
  <c r="BL105" i="1"/>
  <c r="Y104" i="2"/>
  <c r="X104" i="2" s="1"/>
  <c r="L105" i="2" l="1"/>
  <c r="BD105" i="8"/>
  <c r="H105" i="11"/>
  <c r="AB105" i="7"/>
  <c r="E105" i="2"/>
  <c r="B105" i="8"/>
  <c r="D105" i="2" s="1"/>
  <c r="U105" i="2" l="1"/>
  <c r="W104" i="2" s="1"/>
  <c r="C105" i="2" s="1"/>
  <c r="R105" i="8" l="1"/>
  <c r="S105" i="8" s="1"/>
  <c r="F105" i="1"/>
  <c r="H105" i="2" l="1"/>
  <c r="I105" i="2"/>
  <c r="O105" i="7" s="1"/>
  <c r="F105" i="2"/>
  <c r="AP105" i="1" s="1"/>
  <c r="T105" i="1" s="1"/>
  <c r="I106" i="1" s="1"/>
  <c r="U105" i="8"/>
  <c r="V105" i="8"/>
  <c r="G105" i="2" l="1"/>
  <c r="Z105" i="2" s="1"/>
  <c r="Z106" i="8" s="1"/>
  <c r="J105" i="11"/>
  <c r="P105" i="7" s="1"/>
  <c r="AA105" i="1"/>
  <c r="S105" i="1" s="1"/>
  <c r="I105" i="11"/>
  <c r="H106" i="1" l="1"/>
  <c r="C105" i="8"/>
  <c r="F105" i="9"/>
  <c r="AS106" i="8"/>
  <c r="AO106" i="1"/>
  <c r="BL106" i="1"/>
  <c r="Y105" i="2"/>
  <c r="X105" i="2" s="1"/>
  <c r="BK106" i="1" l="1"/>
  <c r="AJ106" i="5"/>
  <c r="AN106" i="8"/>
  <c r="C106" i="11"/>
  <c r="V106" i="10"/>
  <c r="AC106" i="7"/>
  <c r="L106" i="2"/>
  <c r="H106" i="11"/>
  <c r="E106" i="2"/>
  <c r="B106" i="8"/>
  <c r="D106" i="2" s="1"/>
  <c r="AB106" i="7"/>
  <c r="BD106" i="8"/>
  <c r="U106" i="2" l="1"/>
  <c r="W105" i="2" s="1"/>
  <c r="C106" i="2" s="1"/>
  <c r="R106" i="8" l="1"/>
  <c r="S106" i="8" s="1"/>
  <c r="F106" i="1" l="1"/>
  <c r="F106" i="2"/>
  <c r="J106" i="11" s="1"/>
  <c r="H106" i="2"/>
  <c r="I106" i="2"/>
  <c r="O106" i="7" s="1"/>
  <c r="V106" i="8"/>
  <c r="U106" i="8"/>
  <c r="AA106" i="1" l="1"/>
  <c r="S106" i="1" s="1"/>
  <c r="I106" i="11"/>
  <c r="AP106" i="1"/>
  <c r="T106" i="1" s="1"/>
  <c r="I107" i="1" s="1"/>
  <c r="G106" i="2"/>
  <c r="Z106" i="2" s="1"/>
  <c r="Z107" i="8" s="1"/>
  <c r="P106" i="7"/>
  <c r="F106" i="9"/>
  <c r="H107" i="1" l="1"/>
  <c r="C106" i="8"/>
  <c r="AS107" i="8"/>
  <c r="AO107" i="1"/>
  <c r="BL107" i="1"/>
  <c r="Y106" i="2"/>
  <c r="X106" i="2" s="1"/>
  <c r="AC107" i="7" l="1"/>
  <c r="C107" i="11"/>
  <c r="AJ107" i="5"/>
  <c r="AN107" i="8"/>
  <c r="V107" i="10"/>
  <c r="BK107" i="1"/>
  <c r="L107" i="2"/>
  <c r="AB107" i="7"/>
  <c r="E107" i="2"/>
  <c r="B107" i="8"/>
  <c r="D107" i="2" s="1"/>
  <c r="BD107" i="8"/>
  <c r="H107" i="11"/>
  <c r="U107" i="2" l="1"/>
  <c r="W106" i="2" s="1"/>
  <c r="C107" i="2" s="1"/>
  <c r="R107" i="8" l="1"/>
  <c r="S107" i="8" s="1"/>
  <c r="F107" i="1" l="1"/>
  <c r="I107" i="2"/>
  <c r="AA107" i="1" s="1"/>
  <c r="S107" i="1" s="1"/>
  <c r="H107" i="2"/>
  <c r="F107" i="2"/>
  <c r="G107" i="2" s="1"/>
  <c r="Z107" i="2" s="1"/>
  <c r="Z108" i="8" s="1"/>
  <c r="U107" i="8"/>
  <c r="V107" i="8"/>
  <c r="H108" i="1" l="1"/>
  <c r="BK108" i="1" s="1"/>
  <c r="AP107" i="1"/>
  <c r="T107" i="1" s="1"/>
  <c r="O107" i="7"/>
  <c r="J107" i="11"/>
  <c r="F107" i="9" s="1"/>
  <c r="I107" i="11"/>
  <c r="C107" i="8"/>
  <c r="AN108" i="8" l="1"/>
  <c r="C108" i="11"/>
  <c r="AC108" i="7"/>
  <c r="I108" i="1"/>
  <c r="AO108" i="1" s="1"/>
  <c r="AJ108" i="5"/>
  <c r="V108" i="10"/>
  <c r="P107" i="7"/>
  <c r="Y107" i="2"/>
  <c r="X107" i="2" s="1"/>
  <c r="AS108" i="8" l="1"/>
  <c r="BL108" i="1"/>
  <c r="L108" i="2"/>
  <c r="E108" i="2"/>
  <c r="H108" i="11"/>
  <c r="AB108" i="7"/>
  <c r="B108" i="8"/>
  <c r="D108" i="2" s="1"/>
  <c r="BD108" i="8"/>
  <c r="U108" i="2" l="1"/>
  <c r="W107" i="2" s="1"/>
  <c r="C108" i="2" s="1"/>
  <c r="R108" i="8" l="1"/>
  <c r="S108" i="8" s="1"/>
  <c r="I108" i="2"/>
  <c r="F108" i="1" l="1"/>
  <c r="F108" i="2"/>
  <c r="AP108" i="1" s="1"/>
  <c r="T108" i="1" s="1"/>
  <c r="I109" i="1" s="1"/>
  <c r="H108" i="2"/>
  <c r="V108" i="8"/>
  <c r="U108" i="8"/>
  <c r="I108" i="11"/>
  <c r="O108" i="7"/>
  <c r="AA108" i="1"/>
  <c r="S108" i="1" s="1"/>
  <c r="H109" i="1" s="1"/>
  <c r="G108" i="2" l="1"/>
  <c r="Z108" i="2" s="1"/>
  <c r="Z109" i="8" s="1"/>
  <c r="J108" i="11"/>
  <c r="F108" i="9" s="1"/>
  <c r="AO109" i="1"/>
  <c r="AN109" i="8"/>
  <c r="AC109" i="7"/>
  <c r="BK109" i="1"/>
  <c r="C109" i="11"/>
  <c r="V109" i="10"/>
  <c r="AJ109" i="5"/>
  <c r="C108" i="8" l="1"/>
  <c r="P108" i="7"/>
  <c r="AS109" i="8"/>
  <c r="BL109" i="1"/>
  <c r="Y108" i="2"/>
  <c r="X108" i="2" s="1"/>
  <c r="H109" i="11" l="1"/>
  <c r="L109" i="2"/>
  <c r="E109" i="2"/>
  <c r="AB109" i="7"/>
  <c r="BD109" i="8"/>
  <c r="B109" i="8"/>
  <c r="D109" i="2" s="1"/>
  <c r="U109" i="2" l="1"/>
  <c r="W108" i="2" s="1"/>
  <c r="C109" i="2" s="1"/>
  <c r="R109" i="8" l="1"/>
  <c r="S109" i="8" s="1"/>
  <c r="F109" i="1" l="1"/>
  <c r="F109" i="2"/>
  <c r="G109" i="2" s="1"/>
  <c r="Z109" i="2" s="1"/>
  <c r="Z110" i="8" s="1"/>
  <c r="I109" i="2"/>
  <c r="AA109" i="1" s="1"/>
  <c r="S109" i="1" s="1"/>
  <c r="H109" i="2"/>
  <c r="U109" i="8"/>
  <c r="V109" i="8"/>
  <c r="H110" i="1" l="1"/>
  <c r="I109" i="11"/>
  <c r="AP109" i="1"/>
  <c r="T109" i="1" s="1"/>
  <c r="O109" i="7"/>
  <c r="J109" i="11"/>
  <c r="P109" i="7" s="1"/>
  <c r="C109" i="8"/>
  <c r="AN110" i="8" l="1"/>
  <c r="C110" i="11"/>
  <c r="AJ110" i="5"/>
  <c r="BK110" i="1"/>
  <c r="I110" i="1"/>
  <c r="AO110" i="1" s="1"/>
  <c r="V110" i="10"/>
  <c r="AC110" i="7"/>
  <c r="F109" i="9"/>
  <c r="Y109" i="2"/>
  <c r="X109" i="2" s="1"/>
  <c r="BL110" i="1" l="1"/>
  <c r="AS110" i="8"/>
  <c r="E110" i="2"/>
  <c r="B110" i="8"/>
  <c r="D110" i="2" s="1"/>
  <c r="BD110" i="8"/>
  <c r="AB110" i="7"/>
  <c r="H110" i="11"/>
  <c r="L110" i="2"/>
  <c r="U110" i="2" l="1"/>
  <c r="W109" i="2" s="1"/>
  <c r="C110" i="2" s="1"/>
  <c r="R110" i="8" l="1"/>
  <c r="S110" i="8" s="1"/>
  <c r="F110" i="1" l="1"/>
  <c r="H110" i="2"/>
  <c r="I110" i="2"/>
  <c r="I110" i="11" s="1"/>
  <c r="F110" i="2"/>
  <c r="AP110" i="1" s="1"/>
  <c r="T110" i="1" s="1"/>
  <c r="I111" i="1" s="1"/>
  <c r="V110" i="8"/>
  <c r="U110" i="8"/>
  <c r="G110" i="2" l="1"/>
  <c r="Z110" i="2" s="1"/>
  <c r="Z111" i="8" s="1"/>
  <c r="J110" i="11"/>
  <c r="P110" i="7" s="1"/>
  <c r="AA110" i="1"/>
  <c r="S110" i="1" s="1"/>
  <c r="O110" i="7"/>
  <c r="H111" i="1" l="1"/>
  <c r="AJ111" i="5" s="1"/>
  <c r="F110" i="9"/>
  <c r="C110" i="8"/>
  <c r="AS111" i="8"/>
  <c r="AO111" i="1"/>
  <c r="BL111" i="1"/>
  <c r="Y110" i="2"/>
  <c r="X110" i="2" s="1"/>
  <c r="V111" i="10" l="1"/>
  <c r="AN111" i="8"/>
  <c r="BK111" i="1"/>
  <c r="C111" i="11"/>
  <c r="AC111" i="7"/>
  <c r="H111" i="11"/>
  <c r="AB111" i="7"/>
  <c r="B111" i="8"/>
  <c r="D111" i="2" s="1"/>
  <c r="BD111" i="8"/>
  <c r="L111" i="2"/>
  <c r="E111" i="2"/>
  <c r="U111" i="2" l="1"/>
  <c r="W110" i="2" s="1"/>
  <c r="C111" i="2" s="1"/>
  <c r="R111" i="8" l="1"/>
  <c r="S111" i="8" s="1"/>
  <c r="I111" i="2" l="1"/>
  <c r="AA111" i="1" s="1"/>
  <c r="S111" i="1" s="1"/>
  <c r="H111" i="2"/>
  <c r="F111" i="1"/>
  <c r="F111" i="2"/>
  <c r="G111" i="2" s="1"/>
  <c r="Z111" i="2" s="1"/>
  <c r="Z112" i="8" s="1"/>
  <c r="U111" i="8"/>
  <c r="V111" i="8"/>
  <c r="H112" i="1" l="1"/>
  <c r="AC112" i="7" s="1"/>
  <c r="O111" i="7"/>
  <c r="I111" i="11"/>
  <c r="J111" i="11"/>
  <c r="P111" i="7" s="1"/>
  <c r="AP111" i="1"/>
  <c r="T111" i="1" s="1"/>
  <c r="C111" i="8"/>
  <c r="AN112" i="8" l="1"/>
  <c r="C112" i="11"/>
  <c r="I112" i="1"/>
  <c r="AO112" i="1" s="1"/>
  <c r="BK112" i="1"/>
  <c r="V112" i="10"/>
  <c r="AJ112" i="5"/>
  <c r="F111" i="9"/>
  <c r="Y111" i="2"/>
  <c r="X111" i="2" s="1"/>
  <c r="AS112" i="8" l="1"/>
  <c r="BL112" i="1"/>
  <c r="H112" i="11"/>
  <c r="BD112" i="8"/>
  <c r="AB112" i="7"/>
  <c r="B112" i="8"/>
  <c r="D112" i="2" s="1"/>
  <c r="E112" i="2"/>
  <c r="L112" i="2"/>
  <c r="U112" i="2" l="1"/>
  <c r="W111" i="2" s="1"/>
  <c r="C112" i="2" s="1"/>
  <c r="R112" i="8" l="1"/>
  <c r="S112" i="8" s="1"/>
  <c r="I112" i="2" l="1"/>
  <c r="O112" i="7" s="1"/>
  <c r="H112" i="2"/>
  <c r="F112" i="1"/>
  <c r="F112" i="2"/>
  <c r="G112" i="2" s="1"/>
  <c r="Z112" i="2" s="1"/>
  <c r="Z113" i="8" s="1"/>
  <c r="U112" i="8"/>
  <c r="V112" i="8"/>
  <c r="AP112" i="1" l="1"/>
  <c r="T112" i="1" s="1"/>
  <c r="J112" i="11"/>
  <c r="F112" i="9" s="1"/>
  <c r="AA112" i="1"/>
  <c r="S112" i="1" s="1"/>
  <c r="I112" i="11"/>
  <c r="C112" i="8"/>
  <c r="I113" i="1" l="1"/>
  <c r="AO113" i="1" s="1"/>
  <c r="H113" i="1"/>
  <c r="AN113" i="8" s="1"/>
  <c r="P112" i="7"/>
  <c r="Y112" i="2"/>
  <c r="X112" i="2" s="1"/>
  <c r="AS113" i="8" l="1"/>
  <c r="V113" i="10"/>
  <c r="BL113" i="1"/>
  <c r="AC113" i="7"/>
  <c r="BK113" i="1"/>
  <c r="C113" i="11"/>
  <c r="AJ113" i="5"/>
  <c r="E113" i="2"/>
  <c r="BD113" i="8"/>
  <c r="AB113" i="7"/>
  <c r="H113" i="11"/>
  <c r="L113" i="2"/>
  <c r="B113" i="8"/>
  <c r="D113" i="2" s="1"/>
  <c r="U113" i="2" l="1"/>
  <c r="W112" i="2" s="1"/>
  <c r="C113" i="2" s="1"/>
  <c r="R113" i="8" l="1"/>
  <c r="S113" i="8" s="1"/>
  <c r="F113" i="1"/>
  <c r="I113" i="2" l="1"/>
  <c r="I113" i="11" s="1"/>
  <c r="H113" i="2"/>
  <c r="F113" i="2"/>
  <c r="G113" i="2" s="1"/>
  <c r="Z113" i="2" s="1"/>
  <c r="Z114" i="8" s="1"/>
  <c r="V113" i="8"/>
  <c r="U113" i="8"/>
  <c r="J113" i="11" l="1"/>
  <c r="P113" i="7" s="1"/>
  <c r="AP113" i="1"/>
  <c r="T113" i="1" s="1"/>
  <c r="AA113" i="1"/>
  <c r="S113" i="1" s="1"/>
  <c r="O113" i="7"/>
  <c r="C113" i="8"/>
  <c r="I114" i="1" l="1"/>
  <c r="H114" i="1"/>
  <c r="C114" i="11" s="1"/>
  <c r="F113" i="9"/>
  <c r="Y113" i="2"/>
  <c r="X113" i="2" s="1"/>
  <c r="AO114" i="1" l="1"/>
  <c r="AS114" i="8"/>
  <c r="AN114" i="8"/>
  <c r="BL114" i="1"/>
  <c r="BK114" i="1"/>
  <c r="AJ114" i="5"/>
  <c r="V114" i="10"/>
  <c r="AC114" i="7"/>
  <c r="AB114" i="7"/>
  <c r="H114" i="11"/>
  <c r="E114" i="2"/>
  <c r="BD114" i="8"/>
  <c r="L114" i="2"/>
  <c r="B114" i="8"/>
  <c r="D114" i="2" s="1"/>
  <c r="U114" i="2" l="1"/>
  <c r="W113" i="2" s="1"/>
  <c r="C114" i="2" s="1"/>
  <c r="R114" i="8" l="1"/>
  <c r="S114" i="8" s="1"/>
  <c r="F114" i="2"/>
  <c r="F114" i="1" l="1"/>
  <c r="I114" i="2"/>
  <c r="AA114" i="1" s="1"/>
  <c r="S114" i="1" s="1"/>
  <c r="H115" i="1" s="1"/>
  <c r="H114" i="2"/>
  <c r="U114" i="8"/>
  <c r="V114" i="8"/>
  <c r="AP114" i="1"/>
  <c r="T114" i="1" s="1"/>
  <c r="I115" i="1" s="1"/>
  <c r="J114" i="11"/>
  <c r="G114" i="2"/>
  <c r="Z114" i="2" s="1"/>
  <c r="Z115" i="8" s="1"/>
  <c r="I114" i="11" l="1"/>
  <c r="O114" i="7"/>
  <c r="AN115" i="8"/>
  <c r="C115" i="11"/>
  <c r="AC115" i="7"/>
  <c r="BK115" i="1"/>
  <c r="AJ115" i="5"/>
  <c r="V115" i="10"/>
  <c r="P114" i="7"/>
  <c r="F114" i="9"/>
  <c r="C114" i="8"/>
  <c r="BL115" i="1" l="1"/>
  <c r="AO115" i="1"/>
  <c r="AS115" i="8"/>
  <c r="Y114" i="2"/>
  <c r="X114" i="2" s="1"/>
  <c r="H115" i="11" l="1"/>
  <c r="AB115" i="7"/>
  <c r="L115" i="2"/>
  <c r="BD115" i="8"/>
  <c r="E115" i="2"/>
  <c r="B115" i="8"/>
  <c r="D115" i="2" s="1"/>
  <c r="U115" i="2" l="1"/>
  <c r="W114" i="2" s="1"/>
  <c r="C115" i="2" s="1"/>
  <c r="R115" i="8" l="1"/>
  <c r="S115" i="8" s="1"/>
  <c r="I115" i="2" l="1"/>
  <c r="AA115" i="1" s="1"/>
  <c r="S115" i="1" s="1"/>
  <c r="F115" i="2"/>
  <c r="G115" i="2" s="1"/>
  <c r="Z115" i="2" s="1"/>
  <c r="Z116" i="8" s="1"/>
  <c r="F115" i="1"/>
  <c r="H115" i="2"/>
  <c r="V115" i="8"/>
  <c r="U115" i="8"/>
  <c r="H116" i="1" l="1"/>
  <c r="V116" i="10" s="1"/>
  <c r="O115" i="7"/>
  <c r="AP115" i="1"/>
  <c r="T115" i="1" s="1"/>
  <c r="I116" i="1" s="1"/>
  <c r="I115" i="11"/>
  <c r="J115" i="11"/>
  <c r="F115" i="9" s="1"/>
  <c r="C115" i="8"/>
  <c r="BK116" i="1" l="1"/>
  <c r="AJ116" i="5"/>
  <c r="C116" i="11"/>
  <c r="AN116" i="8"/>
  <c r="AC116" i="7"/>
  <c r="P115" i="7"/>
  <c r="AS116" i="8"/>
  <c r="AO116" i="1"/>
  <c r="BL116" i="1"/>
  <c r="Y115" i="2"/>
  <c r="X115" i="2" s="1"/>
  <c r="AB116" i="7" l="1"/>
  <c r="BD116" i="8"/>
  <c r="H116" i="11"/>
  <c r="E116" i="2"/>
  <c r="L116" i="2"/>
  <c r="B116" i="8"/>
  <c r="D116" i="2" s="1"/>
  <c r="U116" i="2" l="1"/>
  <c r="W115" i="2" s="1"/>
  <c r="C116" i="2" s="1"/>
  <c r="R116" i="8" l="1"/>
  <c r="S116" i="8" s="1"/>
  <c r="I116" i="2"/>
  <c r="F116" i="1" l="1"/>
  <c r="H116" i="2"/>
  <c r="F116" i="2"/>
  <c r="G116" i="2" s="1"/>
  <c r="Z116" i="2" s="1"/>
  <c r="Z117" i="8" s="1"/>
  <c r="I116" i="11"/>
  <c r="O116" i="7"/>
  <c r="AA116" i="1"/>
  <c r="S116" i="1" s="1"/>
  <c r="H117" i="1" s="1"/>
  <c r="V116" i="8"/>
  <c r="U116" i="8"/>
  <c r="AP116" i="1" l="1"/>
  <c r="T116" i="1" s="1"/>
  <c r="I117" i="1" s="1"/>
  <c r="J116" i="11"/>
  <c r="P116" i="7" s="1"/>
  <c r="AC117" i="7"/>
  <c r="C117" i="11"/>
  <c r="AN117" i="8"/>
  <c r="V117" i="10"/>
  <c r="AJ117" i="5"/>
  <c r="BK117" i="1"/>
  <c r="C116" i="8"/>
  <c r="F116" i="9" l="1"/>
  <c r="AS117" i="8"/>
  <c r="AO117" i="1"/>
  <c r="BL117" i="1"/>
  <c r="Y116" i="2"/>
  <c r="X116" i="2" s="1"/>
  <c r="E117" i="2" l="1"/>
  <c r="BD117" i="8"/>
  <c r="L117" i="2"/>
  <c r="AB117" i="7"/>
  <c r="B117" i="8"/>
  <c r="D117" i="2" s="1"/>
  <c r="H117" i="11"/>
  <c r="U117" i="2" l="1"/>
  <c r="W116" i="2" s="1"/>
  <c r="C117" i="2" s="1"/>
  <c r="R117" i="8" l="1"/>
  <c r="S117" i="8" s="1"/>
  <c r="F117" i="2"/>
  <c r="I117" i="2" l="1"/>
  <c r="I117" i="11" s="1"/>
  <c r="F117" i="1"/>
  <c r="H117" i="2"/>
  <c r="U117" i="8"/>
  <c r="V117" i="8"/>
  <c r="J117" i="11"/>
  <c r="AP117" i="1"/>
  <c r="T117" i="1" s="1"/>
  <c r="I118" i="1" s="1"/>
  <c r="G117" i="2"/>
  <c r="Z117" i="2" s="1"/>
  <c r="Z118" i="8" s="1"/>
  <c r="AA117" i="1" l="1"/>
  <c r="S117" i="1" s="1"/>
  <c r="O117" i="7"/>
  <c r="P117" i="7"/>
  <c r="F117" i="9"/>
  <c r="C117" i="8"/>
  <c r="H118" i="1" l="1"/>
  <c r="AJ118" i="5" s="1"/>
  <c r="AS118" i="8"/>
  <c r="AO118" i="1"/>
  <c r="BL118" i="1"/>
  <c r="Y117" i="2"/>
  <c r="X117" i="2" s="1"/>
  <c r="AC118" i="7" l="1"/>
  <c r="BK118" i="1"/>
  <c r="AN118" i="8"/>
  <c r="C118" i="11"/>
  <c r="V118" i="10"/>
  <c r="AB118" i="7"/>
  <c r="E118" i="2"/>
  <c r="BD118" i="8"/>
  <c r="B118" i="8"/>
  <c r="D118" i="2" s="1"/>
  <c r="L118" i="2"/>
  <c r="H118" i="11"/>
  <c r="U118" i="2" l="1"/>
  <c r="W117" i="2" s="1"/>
  <c r="C118" i="2" s="1"/>
  <c r="R118" i="8" l="1"/>
  <c r="S118" i="8" s="1"/>
  <c r="F118" i="2" l="1"/>
  <c r="G118" i="2" s="1"/>
  <c r="Z118" i="2" s="1"/>
  <c r="Z119" i="8" s="1"/>
  <c r="F118" i="1"/>
  <c r="I118" i="2"/>
  <c r="AA118" i="1" s="1"/>
  <c r="S118" i="1" s="1"/>
  <c r="H118" i="2"/>
  <c r="U118" i="8"/>
  <c r="V118" i="8"/>
  <c r="H119" i="1" l="1"/>
  <c r="AC119" i="7" s="1"/>
  <c r="I118" i="11"/>
  <c r="O118" i="7"/>
  <c r="J118" i="11"/>
  <c r="P118" i="7" s="1"/>
  <c r="AP118" i="1"/>
  <c r="T118" i="1" s="1"/>
  <c r="I119" i="1" s="1"/>
  <c r="C118" i="8"/>
  <c r="C119" i="11" l="1"/>
  <c r="BK119" i="1"/>
  <c r="V119" i="10"/>
  <c r="AJ119" i="5"/>
  <c r="AN119" i="8"/>
  <c r="F118" i="9"/>
  <c r="AS119" i="8"/>
  <c r="AO119" i="1"/>
  <c r="BL119" i="1"/>
  <c r="Y118" i="2"/>
  <c r="X118" i="2" s="1"/>
  <c r="AB119" i="7" l="1"/>
  <c r="L119" i="2"/>
  <c r="BD119" i="8"/>
  <c r="H119" i="11"/>
  <c r="B119" i="8"/>
  <c r="D119" i="2" s="1"/>
  <c r="E119" i="2"/>
  <c r="U119" i="2" l="1"/>
  <c r="W118" i="2" s="1"/>
  <c r="C119" i="2" s="1"/>
  <c r="R119" i="8" l="1"/>
  <c r="S119" i="8" s="1"/>
  <c r="F119" i="1" l="1"/>
  <c r="H119" i="2"/>
  <c r="I119" i="2"/>
  <c r="I119" i="11" s="1"/>
  <c r="F119" i="2"/>
  <c r="AP119" i="1" s="1"/>
  <c r="T119" i="1" s="1"/>
  <c r="I120" i="1" s="1"/>
  <c r="U119" i="8"/>
  <c r="V119" i="8"/>
  <c r="J119" i="11" l="1"/>
  <c r="P119" i="7" s="1"/>
  <c r="G119" i="2"/>
  <c r="Z119" i="2" s="1"/>
  <c r="Z120" i="8" s="1"/>
  <c r="O119" i="7"/>
  <c r="AA119" i="1"/>
  <c r="S119" i="1" s="1"/>
  <c r="AO120" i="1"/>
  <c r="H120" i="1" l="1"/>
  <c r="F119" i="9"/>
  <c r="C119" i="8"/>
  <c r="BL120" i="1"/>
  <c r="AS120" i="8"/>
  <c r="Y119" i="2"/>
  <c r="X119" i="2" s="1"/>
  <c r="AJ120" i="5" l="1"/>
  <c r="V120" i="10"/>
  <c r="AC120" i="7"/>
  <c r="BK120" i="1"/>
  <c r="AN120" i="8"/>
  <c r="C120" i="11"/>
  <c r="AB120" i="7"/>
  <c r="BD120" i="8"/>
  <c r="E120" i="2"/>
  <c r="B120" i="8"/>
  <c r="D120" i="2" s="1"/>
  <c r="H120" i="11"/>
  <c r="L120" i="2"/>
  <c r="U120" i="2" l="1"/>
  <c r="W119" i="2" s="1"/>
  <c r="C120" i="2" s="1"/>
  <c r="R120" i="8" l="1"/>
  <c r="S120" i="8" s="1"/>
  <c r="H120" i="2" l="1"/>
  <c r="F120" i="2"/>
  <c r="G120" i="2" s="1"/>
  <c r="Z120" i="2" s="1"/>
  <c r="Z121" i="8" s="1"/>
  <c r="F120" i="1"/>
  <c r="I120" i="2"/>
  <c r="I120" i="11" s="1"/>
  <c r="V120" i="8"/>
  <c r="U120" i="8"/>
  <c r="AA120" i="1" l="1"/>
  <c r="S120" i="1" s="1"/>
  <c r="O120" i="7"/>
  <c r="AP120" i="1"/>
  <c r="T120" i="1" s="1"/>
  <c r="J120" i="11"/>
  <c r="P120" i="7" s="1"/>
  <c r="C120" i="8"/>
  <c r="H121" i="1" l="1"/>
  <c r="C121" i="11" s="1"/>
  <c r="I121" i="1"/>
  <c r="BL121" i="1" s="1"/>
  <c r="F120" i="9"/>
  <c r="Y120" i="2"/>
  <c r="X120" i="2" s="1"/>
  <c r="AN121" i="8" l="1"/>
  <c r="AS121" i="8"/>
  <c r="AO121" i="1"/>
  <c r="AC121" i="7"/>
  <c r="BK121" i="1"/>
  <c r="AJ121" i="5"/>
  <c r="V121" i="10"/>
  <c r="BD121" i="8"/>
  <c r="AB121" i="7"/>
  <c r="H121" i="11"/>
  <c r="B121" i="8"/>
  <c r="D121" i="2" s="1"/>
  <c r="L121" i="2"/>
  <c r="E121" i="2"/>
  <c r="U121" i="2" l="1"/>
  <c r="W120" i="2" s="1"/>
  <c r="C121" i="2" s="1"/>
  <c r="R121" i="8" l="1"/>
  <c r="S121" i="8" s="1"/>
  <c r="F121" i="2" l="1"/>
  <c r="G121" i="2" s="1"/>
  <c r="Z121" i="2" s="1"/>
  <c r="Z122" i="8" s="1"/>
  <c r="I121" i="2"/>
  <c r="I121" i="11" s="1"/>
  <c r="H121" i="2"/>
  <c r="F121" i="1"/>
  <c r="U121" i="8"/>
  <c r="V121" i="8"/>
  <c r="AP121" i="1" l="1"/>
  <c r="T121" i="1" s="1"/>
  <c r="I122" i="1" s="1"/>
  <c r="O121" i="7"/>
  <c r="J121" i="11"/>
  <c r="F121" i="9" s="1"/>
  <c r="AA121" i="1"/>
  <c r="S121" i="1" s="1"/>
  <c r="C121" i="8"/>
  <c r="H122" i="1" l="1"/>
  <c r="P121" i="7"/>
  <c r="AS122" i="8"/>
  <c r="AO122" i="1"/>
  <c r="BL122" i="1"/>
  <c r="Y121" i="2"/>
  <c r="X121" i="2" s="1"/>
  <c r="AC122" i="7" l="1"/>
  <c r="AJ122" i="5"/>
  <c r="V122" i="10"/>
  <c r="BK122" i="1"/>
  <c r="C122" i="11"/>
  <c r="AN122" i="8"/>
  <c r="AB122" i="7"/>
  <c r="B122" i="8"/>
  <c r="D122" i="2" s="1"/>
  <c r="H122" i="11"/>
  <c r="L122" i="2"/>
  <c r="BD122" i="8"/>
  <c r="E122" i="2"/>
  <c r="U122" i="2" l="1"/>
  <c r="W121" i="2" s="1"/>
  <c r="C122" i="2" s="1"/>
  <c r="R122" i="8" l="1"/>
  <c r="S122" i="8" s="1"/>
  <c r="F122" i="2"/>
  <c r="H122" i="2" l="1"/>
  <c r="I122" i="2"/>
  <c r="O122" i="7" s="1"/>
  <c r="F122" i="1"/>
  <c r="U122" i="8"/>
  <c r="V122" i="8"/>
  <c r="AP122" i="1"/>
  <c r="T122" i="1" s="1"/>
  <c r="I123" i="1" s="1"/>
  <c r="J122" i="11"/>
  <c r="G122" i="2"/>
  <c r="Z122" i="2" s="1"/>
  <c r="Z123" i="8" s="1"/>
  <c r="AA122" i="1" l="1"/>
  <c r="S122" i="1" s="1"/>
  <c r="I122" i="11"/>
  <c r="F122" i="9"/>
  <c r="P122" i="7"/>
  <c r="C122" i="8"/>
  <c r="H123" i="1" l="1"/>
  <c r="AC123" i="7" s="1"/>
  <c r="AS123" i="8"/>
  <c r="AO123" i="1"/>
  <c r="BL123" i="1"/>
  <c r="Y122" i="2"/>
  <c r="X122" i="2" s="1"/>
  <c r="AJ123" i="5" l="1"/>
  <c r="BK123" i="1"/>
  <c r="V123" i="10"/>
  <c r="AN123" i="8"/>
  <c r="C123" i="11"/>
  <c r="AB123" i="7"/>
  <c r="H123" i="11"/>
  <c r="B123" i="8"/>
  <c r="D123" i="2" s="1"/>
  <c r="L123" i="2"/>
  <c r="E123" i="2"/>
  <c r="BD123" i="8"/>
  <c r="U123" i="2" l="1"/>
  <c r="W122" i="2" s="1"/>
  <c r="C123" i="2" s="1"/>
  <c r="R123" i="8" l="1"/>
  <c r="S123" i="8" s="1"/>
  <c r="I123" i="2" l="1"/>
  <c r="I123" i="11" s="1"/>
  <c r="F123" i="2"/>
  <c r="J123" i="11" s="1"/>
  <c r="H123" i="2"/>
  <c r="F123" i="1"/>
  <c r="U123" i="8"/>
  <c r="V123" i="8"/>
  <c r="AP123" i="1" l="1"/>
  <c r="T123" i="1" s="1"/>
  <c r="O123" i="7"/>
  <c r="G123" i="2"/>
  <c r="Z123" i="2" s="1"/>
  <c r="Z124" i="8" s="1"/>
  <c r="AA123" i="1"/>
  <c r="S123" i="1" s="1"/>
  <c r="F123" i="9"/>
  <c r="P123" i="7"/>
  <c r="I124" i="1" l="1"/>
  <c r="H124" i="1"/>
  <c r="AC124" i="7" s="1"/>
  <c r="C123" i="8"/>
  <c r="Y123" i="2"/>
  <c r="X123" i="2" s="1"/>
  <c r="V124" i="10" l="1"/>
  <c r="AO124" i="1"/>
  <c r="AS124" i="8"/>
  <c r="BL124" i="1"/>
  <c r="C124" i="11"/>
  <c r="AN124" i="8"/>
  <c r="BK124" i="1"/>
  <c r="AJ124" i="5"/>
  <c r="E124" i="2"/>
  <c r="BD124" i="8"/>
  <c r="AB124" i="7"/>
  <c r="H124" i="11"/>
  <c r="L124" i="2"/>
  <c r="B124" i="8"/>
  <c r="D124" i="2" s="1"/>
  <c r="U124" i="2" l="1"/>
  <c r="W123" i="2" s="1"/>
  <c r="C124" i="2" s="1"/>
  <c r="R124" i="8" l="1"/>
  <c r="S124" i="8" s="1"/>
  <c r="H124" i="2" l="1"/>
  <c r="I124" i="2"/>
  <c r="O124" i="7" s="1"/>
  <c r="F124" i="2"/>
  <c r="AP124" i="1" s="1"/>
  <c r="T124" i="1" s="1"/>
  <c r="I125" i="1" s="1"/>
  <c r="F124" i="1"/>
  <c r="U124" i="8"/>
  <c r="V124" i="8"/>
  <c r="AA124" i="1" l="1"/>
  <c r="S124" i="1" s="1"/>
  <c r="J124" i="11"/>
  <c r="F124" i="9" s="1"/>
  <c r="G124" i="2"/>
  <c r="Z124" i="2" s="1"/>
  <c r="Z125" i="8" s="1"/>
  <c r="I124" i="11"/>
  <c r="H125" i="1" l="1"/>
  <c r="C125" i="11" s="1"/>
  <c r="P124" i="7"/>
  <c r="C124" i="8"/>
  <c r="AS125" i="8"/>
  <c r="AO125" i="1"/>
  <c r="BL125" i="1"/>
  <c r="Y124" i="2"/>
  <c r="X124" i="2" s="1"/>
  <c r="V125" i="10" l="1"/>
  <c r="AJ125" i="5"/>
  <c r="AC125" i="7"/>
  <c r="AN125" i="8"/>
  <c r="BK125" i="1"/>
  <c r="B125" i="8"/>
  <c r="D125" i="2" s="1"/>
  <c r="E125" i="2"/>
  <c r="H125" i="11"/>
  <c r="BD125" i="8"/>
  <c r="L125" i="2"/>
  <c r="AB125" i="7"/>
  <c r="U125" i="2" l="1"/>
  <c r="W124" i="2" s="1"/>
  <c r="C125" i="2" s="1"/>
  <c r="R125" i="8" l="1"/>
  <c r="S125" i="8" s="1"/>
  <c r="I125" i="2"/>
  <c r="F125" i="1" l="1"/>
  <c r="F125" i="2"/>
  <c r="G125" i="2" s="1"/>
  <c r="Z125" i="2" s="1"/>
  <c r="Z126" i="8" s="1"/>
  <c r="H125" i="2"/>
  <c r="O125" i="7"/>
  <c r="I125" i="11"/>
  <c r="V125" i="8"/>
  <c r="U125" i="8"/>
  <c r="AA125" i="1"/>
  <c r="S125" i="1" s="1"/>
  <c r="H126" i="1" s="1"/>
  <c r="AP125" i="1" l="1"/>
  <c r="T125" i="1" s="1"/>
  <c r="I126" i="1" s="1"/>
  <c r="J125" i="11"/>
  <c r="F125" i="9" s="1"/>
  <c r="C125" i="8"/>
  <c r="AJ126" i="5"/>
  <c r="C126" i="11"/>
  <c r="V126" i="10"/>
  <c r="BK126" i="1"/>
  <c r="AC126" i="7"/>
  <c r="AN126" i="8"/>
  <c r="P125" i="7" l="1"/>
  <c r="AS126" i="8"/>
  <c r="AO126" i="1"/>
  <c r="BL126" i="1"/>
  <c r="Y125" i="2"/>
  <c r="X125" i="2" s="1"/>
  <c r="AB126" i="7" l="1"/>
  <c r="B126" i="8"/>
  <c r="D126" i="2" s="1"/>
  <c r="BD126" i="8"/>
  <c r="E126" i="2"/>
  <c r="H126" i="11"/>
  <c r="L126" i="2"/>
  <c r="U126" i="2" l="1"/>
  <c r="W125" i="2" s="1"/>
  <c r="C126" i="2" s="1"/>
  <c r="R126" i="8" l="1"/>
  <c r="S126" i="8" s="1"/>
  <c r="F126" i="2"/>
  <c r="F126" i="1" l="1"/>
  <c r="I126" i="2"/>
  <c r="AA126" i="1" s="1"/>
  <c r="S126" i="1" s="1"/>
  <c r="H127" i="1" s="1"/>
  <c r="H126" i="2"/>
  <c r="V126" i="8"/>
  <c r="U126" i="8"/>
  <c r="J126" i="11"/>
  <c r="AP126" i="1"/>
  <c r="T126" i="1" s="1"/>
  <c r="I127" i="1" s="1"/>
  <c r="G126" i="2"/>
  <c r="Z126" i="2" s="1"/>
  <c r="Z127" i="8" s="1"/>
  <c r="O126" i="7" l="1"/>
  <c r="I126" i="11"/>
  <c r="C126" i="8"/>
  <c r="P126" i="7"/>
  <c r="F126" i="9"/>
  <c r="C127" i="11"/>
  <c r="AC127" i="7"/>
  <c r="AN127" i="8"/>
  <c r="BK127" i="1"/>
  <c r="V127" i="10"/>
  <c r="AJ127" i="5"/>
  <c r="AS127" i="8" l="1"/>
  <c r="AO127" i="1"/>
  <c r="BL127" i="1"/>
  <c r="Y126" i="2"/>
  <c r="X126" i="2" s="1"/>
  <c r="AB127" i="7" l="1"/>
  <c r="B127" i="8"/>
  <c r="D127" i="2" s="1"/>
  <c r="L127" i="2"/>
  <c r="BD127" i="8"/>
  <c r="H127" i="11"/>
  <c r="E127" i="2"/>
  <c r="U127" i="2" l="1"/>
  <c r="W126" i="2" s="1"/>
  <c r="C127" i="2" s="1"/>
  <c r="R127" i="8" l="1"/>
  <c r="S127" i="8" s="1"/>
  <c r="I127" i="2" l="1"/>
  <c r="I127" i="11" s="1"/>
  <c r="F127" i="1"/>
  <c r="F127" i="2"/>
  <c r="G127" i="2" s="1"/>
  <c r="Z127" i="2" s="1"/>
  <c r="Z128" i="8" s="1"/>
  <c r="H127" i="2"/>
  <c r="V127" i="8"/>
  <c r="U127" i="8"/>
  <c r="AP127" i="1" l="1"/>
  <c r="T127" i="1" s="1"/>
  <c r="I128" i="1" s="1"/>
  <c r="J127" i="11"/>
  <c r="P127" i="7" s="1"/>
  <c r="AA127" i="1"/>
  <c r="S127" i="1" s="1"/>
  <c r="O127" i="7"/>
  <c r="C127" i="8"/>
  <c r="H128" i="1" l="1"/>
  <c r="AJ128" i="5" s="1"/>
  <c r="F127" i="9"/>
  <c r="AS128" i="8"/>
  <c r="AO128" i="1"/>
  <c r="BL128" i="1"/>
  <c r="Y127" i="2"/>
  <c r="X127" i="2" s="1"/>
  <c r="BK128" i="1" l="1"/>
  <c r="AN128" i="8"/>
  <c r="C128" i="11"/>
  <c r="V128" i="10"/>
  <c r="AC128" i="7"/>
  <c r="BD128" i="8"/>
  <c r="E128" i="2"/>
  <c r="AB128" i="7"/>
  <c r="H128" i="11"/>
  <c r="L128" i="2"/>
  <c r="B128" i="8"/>
  <c r="D128" i="2" s="1"/>
  <c r="U128" i="2" l="1"/>
  <c r="W127" i="2" s="1"/>
  <c r="C128" i="2" s="1"/>
  <c r="R128" i="8" l="1"/>
  <c r="S128" i="8" s="1"/>
  <c r="I128" i="2" l="1"/>
  <c r="AA128" i="1" s="1"/>
  <c r="S128" i="1" s="1"/>
  <c r="H129" i="1" s="1"/>
  <c r="F128" i="2"/>
  <c r="G128" i="2" s="1"/>
  <c r="Z128" i="2" s="1"/>
  <c r="Z129" i="8" s="1"/>
  <c r="F128" i="1"/>
  <c r="H128" i="2"/>
  <c r="U128" i="8"/>
  <c r="V128" i="8"/>
  <c r="AP128" i="1" l="1"/>
  <c r="T128" i="1" s="1"/>
  <c r="I128" i="11"/>
  <c r="J128" i="11"/>
  <c r="F128" i="9" s="1"/>
  <c r="O128" i="7"/>
  <c r="AC129" i="7"/>
  <c r="C129" i="11"/>
  <c r="BK129" i="1"/>
  <c r="AN129" i="8"/>
  <c r="AJ129" i="5"/>
  <c r="V129" i="10"/>
  <c r="C128" i="8"/>
  <c r="I129" i="1" l="1"/>
  <c r="P128" i="7"/>
  <c r="Y128" i="2"/>
  <c r="X128" i="2" s="1"/>
  <c r="AO129" i="1" l="1"/>
  <c r="AS129" i="8"/>
  <c r="BL129" i="1"/>
  <c r="H129" i="11"/>
  <c r="E129" i="2"/>
  <c r="L129" i="2"/>
  <c r="BD129" i="8"/>
  <c r="B129" i="8"/>
  <c r="D129" i="2" s="1"/>
  <c r="AB129" i="7"/>
  <c r="U129" i="2" l="1"/>
  <c r="W128" i="2" s="1"/>
  <c r="C129" i="2" s="1"/>
  <c r="R129" i="8" l="1"/>
  <c r="S129" i="8" s="1"/>
  <c r="F129" i="2"/>
  <c r="F129" i="1" l="1"/>
  <c r="I129" i="2"/>
  <c r="AA129" i="1" s="1"/>
  <c r="S129" i="1" s="1"/>
  <c r="H130" i="1" s="1"/>
  <c r="H129" i="2"/>
  <c r="U129" i="8"/>
  <c r="V129" i="8"/>
  <c r="AP129" i="1"/>
  <c r="T129" i="1" s="1"/>
  <c r="I130" i="1" s="1"/>
  <c r="J129" i="11"/>
  <c r="G129" i="2"/>
  <c r="Z129" i="2" s="1"/>
  <c r="Z130" i="8" s="1"/>
  <c r="I129" i="11" l="1"/>
  <c r="O129" i="7"/>
  <c r="AO130" i="1"/>
  <c r="F129" i="9"/>
  <c r="P129" i="7"/>
  <c r="C129" i="8"/>
  <c r="C130" i="11"/>
  <c r="BK130" i="1"/>
  <c r="AJ130" i="5"/>
  <c r="AC130" i="7"/>
  <c r="V130" i="10"/>
  <c r="AN130" i="8"/>
  <c r="AS130" i="8" l="1"/>
  <c r="BL130" i="1"/>
  <c r="Y129" i="2"/>
  <c r="X129" i="2" s="1"/>
  <c r="BD130" i="8" l="1"/>
  <c r="AB130" i="7"/>
  <c r="E130" i="2"/>
  <c r="B130" i="8"/>
  <c r="D130" i="2" s="1"/>
  <c r="H130" i="11"/>
  <c r="L130" i="2"/>
  <c r="U130" i="2" l="1"/>
  <c r="W129" i="2" s="1"/>
  <c r="C130" i="2" s="1"/>
  <c r="R130" i="8" l="1"/>
  <c r="S130" i="8" s="1"/>
  <c r="I130" i="2" l="1"/>
  <c r="AA130" i="1" s="1"/>
  <c r="S130" i="1" s="1"/>
  <c r="H130" i="2"/>
  <c r="F130" i="1"/>
  <c r="F130" i="2"/>
  <c r="J130" i="11" s="1"/>
  <c r="U130" i="8"/>
  <c r="V130" i="8"/>
  <c r="H131" i="1" l="1"/>
  <c r="AJ131" i="5" s="1"/>
  <c r="AP130" i="1"/>
  <c r="T130" i="1" s="1"/>
  <c r="I131" i="1" s="1"/>
  <c r="G130" i="2"/>
  <c r="Z130" i="2" s="1"/>
  <c r="Z131" i="8" s="1"/>
  <c r="I130" i="11"/>
  <c r="O130" i="7"/>
  <c r="P130" i="7"/>
  <c r="F130" i="9"/>
  <c r="AC131" i="7" l="1"/>
  <c r="C131" i="11"/>
  <c r="AN131" i="8"/>
  <c r="V131" i="10"/>
  <c r="BK131" i="1"/>
  <c r="C130" i="8"/>
  <c r="AS131" i="8"/>
  <c r="AO131" i="1"/>
  <c r="BL131" i="1"/>
  <c r="Y130" i="2"/>
  <c r="X130" i="2" s="1"/>
  <c r="AB131" i="7" l="1"/>
  <c r="H131" i="11"/>
  <c r="B131" i="8"/>
  <c r="D131" i="2" s="1"/>
  <c r="L131" i="2"/>
  <c r="BD131" i="8"/>
  <c r="E131" i="2"/>
  <c r="U131" i="2" l="1"/>
  <c r="W130" i="2" s="1"/>
  <c r="C131" i="2" s="1"/>
  <c r="R131" i="8" l="1"/>
  <c r="S131" i="8" s="1"/>
  <c r="H131" i="2" l="1"/>
  <c r="I131" i="2"/>
  <c r="I131" i="11" s="1"/>
  <c r="F131" i="1"/>
  <c r="F131" i="2"/>
  <c r="AP131" i="1" s="1"/>
  <c r="T131" i="1" s="1"/>
  <c r="I132" i="1" s="1"/>
  <c r="V131" i="8"/>
  <c r="U131" i="8"/>
  <c r="J131" i="11" l="1"/>
  <c r="F131" i="9" s="1"/>
  <c r="G131" i="2"/>
  <c r="Z131" i="2" s="1"/>
  <c r="Z132" i="8" s="1"/>
  <c r="O131" i="7"/>
  <c r="AA131" i="1"/>
  <c r="S131" i="1" s="1"/>
  <c r="AO132" i="1"/>
  <c r="H132" i="1" l="1"/>
  <c r="AJ132" i="5" s="1"/>
  <c r="P131" i="7"/>
  <c r="C131" i="8"/>
  <c r="AS132" i="8"/>
  <c r="BL132" i="1"/>
  <c r="Y131" i="2"/>
  <c r="X131" i="2" s="1"/>
  <c r="V132" i="10" l="1"/>
  <c r="AC132" i="7"/>
  <c r="AN132" i="8"/>
  <c r="BK132" i="1"/>
  <c r="C132" i="11"/>
  <c r="E132" i="2"/>
  <c r="BD132" i="8"/>
  <c r="AB132" i="7"/>
  <c r="L132" i="2"/>
  <c r="B132" i="8"/>
  <c r="D132" i="2" s="1"/>
  <c r="H132" i="11"/>
  <c r="U132" i="2" l="1"/>
  <c r="W131" i="2" s="1"/>
  <c r="C132" i="2" s="1"/>
  <c r="R132" i="8" l="1"/>
  <c r="S132" i="8" s="1"/>
  <c r="F132" i="1" l="1"/>
  <c r="H132" i="2"/>
  <c r="F132" i="2"/>
  <c r="J132" i="11" s="1"/>
  <c r="I132" i="2"/>
  <c r="I132" i="11" s="1"/>
  <c r="V132" i="8"/>
  <c r="U132" i="8"/>
  <c r="AA132" i="1" l="1"/>
  <c r="S132" i="1" s="1"/>
  <c r="O132" i="7"/>
  <c r="AP132" i="1"/>
  <c r="T132" i="1" s="1"/>
  <c r="G132" i="2"/>
  <c r="Z132" i="2" s="1"/>
  <c r="Z133" i="8" s="1"/>
  <c r="P132" i="7"/>
  <c r="F132" i="9"/>
  <c r="H133" i="1" l="1"/>
  <c r="C133" i="11" s="1"/>
  <c r="I133" i="1"/>
  <c r="BL133" i="1" s="1"/>
  <c r="C132" i="8"/>
  <c r="Y132" i="2"/>
  <c r="X132" i="2" s="1"/>
  <c r="BK133" i="1" l="1"/>
  <c r="AS133" i="8"/>
  <c r="AO133" i="1"/>
  <c r="V133" i="10"/>
  <c r="AC133" i="7"/>
  <c r="AN133" i="8"/>
  <c r="AJ133" i="5"/>
  <c r="L133" i="2"/>
  <c r="AB133" i="7"/>
  <c r="B133" i="8"/>
  <c r="D133" i="2" s="1"/>
  <c r="E133" i="2"/>
  <c r="BD133" i="8"/>
  <c r="H133" i="11"/>
  <c r="U133" i="2" l="1"/>
  <c r="W132" i="2" s="1"/>
  <c r="C133" i="2" s="1"/>
  <c r="R133" i="8" l="1"/>
  <c r="S133" i="8" s="1"/>
  <c r="H133" i="2" l="1"/>
  <c r="F133" i="1"/>
  <c r="I133" i="2"/>
  <c r="O133" i="7" s="1"/>
  <c r="F133" i="2"/>
  <c r="AP133" i="1" s="1"/>
  <c r="T133" i="1" s="1"/>
  <c r="I134" i="1" s="1"/>
  <c r="V133" i="8"/>
  <c r="U133" i="8"/>
  <c r="G133" i="2" l="1"/>
  <c r="Z133" i="2" s="1"/>
  <c r="Z134" i="8" s="1"/>
  <c r="AA133" i="1"/>
  <c r="S133" i="1" s="1"/>
  <c r="J133" i="11"/>
  <c r="F133" i="9" s="1"/>
  <c r="I133" i="11"/>
  <c r="H134" i="1" l="1"/>
  <c r="AJ134" i="5" s="1"/>
  <c r="C133" i="8"/>
  <c r="P133" i="7"/>
  <c r="BL134" i="1"/>
  <c r="AO134" i="1"/>
  <c r="AS134" i="8"/>
  <c r="Y133" i="2"/>
  <c r="X133" i="2" s="1"/>
  <c r="V134" i="10" l="1"/>
  <c r="AN134" i="8"/>
  <c r="AC134" i="7"/>
  <c r="C134" i="11"/>
  <c r="BK134" i="1"/>
  <c r="BD134" i="8"/>
  <c r="L134" i="2"/>
  <c r="E134" i="2"/>
  <c r="B134" i="8"/>
  <c r="D134" i="2" s="1"/>
  <c r="H134" i="11"/>
  <c r="AB134" i="7"/>
  <c r="U134" i="2" l="1"/>
  <c r="W133" i="2" s="1"/>
  <c r="C134" i="2" s="1"/>
  <c r="R134" i="8" l="1"/>
  <c r="S134" i="8" s="1"/>
  <c r="I134" i="2" l="1"/>
  <c r="O134" i="7" s="1"/>
  <c r="F134" i="2"/>
  <c r="G134" i="2" s="1"/>
  <c r="Z134" i="2" s="1"/>
  <c r="Z135" i="8" s="1"/>
  <c r="H134" i="2"/>
  <c r="F134" i="1"/>
  <c r="V134" i="8"/>
  <c r="U134" i="8"/>
  <c r="J134" i="11" l="1"/>
  <c r="F134" i="9" s="1"/>
  <c r="AP134" i="1"/>
  <c r="T134" i="1" s="1"/>
  <c r="AA134" i="1"/>
  <c r="S134" i="1" s="1"/>
  <c r="I134" i="11"/>
  <c r="C134" i="8"/>
  <c r="I135" i="1" l="1"/>
  <c r="AO135" i="1" s="1"/>
  <c r="H135" i="1"/>
  <c r="AN135" i="8" s="1"/>
  <c r="P134" i="7"/>
  <c r="Y134" i="2"/>
  <c r="X134" i="2" s="1"/>
  <c r="V135" i="10" l="1"/>
  <c r="AS135" i="8"/>
  <c r="BK135" i="1"/>
  <c r="BL135" i="1"/>
  <c r="AC135" i="7"/>
  <c r="C135" i="11"/>
  <c r="AJ135" i="5"/>
  <c r="B135" i="8"/>
  <c r="D135" i="2" s="1"/>
  <c r="E135" i="2"/>
  <c r="AB135" i="7"/>
  <c r="L135" i="2"/>
  <c r="BD135" i="8"/>
  <c r="H135" i="11"/>
  <c r="U135" i="2" l="1"/>
  <c r="W134" i="2" s="1"/>
  <c r="C135" i="2" s="1"/>
  <c r="R135" i="8" l="1"/>
  <c r="S135" i="8" s="1"/>
  <c r="F135" i="1"/>
  <c r="H135" i="2" l="1"/>
  <c r="F135" i="2"/>
  <c r="G135" i="2" s="1"/>
  <c r="Z135" i="2" s="1"/>
  <c r="I135" i="2"/>
  <c r="O135" i="7" s="1"/>
  <c r="U135" i="8"/>
  <c r="V135" i="8"/>
  <c r="AA135" i="1" l="1"/>
  <c r="S135" i="1" s="1"/>
  <c r="AP135" i="1"/>
  <c r="T135" i="1" s="1"/>
  <c r="J135" i="11"/>
  <c r="F135" i="9" s="1"/>
  <c r="I135" i="11"/>
  <c r="C135" i="8"/>
  <c r="Y135" i="2"/>
  <c r="X135" i="2" s="1"/>
  <c r="W135" i="2" s="1"/>
  <c r="P13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 Reign</author>
    <author>Blackreign</author>
  </authors>
  <commentList>
    <comment ref="J8" authorId="0" shapeId="0" xr:uid="{00000000-0006-0000-0000-000001000000}">
      <text>
        <r>
          <rPr>
            <b/>
            <sz val="8"/>
            <color indexed="81"/>
            <rFont val="Tahoma"/>
            <family val="2"/>
          </rPr>
          <t>First set of changes applied. Not tested for bugs yet.</t>
        </r>
      </text>
    </comment>
    <comment ref="B15" authorId="1" shapeId="0" xr:uid="{00000000-0006-0000-0000-000002000000}">
      <text>
        <r>
          <rPr>
            <b/>
            <sz val="8"/>
            <color indexed="81"/>
            <rFont val="Tahoma"/>
            <family val="2"/>
          </rPr>
          <t>Set the date when the round starts. 
See the date below for the inputstyle.</t>
        </r>
      </text>
    </comment>
    <comment ref="B16" authorId="1" shapeId="0" xr:uid="{00000000-0006-0000-0000-000003000000}">
      <text>
        <r>
          <rPr>
            <b/>
            <sz val="8"/>
            <color indexed="81"/>
            <rFont val="Tahoma"/>
            <family val="2"/>
          </rPr>
          <t>E.g. most of Europe is GMT(+1:00). Just fill in 1 for that.</t>
        </r>
      </text>
    </comment>
    <comment ref="B18" authorId="0" shapeId="0" xr:uid="{00000000-0006-0000-0000-000004000000}">
      <text>
        <r>
          <rPr>
            <b/>
            <sz val="8"/>
            <color indexed="81"/>
            <rFont val="Tahoma"/>
            <family val="2"/>
          </rPr>
          <t>Only use this if you start after the round begins.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Blackreign</author>
  </authors>
  <commentList>
    <comment ref="C2" authorId="0" shapeId="0" xr:uid="{00000000-0006-0000-0200-00000100000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Timmer</author>
  </authors>
  <commentList>
    <comment ref="L15" authorId="0" shapeId="0" xr:uid="{00000000-0006-0000-0400-00000100000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Timmer</author>
  </authors>
  <commentList>
    <comment ref="L1" authorId="0" shapeId="0" xr:uid="{00000000-0006-0000-0600-000001000000}">
      <text>
        <r>
          <rPr>
            <b/>
            <sz val="8"/>
            <color indexed="81"/>
            <rFont val="Tahoma"/>
            <family val="2"/>
          </rPr>
          <t>see below for an example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Blackreign</author>
  </authors>
  <commentList>
    <comment ref="O1" authorId="0" shapeId="0" xr:uid="{00000000-0006-0000-0900-00000100000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shapeId="0" xr:uid="{00000000-0006-0000-0900-00000200000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I28" authorId="0" shapeId="0" xr:uid="{00000000-0006-0000-0A00-00000100000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Blackreign</author>
  </authors>
  <commentList>
    <comment ref="N4" authorId="0" shapeId="0" xr:uid="{00000000-0006-0000-0C00-000001000000}">
      <text>
        <r>
          <rPr>
            <b/>
            <sz val="8"/>
            <color indexed="81"/>
            <rFont val="Tahoma"/>
            <family val="2"/>
          </rPr>
          <t>Don't think they are accurate anymore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Timmer</author>
  </authors>
  <commentList>
    <comment ref="B3" authorId="0" shapeId="0" xr:uid="{00000000-0006-0000-0D00-000001000000}">
      <text>
        <r>
          <rPr>
            <b/>
            <sz val="8"/>
            <color indexed="81"/>
            <rFont val="Tahoma"/>
            <family val="2"/>
          </rPr>
          <t>works less accurate as size increases</t>
        </r>
      </text>
    </comment>
  </commentList>
</comments>
</file>

<file path=xl/sharedStrings.xml><?xml version="1.0" encoding="utf-8"?>
<sst xmlns="http://schemas.openxmlformats.org/spreadsheetml/2006/main" count="2658" uniqueCount="771">
  <si>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</si>
  <si>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</si>
  <si>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</si>
  <si>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</si>
  <si>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</si>
  <si>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</si>
  <si>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</si>
  <si>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</si>
  <si>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</si>
  <si>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</si>
  <si>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</si>
  <si>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</si>
  <si>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</si>
  <si>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</si>
  <si>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</si>
  <si>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</si>
  <si>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</si>
  <si>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</si>
  <si>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</si>
  <si>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</si>
  <si>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</si>
  <si>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</si>
  <si>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</si>
  <si>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</si>
  <si>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</si>
  <si>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</si>
  <si>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</si>
  <si>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</si>
  <si>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</si>
  <si>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</si>
  <si>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</si>
  <si>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</si>
  <si>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</si>
  <si>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</si>
  <si>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</si>
  <si>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</si>
  <si>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</si>
  <si>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</si>
  <si>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</si>
  <si>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</si>
  <si>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</si>
  <si>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</si>
  <si>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</si>
  <si>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</si>
  <si>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</si>
  <si>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</si>
  <si>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</si>
  <si>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</si>
  <si>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</si>
  <si>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</si>
  <si>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</si>
  <si>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</si>
  <si>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</si>
  <si>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</si>
  <si>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</si>
  <si>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</si>
  <si>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</si>
  <si>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</si>
  <si>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</si>
  <si>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</si>
  <si>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</si>
  <si>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</si>
  <si>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</si>
  <si>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</si>
  <si>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</si>
  <si>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</si>
  <si>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</si>
  <si>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</si>
  <si>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</si>
  <si>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</si>
  <si>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</si>
  <si>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</si>
  <si>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</si>
  <si>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</si>
  <si>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</si>
  <si>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</si>
  <si>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</si>
  <si>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</si>
  <si>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</si>
  <si>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</si>
  <si>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</si>
  <si>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</si>
  <si>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</si>
  <si>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</si>
  <si>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</si>
  <si>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</si>
  <si>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</si>
  <si>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</si>
  <si>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</si>
  <si>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</si>
  <si>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</si>
  <si>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</si>
  <si>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</si>
  <si>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</si>
  <si>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</si>
  <si>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</si>
  <si>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</si>
  <si>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</si>
  <si>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</si>
  <si>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</si>
  <si>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</si>
  <si>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</si>
  <si>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</si>
  <si>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</si>
  <si>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</si>
  <si>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</si>
  <si>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</si>
  <si>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</si>
  <si>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</si>
  <si>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</si>
  <si>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</si>
  <si>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</si>
  <si>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</si>
  <si>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</si>
  <si>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</si>
  <si>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</si>
  <si>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</si>
  <si>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</si>
  <si>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</si>
  <si>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</si>
  <si>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</si>
  <si>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</si>
  <si>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</si>
  <si>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</si>
  <si>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</si>
  <si>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</si>
  <si>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</si>
  <si>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</si>
  <si>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</si>
  <si>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</si>
  <si>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</si>
  <si>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</si>
  <si>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</si>
  <si>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</si>
  <si>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</si>
  <si>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</si>
  <si>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</si>
  <si>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</si>
  <si>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</si>
  <si>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</si>
  <si>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</si>
  <si>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</si>
  <si>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</si>
  <si>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</si>
  <si>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Satyr</t>
  </si>
  <si>
    <t>Sprite</t>
  </si>
  <si>
    <t>Dryad</t>
  </si>
  <si>
    <t>Centaur</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</si>
  <si>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</si>
  <si>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</si>
  <si>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</si>
  <si>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</si>
  <si>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</si>
  <si>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</si>
  <si>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</si>
  <si>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</si>
  <si>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</si>
  <si>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</si>
  <si>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</si>
  <si>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</si>
  <si>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</si>
  <si>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</si>
  <si>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</si>
  <si>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</si>
  <si>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</si>
  <si>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</si>
  <si>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</si>
  <si>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</si>
  <si>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</si>
  <si>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</si>
  <si>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</si>
  <si>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</si>
  <si>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</si>
  <si>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</si>
  <si>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</si>
  <si>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</si>
  <si>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</si>
  <si>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</si>
  <si>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</si>
  <si>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</si>
  <si>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</si>
  <si>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</si>
  <si>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</si>
  <si>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</si>
  <si>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</si>
  <si>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</si>
  <si>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</si>
  <si>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</si>
  <si>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</si>
  <si>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</si>
  <si>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</si>
  <si>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</si>
  <si>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</si>
  <si>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</si>
  <si>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</si>
  <si>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</si>
  <si>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</si>
  <si>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</si>
  <si>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</si>
  <si>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</si>
  <si>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</si>
  <si>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</si>
  <si>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</si>
  <si>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</si>
  <si>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</si>
  <si>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</si>
  <si>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</si>
  <si>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</si>
  <si>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</si>
  <si>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</si>
  <si>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</si>
  <si>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</si>
  <si>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</si>
  <si>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</si>
  <si>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</si>
  <si>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</si>
  <si>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</si>
  <si>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</si>
  <si>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</si>
  <si>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</si>
  <si>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</si>
  <si>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</si>
  <si>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</si>
  <si>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</si>
  <si>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</si>
  <si>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</si>
  <si>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</si>
  <si>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Invest</t>
  </si>
  <si>
    <t>Amount</t>
  </si>
  <si>
    <t>Investing</t>
  </si>
  <si>
    <t>Points to Science</t>
  </si>
  <si>
    <t>Points to Keep</t>
  </si>
  <si>
    <t>Points to Towers</t>
  </si>
  <si>
    <t>Points to Forges</t>
  </si>
  <si>
    <t>Points to Walls</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</si>
  <si>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</si>
  <si>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</si>
  <si>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</si>
  <si>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</si>
  <si>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</si>
  <si>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</si>
  <si>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</si>
  <si>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</si>
  <si>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</si>
  <si>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</si>
  <si>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</si>
  <si>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</si>
  <si>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</si>
  <si>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</si>
  <si>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</si>
  <si>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</si>
  <si>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</si>
  <si>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</si>
  <si>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</si>
  <si>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</si>
  <si>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</si>
  <si>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</si>
  <si>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</si>
  <si>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</si>
  <si>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</si>
  <si>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</si>
  <si>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</si>
  <si>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</si>
  <si>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</si>
  <si>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</si>
  <si>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</si>
  <si>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</si>
  <si>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</si>
  <si>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</si>
  <si>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</si>
  <si>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</si>
  <si>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</si>
  <si>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</si>
  <si>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</si>
  <si>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</si>
  <si>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</si>
  <si>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</si>
  <si>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</si>
  <si>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</si>
  <si>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</si>
  <si>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</si>
  <si>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</si>
  <si>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</si>
  <si>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</si>
  <si>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</si>
  <si>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</si>
  <si>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</si>
  <si>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</si>
  <si>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</si>
  <si>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</si>
  <si>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</si>
  <si>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</si>
  <si>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</si>
  <si>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</si>
  <si>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</si>
  <si>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</si>
  <si>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</si>
  <si>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</si>
  <si>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</si>
  <si>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</si>
  <si>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</si>
  <si>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</si>
  <si>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</si>
  <si>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</si>
  <si>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</si>
  <si>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</si>
  <si>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</si>
  <si>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</si>
  <si>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</si>
  <si>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</si>
  <si>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</si>
  <si>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</si>
  <si>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</si>
  <si>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</si>
  <si>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</si>
  <si>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</si>
  <si>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</si>
  <si>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</si>
  <si>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</si>
  <si>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</si>
  <si>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</si>
  <si>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</si>
  <si>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</si>
  <si>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</si>
  <si>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</si>
  <si>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</si>
  <si>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</si>
  <si>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</si>
  <si>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</si>
  <si>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</si>
  <si>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</si>
  <si>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</si>
  <si>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</si>
  <si>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</si>
  <si>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</si>
  <si>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</si>
  <si>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</si>
  <si>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</si>
  <si>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</si>
  <si>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</si>
  <si>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</si>
  <si>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</si>
  <si>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</si>
  <si>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</si>
  <si>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</si>
  <si>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</si>
  <si>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</si>
  <si>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</si>
  <si>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</si>
  <si>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</si>
  <si>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</si>
  <si>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</si>
  <si>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</si>
  <si>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</si>
  <si>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</si>
  <si>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Salamander</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</si>
  <si>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</si>
  <si>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</si>
  <si>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</si>
  <si>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</si>
  <si>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</si>
  <si>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</si>
  <si>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</si>
  <si>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</si>
  <si>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</si>
  <si>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</si>
  <si>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</si>
  <si>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</si>
  <si>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</si>
  <si>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</si>
  <si>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</si>
  <si>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</si>
  <si>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</si>
  <si>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</si>
  <si>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</si>
  <si>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</si>
  <si>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</si>
  <si>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</si>
  <si>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</si>
  <si>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</si>
  <si>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</si>
  <si>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</si>
  <si>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</si>
  <si>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</si>
  <si>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</si>
  <si>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</si>
  <si>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</si>
  <si>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</si>
  <si>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</si>
  <si>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</si>
  <si>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</si>
  <si>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</si>
  <si>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</si>
  <si>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</si>
  <si>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</si>
  <si>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</si>
  <si>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</si>
  <si>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</si>
  <si>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</si>
  <si>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</si>
  <si>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</si>
  <si>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</si>
  <si>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</si>
  <si>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</si>
  <si>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</si>
  <si>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</si>
  <si>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</si>
  <si>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</si>
  <si>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</si>
  <si>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</si>
  <si>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</si>
  <si>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</si>
  <si>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</si>
  <si>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</si>
  <si>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</si>
  <si>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</si>
  <si>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</si>
  <si>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</si>
  <si>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</si>
  <si>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</si>
  <si>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</si>
  <si>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</si>
  <si>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</si>
  <si>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</si>
  <si>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</si>
  <si>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</si>
  <si>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</si>
  <si>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</si>
  <si>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</si>
  <si>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</si>
  <si>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</si>
  <si>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</si>
  <si>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</si>
  <si>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</si>
  <si>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</si>
  <si>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</si>
  <si>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</si>
  <si>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</si>
  <si>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</si>
  <si>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</si>
  <si>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</si>
  <si>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</si>
  <si>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</si>
  <si>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</si>
  <si>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</si>
  <si>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</si>
  <si>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</si>
  <si>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</si>
  <si>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</si>
  <si>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</si>
  <si>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</si>
  <si>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</si>
  <si>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</si>
  <si>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</si>
  <si>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</si>
  <si>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</si>
  <si>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</si>
  <si>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</si>
  <si>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</si>
  <si>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</si>
  <si>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</si>
  <si>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</si>
  <si>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</si>
  <si>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</si>
  <si>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</si>
  <si>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</si>
  <si>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</si>
  <si>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</si>
  <si>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</si>
  <si>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</si>
  <si>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</si>
  <si>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</si>
  <si>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</si>
  <si>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</si>
  <si>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</si>
  <si>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</si>
  <si>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</si>
  <si>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</si>
  <si>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</si>
  <si>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</si>
  <si>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</si>
  <si>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</si>
  <si>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</si>
  <si>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</si>
  <si>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</si>
  <si>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</si>
  <si>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</si>
  <si>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</si>
  <si>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</si>
  <si>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</si>
  <si>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</si>
  <si>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</si>
  <si>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</si>
  <si>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</si>
  <si>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</si>
  <si>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</si>
  <si>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</si>
  <si>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</si>
  <si>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</si>
  <si>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</si>
  <si>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</si>
  <si>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</si>
  <si>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</si>
  <si>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</si>
  <si>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</si>
  <si>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</si>
  <si>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</si>
  <si>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</si>
  <si>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</si>
  <si>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</si>
  <si>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</si>
  <si>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</si>
  <si>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</si>
  <si>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</si>
  <si>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</si>
  <si>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</si>
  <si>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</si>
  <si>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</si>
  <si>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</si>
  <si>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</si>
  <si>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</si>
  <si>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</si>
  <si>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</si>
  <si>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</si>
  <si>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</si>
  <si>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</si>
  <si>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</si>
  <si>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</si>
  <si>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</si>
  <si>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</si>
  <si>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</si>
  <si>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</si>
  <si>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</si>
  <si>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</si>
  <si>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</si>
  <si>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</si>
  <si>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</si>
  <si>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</si>
  <si>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</si>
  <si>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</si>
  <si>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</si>
  <si>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</si>
  <si>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</si>
  <si>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</si>
  <si>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</si>
  <si>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</si>
  <si>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</si>
  <si>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</si>
  <si>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</si>
  <si>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</si>
  <si>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</si>
  <si>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</si>
  <si>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</si>
  <si>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</si>
  <si>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</si>
  <si>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</si>
  <si>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</si>
  <si>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</si>
  <si>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</si>
  <si>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</si>
  <si>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</si>
  <si>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</si>
  <si>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</si>
  <si>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</si>
  <si>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</si>
  <si>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</si>
  <si>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</si>
  <si>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</si>
  <si>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</si>
  <si>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</si>
  <si>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</si>
  <si>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</si>
  <si>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</si>
  <si>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</si>
  <si>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</si>
  <si>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</si>
  <si>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</si>
  <si>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</si>
  <si>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</si>
  <si>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</si>
  <si>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</si>
  <si>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</si>
  <si>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</si>
  <si>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</si>
  <si>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</si>
  <si>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</si>
  <si>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</si>
  <si>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</si>
  <si>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</si>
  <si>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</si>
  <si>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</si>
  <si>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</si>
  <si>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</si>
  <si>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</si>
  <si>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</si>
  <si>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</si>
  <si>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</si>
  <si>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</si>
  <si>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</si>
  <si>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</si>
  <si>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</si>
  <si>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</si>
  <si>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</si>
  <si>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</si>
  <si>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</si>
  <si>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</si>
  <si>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</si>
  <si>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</si>
  <si>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</si>
  <si>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</si>
  <si>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</si>
  <si>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</si>
  <si>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</si>
  <si>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</si>
  <si>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</si>
  <si>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</si>
  <si>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</si>
  <si>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</si>
  <si>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</si>
  <si>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</si>
  <si>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</si>
  <si>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</si>
  <si>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</si>
  <si>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</si>
  <si>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</si>
  <si>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</si>
  <si>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</si>
  <si>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</si>
  <si>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</si>
  <si>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</si>
  <si>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</si>
  <si>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</si>
  <si>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</si>
  <si>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</si>
  <si>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</si>
  <si>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</si>
  <si>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</si>
  <si>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</si>
  <si>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</si>
  <si>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</si>
  <si>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</si>
  <si>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</si>
  <si>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</si>
  <si>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</si>
  <si>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</si>
  <si>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</si>
  <si>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</si>
  <si>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</si>
  <si>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</si>
  <si>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</si>
  <si>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</si>
  <si>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</si>
  <si>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</si>
  <si>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</si>
  <si>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</si>
  <si>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</si>
  <si>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</si>
  <si>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</si>
  <si>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</si>
  <si>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</si>
  <si>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</si>
  <si>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</si>
  <si>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</si>
  <si>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</si>
  <si>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</si>
  <si>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</si>
  <si>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</si>
  <si>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</si>
  <si>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</si>
  <si>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</si>
  <si>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</si>
  <si>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</si>
  <si>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</si>
  <si>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</si>
  <si>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</si>
  <si>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</si>
  <si>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</si>
  <si>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</si>
  <si>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</si>
  <si>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</si>
  <si>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</si>
  <si>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</si>
  <si>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</si>
  <si>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</si>
  <si>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</si>
  <si>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</si>
  <si>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</si>
  <si>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</si>
  <si>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</si>
  <si>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</si>
  <si>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</si>
  <si>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</si>
  <si>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</si>
  <si>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</si>
  <si>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</si>
  <si>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</si>
  <si>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</si>
  <si>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</si>
  <si>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New imps</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</si>
  <si>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</si>
  <si>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</si>
  <si>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</si>
  <si>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</si>
  <si>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</si>
  <si>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</si>
  <si>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</si>
  <si>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</si>
  <si>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</si>
  <si>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</si>
  <si>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</si>
  <si>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</si>
  <si>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</si>
  <si>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</si>
  <si>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</si>
  <si>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</si>
  <si>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</si>
  <si>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</si>
  <si>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</si>
  <si>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</si>
  <si>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</si>
  <si>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</si>
  <si>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</si>
  <si>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</si>
  <si>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</si>
  <si>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</si>
  <si>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</si>
  <si>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</si>
  <si>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</si>
  <si>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</si>
  <si>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</si>
  <si>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</si>
  <si>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</si>
  <si>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</si>
  <si>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</si>
  <si>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</si>
  <si>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</si>
  <si>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</si>
  <si>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</si>
  <si>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</si>
  <si>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</si>
  <si>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</si>
  <si>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</si>
  <si>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</si>
  <si>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</si>
  <si>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</si>
  <si>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</si>
  <si>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</si>
  <si>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</si>
  <si>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</si>
  <si>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</si>
  <si>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</si>
  <si>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</si>
  <si>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Snow Elves not yet implemented</t>
  </si>
  <si>
    <t>Networth values not accurate</t>
  </si>
  <si>
    <t>Lux spell and training - In Progress</t>
  </si>
  <si>
    <t>Impaler</t>
  </si>
  <si>
    <t>ODA Round 8</t>
  </si>
  <si>
    <t>Starting ticks late</t>
  </si>
  <si>
    <t>Halfling/Norse</t>
  </si>
  <si>
    <t>Frenzy/Fimbulwinter</t>
  </si>
  <si>
    <t>Tick</t>
  </si>
  <si>
    <t>tick</t>
  </si>
  <si>
    <t>Tick 1:</t>
  </si>
  <si>
    <t>Current Tick</t>
  </si>
  <si>
    <t>Armory</t>
  </si>
  <si>
    <t>Points to Armory</t>
  </si>
  <si>
    <t>Infirmary</t>
  </si>
  <si>
    <t>Harbor</t>
  </si>
  <si>
    <t>Points to Harbor</t>
  </si>
  <si>
    <t>Points to Infirmary</t>
  </si>
  <si>
    <t>Harbor/Towers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</si>
</sst>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2" x14ac:knownFonts="1">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
      <strike/>
      <sz val="10"/>
      <name val="Arial"/>
      <family val="2"/>
    </font>
    <font>
      <sz val="10"/>
      <color rgb="FF000000"/>
      <name val="Arial"/>
      <family val="2"/>
    </font>
    <font>
      <sz val="14"/>
      <color rgb="FF000000"/>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23">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7"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8"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19"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19"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19"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8" fillId="2" borderId="23" xfId="0" applyNumberFormat="1" applyFont="1" applyFill="1" applyBorder="1"/>
    <xf numFmtId="0" fontId="19" fillId="2" borderId="0" xfId="0" applyFont="1" applyFill="1" applyBorder="1" applyAlignment="1"/>
    <xf numFmtId="0" fontId="20" fillId="2" borderId="23" xfId="0" applyNumberFormat="1" applyFont="1" applyFill="1" applyBorder="1"/>
    <xf numFmtId="0" fontId="18" fillId="2" borderId="23" xfId="0" applyFont="1" applyFill="1" applyBorder="1"/>
    <xf numFmtId="0" fontId="19"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8" fillId="13" borderId="84" xfId="0" applyNumberFormat="1" applyFont="1" applyFill="1" applyBorder="1" applyAlignment="1">
      <alignment horizontal="left"/>
    </xf>
    <xf numFmtId="0" fontId="18" fillId="13" borderId="83" xfId="0" applyNumberFormat="1" applyFont="1" applyFill="1" applyBorder="1" applyAlignment="1">
      <alignment horizontal="right"/>
    </xf>
    <xf numFmtId="49" fontId="4" fillId="0" borderId="0" xfId="0" applyNumberFormat="1" applyFont="1" applyAlignment="1">
      <alignment horizontal="center"/>
    </xf>
    <xf numFmtId="0" fontId="19" fillId="2" borderId="35" xfId="0" applyFont="1" applyFill="1" applyBorder="1" applyAlignment="1">
      <alignment horizontal="center"/>
    </xf>
    <xf numFmtId="0" fontId="19"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19"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19"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19" fillId="0" borderId="6" xfId="0" applyFont="1" applyFill="1" applyBorder="1" applyAlignment="1"/>
    <xf numFmtId="0" fontId="18" fillId="0" borderId="6" xfId="0" applyNumberFormat="1" applyFont="1" applyFill="1" applyBorder="1" applyAlignment="1"/>
    <xf numFmtId="0" fontId="20" fillId="0" borderId="6" xfId="0" applyNumberFormat="1" applyFont="1" applyFill="1" applyBorder="1" applyAlignment="1"/>
    <xf numFmtId="0" fontId="18" fillId="0" borderId="6" xfId="0" applyFont="1" applyFill="1" applyBorder="1" applyAlignment="1"/>
    <xf numFmtId="0" fontId="19"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6"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8" fillId="0" borderId="0" xfId="4" applyFont="1"/>
    <xf numFmtId="1" fontId="28" fillId="0" borderId="0" xfId="4" applyNumberFormat="1" applyFont="1"/>
    <xf numFmtId="0" fontId="28" fillId="0" borderId="0" xfId="4" applyFont="1" applyFill="1"/>
    <xf numFmtId="1" fontId="28" fillId="0" borderId="0" xfId="4" applyNumberFormat="1" applyFont="1" applyFill="1"/>
    <xf numFmtId="0" fontId="28" fillId="0" borderId="0" xfId="3" applyFont="1" applyFill="1"/>
    <xf numFmtId="0" fontId="28"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8" fillId="0" borderId="0" xfId="0" applyFont="1"/>
    <xf numFmtId="0" fontId="28" fillId="0" borderId="0" xfId="0" applyFont="1" applyBorder="1"/>
    <xf numFmtId="0" fontId="28" fillId="0" borderId="0" xfId="0" applyNumberFormat="1" applyFont="1"/>
    <xf numFmtId="0" fontId="28" fillId="0" borderId="0" xfId="0" applyFont="1" applyFill="1" applyBorder="1"/>
    <xf numFmtId="0" fontId="28" fillId="0" borderId="0" xfId="0" applyFont="1" applyFill="1"/>
    <xf numFmtId="0" fontId="28" fillId="0" borderId="0" xfId="0" applyNumberFormat="1" applyFont="1" applyFill="1"/>
    <xf numFmtId="0" fontId="12" fillId="0" borderId="0" xfId="0" applyFont="1" applyFill="1"/>
    <xf numFmtId="0" fontId="2" fillId="0" borderId="0" xfId="0" applyFont="1" applyFill="1"/>
    <xf numFmtId="0" fontId="28" fillId="0" borderId="0" xfId="0" applyNumberFormat="1" applyFont="1" applyFill="1" applyAlignment="1">
      <alignment horizontal="right"/>
    </xf>
    <xf numFmtId="0" fontId="28" fillId="0" borderId="0" xfId="0" applyNumberFormat="1" applyFont="1" applyFill="1" applyAlignment="1">
      <alignment horizontal="left"/>
    </xf>
    <xf numFmtId="0" fontId="28" fillId="0" borderId="0" xfId="0" applyNumberFormat="1" applyFont="1" applyFill="1" applyAlignment="1"/>
    <xf numFmtId="0" fontId="4" fillId="0" borderId="0" xfId="0" applyFont="1" applyAlignment="1">
      <alignment horizontal="center"/>
    </xf>
    <xf numFmtId="0" fontId="2" fillId="0" borderId="79" xfId="0" applyFont="1" applyFill="1" applyBorder="1"/>
    <xf numFmtId="49" fontId="29" fillId="0" borderId="91" xfId="0" applyNumberFormat="1" applyFont="1" applyBorder="1" applyAlignment="1">
      <alignment horizontal="center"/>
    </xf>
    <xf numFmtId="0" fontId="0" fillId="0" borderId="7" xfId="0" applyBorder="1" applyAlignment="1">
      <alignment horizontal="center"/>
    </xf>
    <xf numFmtId="49" fontId="0" fillId="0" borderId="91" xfId="0" applyNumberFormat="1" applyBorder="1" applyAlignment="1">
      <alignment horizontal="center"/>
    </xf>
    <xf numFmtId="0" fontId="0" fillId="2" borderId="0" xfId="0" applyFill="1" applyBorder="1" applyAlignment="1">
      <alignment horizontal="center"/>
    </xf>
    <xf numFmtId="0" fontId="0" fillId="2" borderId="4" xfId="0" quotePrefix="1" applyFill="1" applyBorder="1" applyAlignment="1">
      <alignment horizontal="center"/>
    </xf>
    <xf numFmtId="49" fontId="2" fillId="0" borderId="90" xfId="0" applyNumberFormat="1" applyFont="1" applyBorder="1" applyAlignment="1">
      <alignment horizontal="center"/>
    </xf>
    <xf numFmtId="49" fontId="2" fillId="0" borderId="106" xfId="0" applyNumberFormat="1" applyFont="1" applyBorder="1" applyAlignment="1">
      <alignment horizontal="center"/>
    </xf>
    <xf numFmtId="49" fontId="2" fillId="0" borderId="0" xfId="0" applyNumberFormat="1" applyFont="1" applyAlignment="1">
      <alignment horizontal="center"/>
    </xf>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11" xfId="0" applyFont="1" applyBorder="1" applyAlignment="1">
      <alignment horizontal="center"/>
    </xf>
    <xf numFmtId="0" fontId="0" fillId="0" borderId="3" xfId="0" applyBorder="1" applyAlignment="1">
      <alignment horizontal="center"/>
    </xf>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5" fillId="12" borderId="108" xfId="0" applyFont="1" applyFill="1" applyBorder="1" applyAlignment="1"/>
    <xf numFmtId="0" fontId="0" fillId="12" borderId="99" xfId="0" applyFill="1" applyBorder="1" applyAlignment="1"/>
    <xf numFmtId="0" fontId="0" fillId="12" borderId="109" xfId="0" applyFill="1" applyBorder="1" applyAlignment="1"/>
    <xf numFmtId="0" fontId="16"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7" fillId="0" borderId="6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2" xfId="0" applyFont="1" applyFill="1" applyBorder="1" applyAlignment="1">
      <alignment horizontal="center" vertical="center"/>
    </xf>
    <xf numFmtId="0" fontId="27" fillId="0" borderId="23"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9" xfId="0" applyFont="1" applyFill="1" applyBorder="1" applyAlignment="1">
      <alignment horizontal="center" vertical="center"/>
    </xf>
    <xf numFmtId="0" fontId="27" fillId="0" borderId="95" xfId="0" applyFont="1" applyFill="1" applyBorder="1" applyAlignment="1">
      <alignment horizontal="center" vertical="center"/>
    </xf>
    <xf numFmtId="0" fontId="27" fillId="0" borderId="91" xfId="0" applyFont="1" applyFill="1" applyBorder="1" applyAlignment="1">
      <alignment horizontal="center" vertical="center"/>
    </xf>
    <xf numFmtId="0" fontId="27"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4" fillId="2" borderId="0" xfId="0" applyFont="1" applyFill="1" applyAlignment="1">
      <alignment horizontal="center"/>
    </xf>
    <xf numFmtId="0" fontId="24" fillId="2" borderId="39" xfId="0" applyFont="1" applyFill="1" applyBorder="1" applyAlignment="1">
      <alignment horizontal="center"/>
    </xf>
    <xf numFmtId="0" fontId="23" fillId="2" borderId="107" xfId="0" applyFont="1" applyFill="1" applyBorder="1" applyAlignment="1">
      <alignment horizontal="center" vertical="top"/>
    </xf>
    <xf numFmtId="0" fontId="23" fillId="2" borderId="35" xfId="0" applyFont="1" applyFill="1" applyBorder="1" applyAlignment="1">
      <alignment horizontal="center" vertical="top"/>
    </xf>
    <xf numFmtId="0" fontId="23" fillId="2" borderId="62" xfId="0" applyFont="1" applyFill="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8" fillId="0" borderId="0" xfId="0" quotePrefix="1" applyFont="1" applyAlignment="1">
      <alignment horizontal="center"/>
    </xf>
    <xf numFmtId="0" fontId="3" fillId="0" borderId="2" xfId="0" applyFont="1" applyBorder="1" applyAlignment="1"/>
    <xf numFmtId="0" fontId="0" fillId="0" borderId="10" xfId="0" applyBorder="1" applyAlignment="1"/>
    <xf numFmtId="0" fontId="0" fillId="0" borderId="12" xfId="0" applyBorder="1" applyAlignment="1"/>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9" xfId="0" applyFill="1" applyBorder="1" applyAlignment="1">
      <alignment horizontal="center"/>
    </xf>
    <xf numFmtId="0" fontId="0" fillId="0" borderId="2" xfId="0" applyBorder="1" applyAlignment="1">
      <alignment horizontal="center"/>
    </xf>
    <xf numFmtId="0" fontId="0" fillId="2" borderId="3" xfId="0" applyFill="1" applyBorder="1" applyAlignment="1">
      <alignment horizontal="center"/>
    </xf>
    <xf numFmtId="0" fontId="0" fillId="0" borderId="3" xfId="0" applyBorder="1"/>
    <xf numFmtId="0" fontId="4" fillId="0" borderId="0" xfId="0" applyFont="1" applyBorder="1" applyAlignment="1">
      <alignment horizontal="center"/>
    </xf>
    <xf numFmtId="0" fontId="4" fillId="0" borderId="6" xfId="0" applyFont="1" applyBorder="1" applyAlignment="1">
      <alignment horizontal="center"/>
    </xf>
    <xf numFmtId="0" fontId="0" fillId="2" borderId="0" xfId="0" applyFill="1" applyBorder="1" applyAlignment="1">
      <alignment horizontal="center"/>
    </xf>
    <xf numFmtId="0" fontId="0" fillId="2" borderId="0" xfId="0" applyFill="1" applyBorder="1" applyAlignment="1"/>
    <xf numFmtId="0" fontId="0" fillId="2" borderId="4" xfId="0" quotePrefix="1" applyFill="1" applyBorder="1" applyAlignment="1">
      <alignment horizontal="center"/>
    </xf>
    <xf numFmtId="0" fontId="0" fillId="2" borderId="1" xfId="0" applyFill="1" applyBorder="1" applyAlignment="1"/>
    <xf numFmtId="0" fontId="0" fillId="2" borderId="1" xfId="0" applyFill="1" applyBorder="1" applyAlignment="1">
      <alignment horizontal="center"/>
    </xf>
    <xf numFmtId="0" fontId="0" fillId="2" borderId="2" xfId="0" applyFill="1" applyBorder="1" applyAlignment="1"/>
    <xf numFmtId="0" fontId="0" fillId="2" borderId="6" xfId="0" applyFill="1" applyBorder="1" applyAlignment="1">
      <alignment horizontal="center"/>
    </xf>
    <xf numFmtId="0" fontId="0" fillId="2" borderId="6" xfId="0" quotePrefix="1" applyFill="1" applyBorder="1" applyAlignment="1">
      <alignment horizontal="center"/>
    </xf>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0" borderId="1" xfId="0" applyBorder="1" applyAlignment="1"/>
    <xf numFmtId="0" fontId="0" fillId="2" borderId="1" xfId="0" quotePrefix="1"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center"/>
    </xf>
    <xf numFmtId="3" fontId="3" fillId="0" borderId="1" xfId="2" applyNumberFormat="1" applyFont="1" applyBorder="1"/>
    <xf numFmtId="0" fontId="2" fillId="0" borderId="2" xfId="0" applyFont="1" applyBorder="1"/>
    <xf numFmtId="0" fontId="2" fillId="0" borderId="1" xfId="0" applyFont="1" applyBorder="1"/>
    <xf numFmtId="49" fontId="2" fillId="10" borderId="101" xfId="0" applyNumberFormat="1" applyFont="1" applyFill="1" applyBorder="1"/>
    <xf numFmtId="49" fontId="2" fillId="10" borderId="0" xfId="0" applyNumberFormat="1" applyFont="1" applyFill="1" applyBorder="1"/>
    <xf numFmtId="49" fontId="2" fillId="10" borderId="59" xfId="0" applyNumberFormat="1" applyFont="1" applyFill="1" applyBorder="1"/>
    <xf numFmtId="49" fontId="2" fillId="10" borderId="3" xfId="0" applyNumberFormat="1" applyFont="1" applyFill="1" applyBorder="1"/>
    <xf numFmtId="10" fontId="3" fillId="0" borderId="13" xfId="2" applyNumberFormat="1" applyFont="1" applyBorder="1" applyAlignment="1">
      <alignment horizontal="center"/>
    </xf>
    <xf numFmtId="10" fontId="3" fillId="0" borderId="0" xfId="2" applyNumberFormat="1" applyFont="1" applyBorder="1" applyAlignment="1">
      <alignment horizontal="center"/>
    </xf>
    <xf numFmtId="10" fontId="0" fillId="0" borderId="0" xfId="2" applyNumberFormat="1" applyFont="1" applyBorder="1" applyAlignment="1">
      <alignment horizontal="center"/>
    </xf>
    <xf numFmtId="10" fontId="3" fillId="0" borderId="1" xfId="2" applyNumberFormat="1" applyFont="1" applyBorder="1" applyAlignment="1">
      <alignment horizontal="center"/>
    </xf>
    <xf numFmtId="10" fontId="3" fillId="14" borderId="72" xfId="2" applyNumberFormat="1" applyFont="1" applyFill="1" applyBorder="1" applyAlignment="1">
      <alignment horizontal="center"/>
    </xf>
    <xf numFmtId="10" fontId="0" fillId="0" borderId="14" xfId="2" applyNumberFormat="1" applyFont="1" applyBorder="1" applyAlignment="1">
      <alignment horizontal="center"/>
    </xf>
    <xf numFmtId="10" fontId="0" fillId="0" borderId="15" xfId="2" quotePrefix="1" applyNumberFormat="1" applyFont="1" applyBorder="1" applyAlignment="1">
      <alignment horizontal="center"/>
    </xf>
    <xf numFmtId="10" fontId="0" fillId="0" borderId="28" xfId="2" applyNumberFormat="1" applyFont="1" applyBorder="1" applyAlignment="1">
      <alignment horizontal="center"/>
    </xf>
    <xf numFmtId="10" fontId="3" fillId="0" borderId="28" xfId="2" applyNumberFormat="1" applyFont="1" applyBorder="1" applyAlignment="1">
      <alignment horizontal="center"/>
    </xf>
  </cellXfs>
  <cellStyles count="8">
    <cellStyle name="Comma 2" xfId="5" xr:uid="{00000000-0005-0000-0000-000001000000}"/>
    <cellStyle name="Komma" xfId="1" builtinId="3"/>
    <cellStyle name="Normal 2" xfId="4" xr:uid="{00000000-0005-0000-0000-000003000000}"/>
    <cellStyle name="Normal 2 2" xfId="7" xr:uid="{00000000-0005-0000-0000-000004000000}"/>
    <cellStyle name="Normal 3" xfId="3" xr:uid="{00000000-0005-0000-0000-000005000000}"/>
    <cellStyle name="Percent 2" xfId="6" xr:uid="{00000000-0005-0000-0000-000007000000}"/>
    <cellStyle name="Procent" xfId="2" builtinId="5"/>
    <cellStyle name="Standaard" xfId="0" builtinId="0"/>
  </cellStyles>
  <dxfs count="270">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6"/>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condense val="0"/>
        <extend val="0"/>
        <color indexed="50"/>
      </font>
    </dxf>
    <dxf>
      <font>
        <b val="0"/>
        <i val="0"/>
        <condense val="0"/>
        <extend val="0"/>
        <color indexed="10"/>
      </font>
      <fill>
        <patternFill patternType="none">
          <bgColor indexed="65"/>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10"/>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66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CheckBox" fmlaLink="L10" lockText="1" noThreeD="1"/>
</file>

<file path=xl/ctrlProps/ctrlProp101.xml><?xml version="1.0" encoding="utf-8"?>
<formControlPr xmlns="http://schemas.microsoft.com/office/spreadsheetml/2009/9/main" objectType="CheckBox" fmlaLink="L16" lockText="1" noThreeD="1"/>
</file>

<file path=xl/ctrlProps/ctrlProp102.xml><?xml version="1.0" encoding="utf-8"?>
<formControlPr xmlns="http://schemas.microsoft.com/office/spreadsheetml/2009/9/main" objectType="CheckBox" fmlaLink="L17" lockText="1" noThreeD="1"/>
</file>

<file path=xl/ctrlProps/ctrlProp103.xml><?xml version="1.0" encoding="utf-8"?>
<formControlPr xmlns="http://schemas.microsoft.com/office/spreadsheetml/2009/9/main" objectType="CheckBox" fmlaLink="L18" lockText="1" noThreeD="1"/>
</file>

<file path=xl/ctrlProps/ctrlProp104.xml><?xml version="1.0" encoding="utf-8"?>
<formControlPr xmlns="http://schemas.microsoft.com/office/spreadsheetml/2009/9/main" objectType="CheckBox" fmlaLink="G9" lockText="1" noThreeD="1"/>
</file>

<file path=xl/ctrlProps/ctrlProp105.xml><?xml version="1.0" encoding="utf-8"?>
<formControlPr xmlns="http://schemas.microsoft.com/office/spreadsheetml/2009/9/main" objectType="CheckBox" fmlaLink="F13" lockText="1" noThreeD="1"/>
</file>

<file path=xl/ctrlProps/ctrlProp106.xml><?xml version="1.0" encoding="utf-8"?>
<formControlPr xmlns="http://schemas.microsoft.com/office/spreadsheetml/2009/9/main" objectType="CheckBox" fmlaLink="G17" lockText="1" noThreeD="1"/>
</file>

<file path=xl/ctrlProps/ctrlProp107.xml><?xml version="1.0" encoding="utf-8"?>
<formControlPr xmlns="http://schemas.microsoft.com/office/spreadsheetml/2009/9/main" objectType="CheckBox" fmlaLink="L21" lockText="1" noThreeD="1"/>
</file>

<file path=xl/ctrlProps/ctrlProp108.xml><?xml version="1.0" encoding="utf-8"?>
<formControlPr xmlns="http://schemas.microsoft.com/office/spreadsheetml/2009/9/main" objectType="CheckBox" fmlaLink="O17" lockText="1" noThreeD="1"/>
</file>

<file path=xl/ctrlProps/ctrlProp109.xml><?xml version="1.0" encoding="utf-8"?>
<formControlPr xmlns="http://schemas.microsoft.com/office/spreadsheetml/2009/9/main" objectType="CheckBox" fmlaLink="P13"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CheckBox" fmlaLink="O9" lockText="1" noThreeD="1"/>
</file>

<file path=xl/ctrlProps/ctrlProp111.xml><?xml version="1.0" encoding="utf-8"?>
<formControlPr xmlns="http://schemas.microsoft.com/office/spreadsheetml/2009/9/main" objectType="CheckBox" fmlaLink="L13" lockText="1" noThreeD="1"/>
</file>

<file path=xl/ctrlProps/ctrlProp112.xml><?xml version="1.0" encoding="utf-8"?>
<formControlPr xmlns="http://schemas.microsoft.com/office/spreadsheetml/2009/9/main" objectType="CheckBox" fmlaLink="L5"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fmlaLink="$A$3"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CheckBox" fmlaLink="I4" lockText="1" noThreeD="1"/>
</file>

<file path=xl/ctrlProps/ctrlProp87.xml><?xml version="1.0" encoding="utf-8"?>
<formControlPr xmlns="http://schemas.microsoft.com/office/spreadsheetml/2009/9/main" objectType="CheckBox" fmlaLink="I5" lockText="1" noThreeD="1"/>
</file>

<file path=xl/ctrlProps/ctrlProp88.xml><?xml version="1.0" encoding="utf-8"?>
<formControlPr xmlns="http://schemas.microsoft.com/office/spreadsheetml/2009/9/main" objectType="CheckBox" fmlaLink="I6" lockText="1" noThreeD="1"/>
</file>

<file path=xl/ctrlProps/ctrlProp89.xml><?xml version="1.0" encoding="utf-8"?>
<formControlPr xmlns="http://schemas.microsoft.com/office/spreadsheetml/2009/9/main" objectType="CheckBox" fmlaLink="F20"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CheckBox" fmlaLink="F21" lockText="1" noThreeD="1"/>
</file>

<file path=xl/ctrlProps/ctrlProp91.xml><?xml version="1.0" encoding="utf-8"?>
<formControlPr xmlns="http://schemas.microsoft.com/office/spreadsheetml/2009/9/main" objectType="CheckBox" fmlaLink="F22" lockText="1" noThreeD="1"/>
</file>

<file path=xl/ctrlProps/ctrlProp92.xml><?xml version="1.0" encoding="utf-8"?>
<formControlPr xmlns="http://schemas.microsoft.com/office/spreadsheetml/2009/9/main" objectType="CheckBox" fmlaLink="P20" lockText="1" noThreeD="1"/>
</file>

<file path=xl/ctrlProps/ctrlProp93.xml><?xml version="1.0" encoding="utf-8"?>
<formControlPr xmlns="http://schemas.microsoft.com/office/spreadsheetml/2009/9/main" objectType="CheckBox" fmlaLink="P21" lockText="1" noThreeD="1"/>
</file>

<file path=xl/ctrlProps/ctrlProp94.xml><?xml version="1.0" encoding="utf-8"?>
<formControlPr xmlns="http://schemas.microsoft.com/office/spreadsheetml/2009/9/main" objectType="CheckBox" fmlaLink="P22" lockText="1" noThreeD="1"/>
</file>

<file path=xl/ctrlProps/ctrlProp95.xml><?xml version="1.0" encoding="utf-8"?>
<formControlPr xmlns="http://schemas.microsoft.com/office/spreadsheetml/2009/9/main" objectType="CheckBox" fmlaLink="T4" lockText="1" noThreeD="1"/>
</file>

<file path=xl/ctrlProps/ctrlProp96.xml><?xml version="1.0" encoding="utf-8"?>
<formControlPr xmlns="http://schemas.microsoft.com/office/spreadsheetml/2009/9/main" objectType="CheckBox" fmlaLink="T5" lockText="1" noThreeD="1"/>
</file>

<file path=xl/ctrlProps/ctrlProp97.xml><?xml version="1.0" encoding="utf-8"?>
<formControlPr xmlns="http://schemas.microsoft.com/office/spreadsheetml/2009/9/main" objectType="CheckBox" fmlaLink="T6" lockText="1" noThreeD="1"/>
</file>

<file path=xl/ctrlProps/ctrlProp98.xml><?xml version="1.0" encoding="utf-8"?>
<formControlPr xmlns="http://schemas.microsoft.com/office/spreadsheetml/2009/9/main" objectType="CheckBox" fmlaLink="L8" lockText="1" noThreeD="1"/>
</file>

<file path=xl/ctrlProps/ctrlProp99.xml><?xml version="1.0" encoding="utf-8"?>
<formControlPr xmlns="http://schemas.microsoft.com/office/spreadsheetml/2009/9/main" objectType="CheckBox" fmlaLink="L9" lockText="1" noThreeD="1"/>
</file>

<file path=xl/drawings/_rels/vmlDrawing7.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228600</xdr:colOff>
          <xdr:row>14</xdr:row>
          <xdr:rowOff>137160</xdr:rowOff>
        </xdr:from>
        <xdr:to>
          <xdr:col>6</xdr:col>
          <xdr:colOff>419100</xdr:colOff>
          <xdr:row>16</xdr:row>
          <xdr:rowOff>99060</xdr:rowOff>
        </xdr:to>
        <xdr:sp macro="" textlink="">
          <xdr:nvSpPr>
            <xdr:cNvPr id="3088" name="Button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nl-NL" sz="1000" b="0" i="0" u="none" strike="noStrike" baseline="0">
                  <a:solidFill>
                    <a:srgbClr val="000000"/>
                  </a:solidFill>
                  <a:latin typeface="Arial"/>
                  <a:cs typeface="Arial"/>
                </a:rPr>
                <a:t>Clear sim</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a:extLst>
            <a:ext uri="{FF2B5EF4-FFF2-40B4-BE49-F238E27FC236}">
              <a16:creationId xmlns:a16="http://schemas.microsoft.com/office/drawing/2014/main" id="{00000000-0008-0000-0800-0000C5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a:extLst>
            <a:ext uri="{FF2B5EF4-FFF2-40B4-BE49-F238E27FC236}">
              <a16:creationId xmlns:a16="http://schemas.microsoft.com/office/drawing/2014/main" id="{00000000-0008-0000-0800-0000C6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a:extLst>
            <a:ext uri="{FF2B5EF4-FFF2-40B4-BE49-F238E27FC236}">
              <a16:creationId xmlns:a16="http://schemas.microsoft.com/office/drawing/2014/main" id="{00000000-0008-0000-0800-0000C7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a:extLst>
            <a:ext uri="{FF2B5EF4-FFF2-40B4-BE49-F238E27FC236}">
              <a16:creationId xmlns:a16="http://schemas.microsoft.com/office/drawing/2014/main" id="{00000000-0008-0000-0800-0000C8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a:extLst>
            <a:ext uri="{FF2B5EF4-FFF2-40B4-BE49-F238E27FC236}">
              <a16:creationId xmlns:a16="http://schemas.microsoft.com/office/drawing/2014/main" id="{00000000-0008-0000-0800-0000C94C0000}"/>
            </a:ext>
          </a:extLst>
        </xdr:cNvPr>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a:extLst>
            <a:ext uri="{FF2B5EF4-FFF2-40B4-BE49-F238E27FC236}">
              <a16:creationId xmlns:a16="http://schemas.microsoft.com/office/drawing/2014/main" id="{00000000-0008-0000-0800-0000CA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a:extLst>
            <a:ext uri="{FF2B5EF4-FFF2-40B4-BE49-F238E27FC236}">
              <a16:creationId xmlns:a16="http://schemas.microsoft.com/office/drawing/2014/main" id="{00000000-0008-0000-0800-0000CB4C0000}"/>
            </a:ext>
          </a:extLst>
        </xdr:cNvPr>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a:extLst>
            <a:ext uri="{FF2B5EF4-FFF2-40B4-BE49-F238E27FC236}">
              <a16:creationId xmlns:a16="http://schemas.microsoft.com/office/drawing/2014/main" id="{00000000-0008-0000-0800-0000CC4C0000}"/>
            </a:ext>
          </a:extLst>
        </xdr:cNvPr>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a:extLst>
            <a:ext uri="{FF2B5EF4-FFF2-40B4-BE49-F238E27FC236}">
              <a16:creationId xmlns:a16="http://schemas.microsoft.com/office/drawing/2014/main" id="{00000000-0008-0000-0800-0000CD4C0000}"/>
            </a:ext>
          </a:extLst>
        </xdr:cNvPr>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a:extLst>
            <a:ext uri="{FF2B5EF4-FFF2-40B4-BE49-F238E27FC236}">
              <a16:creationId xmlns:a16="http://schemas.microsoft.com/office/drawing/2014/main" id="{00000000-0008-0000-0800-0000CE4C0000}"/>
            </a:ext>
          </a:extLst>
        </xdr:cNvPr>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a:extLst>
            <a:ext uri="{FF2B5EF4-FFF2-40B4-BE49-F238E27FC236}">
              <a16:creationId xmlns:a16="http://schemas.microsoft.com/office/drawing/2014/main" id="{00000000-0008-0000-0800-0000CF4C0000}"/>
            </a:ext>
          </a:extLst>
        </xdr:cNvPr>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a:extLst>
            <a:ext uri="{FF2B5EF4-FFF2-40B4-BE49-F238E27FC236}">
              <a16:creationId xmlns:a16="http://schemas.microsoft.com/office/drawing/2014/main" id="{00000000-0008-0000-0800-0000D04C0000}"/>
            </a:ext>
          </a:extLst>
        </xdr:cNvPr>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a:extLst>
            <a:ext uri="{FF2B5EF4-FFF2-40B4-BE49-F238E27FC236}">
              <a16:creationId xmlns:a16="http://schemas.microsoft.com/office/drawing/2014/main" id="{00000000-0008-0000-0800-0000D14C0000}"/>
            </a:ext>
          </a:extLst>
        </xdr:cNvPr>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a:extLst>
            <a:ext uri="{FF2B5EF4-FFF2-40B4-BE49-F238E27FC236}">
              <a16:creationId xmlns:a16="http://schemas.microsoft.com/office/drawing/2014/main" id="{00000000-0008-0000-0800-0000D24C0000}"/>
            </a:ext>
          </a:extLst>
        </xdr:cNvPr>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a:extLst>
            <a:ext uri="{FF2B5EF4-FFF2-40B4-BE49-F238E27FC236}">
              <a16:creationId xmlns:a16="http://schemas.microsoft.com/office/drawing/2014/main" id="{00000000-0008-0000-0800-0000D34C0000}"/>
            </a:ext>
          </a:extLst>
        </xdr:cNvPr>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a:extLst>
            <a:ext uri="{FF2B5EF4-FFF2-40B4-BE49-F238E27FC236}">
              <a16:creationId xmlns:a16="http://schemas.microsoft.com/office/drawing/2014/main" id="{00000000-0008-0000-0800-0000D44C0000}"/>
            </a:ext>
          </a:extLst>
        </xdr:cNvPr>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a:extLst>
            <a:ext uri="{FF2B5EF4-FFF2-40B4-BE49-F238E27FC236}">
              <a16:creationId xmlns:a16="http://schemas.microsoft.com/office/drawing/2014/main" id="{00000000-0008-0000-0800-0000D54C0000}"/>
            </a:ext>
          </a:extLst>
        </xdr:cNvPr>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a:extLst>
            <a:ext uri="{FF2B5EF4-FFF2-40B4-BE49-F238E27FC236}">
              <a16:creationId xmlns:a16="http://schemas.microsoft.com/office/drawing/2014/main" id="{00000000-0008-0000-0800-0000D64C0000}"/>
            </a:ext>
          </a:extLst>
        </xdr:cNvPr>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a:extLst>
            <a:ext uri="{FF2B5EF4-FFF2-40B4-BE49-F238E27FC236}">
              <a16:creationId xmlns:a16="http://schemas.microsoft.com/office/drawing/2014/main" id="{00000000-0008-0000-0800-0000D74C0000}"/>
            </a:ext>
          </a:extLst>
        </xdr:cNvPr>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a:extLst>
            <a:ext uri="{FF2B5EF4-FFF2-40B4-BE49-F238E27FC236}">
              <a16:creationId xmlns:a16="http://schemas.microsoft.com/office/drawing/2014/main" id="{00000000-0008-0000-0800-0000D84C0000}"/>
            </a:ext>
          </a:extLst>
        </xdr:cNvPr>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a:extLst>
            <a:ext uri="{FF2B5EF4-FFF2-40B4-BE49-F238E27FC236}">
              <a16:creationId xmlns:a16="http://schemas.microsoft.com/office/drawing/2014/main" id="{00000000-0008-0000-0800-0000D94C0000}"/>
            </a:ext>
          </a:extLst>
        </xdr:cNvPr>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a:extLst>
            <a:ext uri="{FF2B5EF4-FFF2-40B4-BE49-F238E27FC236}">
              <a16:creationId xmlns:a16="http://schemas.microsoft.com/office/drawing/2014/main" id="{00000000-0008-0000-0800-0000DA4C0000}"/>
            </a:ext>
          </a:extLst>
        </xdr:cNvPr>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a:extLst>
            <a:ext uri="{FF2B5EF4-FFF2-40B4-BE49-F238E27FC236}">
              <a16:creationId xmlns:a16="http://schemas.microsoft.com/office/drawing/2014/main" id="{00000000-0008-0000-0800-0000DB4C0000}"/>
            </a:ext>
          </a:extLst>
        </xdr:cNvPr>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a:extLst>
            <a:ext uri="{FF2B5EF4-FFF2-40B4-BE49-F238E27FC236}">
              <a16:creationId xmlns:a16="http://schemas.microsoft.com/office/drawing/2014/main" id="{00000000-0008-0000-0800-0000DC4C0000}"/>
            </a:ext>
          </a:extLst>
        </xdr:cNvPr>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a:extLst>
            <a:ext uri="{FF2B5EF4-FFF2-40B4-BE49-F238E27FC236}">
              <a16:creationId xmlns:a16="http://schemas.microsoft.com/office/drawing/2014/main" id="{00000000-0008-0000-0800-0000DD4C0000}"/>
            </a:ext>
          </a:extLst>
        </xdr:cNvPr>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a:extLst>
            <a:ext uri="{FF2B5EF4-FFF2-40B4-BE49-F238E27FC236}">
              <a16:creationId xmlns:a16="http://schemas.microsoft.com/office/drawing/2014/main" id="{00000000-0008-0000-0800-0000DE4C0000}"/>
            </a:ext>
          </a:extLst>
        </xdr:cNvPr>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a:extLst>
            <a:ext uri="{FF2B5EF4-FFF2-40B4-BE49-F238E27FC236}">
              <a16:creationId xmlns:a16="http://schemas.microsoft.com/office/drawing/2014/main" id="{00000000-0008-0000-0800-0000DF4C0000}"/>
            </a:ext>
          </a:extLst>
        </xdr:cNvPr>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a:extLst>
            <a:ext uri="{FF2B5EF4-FFF2-40B4-BE49-F238E27FC236}">
              <a16:creationId xmlns:a16="http://schemas.microsoft.com/office/drawing/2014/main" id="{00000000-0008-0000-0800-0000E04C0000}"/>
            </a:ext>
          </a:extLst>
        </xdr:cNvPr>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a:extLst>
            <a:ext uri="{FF2B5EF4-FFF2-40B4-BE49-F238E27FC236}">
              <a16:creationId xmlns:a16="http://schemas.microsoft.com/office/drawing/2014/main" id="{00000000-0008-0000-0800-0000E14C0000}"/>
            </a:ext>
          </a:extLst>
        </xdr:cNvPr>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a:extLst>
            <a:ext uri="{FF2B5EF4-FFF2-40B4-BE49-F238E27FC236}">
              <a16:creationId xmlns:a16="http://schemas.microsoft.com/office/drawing/2014/main" id="{00000000-0008-0000-0800-0000E24C0000}"/>
            </a:ext>
          </a:extLst>
        </xdr:cNvPr>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a:extLst>
            <a:ext uri="{FF2B5EF4-FFF2-40B4-BE49-F238E27FC236}">
              <a16:creationId xmlns:a16="http://schemas.microsoft.com/office/drawing/2014/main" id="{00000000-0008-0000-0800-0000E34C0000}"/>
            </a:ext>
          </a:extLst>
        </xdr:cNvPr>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a:extLst>
            <a:ext uri="{FF2B5EF4-FFF2-40B4-BE49-F238E27FC236}">
              <a16:creationId xmlns:a16="http://schemas.microsoft.com/office/drawing/2014/main" id="{00000000-0008-0000-0800-0000E44C0000}"/>
            </a:ext>
          </a:extLst>
        </xdr:cNvPr>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a:extLst>
            <a:ext uri="{FF2B5EF4-FFF2-40B4-BE49-F238E27FC236}">
              <a16:creationId xmlns:a16="http://schemas.microsoft.com/office/drawing/2014/main" id="{00000000-0008-0000-0800-0000E54C0000}"/>
            </a:ext>
          </a:extLst>
        </xdr:cNvPr>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a:extLst>
            <a:ext uri="{FF2B5EF4-FFF2-40B4-BE49-F238E27FC236}">
              <a16:creationId xmlns:a16="http://schemas.microsoft.com/office/drawing/2014/main" id="{00000000-0008-0000-0800-0000E6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a:extLst>
            <a:ext uri="{FF2B5EF4-FFF2-40B4-BE49-F238E27FC236}">
              <a16:creationId xmlns:a16="http://schemas.microsoft.com/office/drawing/2014/main" id="{00000000-0008-0000-0800-0000E7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a:extLst>
            <a:ext uri="{FF2B5EF4-FFF2-40B4-BE49-F238E27FC236}">
              <a16:creationId xmlns:a16="http://schemas.microsoft.com/office/drawing/2014/main" id="{00000000-0008-0000-0800-0000E8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a:extLst>
            <a:ext uri="{FF2B5EF4-FFF2-40B4-BE49-F238E27FC236}">
              <a16:creationId xmlns:a16="http://schemas.microsoft.com/office/drawing/2014/main" id="{00000000-0008-0000-0800-0000E9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a:extLst>
            <a:ext uri="{FF2B5EF4-FFF2-40B4-BE49-F238E27FC236}">
              <a16:creationId xmlns:a16="http://schemas.microsoft.com/office/drawing/2014/main" id="{00000000-0008-0000-0800-0000EA4C0000}"/>
            </a:ext>
          </a:extLst>
        </xdr:cNvPr>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a:extLst>
            <a:ext uri="{FF2B5EF4-FFF2-40B4-BE49-F238E27FC236}">
              <a16:creationId xmlns:a16="http://schemas.microsoft.com/office/drawing/2014/main" id="{00000000-0008-0000-0800-0000EB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a:extLst>
            <a:ext uri="{FF2B5EF4-FFF2-40B4-BE49-F238E27FC236}">
              <a16:creationId xmlns:a16="http://schemas.microsoft.com/office/drawing/2014/main" id="{00000000-0008-0000-0800-0000EC4C0000}"/>
            </a:ext>
          </a:extLst>
        </xdr:cNvPr>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a:extLst>
            <a:ext uri="{FF2B5EF4-FFF2-40B4-BE49-F238E27FC236}">
              <a16:creationId xmlns:a16="http://schemas.microsoft.com/office/drawing/2014/main" id="{00000000-0008-0000-0800-0000ED4C0000}"/>
            </a:ext>
          </a:extLst>
        </xdr:cNvPr>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a:extLst>
            <a:ext uri="{FF2B5EF4-FFF2-40B4-BE49-F238E27FC236}">
              <a16:creationId xmlns:a16="http://schemas.microsoft.com/office/drawing/2014/main" id="{00000000-0008-0000-0800-0000EE4C0000}"/>
            </a:ext>
          </a:extLst>
        </xdr:cNvPr>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a:extLst>
            <a:ext uri="{FF2B5EF4-FFF2-40B4-BE49-F238E27FC236}">
              <a16:creationId xmlns:a16="http://schemas.microsoft.com/office/drawing/2014/main" id="{00000000-0008-0000-0800-0000EF4C0000}"/>
            </a:ext>
          </a:extLst>
        </xdr:cNvPr>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a:extLst>
            <a:ext uri="{FF2B5EF4-FFF2-40B4-BE49-F238E27FC236}">
              <a16:creationId xmlns:a16="http://schemas.microsoft.com/office/drawing/2014/main" id="{00000000-0008-0000-0800-0000F04C0000}"/>
            </a:ext>
          </a:extLst>
        </xdr:cNvPr>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a:extLst>
            <a:ext uri="{FF2B5EF4-FFF2-40B4-BE49-F238E27FC236}">
              <a16:creationId xmlns:a16="http://schemas.microsoft.com/office/drawing/2014/main" id="{00000000-0008-0000-0800-0000F14C0000}"/>
            </a:ext>
          </a:extLst>
        </xdr:cNvPr>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a:extLst>
            <a:ext uri="{FF2B5EF4-FFF2-40B4-BE49-F238E27FC236}">
              <a16:creationId xmlns:a16="http://schemas.microsoft.com/office/drawing/2014/main" id="{00000000-0008-0000-0800-0000F24C0000}"/>
            </a:ext>
          </a:extLst>
        </xdr:cNvPr>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0</xdr:col>
          <xdr:colOff>22860</xdr:colOff>
          <xdr:row>1</xdr:row>
          <xdr:rowOff>144780</xdr:rowOff>
        </xdr:from>
        <xdr:to>
          <xdr:col>1</xdr:col>
          <xdr:colOff>59055</xdr:colOff>
          <xdr:row>3</xdr:row>
          <xdr:rowOff>38100</xdr:rowOff>
        </xdr:to>
        <xdr:sp macro="" textlink="">
          <xdr:nvSpPr>
            <xdr:cNvPr id="9225" name="Option Button 9" hidden="1">
              <a:extLst>
                <a:ext uri="{63B3BB69-23CF-44E3-9099-C40C66FF867C}">
                  <a14:compatExt spid="_x0000_s9225"/>
                </a:ext>
                <a:ext uri="{FF2B5EF4-FFF2-40B4-BE49-F238E27FC236}">
                  <a16:creationId xmlns:a16="http://schemas.microsoft.com/office/drawing/2014/main" id="{00000000-0008-0000-08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xdr:row>
          <xdr:rowOff>129540</xdr:rowOff>
        </xdr:from>
        <xdr:to>
          <xdr:col>1</xdr:col>
          <xdr:colOff>59055</xdr:colOff>
          <xdr:row>4</xdr:row>
          <xdr:rowOff>57150</xdr:rowOff>
        </xdr:to>
        <xdr:sp macro="" textlink="">
          <xdr:nvSpPr>
            <xdr:cNvPr id="9226" name="Option Button 10" hidden="1">
              <a:extLst>
                <a:ext uri="{63B3BB69-23CF-44E3-9099-C40C66FF867C}">
                  <a14:compatExt spid="_x0000_s9226"/>
                </a:ext>
                <a:ext uri="{FF2B5EF4-FFF2-40B4-BE49-F238E27FC236}">
                  <a16:creationId xmlns:a16="http://schemas.microsoft.com/office/drawing/2014/main" id="{00000000-0008-0000-08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137160</xdr:rowOff>
        </xdr:from>
        <xdr:to>
          <xdr:col>1</xdr:col>
          <xdr:colOff>59055</xdr:colOff>
          <xdr:row>5</xdr:row>
          <xdr:rowOff>53340</xdr:rowOff>
        </xdr:to>
        <xdr:sp macro="" textlink="">
          <xdr:nvSpPr>
            <xdr:cNvPr id="9227" name="Option Button 11" hidden="1">
              <a:extLst>
                <a:ext uri="{63B3BB69-23CF-44E3-9099-C40C66FF867C}">
                  <a14:compatExt spid="_x0000_s9227"/>
                </a:ext>
                <a:ext uri="{FF2B5EF4-FFF2-40B4-BE49-F238E27FC236}">
                  <a16:creationId xmlns:a16="http://schemas.microsoft.com/office/drawing/2014/main" id="{00000000-0008-0000-08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xdr:row>
          <xdr:rowOff>129540</xdr:rowOff>
        </xdr:from>
        <xdr:to>
          <xdr:col>1</xdr:col>
          <xdr:colOff>59055</xdr:colOff>
          <xdr:row>6</xdr:row>
          <xdr:rowOff>38100</xdr:rowOff>
        </xdr:to>
        <xdr:sp macro="" textlink="">
          <xdr:nvSpPr>
            <xdr:cNvPr id="9228" name="Option Button 12" hidden="1">
              <a:extLst>
                <a:ext uri="{63B3BB69-23CF-44E3-9099-C40C66FF867C}">
                  <a14:compatExt spid="_x0000_s9228"/>
                </a:ext>
                <a:ext uri="{FF2B5EF4-FFF2-40B4-BE49-F238E27FC236}">
                  <a16:creationId xmlns:a16="http://schemas.microsoft.com/office/drawing/2014/main" id="{00000000-0008-0000-08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xdr:row>
          <xdr:rowOff>137160</xdr:rowOff>
        </xdr:from>
        <xdr:to>
          <xdr:col>1</xdr:col>
          <xdr:colOff>59055</xdr:colOff>
          <xdr:row>7</xdr:row>
          <xdr:rowOff>38100</xdr:rowOff>
        </xdr:to>
        <xdr:sp macro="" textlink="">
          <xdr:nvSpPr>
            <xdr:cNvPr id="9229" name="Option Button 13" hidden="1">
              <a:extLst>
                <a:ext uri="{63B3BB69-23CF-44E3-9099-C40C66FF867C}">
                  <a14:compatExt spid="_x0000_s9229"/>
                </a:ext>
                <a:ext uri="{FF2B5EF4-FFF2-40B4-BE49-F238E27FC236}">
                  <a16:creationId xmlns:a16="http://schemas.microsoft.com/office/drawing/2014/main" id="{00000000-0008-0000-08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xdr:row>
          <xdr:rowOff>129540</xdr:rowOff>
        </xdr:from>
        <xdr:to>
          <xdr:col>1</xdr:col>
          <xdr:colOff>59055</xdr:colOff>
          <xdr:row>8</xdr:row>
          <xdr:rowOff>38100</xdr:rowOff>
        </xdr:to>
        <xdr:sp macro="" textlink="">
          <xdr:nvSpPr>
            <xdr:cNvPr id="9230" name="Option Button 14" hidden="1">
              <a:extLst>
                <a:ext uri="{63B3BB69-23CF-44E3-9099-C40C66FF867C}">
                  <a14:compatExt spid="_x0000_s9230"/>
                </a:ext>
                <a:ext uri="{FF2B5EF4-FFF2-40B4-BE49-F238E27FC236}">
                  <a16:creationId xmlns:a16="http://schemas.microsoft.com/office/drawing/2014/main" id="{00000000-0008-0000-08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xdr:row>
          <xdr:rowOff>137160</xdr:rowOff>
        </xdr:from>
        <xdr:to>
          <xdr:col>1</xdr:col>
          <xdr:colOff>59055</xdr:colOff>
          <xdr:row>9</xdr:row>
          <xdr:rowOff>38100</xdr:rowOff>
        </xdr:to>
        <xdr:sp macro="" textlink="">
          <xdr:nvSpPr>
            <xdr:cNvPr id="9231" name="Option Button 15" hidden="1">
              <a:extLst>
                <a:ext uri="{63B3BB69-23CF-44E3-9099-C40C66FF867C}">
                  <a14:compatExt spid="_x0000_s9231"/>
                </a:ext>
                <a:ext uri="{FF2B5EF4-FFF2-40B4-BE49-F238E27FC236}">
                  <a16:creationId xmlns:a16="http://schemas.microsoft.com/office/drawing/2014/main" id="{00000000-0008-0000-08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xdr:row>
          <xdr:rowOff>129540</xdr:rowOff>
        </xdr:from>
        <xdr:to>
          <xdr:col>1</xdr:col>
          <xdr:colOff>59055</xdr:colOff>
          <xdr:row>10</xdr:row>
          <xdr:rowOff>38100</xdr:rowOff>
        </xdr:to>
        <xdr:sp macro="" textlink="">
          <xdr:nvSpPr>
            <xdr:cNvPr id="9232" name="Option Button 16" hidden="1">
              <a:extLst>
                <a:ext uri="{63B3BB69-23CF-44E3-9099-C40C66FF867C}">
                  <a14:compatExt spid="_x0000_s9232"/>
                </a:ext>
                <a:ext uri="{FF2B5EF4-FFF2-40B4-BE49-F238E27FC236}">
                  <a16:creationId xmlns:a16="http://schemas.microsoft.com/office/drawing/2014/main" id="{00000000-0008-0000-08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xdr:row>
          <xdr:rowOff>137160</xdr:rowOff>
        </xdr:from>
        <xdr:to>
          <xdr:col>1</xdr:col>
          <xdr:colOff>59055</xdr:colOff>
          <xdr:row>11</xdr:row>
          <xdr:rowOff>38100</xdr:rowOff>
        </xdr:to>
        <xdr:sp macro="" textlink="">
          <xdr:nvSpPr>
            <xdr:cNvPr id="9233" name="Option Button 17" hidden="1">
              <a:extLst>
                <a:ext uri="{63B3BB69-23CF-44E3-9099-C40C66FF867C}">
                  <a14:compatExt spid="_x0000_s9233"/>
                </a:ext>
                <a:ext uri="{FF2B5EF4-FFF2-40B4-BE49-F238E27FC236}">
                  <a16:creationId xmlns:a16="http://schemas.microsoft.com/office/drawing/2014/main" id="{00000000-0008-0000-08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xdr:row>
          <xdr:rowOff>129540</xdr:rowOff>
        </xdr:from>
        <xdr:to>
          <xdr:col>1</xdr:col>
          <xdr:colOff>59055</xdr:colOff>
          <xdr:row>12</xdr:row>
          <xdr:rowOff>38100</xdr:rowOff>
        </xdr:to>
        <xdr:sp macro="" textlink="">
          <xdr:nvSpPr>
            <xdr:cNvPr id="9234" name="Option Button 18" hidden="1">
              <a:extLst>
                <a:ext uri="{63B3BB69-23CF-44E3-9099-C40C66FF867C}">
                  <a14:compatExt spid="_x0000_s9234"/>
                </a:ext>
                <a:ext uri="{FF2B5EF4-FFF2-40B4-BE49-F238E27FC236}">
                  <a16:creationId xmlns:a16="http://schemas.microsoft.com/office/drawing/2014/main" id="{00000000-0008-0000-08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xdr:row>
          <xdr:rowOff>137160</xdr:rowOff>
        </xdr:from>
        <xdr:to>
          <xdr:col>1</xdr:col>
          <xdr:colOff>59055</xdr:colOff>
          <xdr:row>13</xdr:row>
          <xdr:rowOff>38100</xdr:rowOff>
        </xdr:to>
        <xdr:sp macro="" textlink="">
          <xdr:nvSpPr>
            <xdr:cNvPr id="9235" name="Option Button 19" hidden="1">
              <a:extLst>
                <a:ext uri="{63B3BB69-23CF-44E3-9099-C40C66FF867C}">
                  <a14:compatExt spid="_x0000_s9235"/>
                </a:ext>
                <a:ext uri="{FF2B5EF4-FFF2-40B4-BE49-F238E27FC236}">
                  <a16:creationId xmlns:a16="http://schemas.microsoft.com/office/drawing/2014/main" id="{00000000-0008-0000-08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xdr:row>
          <xdr:rowOff>129540</xdr:rowOff>
        </xdr:from>
        <xdr:to>
          <xdr:col>1</xdr:col>
          <xdr:colOff>59055</xdr:colOff>
          <xdr:row>14</xdr:row>
          <xdr:rowOff>38100</xdr:rowOff>
        </xdr:to>
        <xdr:sp macro="" textlink="">
          <xdr:nvSpPr>
            <xdr:cNvPr id="9236" name="Option Button 20" hidden="1">
              <a:extLst>
                <a:ext uri="{63B3BB69-23CF-44E3-9099-C40C66FF867C}">
                  <a14:compatExt spid="_x0000_s9236"/>
                </a:ext>
                <a:ext uri="{FF2B5EF4-FFF2-40B4-BE49-F238E27FC236}">
                  <a16:creationId xmlns:a16="http://schemas.microsoft.com/office/drawing/2014/main" id="{00000000-0008-0000-0800-00001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13</xdr:row>
          <xdr:rowOff>137160</xdr:rowOff>
        </xdr:from>
        <xdr:to>
          <xdr:col>1</xdr:col>
          <xdr:colOff>59055</xdr:colOff>
          <xdr:row>15</xdr:row>
          <xdr:rowOff>38100</xdr:rowOff>
        </xdr:to>
        <xdr:sp macro="" textlink="">
          <xdr:nvSpPr>
            <xdr:cNvPr id="9237" name="Option Button 21" hidden="1">
              <a:extLst>
                <a:ext uri="{63B3BB69-23CF-44E3-9099-C40C66FF867C}">
                  <a14:compatExt spid="_x0000_s9237"/>
                </a:ext>
                <a:ext uri="{FF2B5EF4-FFF2-40B4-BE49-F238E27FC236}">
                  <a16:creationId xmlns:a16="http://schemas.microsoft.com/office/drawing/2014/main" id="{00000000-0008-0000-0800-00001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14</xdr:row>
          <xdr:rowOff>129540</xdr:rowOff>
        </xdr:from>
        <xdr:to>
          <xdr:col>1</xdr:col>
          <xdr:colOff>59055</xdr:colOff>
          <xdr:row>16</xdr:row>
          <xdr:rowOff>38100</xdr:rowOff>
        </xdr:to>
        <xdr:sp macro="" textlink="">
          <xdr:nvSpPr>
            <xdr:cNvPr id="9238" name="Option Button 22" hidden="1">
              <a:extLst>
                <a:ext uri="{63B3BB69-23CF-44E3-9099-C40C66FF867C}">
                  <a14:compatExt spid="_x0000_s9238"/>
                </a:ext>
                <a:ext uri="{FF2B5EF4-FFF2-40B4-BE49-F238E27FC236}">
                  <a16:creationId xmlns:a16="http://schemas.microsoft.com/office/drawing/2014/main" id="{00000000-0008-0000-08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15</xdr:row>
          <xdr:rowOff>137160</xdr:rowOff>
        </xdr:from>
        <xdr:to>
          <xdr:col>1</xdr:col>
          <xdr:colOff>59055</xdr:colOff>
          <xdr:row>17</xdr:row>
          <xdr:rowOff>38100</xdr:rowOff>
        </xdr:to>
        <xdr:sp macro="" textlink="">
          <xdr:nvSpPr>
            <xdr:cNvPr id="9239" name="Option Button 23" hidden="1">
              <a:extLst>
                <a:ext uri="{63B3BB69-23CF-44E3-9099-C40C66FF867C}">
                  <a14:compatExt spid="_x0000_s9239"/>
                </a:ext>
                <a:ext uri="{FF2B5EF4-FFF2-40B4-BE49-F238E27FC236}">
                  <a16:creationId xmlns:a16="http://schemas.microsoft.com/office/drawing/2014/main" id="{00000000-0008-0000-08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16</xdr:row>
          <xdr:rowOff>129540</xdr:rowOff>
        </xdr:from>
        <xdr:to>
          <xdr:col>1</xdr:col>
          <xdr:colOff>59055</xdr:colOff>
          <xdr:row>18</xdr:row>
          <xdr:rowOff>38100</xdr:rowOff>
        </xdr:to>
        <xdr:sp macro="" textlink="">
          <xdr:nvSpPr>
            <xdr:cNvPr id="9240" name="Option Button 24" hidden="1">
              <a:extLst>
                <a:ext uri="{63B3BB69-23CF-44E3-9099-C40C66FF867C}">
                  <a14:compatExt spid="_x0000_s9240"/>
                </a:ext>
                <a:ext uri="{FF2B5EF4-FFF2-40B4-BE49-F238E27FC236}">
                  <a16:creationId xmlns:a16="http://schemas.microsoft.com/office/drawing/2014/main" id="{00000000-0008-0000-0800-00001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17</xdr:row>
          <xdr:rowOff>137160</xdr:rowOff>
        </xdr:from>
        <xdr:to>
          <xdr:col>1</xdr:col>
          <xdr:colOff>59055</xdr:colOff>
          <xdr:row>19</xdr:row>
          <xdr:rowOff>38100</xdr:rowOff>
        </xdr:to>
        <xdr:sp macro="" textlink="">
          <xdr:nvSpPr>
            <xdr:cNvPr id="9241" name="Option Button 25" hidden="1">
              <a:extLst>
                <a:ext uri="{63B3BB69-23CF-44E3-9099-C40C66FF867C}">
                  <a14:compatExt spid="_x0000_s9241"/>
                </a:ext>
                <a:ext uri="{FF2B5EF4-FFF2-40B4-BE49-F238E27FC236}">
                  <a16:creationId xmlns:a16="http://schemas.microsoft.com/office/drawing/2014/main" id="{00000000-0008-0000-0800-00001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18</xdr:row>
          <xdr:rowOff>129540</xdr:rowOff>
        </xdr:from>
        <xdr:to>
          <xdr:col>1</xdr:col>
          <xdr:colOff>59055</xdr:colOff>
          <xdr:row>20</xdr:row>
          <xdr:rowOff>38100</xdr:rowOff>
        </xdr:to>
        <xdr:sp macro="" textlink="">
          <xdr:nvSpPr>
            <xdr:cNvPr id="9242" name="Option Button 26" hidden="1">
              <a:extLst>
                <a:ext uri="{63B3BB69-23CF-44E3-9099-C40C66FF867C}">
                  <a14:compatExt spid="_x0000_s9242"/>
                </a:ext>
                <a:ext uri="{FF2B5EF4-FFF2-40B4-BE49-F238E27FC236}">
                  <a16:creationId xmlns:a16="http://schemas.microsoft.com/office/drawing/2014/main" id="{00000000-0008-0000-08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19</xdr:row>
          <xdr:rowOff>137160</xdr:rowOff>
        </xdr:from>
        <xdr:to>
          <xdr:col>1</xdr:col>
          <xdr:colOff>59055</xdr:colOff>
          <xdr:row>21</xdr:row>
          <xdr:rowOff>38100</xdr:rowOff>
        </xdr:to>
        <xdr:sp macro="" textlink="">
          <xdr:nvSpPr>
            <xdr:cNvPr id="9243" name="Option Button 27" hidden="1">
              <a:extLst>
                <a:ext uri="{63B3BB69-23CF-44E3-9099-C40C66FF867C}">
                  <a14:compatExt spid="_x0000_s9243"/>
                </a:ext>
                <a:ext uri="{FF2B5EF4-FFF2-40B4-BE49-F238E27FC236}">
                  <a16:creationId xmlns:a16="http://schemas.microsoft.com/office/drawing/2014/main" id="{00000000-0008-0000-08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20</xdr:row>
          <xdr:rowOff>129540</xdr:rowOff>
        </xdr:from>
        <xdr:to>
          <xdr:col>1</xdr:col>
          <xdr:colOff>59055</xdr:colOff>
          <xdr:row>22</xdr:row>
          <xdr:rowOff>38100</xdr:rowOff>
        </xdr:to>
        <xdr:sp macro="" textlink="">
          <xdr:nvSpPr>
            <xdr:cNvPr id="9244" name="Option Button 28" hidden="1">
              <a:extLst>
                <a:ext uri="{63B3BB69-23CF-44E3-9099-C40C66FF867C}">
                  <a14:compatExt spid="_x0000_s9244"/>
                </a:ext>
                <a:ext uri="{FF2B5EF4-FFF2-40B4-BE49-F238E27FC236}">
                  <a16:creationId xmlns:a16="http://schemas.microsoft.com/office/drawing/2014/main" id="{00000000-0008-0000-0800-00001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21</xdr:row>
          <xdr:rowOff>137160</xdr:rowOff>
        </xdr:from>
        <xdr:to>
          <xdr:col>1</xdr:col>
          <xdr:colOff>59055</xdr:colOff>
          <xdr:row>23</xdr:row>
          <xdr:rowOff>38100</xdr:rowOff>
        </xdr:to>
        <xdr:sp macro="" textlink="">
          <xdr:nvSpPr>
            <xdr:cNvPr id="9245" name="Option Button 29" hidden="1">
              <a:extLst>
                <a:ext uri="{63B3BB69-23CF-44E3-9099-C40C66FF867C}">
                  <a14:compatExt spid="_x0000_s9245"/>
                </a:ext>
                <a:ext uri="{FF2B5EF4-FFF2-40B4-BE49-F238E27FC236}">
                  <a16:creationId xmlns:a16="http://schemas.microsoft.com/office/drawing/2014/main" id="{00000000-0008-0000-0800-00001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22</xdr:row>
          <xdr:rowOff>137160</xdr:rowOff>
        </xdr:from>
        <xdr:to>
          <xdr:col>1</xdr:col>
          <xdr:colOff>59055</xdr:colOff>
          <xdr:row>24</xdr:row>
          <xdr:rowOff>38100</xdr:rowOff>
        </xdr:to>
        <xdr:sp macro="" textlink="">
          <xdr:nvSpPr>
            <xdr:cNvPr id="9246" name="Option Button 30" hidden="1">
              <a:extLst>
                <a:ext uri="{63B3BB69-23CF-44E3-9099-C40C66FF867C}">
                  <a14:compatExt spid="_x0000_s9246"/>
                </a:ext>
                <a:ext uri="{FF2B5EF4-FFF2-40B4-BE49-F238E27FC236}">
                  <a16:creationId xmlns:a16="http://schemas.microsoft.com/office/drawing/2014/main" id="{00000000-0008-0000-0800-00001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23</xdr:row>
          <xdr:rowOff>137160</xdr:rowOff>
        </xdr:from>
        <xdr:to>
          <xdr:col>1</xdr:col>
          <xdr:colOff>59055</xdr:colOff>
          <xdr:row>25</xdr:row>
          <xdr:rowOff>53340</xdr:rowOff>
        </xdr:to>
        <xdr:sp macro="" textlink="">
          <xdr:nvSpPr>
            <xdr:cNvPr id="9247" name="Option Button 31" hidden="1">
              <a:extLst>
                <a:ext uri="{63B3BB69-23CF-44E3-9099-C40C66FF867C}">
                  <a14:compatExt spid="_x0000_s9247"/>
                </a:ext>
                <a:ext uri="{FF2B5EF4-FFF2-40B4-BE49-F238E27FC236}">
                  <a16:creationId xmlns:a16="http://schemas.microsoft.com/office/drawing/2014/main" id="{00000000-0008-0000-0800-00001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24</xdr:row>
          <xdr:rowOff>129540</xdr:rowOff>
        </xdr:from>
        <xdr:to>
          <xdr:col>1</xdr:col>
          <xdr:colOff>59055</xdr:colOff>
          <xdr:row>26</xdr:row>
          <xdr:rowOff>19050</xdr:rowOff>
        </xdr:to>
        <xdr:sp macro="" textlink="">
          <xdr:nvSpPr>
            <xdr:cNvPr id="9248" name="Option Button 32" hidden="1">
              <a:extLst>
                <a:ext uri="{63B3BB69-23CF-44E3-9099-C40C66FF867C}">
                  <a14:compatExt spid="_x0000_s9248"/>
                </a:ext>
                <a:ext uri="{FF2B5EF4-FFF2-40B4-BE49-F238E27FC236}">
                  <a16:creationId xmlns:a16="http://schemas.microsoft.com/office/drawing/2014/main" id="{00000000-0008-0000-0800-00002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25</xdr:row>
          <xdr:rowOff>144780</xdr:rowOff>
        </xdr:from>
        <xdr:to>
          <xdr:col>1</xdr:col>
          <xdr:colOff>59055</xdr:colOff>
          <xdr:row>27</xdr:row>
          <xdr:rowOff>16921</xdr:rowOff>
        </xdr:to>
        <xdr:sp macro="" textlink="">
          <xdr:nvSpPr>
            <xdr:cNvPr id="9249" name="Option Button 33" hidden="1">
              <a:extLst>
                <a:ext uri="{63B3BB69-23CF-44E3-9099-C40C66FF867C}">
                  <a14:compatExt spid="_x0000_s9249"/>
                </a:ext>
                <a:ext uri="{FF2B5EF4-FFF2-40B4-BE49-F238E27FC236}">
                  <a16:creationId xmlns:a16="http://schemas.microsoft.com/office/drawing/2014/main" id="{00000000-0008-0000-0800-00002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26</xdr:row>
          <xdr:rowOff>137160</xdr:rowOff>
        </xdr:from>
        <xdr:to>
          <xdr:col>1</xdr:col>
          <xdr:colOff>59055</xdr:colOff>
          <xdr:row>27</xdr:row>
          <xdr:rowOff>133126</xdr:rowOff>
        </xdr:to>
        <xdr:sp macro="" textlink="">
          <xdr:nvSpPr>
            <xdr:cNvPr id="9250" name="Option Button 34" hidden="1">
              <a:extLst>
                <a:ext uri="{63B3BB69-23CF-44E3-9099-C40C66FF867C}">
                  <a14:compatExt spid="_x0000_s9250"/>
                </a:ext>
                <a:ext uri="{FF2B5EF4-FFF2-40B4-BE49-F238E27FC236}">
                  <a16:creationId xmlns:a16="http://schemas.microsoft.com/office/drawing/2014/main" id="{00000000-0008-0000-0800-00002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27</xdr:row>
          <xdr:rowOff>137160</xdr:rowOff>
        </xdr:from>
        <xdr:to>
          <xdr:col>1</xdr:col>
          <xdr:colOff>59055</xdr:colOff>
          <xdr:row>29</xdr:row>
          <xdr:rowOff>38100</xdr:rowOff>
        </xdr:to>
        <xdr:sp macro="" textlink="">
          <xdr:nvSpPr>
            <xdr:cNvPr id="9251" name="Option Button 35" hidden="1">
              <a:extLst>
                <a:ext uri="{63B3BB69-23CF-44E3-9099-C40C66FF867C}">
                  <a14:compatExt spid="_x0000_s9251"/>
                </a:ext>
                <a:ext uri="{FF2B5EF4-FFF2-40B4-BE49-F238E27FC236}">
                  <a16:creationId xmlns:a16="http://schemas.microsoft.com/office/drawing/2014/main" id="{00000000-0008-0000-0800-00002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28</xdr:row>
          <xdr:rowOff>129540</xdr:rowOff>
        </xdr:from>
        <xdr:to>
          <xdr:col>1</xdr:col>
          <xdr:colOff>59055</xdr:colOff>
          <xdr:row>30</xdr:row>
          <xdr:rowOff>38101</xdr:rowOff>
        </xdr:to>
        <xdr:sp macro="" textlink="">
          <xdr:nvSpPr>
            <xdr:cNvPr id="9252" name="Option Button 36" hidden="1">
              <a:extLst>
                <a:ext uri="{63B3BB69-23CF-44E3-9099-C40C66FF867C}">
                  <a14:compatExt spid="_x0000_s9252"/>
                </a:ext>
                <a:ext uri="{FF2B5EF4-FFF2-40B4-BE49-F238E27FC236}">
                  <a16:creationId xmlns:a16="http://schemas.microsoft.com/office/drawing/2014/main" id="{00000000-0008-0000-0800-00002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29</xdr:row>
          <xdr:rowOff>137160</xdr:rowOff>
        </xdr:from>
        <xdr:to>
          <xdr:col>1</xdr:col>
          <xdr:colOff>59055</xdr:colOff>
          <xdr:row>31</xdr:row>
          <xdr:rowOff>21179</xdr:rowOff>
        </xdr:to>
        <xdr:sp macro="" textlink="">
          <xdr:nvSpPr>
            <xdr:cNvPr id="9253" name="Option Button 37" hidden="1">
              <a:extLst>
                <a:ext uri="{63B3BB69-23CF-44E3-9099-C40C66FF867C}">
                  <a14:compatExt spid="_x0000_s9253"/>
                </a:ext>
                <a:ext uri="{FF2B5EF4-FFF2-40B4-BE49-F238E27FC236}">
                  <a16:creationId xmlns:a16="http://schemas.microsoft.com/office/drawing/2014/main" id="{00000000-0008-0000-0800-00002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30</xdr:row>
          <xdr:rowOff>129540</xdr:rowOff>
        </xdr:from>
        <xdr:to>
          <xdr:col>1</xdr:col>
          <xdr:colOff>59055</xdr:colOff>
          <xdr:row>32</xdr:row>
          <xdr:rowOff>21179</xdr:rowOff>
        </xdr:to>
        <xdr:sp macro="" textlink="">
          <xdr:nvSpPr>
            <xdr:cNvPr id="9254" name="Option Button 38" hidden="1">
              <a:extLst>
                <a:ext uri="{63B3BB69-23CF-44E3-9099-C40C66FF867C}">
                  <a14:compatExt spid="_x0000_s9254"/>
                </a:ext>
                <a:ext uri="{FF2B5EF4-FFF2-40B4-BE49-F238E27FC236}">
                  <a16:creationId xmlns:a16="http://schemas.microsoft.com/office/drawing/2014/main" id="{00000000-0008-0000-0800-00002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31</xdr:row>
          <xdr:rowOff>137160</xdr:rowOff>
        </xdr:from>
        <xdr:to>
          <xdr:col>1</xdr:col>
          <xdr:colOff>59055</xdr:colOff>
          <xdr:row>33</xdr:row>
          <xdr:rowOff>38100</xdr:rowOff>
        </xdr:to>
        <xdr:sp macro="" textlink="">
          <xdr:nvSpPr>
            <xdr:cNvPr id="9255" name="Option Button 39" hidden="1">
              <a:extLst>
                <a:ext uri="{63B3BB69-23CF-44E3-9099-C40C66FF867C}">
                  <a14:compatExt spid="_x0000_s9255"/>
                </a:ext>
                <a:ext uri="{FF2B5EF4-FFF2-40B4-BE49-F238E27FC236}">
                  <a16:creationId xmlns:a16="http://schemas.microsoft.com/office/drawing/2014/main" id="{00000000-0008-0000-0800-00002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32</xdr:row>
          <xdr:rowOff>129540</xdr:rowOff>
        </xdr:from>
        <xdr:to>
          <xdr:col>1</xdr:col>
          <xdr:colOff>59055</xdr:colOff>
          <xdr:row>34</xdr:row>
          <xdr:rowOff>38100</xdr:rowOff>
        </xdr:to>
        <xdr:sp macro="" textlink="">
          <xdr:nvSpPr>
            <xdr:cNvPr id="9256" name="Option Button 40" hidden="1">
              <a:extLst>
                <a:ext uri="{63B3BB69-23CF-44E3-9099-C40C66FF867C}">
                  <a14:compatExt spid="_x0000_s9256"/>
                </a:ext>
                <a:ext uri="{FF2B5EF4-FFF2-40B4-BE49-F238E27FC236}">
                  <a16:creationId xmlns:a16="http://schemas.microsoft.com/office/drawing/2014/main" id="{00000000-0008-0000-08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33</xdr:row>
          <xdr:rowOff>137160</xdr:rowOff>
        </xdr:from>
        <xdr:to>
          <xdr:col>1</xdr:col>
          <xdr:colOff>59055</xdr:colOff>
          <xdr:row>35</xdr:row>
          <xdr:rowOff>38100</xdr:rowOff>
        </xdr:to>
        <xdr:sp macro="" textlink="">
          <xdr:nvSpPr>
            <xdr:cNvPr id="9257" name="Option Button 41" hidden="1">
              <a:extLst>
                <a:ext uri="{63B3BB69-23CF-44E3-9099-C40C66FF867C}">
                  <a14:compatExt spid="_x0000_s9257"/>
                </a:ext>
                <a:ext uri="{FF2B5EF4-FFF2-40B4-BE49-F238E27FC236}">
                  <a16:creationId xmlns:a16="http://schemas.microsoft.com/office/drawing/2014/main" id="{00000000-0008-0000-08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34</xdr:row>
          <xdr:rowOff>129540</xdr:rowOff>
        </xdr:from>
        <xdr:to>
          <xdr:col>1</xdr:col>
          <xdr:colOff>59055</xdr:colOff>
          <xdr:row>36</xdr:row>
          <xdr:rowOff>38100</xdr:rowOff>
        </xdr:to>
        <xdr:sp macro="" textlink="">
          <xdr:nvSpPr>
            <xdr:cNvPr id="9258" name="Option Button 42" hidden="1">
              <a:extLst>
                <a:ext uri="{63B3BB69-23CF-44E3-9099-C40C66FF867C}">
                  <a14:compatExt spid="_x0000_s9258"/>
                </a:ext>
                <a:ext uri="{FF2B5EF4-FFF2-40B4-BE49-F238E27FC236}">
                  <a16:creationId xmlns:a16="http://schemas.microsoft.com/office/drawing/2014/main" id="{00000000-0008-0000-0800-00002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35</xdr:row>
          <xdr:rowOff>137160</xdr:rowOff>
        </xdr:from>
        <xdr:to>
          <xdr:col>1</xdr:col>
          <xdr:colOff>59055</xdr:colOff>
          <xdr:row>37</xdr:row>
          <xdr:rowOff>38100</xdr:rowOff>
        </xdr:to>
        <xdr:sp macro="" textlink="">
          <xdr:nvSpPr>
            <xdr:cNvPr id="9259" name="Option Button 43" hidden="1">
              <a:extLst>
                <a:ext uri="{63B3BB69-23CF-44E3-9099-C40C66FF867C}">
                  <a14:compatExt spid="_x0000_s9259"/>
                </a:ext>
                <a:ext uri="{FF2B5EF4-FFF2-40B4-BE49-F238E27FC236}">
                  <a16:creationId xmlns:a16="http://schemas.microsoft.com/office/drawing/2014/main" id="{00000000-0008-0000-08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36</xdr:row>
          <xdr:rowOff>129540</xdr:rowOff>
        </xdr:from>
        <xdr:to>
          <xdr:col>1</xdr:col>
          <xdr:colOff>59055</xdr:colOff>
          <xdr:row>38</xdr:row>
          <xdr:rowOff>38100</xdr:rowOff>
        </xdr:to>
        <xdr:sp macro="" textlink="">
          <xdr:nvSpPr>
            <xdr:cNvPr id="9260" name="Option Button 44" hidden="1">
              <a:extLst>
                <a:ext uri="{63B3BB69-23CF-44E3-9099-C40C66FF867C}">
                  <a14:compatExt spid="_x0000_s9260"/>
                </a:ext>
                <a:ext uri="{FF2B5EF4-FFF2-40B4-BE49-F238E27FC236}">
                  <a16:creationId xmlns:a16="http://schemas.microsoft.com/office/drawing/2014/main" id="{00000000-0008-0000-08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37</xdr:row>
          <xdr:rowOff>137160</xdr:rowOff>
        </xdr:from>
        <xdr:to>
          <xdr:col>1</xdr:col>
          <xdr:colOff>59055</xdr:colOff>
          <xdr:row>39</xdr:row>
          <xdr:rowOff>38100</xdr:rowOff>
        </xdr:to>
        <xdr:sp macro="" textlink="">
          <xdr:nvSpPr>
            <xdr:cNvPr id="9261" name="Option Button 45" hidden="1">
              <a:extLst>
                <a:ext uri="{63B3BB69-23CF-44E3-9099-C40C66FF867C}">
                  <a14:compatExt spid="_x0000_s9261"/>
                </a:ext>
                <a:ext uri="{FF2B5EF4-FFF2-40B4-BE49-F238E27FC236}">
                  <a16:creationId xmlns:a16="http://schemas.microsoft.com/office/drawing/2014/main" id="{00000000-0008-0000-08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38</xdr:row>
          <xdr:rowOff>129540</xdr:rowOff>
        </xdr:from>
        <xdr:to>
          <xdr:col>1</xdr:col>
          <xdr:colOff>59055</xdr:colOff>
          <xdr:row>40</xdr:row>
          <xdr:rowOff>38100</xdr:rowOff>
        </xdr:to>
        <xdr:sp macro="" textlink="">
          <xdr:nvSpPr>
            <xdr:cNvPr id="9262" name="Option Button 46" hidden="1">
              <a:extLst>
                <a:ext uri="{63B3BB69-23CF-44E3-9099-C40C66FF867C}">
                  <a14:compatExt spid="_x0000_s9262"/>
                </a:ext>
                <a:ext uri="{FF2B5EF4-FFF2-40B4-BE49-F238E27FC236}">
                  <a16:creationId xmlns:a16="http://schemas.microsoft.com/office/drawing/2014/main" id="{00000000-0008-0000-08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39</xdr:row>
          <xdr:rowOff>137160</xdr:rowOff>
        </xdr:from>
        <xdr:to>
          <xdr:col>1</xdr:col>
          <xdr:colOff>59055</xdr:colOff>
          <xdr:row>41</xdr:row>
          <xdr:rowOff>38100</xdr:rowOff>
        </xdr:to>
        <xdr:sp macro="" textlink="">
          <xdr:nvSpPr>
            <xdr:cNvPr id="9263" name="Option Button 47" hidden="1">
              <a:extLst>
                <a:ext uri="{63B3BB69-23CF-44E3-9099-C40C66FF867C}">
                  <a14:compatExt spid="_x0000_s9263"/>
                </a:ext>
                <a:ext uri="{FF2B5EF4-FFF2-40B4-BE49-F238E27FC236}">
                  <a16:creationId xmlns:a16="http://schemas.microsoft.com/office/drawing/2014/main" id="{00000000-0008-0000-08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40</xdr:row>
          <xdr:rowOff>129540</xdr:rowOff>
        </xdr:from>
        <xdr:to>
          <xdr:col>1</xdr:col>
          <xdr:colOff>59055</xdr:colOff>
          <xdr:row>42</xdr:row>
          <xdr:rowOff>38100</xdr:rowOff>
        </xdr:to>
        <xdr:sp macro="" textlink="">
          <xdr:nvSpPr>
            <xdr:cNvPr id="9264" name="Option Button 48" hidden="1">
              <a:extLst>
                <a:ext uri="{63B3BB69-23CF-44E3-9099-C40C66FF867C}">
                  <a14:compatExt spid="_x0000_s9264"/>
                </a:ext>
                <a:ext uri="{FF2B5EF4-FFF2-40B4-BE49-F238E27FC236}">
                  <a16:creationId xmlns:a16="http://schemas.microsoft.com/office/drawing/2014/main" id="{00000000-0008-0000-08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41</xdr:row>
          <xdr:rowOff>137160</xdr:rowOff>
        </xdr:from>
        <xdr:to>
          <xdr:col>1</xdr:col>
          <xdr:colOff>59055</xdr:colOff>
          <xdr:row>43</xdr:row>
          <xdr:rowOff>38100</xdr:rowOff>
        </xdr:to>
        <xdr:sp macro="" textlink="">
          <xdr:nvSpPr>
            <xdr:cNvPr id="9265" name="Option Button 49" hidden="1">
              <a:extLst>
                <a:ext uri="{63B3BB69-23CF-44E3-9099-C40C66FF867C}">
                  <a14:compatExt spid="_x0000_s9265"/>
                </a:ext>
                <a:ext uri="{FF2B5EF4-FFF2-40B4-BE49-F238E27FC236}">
                  <a16:creationId xmlns:a16="http://schemas.microsoft.com/office/drawing/2014/main" id="{00000000-0008-0000-08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42</xdr:row>
          <xdr:rowOff>129540</xdr:rowOff>
        </xdr:from>
        <xdr:to>
          <xdr:col>1</xdr:col>
          <xdr:colOff>59055</xdr:colOff>
          <xdr:row>44</xdr:row>
          <xdr:rowOff>38100</xdr:rowOff>
        </xdr:to>
        <xdr:sp macro="" textlink="">
          <xdr:nvSpPr>
            <xdr:cNvPr id="9266" name="Option Button 50" hidden="1">
              <a:extLst>
                <a:ext uri="{63B3BB69-23CF-44E3-9099-C40C66FF867C}">
                  <a14:compatExt spid="_x0000_s9266"/>
                </a:ext>
                <a:ext uri="{FF2B5EF4-FFF2-40B4-BE49-F238E27FC236}">
                  <a16:creationId xmlns:a16="http://schemas.microsoft.com/office/drawing/2014/main" id="{00000000-0008-0000-0800-00003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43</xdr:row>
          <xdr:rowOff>137160</xdr:rowOff>
        </xdr:from>
        <xdr:to>
          <xdr:col>1</xdr:col>
          <xdr:colOff>59055</xdr:colOff>
          <xdr:row>45</xdr:row>
          <xdr:rowOff>38100</xdr:rowOff>
        </xdr:to>
        <xdr:sp macro="" textlink="">
          <xdr:nvSpPr>
            <xdr:cNvPr id="9267" name="Option Button 51" hidden="1">
              <a:extLst>
                <a:ext uri="{63B3BB69-23CF-44E3-9099-C40C66FF867C}">
                  <a14:compatExt spid="_x0000_s9267"/>
                </a:ext>
                <a:ext uri="{FF2B5EF4-FFF2-40B4-BE49-F238E27FC236}">
                  <a16:creationId xmlns:a16="http://schemas.microsoft.com/office/drawing/2014/main" id="{00000000-0008-0000-0800-00003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44</xdr:row>
          <xdr:rowOff>129540</xdr:rowOff>
        </xdr:from>
        <xdr:to>
          <xdr:col>1</xdr:col>
          <xdr:colOff>59055</xdr:colOff>
          <xdr:row>46</xdr:row>
          <xdr:rowOff>38100</xdr:rowOff>
        </xdr:to>
        <xdr:sp macro="" textlink="">
          <xdr:nvSpPr>
            <xdr:cNvPr id="9268" name="Option Button 52" hidden="1">
              <a:extLst>
                <a:ext uri="{63B3BB69-23CF-44E3-9099-C40C66FF867C}">
                  <a14:compatExt spid="_x0000_s9268"/>
                </a:ext>
                <a:ext uri="{FF2B5EF4-FFF2-40B4-BE49-F238E27FC236}">
                  <a16:creationId xmlns:a16="http://schemas.microsoft.com/office/drawing/2014/main" id="{00000000-0008-0000-08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45</xdr:row>
          <xdr:rowOff>137160</xdr:rowOff>
        </xdr:from>
        <xdr:to>
          <xdr:col>1</xdr:col>
          <xdr:colOff>59055</xdr:colOff>
          <xdr:row>47</xdr:row>
          <xdr:rowOff>38100</xdr:rowOff>
        </xdr:to>
        <xdr:sp macro="" textlink="">
          <xdr:nvSpPr>
            <xdr:cNvPr id="9269" name="Option Button 53" hidden="1">
              <a:extLst>
                <a:ext uri="{63B3BB69-23CF-44E3-9099-C40C66FF867C}">
                  <a14:compatExt spid="_x0000_s9269"/>
                </a:ext>
                <a:ext uri="{FF2B5EF4-FFF2-40B4-BE49-F238E27FC236}">
                  <a16:creationId xmlns:a16="http://schemas.microsoft.com/office/drawing/2014/main" id="{00000000-0008-0000-08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46</xdr:row>
          <xdr:rowOff>129540</xdr:rowOff>
        </xdr:from>
        <xdr:to>
          <xdr:col>1</xdr:col>
          <xdr:colOff>59055</xdr:colOff>
          <xdr:row>48</xdr:row>
          <xdr:rowOff>38100</xdr:rowOff>
        </xdr:to>
        <xdr:sp macro="" textlink="">
          <xdr:nvSpPr>
            <xdr:cNvPr id="9270" name="Option Button 54" hidden="1">
              <a:extLst>
                <a:ext uri="{63B3BB69-23CF-44E3-9099-C40C66FF867C}">
                  <a14:compatExt spid="_x0000_s9270"/>
                </a:ext>
                <a:ext uri="{FF2B5EF4-FFF2-40B4-BE49-F238E27FC236}">
                  <a16:creationId xmlns:a16="http://schemas.microsoft.com/office/drawing/2014/main" id="{00000000-0008-0000-0800-00003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47</xdr:row>
          <xdr:rowOff>137160</xdr:rowOff>
        </xdr:from>
        <xdr:to>
          <xdr:col>1</xdr:col>
          <xdr:colOff>59055</xdr:colOff>
          <xdr:row>49</xdr:row>
          <xdr:rowOff>38100</xdr:rowOff>
        </xdr:to>
        <xdr:sp macro="" textlink="">
          <xdr:nvSpPr>
            <xdr:cNvPr id="9271" name="Option Button 55" hidden="1">
              <a:extLst>
                <a:ext uri="{63B3BB69-23CF-44E3-9099-C40C66FF867C}">
                  <a14:compatExt spid="_x0000_s9271"/>
                </a:ext>
                <a:ext uri="{FF2B5EF4-FFF2-40B4-BE49-F238E27FC236}">
                  <a16:creationId xmlns:a16="http://schemas.microsoft.com/office/drawing/2014/main" id="{00000000-0008-0000-0800-00003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48</xdr:row>
          <xdr:rowOff>129540</xdr:rowOff>
        </xdr:from>
        <xdr:to>
          <xdr:col>1</xdr:col>
          <xdr:colOff>59055</xdr:colOff>
          <xdr:row>50</xdr:row>
          <xdr:rowOff>19050</xdr:rowOff>
        </xdr:to>
        <xdr:sp macro="" textlink="">
          <xdr:nvSpPr>
            <xdr:cNvPr id="9272" name="Option Button 56" hidden="1">
              <a:extLst>
                <a:ext uri="{63B3BB69-23CF-44E3-9099-C40C66FF867C}">
                  <a14:compatExt spid="_x0000_s9272"/>
                </a:ext>
                <a:ext uri="{FF2B5EF4-FFF2-40B4-BE49-F238E27FC236}">
                  <a16:creationId xmlns:a16="http://schemas.microsoft.com/office/drawing/2014/main" id="{00000000-0008-0000-0800-00003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49</xdr:row>
          <xdr:rowOff>144780</xdr:rowOff>
        </xdr:from>
        <xdr:to>
          <xdr:col>1</xdr:col>
          <xdr:colOff>59055</xdr:colOff>
          <xdr:row>51</xdr:row>
          <xdr:rowOff>19050</xdr:rowOff>
        </xdr:to>
        <xdr:sp macro="" textlink="">
          <xdr:nvSpPr>
            <xdr:cNvPr id="9273" name="Option Button 57" hidden="1">
              <a:extLst>
                <a:ext uri="{63B3BB69-23CF-44E3-9099-C40C66FF867C}">
                  <a14:compatExt spid="_x0000_s9273"/>
                </a:ext>
                <a:ext uri="{FF2B5EF4-FFF2-40B4-BE49-F238E27FC236}">
                  <a16:creationId xmlns:a16="http://schemas.microsoft.com/office/drawing/2014/main" id="{00000000-0008-0000-0800-00003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50</xdr:row>
          <xdr:rowOff>137160</xdr:rowOff>
        </xdr:from>
        <xdr:to>
          <xdr:col>1</xdr:col>
          <xdr:colOff>59055</xdr:colOff>
          <xdr:row>52</xdr:row>
          <xdr:rowOff>0</xdr:rowOff>
        </xdr:to>
        <xdr:sp macro="" textlink="">
          <xdr:nvSpPr>
            <xdr:cNvPr id="9274" name="Option Button 58" hidden="1">
              <a:extLst>
                <a:ext uri="{63B3BB69-23CF-44E3-9099-C40C66FF867C}">
                  <a14:compatExt spid="_x0000_s9274"/>
                </a:ext>
                <a:ext uri="{FF2B5EF4-FFF2-40B4-BE49-F238E27FC236}">
                  <a16:creationId xmlns:a16="http://schemas.microsoft.com/office/drawing/2014/main" id="{00000000-0008-0000-0800-00003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51</xdr:row>
          <xdr:rowOff>144780</xdr:rowOff>
        </xdr:from>
        <xdr:to>
          <xdr:col>1</xdr:col>
          <xdr:colOff>59055</xdr:colOff>
          <xdr:row>53</xdr:row>
          <xdr:rowOff>38100</xdr:rowOff>
        </xdr:to>
        <xdr:sp macro="" textlink="">
          <xdr:nvSpPr>
            <xdr:cNvPr id="9275" name="Option Button 59" hidden="1">
              <a:extLst>
                <a:ext uri="{63B3BB69-23CF-44E3-9099-C40C66FF867C}">
                  <a14:compatExt spid="_x0000_s9275"/>
                </a:ext>
                <a:ext uri="{FF2B5EF4-FFF2-40B4-BE49-F238E27FC236}">
                  <a16:creationId xmlns:a16="http://schemas.microsoft.com/office/drawing/2014/main" id="{00000000-0008-0000-0800-00003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52</xdr:row>
          <xdr:rowOff>129540</xdr:rowOff>
        </xdr:from>
        <xdr:to>
          <xdr:col>1</xdr:col>
          <xdr:colOff>59055</xdr:colOff>
          <xdr:row>54</xdr:row>
          <xdr:rowOff>38100</xdr:rowOff>
        </xdr:to>
        <xdr:sp macro="" textlink="">
          <xdr:nvSpPr>
            <xdr:cNvPr id="9276" name="Option Button 60" hidden="1">
              <a:extLst>
                <a:ext uri="{63B3BB69-23CF-44E3-9099-C40C66FF867C}">
                  <a14:compatExt spid="_x0000_s9276"/>
                </a:ext>
                <a:ext uri="{FF2B5EF4-FFF2-40B4-BE49-F238E27FC236}">
                  <a16:creationId xmlns:a16="http://schemas.microsoft.com/office/drawing/2014/main" id="{00000000-0008-0000-0800-00003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53</xdr:row>
          <xdr:rowOff>137160</xdr:rowOff>
        </xdr:from>
        <xdr:to>
          <xdr:col>1</xdr:col>
          <xdr:colOff>59055</xdr:colOff>
          <xdr:row>55</xdr:row>
          <xdr:rowOff>38100</xdr:rowOff>
        </xdr:to>
        <xdr:sp macro="" textlink="">
          <xdr:nvSpPr>
            <xdr:cNvPr id="9277" name="Option Button 61" hidden="1">
              <a:extLst>
                <a:ext uri="{63B3BB69-23CF-44E3-9099-C40C66FF867C}">
                  <a14:compatExt spid="_x0000_s9277"/>
                </a:ext>
                <a:ext uri="{FF2B5EF4-FFF2-40B4-BE49-F238E27FC236}">
                  <a16:creationId xmlns:a16="http://schemas.microsoft.com/office/drawing/2014/main" id="{00000000-0008-0000-0800-00003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54</xdr:row>
          <xdr:rowOff>129540</xdr:rowOff>
        </xdr:from>
        <xdr:to>
          <xdr:col>1</xdr:col>
          <xdr:colOff>59055</xdr:colOff>
          <xdr:row>56</xdr:row>
          <xdr:rowOff>38100</xdr:rowOff>
        </xdr:to>
        <xdr:sp macro="" textlink="">
          <xdr:nvSpPr>
            <xdr:cNvPr id="9278" name="Option Button 62" hidden="1">
              <a:extLst>
                <a:ext uri="{63B3BB69-23CF-44E3-9099-C40C66FF867C}">
                  <a14:compatExt spid="_x0000_s9278"/>
                </a:ext>
                <a:ext uri="{FF2B5EF4-FFF2-40B4-BE49-F238E27FC236}">
                  <a16:creationId xmlns:a16="http://schemas.microsoft.com/office/drawing/2014/main" id="{00000000-0008-0000-0800-00003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55</xdr:row>
          <xdr:rowOff>137160</xdr:rowOff>
        </xdr:from>
        <xdr:to>
          <xdr:col>1</xdr:col>
          <xdr:colOff>59055</xdr:colOff>
          <xdr:row>57</xdr:row>
          <xdr:rowOff>38100</xdr:rowOff>
        </xdr:to>
        <xdr:sp macro="" textlink="">
          <xdr:nvSpPr>
            <xdr:cNvPr id="9279" name="Option Button 63" hidden="1">
              <a:extLst>
                <a:ext uri="{63B3BB69-23CF-44E3-9099-C40C66FF867C}">
                  <a14:compatExt spid="_x0000_s9279"/>
                </a:ext>
                <a:ext uri="{FF2B5EF4-FFF2-40B4-BE49-F238E27FC236}">
                  <a16:creationId xmlns:a16="http://schemas.microsoft.com/office/drawing/2014/main" id="{00000000-0008-0000-0800-00003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56</xdr:row>
          <xdr:rowOff>129540</xdr:rowOff>
        </xdr:from>
        <xdr:to>
          <xdr:col>1</xdr:col>
          <xdr:colOff>59055</xdr:colOff>
          <xdr:row>58</xdr:row>
          <xdr:rowOff>38100</xdr:rowOff>
        </xdr:to>
        <xdr:sp macro="" textlink="">
          <xdr:nvSpPr>
            <xdr:cNvPr id="9280" name="Option Button 64" hidden="1">
              <a:extLst>
                <a:ext uri="{63B3BB69-23CF-44E3-9099-C40C66FF867C}">
                  <a14:compatExt spid="_x0000_s9280"/>
                </a:ext>
                <a:ext uri="{FF2B5EF4-FFF2-40B4-BE49-F238E27FC236}">
                  <a16:creationId xmlns:a16="http://schemas.microsoft.com/office/drawing/2014/main" id="{00000000-0008-0000-0800-00004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57</xdr:row>
          <xdr:rowOff>137160</xdr:rowOff>
        </xdr:from>
        <xdr:to>
          <xdr:col>1</xdr:col>
          <xdr:colOff>59055</xdr:colOff>
          <xdr:row>59</xdr:row>
          <xdr:rowOff>38100</xdr:rowOff>
        </xdr:to>
        <xdr:sp macro="" textlink="">
          <xdr:nvSpPr>
            <xdr:cNvPr id="9281" name="Option Button 65" hidden="1">
              <a:extLst>
                <a:ext uri="{63B3BB69-23CF-44E3-9099-C40C66FF867C}">
                  <a14:compatExt spid="_x0000_s9281"/>
                </a:ext>
                <a:ext uri="{FF2B5EF4-FFF2-40B4-BE49-F238E27FC236}">
                  <a16:creationId xmlns:a16="http://schemas.microsoft.com/office/drawing/2014/main" id="{00000000-0008-0000-0800-00004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58</xdr:row>
          <xdr:rowOff>129540</xdr:rowOff>
        </xdr:from>
        <xdr:to>
          <xdr:col>1</xdr:col>
          <xdr:colOff>59055</xdr:colOff>
          <xdr:row>60</xdr:row>
          <xdr:rowOff>38100</xdr:rowOff>
        </xdr:to>
        <xdr:sp macro="" textlink="">
          <xdr:nvSpPr>
            <xdr:cNvPr id="9282" name="Option Button 66" hidden="1">
              <a:extLst>
                <a:ext uri="{63B3BB69-23CF-44E3-9099-C40C66FF867C}">
                  <a14:compatExt spid="_x0000_s9282"/>
                </a:ext>
                <a:ext uri="{FF2B5EF4-FFF2-40B4-BE49-F238E27FC236}">
                  <a16:creationId xmlns:a16="http://schemas.microsoft.com/office/drawing/2014/main" id="{00000000-0008-0000-0800-00004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59</xdr:row>
          <xdr:rowOff>137160</xdr:rowOff>
        </xdr:from>
        <xdr:to>
          <xdr:col>1</xdr:col>
          <xdr:colOff>59055</xdr:colOff>
          <xdr:row>61</xdr:row>
          <xdr:rowOff>38100</xdr:rowOff>
        </xdr:to>
        <xdr:sp macro="" textlink="">
          <xdr:nvSpPr>
            <xdr:cNvPr id="9283" name="Option Button 67" hidden="1">
              <a:extLst>
                <a:ext uri="{63B3BB69-23CF-44E3-9099-C40C66FF867C}">
                  <a14:compatExt spid="_x0000_s9283"/>
                </a:ext>
                <a:ext uri="{FF2B5EF4-FFF2-40B4-BE49-F238E27FC236}">
                  <a16:creationId xmlns:a16="http://schemas.microsoft.com/office/drawing/2014/main" id="{00000000-0008-0000-0800-00004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60</xdr:row>
          <xdr:rowOff>129540</xdr:rowOff>
        </xdr:from>
        <xdr:to>
          <xdr:col>1</xdr:col>
          <xdr:colOff>59055</xdr:colOff>
          <xdr:row>62</xdr:row>
          <xdr:rowOff>38100</xdr:rowOff>
        </xdr:to>
        <xdr:sp macro="" textlink="">
          <xdr:nvSpPr>
            <xdr:cNvPr id="9284" name="Option Button 68" hidden="1">
              <a:extLst>
                <a:ext uri="{63B3BB69-23CF-44E3-9099-C40C66FF867C}">
                  <a14:compatExt spid="_x0000_s9284"/>
                </a:ext>
                <a:ext uri="{FF2B5EF4-FFF2-40B4-BE49-F238E27FC236}">
                  <a16:creationId xmlns:a16="http://schemas.microsoft.com/office/drawing/2014/main" id="{00000000-0008-0000-0800-00004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61</xdr:row>
          <xdr:rowOff>137160</xdr:rowOff>
        </xdr:from>
        <xdr:to>
          <xdr:col>1</xdr:col>
          <xdr:colOff>59055</xdr:colOff>
          <xdr:row>63</xdr:row>
          <xdr:rowOff>38100</xdr:rowOff>
        </xdr:to>
        <xdr:sp macro="" textlink="">
          <xdr:nvSpPr>
            <xdr:cNvPr id="9285" name="Option Button 69" hidden="1">
              <a:extLst>
                <a:ext uri="{63B3BB69-23CF-44E3-9099-C40C66FF867C}">
                  <a14:compatExt spid="_x0000_s9285"/>
                </a:ext>
                <a:ext uri="{FF2B5EF4-FFF2-40B4-BE49-F238E27FC236}">
                  <a16:creationId xmlns:a16="http://schemas.microsoft.com/office/drawing/2014/main" id="{00000000-0008-0000-0800-00004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62</xdr:row>
          <xdr:rowOff>129540</xdr:rowOff>
        </xdr:from>
        <xdr:to>
          <xdr:col>1</xdr:col>
          <xdr:colOff>59055</xdr:colOff>
          <xdr:row>64</xdr:row>
          <xdr:rowOff>38100</xdr:rowOff>
        </xdr:to>
        <xdr:sp macro="" textlink="">
          <xdr:nvSpPr>
            <xdr:cNvPr id="9286" name="Option Button 70" hidden="1">
              <a:extLst>
                <a:ext uri="{63B3BB69-23CF-44E3-9099-C40C66FF867C}">
                  <a14:compatExt spid="_x0000_s9286"/>
                </a:ext>
                <a:ext uri="{FF2B5EF4-FFF2-40B4-BE49-F238E27FC236}">
                  <a16:creationId xmlns:a16="http://schemas.microsoft.com/office/drawing/2014/main" id="{00000000-0008-0000-0800-00004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63</xdr:row>
          <xdr:rowOff>137160</xdr:rowOff>
        </xdr:from>
        <xdr:to>
          <xdr:col>1</xdr:col>
          <xdr:colOff>59055</xdr:colOff>
          <xdr:row>65</xdr:row>
          <xdr:rowOff>38100</xdr:rowOff>
        </xdr:to>
        <xdr:sp macro="" textlink="">
          <xdr:nvSpPr>
            <xdr:cNvPr id="9287" name="Option Button 71" hidden="1">
              <a:extLst>
                <a:ext uri="{63B3BB69-23CF-44E3-9099-C40C66FF867C}">
                  <a14:compatExt spid="_x0000_s9287"/>
                </a:ext>
                <a:ext uri="{FF2B5EF4-FFF2-40B4-BE49-F238E27FC236}">
                  <a16:creationId xmlns:a16="http://schemas.microsoft.com/office/drawing/2014/main" id="{00000000-0008-0000-0800-00004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64</xdr:row>
          <xdr:rowOff>129540</xdr:rowOff>
        </xdr:from>
        <xdr:to>
          <xdr:col>1</xdr:col>
          <xdr:colOff>59055</xdr:colOff>
          <xdr:row>66</xdr:row>
          <xdr:rowOff>38100</xdr:rowOff>
        </xdr:to>
        <xdr:sp macro="" textlink="">
          <xdr:nvSpPr>
            <xdr:cNvPr id="9288" name="Option Button 72" hidden="1">
              <a:extLst>
                <a:ext uri="{63B3BB69-23CF-44E3-9099-C40C66FF867C}">
                  <a14:compatExt spid="_x0000_s9288"/>
                </a:ext>
                <a:ext uri="{FF2B5EF4-FFF2-40B4-BE49-F238E27FC236}">
                  <a16:creationId xmlns:a16="http://schemas.microsoft.com/office/drawing/2014/main" id="{00000000-0008-0000-0800-00004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65</xdr:row>
          <xdr:rowOff>137160</xdr:rowOff>
        </xdr:from>
        <xdr:to>
          <xdr:col>1</xdr:col>
          <xdr:colOff>59055</xdr:colOff>
          <xdr:row>67</xdr:row>
          <xdr:rowOff>38100</xdr:rowOff>
        </xdr:to>
        <xdr:sp macro="" textlink="">
          <xdr:nvSpPr>
            <xdr:cNvPr id="9289" name="Option Button 73" hidden="1">
              <a:extLst>
                <a:ext uri="{63B3BB69-23CF-44E3-9099-C40C66FF867C}">
                  <a14:compatExt spid="_x0000_s9289"/>
                </a:ext>
                <a:ext uri="{FF2B5EF4-FFF2-40B4-BE49-F238E27FC236}">
                  <a16:creationId xmlns:a16="http://schemas.microsoft.com/office/drawing/2014/main" id="{00000000-0008-0000-0800-00004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66</xdr:row>
          <xdr:rowOff>129540</xdr:rowOff>
        </xdr:from>
        <xdr:to>
          <xdr:col>1</xdr:col>
          <xdr:colOff>59055</xdr:colOff>
          <xdr:row>68</xdr:row>
          <xdr:rowOff>38100</xdr:rowOff>
        </xdr:to>
        <xdr:sp macro="" textlink="">
          <xdr:nvSpPr>
            <xdr:cNvPr id="9290" name="Option Button 74" hidden="1">
              <a:extLst>
                <a:ext uri="{63B3BB69-23CF-44E3-9099-C40C66FF867C}">
                  <a14:compatExt spid="_x0000_s9290"/>
                </a:ext>
                <a:ext uri="{FF2B5EF4-FFF2-40B4-BE49-F238E27FC236}">
                  <a16:creationId xmlns:a16="http://schemas.microsoft.com/office/drawing/2014/main" id="{00000000-0008-0000-0800-00004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67</xdr:row>
          <xdr:rowOff>137160</xdr:rowOff>
        </xdr:from>
        <xdr:to>
          <xdr:col>1</xdr:col>
          <xdr:colOff>59055</xdr:colOff>
          <xdr:row>69</xdr:row>
          <xdr:rowOff>38100</xdr:rowOff>
        </xdr:to>
        <xdr:sp macro="" textlink="">
          <xdr:nvSpPr>
            <xdr:cNvPr id="9291" name="Option Button 75" hidden="1">
              <a:extLst>
                <a:ext uri="{63B3BB69-23CF-44E3-9099-C40C66FF867C}">
                  <a14:compatExt spid="_x0000_s9291"/>
                </a:ext>
                <a:ext uri="{FF2B5EF4-FFF2-40B4-BE49-F238E27FC236}">
                  <a16:creationId xmlns:a16="http://schemas.microsoft.com/office/drawing/2014/main" id="{00000000-0008-0000-0800-00004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68</xdr:row>
          <xdr:rowOff>129540</xdr:rowOff>
        </xdr:from>
        <xdr:to>
          <xdr:col>1</xdr:col>
          <xdr:colOff>59055</xdr:colOff>
          <xdr:row>70</xdr:row>
          <xdr:rowOff>38100</xdr:rowOff>
        </xdr:to>
        <xdr:sp macro="" textlink="">
          <xdr:nvSpPr>
            <xdr:cNvPr id="9292" name="Option Button 76" hidden="1">
              <a:extLst>
                <a:ext uri="{63B3BB69-23CF-44E3-9099-C40C66FF867C}">
                  <a14:compatExt spid="_x0000_s9292"/>
                </a:ext>
                <a:ext uri="{FF2B5EF4-FFF2-40B4-BE49-F238E27FC236}">
                  <a16:creationId xmlns:a16="http://schemas.microsoft.com/office/drawing/2014/main" id="{00000000-0008-0000-0800-00004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69</xdr:row>
          <xdr:rowOff>137160</xdr:rowOff>
        </xdr:from>
        <xdr:to>
          <xdr:col>1</xdr:col>
          <xdr:colOff>59055</xdr:colOff>
          <xdr:row>71</xdr:row>
          <xdr:rowOff>38100</xdr:rowOff>
        </xdr:to>
        <xdr:sp macro="" textlink="">
          <xdr:nvSpPr>
            <xdr:cNvPr id="9293" name="Option Button 77" hidden="1">
              <a:extLst>
                <a:ext uri="{63B3BB69-23CF-44E3-9099-C40C66FF867C}">
                  <a14:compatExt spid="_x0000_s9293"/>
                </a:ext>
                <a:ext uri="{FF2B5EF4-FFF2-40B4-BE49-F238E27FC236}">
                  <a16:creationId xmlns:a16="http://schemas.microsoft.com/office/drawing/2014/main" id="{00000000-0008-0000-0800-00004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70</xdr:row>
          <xdr:rowOff>129540</xdr:rowOff>
        </xdr:from>
        <xdr:to>
          <xdr:col>1</xdr:col>
          <xdr:colOff>59055</xdr:colOff>
          <xdr:row>72</xdr:row>
          <xdr:rowOff>38100</xdr:rowOff>
        </xdr:to>
        <xdr:sp macro="" textlink="">
          <xdr:nvSpPr>
            <xdr:cNvPr id="9294" name="Option Button 78" hidden="1">
              <a:extLst>
                <a:ext uri="{63B3BB69-23CF-44E3-9099-C40C66FF867C}">
                  <a14:compatExt spid="_x0000_s9294"/>
                </a:ext>
                <a:ext uri="{FF2B5EF4-FFF2-40B4-BE49-F238E27FC236}">
                  <a16:creationId xmlns:a16="http://schemas.microsoft.com/office/drawing/2014/main" id="{00000000-0008-0000-0800-00004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71</xdr:row>
          <xdr:rowOff>137160</xdr:rowOff>
        </xdr:from>
        <xdr:to>
          <xdr:col>1</xdr:col>
          <xdr:colOff>59055</xdr:colOff>
          <xdr:row>73</xdr:row>
          <xdr:rowOff>38100</xdr:rowOff>
        </xdr:to>
        <xdr:sp macro="" textlink="">
          <xdr:nvSpPr>
            <xdr:cNvPr id="9295" name="Option Button 79" hidden="1">
              <a:extLst>
                <a:ext uri="{63B3BB69-23CF-44E3-9099-C40C66FF867C}">
                  <a14:compatExt spid="_x0000_s9295"/>
                </a:ext>
                <a:ext uri="{FF2B5EF4-FFF2-40B4-BE49-F238E27FC236}">
                  <a16:creationId xmlns:a16="http://schemas.microsoft.com/office/drawing/2014/main" id="{00000000-0008-0000-0800-00004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72</xdr:row>
          <xdr:rowOff>129540</xdr:rowOff>
        </xdr:from>
        <xdr:to>
          <xdr:col>1</xdr:col>
          <xdr:colOff>59055</xdr:colOff>
          <xdr:row>74</xdr:row>
          <xdr:rowOff>19050</xdr:rowOff>
        </xdr:to>
        <xdr:sp macro="" textlink="">
          <xdr:nvSpPr>
            <xdr:cNvPr id="9296" name="Option Button 80" hidden="1">
              <a:extLst>
                <a:ext uri="{63B3BB69-23CF-44E3-9099-C40C66FF867C}">
                  <a14:compatExt spid="_x0000_s9296"/>
                </a:ext>
                <a:ext uri="{FF2B5EF4-FFF2-40B4-BE49-F238E27FC236}">
                  <a16:creationId xmlns:a16="http://schemas.microsoft.com/office/drawing/2014/main" id="{00000000-0008-0000-0800-00005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73</xdr:row>
          <xdr:rowOff>144780</xdr:rowOff>
        </xdr:from>
        <xdr:to>
          <xdr:col>1</xdr:col>
          <xdr:colOff>59055</xdr:colOff>
          <xdr:row>75</xdr:row>
          <xdr:rowOff>15240</xdr:rowOff>
        </xdr:to>
        <xdr:sp macro="" textlink="">
          <xdr:nvSpPr>
            <xdr:cNvPr id="9297" name="Option Button 81" hidden="1">
              <a:extLst>
                <a:ext uri="{63B3BB69-23CF-44E3-9099-C40C66FF867C}">
                  <a14:compatExt spid="_x0000_s9297"/>
                </a:ext>
                <a:ext uri="{FF2B5EF4-FFF2-40B4-BE49-F238E27FC236}">
                  <a16:creationId xmlns:a16="http://schemas.microsoft.com/office/drawing/2014/main" id="{00000000-0008-0000-0800-00005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74</xdr:row>
          <xdr:rowOff>137160</xdr:rowOff>
        </xdr:from>
        <xdr:to>
          <xdr:col>1</xdr:col>
          <xdr:colOff>59055</xdr:colOff>
          <xdr:row>76</xdr:row>
          <xdr:rowOff>15240</xdr:rowOff>
        </xdr:to>
        <xdr:sp macro="" textlink="">
          <xdr:nvSpPr>
            <xdr:cNvPr id="9298" name="Option Button 82" hidden="1">
              <a:extLst>
                <a:ext uri="{63B3BB69-23CF-44E3-9099-C40C66FF867C}">
                  <a14:compatExt spid="_x0000_s9298"/>
                </a:ext>
                <a:ext uri="{FF2B5EF4-FFF2-40B4-BE49-F238E27FC236}">
                  <a16:creationId xmlns:a16="http://schemas.microsoft.com/office/drawing/2014/main" id="{00000000-0008-0000-0800-00005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75</xdr:row>
          <xdr:rowOff>144780</xdr:rowOff>
        </xdr:from>
        <xdr:to>
          <xdr:col>1</xdr:col>
          <xdr:colOff>59055</xdr:colOff>
          <xdr:row>77</xdr:row>
          <xdr:rowOff>38100</xdr:rowOff>
        </xdr:to>
        <xdr:sp macro="" textlink="">
          <xdr:nvSpPr>
            <xdr:cNvPr id="9299" name="Option Button 83" hidden="1">
              <a:extLst>
                <a:ext uri="{63B3BB69-23CF-44E3-9099-C40C66FF867C}">
                  <a14:compatExt spid="_x0000_s9299"/>
                </a:ext>
                <a:ext uri="{FF2B5EF4-FFF2-40B4-BE49-F238E27FC236}">
                  <a16:creationId xmlns:a16="http://schemas.microsoft.com/office/drawing/2014/main" id="{00000000-0008-0000-0800-00005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76</xdr:row>
          <xdr:rowOff>129540</xdr:rowOff>
        </xdr:from>
        <xdr:to>
          <xdr:col>1</xdr:col>
          <xdr:colOff>59055</xdr:colOff>
          <xdr:row>78</xdr:row>
          <xdr:rowOff>38100</xdr:rowOff>
        </xdr:to>
        <xdr:sp macro="" textlink="">
          <xdr:nvSpPr>
            <xdr:cNvPr id="9300" name="Option Button 84" hidden="1">
              <a:extLst>
                <a:ext uri="{63B3BB69-23CF-44E3-9099-C40C66FF867C}">
                  <a14:compatExt spid="_x0000_s9300"/>
                </a:ext>
                <a:ext uri="{FF2B5EF4-FFF2-40B4-BE49-F238E27FC236}">
                  <a16:creationId xmlns:a16="http://schemas.microsoft.com/office/drawing/2014/main" id="{00000000-0008-0000-0800-00005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77</xdr:row>
          <xdr:rowOff>137160</xdr:rowOff>
        </xdr:from>
        <xdr:to>
          <xdr:col>1</xdr:col>
          <xdr:colOff>59055</xdr:colOff>
          <xdr:row>79</xdr:row>
          <xdr:rowOff>38100</xdr:rowOff>
        </xdr:to>
        <xdr:sp macro="" textlink="">
          <xdr:nvSpPr>
            <xdr:cNvPr id="9301" name="Option Button 85" hidden="1">
              <a:extLst>
                <a:ext uri="{63B3BB69-23CF-44E3-9099-C40C66FF867C}">
                  <a14:compatExt spid="_x0000_s9301"/>
                </a:ext>
                <a:ext uri="{FF2B5EF4-FFF2-40B4-BE49-F238E27FC236}">
                  <a16:creationId xmlns:a16="http://schemas.microsoft.com/office/drawing/2014/main" id="{00000000-0008-0000-0800-00005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78</xdr:row>
          <xdr:rowOff>129540</xdr:rowOff>
        </xdr:from>
        <xdr:to>
          <xdr:col>1</xdr:col>
          <xdr:colOff>59055</xdr:colOff>
          <xdr:row>80</xdr:row>
          <xdr:rowOff>38100</xdr:rowOff>
        </xdr:to>
        <xdr:sp macro="" textlink="">
          <xdr:nvSpPr>
            <xdr:cNvPr id="9302" name="Option Button 86" hidden="1">
              <a:extLst>
                <a:ext uri="{63B3BB69-23CF-44E3-9099-C40C66FF867C}">
                  <a14:compatExt spid="_x0000_s9302"/>
                </a:ext>
                <a:ext uri="{FF2B5EF4-FFF2-40B4-BE49-F238E27FC236}">
                  <a16:creationId xmlns:a16="http://schemas.microsoft.com/office/drawing/2014/main" id="{00000000-0008-0000-0800-00005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79</xdr:row>
          <xdr:rowOff>137160</xdr:rowOff>
        </xdr:from>
        <xdr:to>
          <xdr:col>1</xdr:col>
          <xdr:colOff>59055</xdr:colOff>
          <xdr:row>81</xdr:row>
          <xdr:rowOff>38100</xdr:rowOff>
        </xdr:to>
        <xdr:sp macro="" textlink="">
          <xdr:nvSpPr>
            <xdr:cNvPr id="9303" name="Option Button 87" hidden="1">
              <a:extLst>
                <a:ext uri="{63B3BB69-23CF-44E3-9099-C40C66FF867C}">
                  <a14:compatExt spid="_x0000_s9303"/>
                </a:ext>
                <a:ext uri="{FF2B5EF4-FFF2-40B4-BE49-F238E27FC236}">
                  <a16:creationId xmlns:a16="http://schemas.microsoft.com/office/drawing/2014/main" id="{00000000-0008-0000-0800-00005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80</xdr:row>
          <xdr:rowOff>129540</xdr:rowOff>
        </xdr:from>
        <xdr:to>
          <xdr:col>1</xdr:col>
          <xdr:colOff>59055</xdr:colOff>
          <xdr:row>82</xdr:row>
          <xdr:rowOff>38100</xdr:rowOff>
        </xdr:to>
        <xdr:sp macro="" textlink="">
          <xdr:nvSpPr>
            <xdr:cNvPr id="9304" name="Option Button 88" hidden="1">
              <a:extLst>
                <a:ext uri="{63B3BB69-23CF-44E3-9099-C40C66FF867C}">
                  <a14:compatExt spid="_x0000_s9304"/>
                </a:ext>
                <a:ext uri="{FF2B5EF4-FFF2-40B4-BE49-F238E27FC236}">
                  <a16:creationId xmlns:a16="http://schemas.microsoft.com/office/drawing/2014/main" id="{00000000-0008-0000-0800-00005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81</xdr:row>
          <xdr:rowOff>137160</xdr:rowOff>
        </xdr:from>
        <xdr:to>
          <xdr:col>1</xdr:col>
          <xdr:colOff>59055</xdr:colOff>
          <xdr:row>83</xdr:row>
          <xdr:rowOff>38100</xdr:rowOff>
        </xdr:to>
        <xdr:sp macro="" textlink="">
          <xdr:nvSpPr>
            <xdr:cNvPr id="9305" name="Option Button 89" hidden="1">
              <a:extLst>
                <a:ext uri="{63B3BB69-23CF-44E3-9099-C40C66FF867C}">
                  <a14:compatExt spid="_x0000_s9305"/>
                </a:ext>
                <a:ext uri="{FF2B5EF4-FFF2-40B4-BE49-F238E27FC236}">
                  <a16:creationId xmlns:a16="http://schemas.microsoft.com/office/drawing/2014/main" id="{00000000-0008-0000-0800-00005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82</xdr:row>
          <xdr:rowOff>129540</xdr:rowOff>
        </xdr:from>
        <xdr:to>
          <xdr:col>1</xdr:col>
          <xdr:colOff>59055</xdr:colOff>
          <xdr:row>84</xdr:row>
          <xdr:rowOff>38100</xdr:rowOff>
        </xdr:to>
        <xdr:sp macro="" textlink="">
          <xdr:nvSpPr>
            <xdr:cNvPr id="9306" name="Option Button 90" hidden="1">
              <a:extLst>
                <a:ext uri="{63B3BB69-23CF-44E3-9099-C40C66FF867C}">
                  <a14:compatExt spid="_x0000_s9306"/>
                </a:ext>
                <a:ext uri="{FF2B5EF4-FFF2-40B4-BE49-F238E27FC236}">
                  <a16:creationId xmlns:a16="http://schemas.microsoft.com/office/drawing/2014/main" id="{00000000-0008-0000-0800-00005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83</xdr:row>
          <xdr:rowOff>137160</xdr:rowOff>
        </xdr:from>
        <xdr:to>
          <xdr:col>1</xdr:col>
          <xdr:colOff>59055</xdr:colOff>
          <xdr:row>85</xdr:row>
          <xdr:rowOff>38100</xdr:rowOff>
        </xdr:to>
        <xdr:sp macro="" textlink="">
          <xdr:nvSpPr>
            <xdr:cNvPr id="9307" name="Option Button 91" hidden="1">
              <a:extLst>
                <a:ext uri="{63B3BB69-23CF-44E3-9099-C40C66FF867C}">
                  <a14:compatExt spid="_x0000_s9307"/>
                </a:ext>
                <a:ext uri="{FF2B5EF4-FFF2-40B4-BE49-F238E27FC236}">
                  <a16:creationId xmlns:a16="http://schemas.microsoft.com/office/drawing/2014/main" id="{00000000-0008-0000-0800-00005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84</xdr:row>
          <xdr:rowOff>129540</xdr:rowOff>
        </xdr:from>
        <xdr:to>
          <xdr:col>1</xdr:col>
          <xdr:colOff>59055</xdr:colOff>
          <xdr:row>86</xdr:row>
          <xdr:rowOff>38100</xdr:rowOff>
        </xdr:to>
        <xdr:sp macro="" textlink="">
          <xdr:nvSpPr>
            <xdr:cNvPr id="9308" name="Option Button 92" hidden="1">
              <a:extLst>
                <a:ext uri="{63B3BB69-23CF-44E3-9099-C40C66FF867C}">
                  <a14:compatExt spid="_x0000_s9308"/>
                </a:ext>
                <a:ext uri="{FF2B5EF4-FFF2-40B4-BE49-F238E27FC236}">
                  <a16:creationId xmlns:a16="http://schemas.microsoft.com/office/drawing/2014/main" id="{00000000-0008-0000-0800-00005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2</xdr:row>
          <xdr:rowOff>137160</xdr:rowOff>
        </xdr:from>
        <xdr:to>
          <xdr:col>9</xdr:col>
          <xdr:colOff>97155</xdr:colOff>
          <xdr:row>4</xdr:row>
          <xdr:rowOff>38100</xdr:rowOff>
        </xdr:to>
        <xdr:sp macro="" textlink="">
          <xdr:nvSpPr>
            <xdr:cNvPr id="9365" name="Check Box 149" hidden="1">
              <a:extLst>
                <a:ext uri="{63B3BB69-23CF-44E3-9099-C40C66FF867C}">
                  <a14:compatExt spid="_x0000_s9365"/>
                </a:ext>
                <a:ext uri="{FF2B5EF4-FFF2-40B4-BE49-F238E27FC236}">
                  <a16:creationId xmlns:a16="http://schemas.microsoft.com/office/drawing/2014/main" id="{00000000-0008-0000-0800-00009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3</xdr:row>
          <xdr:rowOff>121920</xdr:rowOff>
        </xdr:from>
        <xdr:to>
          <xdr:col>9</xdr:col>
          <xdr:colOff>97155</xdr:colOff>
          <xdr:row>5</xdr:row>
          <xdr:rowOff>19050</xdr:rowOff>
        </xdr:to>
        <xdr:sp macro="" textlink="">
          <xdr:nvSpPr>
            <xdr:cNvPr id="9366" name="Check Box 150" hidden="1">
              <a:extLst>
                <a:ext uri="{63B3BB69-23CF-44E3-9099-C40C66FF867C}">
                  <a14:compatExt spid="_x0000_s9366"/>
                </a:ext>
                <a:ext uri="{FF2B5EF4-FFF2-40B4-BE49-F238E27FC236}">
                  <a16:creationId xmlns:a16="http://schemas.microsoft.com/office/drawing/2014/main" id="{00000000-0008-0000-0800-00009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4</xdr:row>
          <xdr:rowOff>129540</xdr:rowOff>
        </xdr:from>
        <xdr:to>
          <xdr:col>9</xdr:col>
          <xdr:colOff>97155</xdr:colOff>
          <xdr:row>6</xdr:row>
          <xdr:rowOff>15240</xdr:rowOff>
        </xdr:to>
        <xdr:sp macro="" textlink="">
          <xdr:nvSpPr>
            <xdr:cNvPr id="9367" name="Check Box 151" hidden="1">
              <a:extLst>
                <a:ext uri="{63B3BB69-23CF-44E3-9099-C40C66FF867C}">
                  <a14:compatExt spid="_x0000_s9367"/>
                </a:ext>
                <a:ext uri="{FF2B5EF4-FFF2-40B4-BE49-F238E27FC236}">
                  <a16:creationId xmlns:a16="http://schemas.microsoft.com/office/drawing/2014/main" id="{00000000-0008-0000-0800-00009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18</xdr:row>
          <xdr:rowOff>129540</xdr:rowOff>
        </xdr:from>
        <xdr:to>
          <xdr:col>9</xdr:col>
          <xdr:colOff>97155</xdr:colOff>
          <xdr:row>20</xdr:row>
          <xdr:rowOff>38100</xdr:rowOff>
        </xdr:to>
        <xdr:sp macro="" textlink="">
          <xdr:nvSpPr>
            <xdr:cNvPr id="9388" name="Check Box 172" hidden="1">
              <a:extLst>
                <a:ext uri="{63B3BB69-23CF-44E3-9099-C40C66FF867C}">
                  <a14:compatExt spid="_x0000_s9388"/>
                </a:ext>
                <a:ext uri="{FF2B5EF4-FFF2-40B4-BE49-F238E27FC236}">
                  <a16:creationId xmlns:a16="http://schemas.microsoft.com/office/drawing/2014/main" id="{00000000-0008-0000-0800-0000A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19</xdr:row>
          <xdr:rowOff>121920</xdr:rowOff>
        </xdr:from>
        <xdr:to>
          <xdr:col>9</xdr:col>
          <xdr:colOff>97155</xdr:colOff>
          <xdr:row>21</xdr:row>
          <xdr:rowOff>19050</xdr:rowOff>
        </xdr:to>
        <xdr:sp macro="" textlink="">
          <xdr:nvSpPr>
            <xdr:cNvPr id="9389" name="Check Box 173" hidden="1">
              <a:extLst>
                <a:ext uri="{63B3BB69-23CF-44E3-9099-C40C66FF867C}">
                  <a14:compatExt spid="_x0000_s9389"/>
                </a:ext>
                <a:ext uri="{FF2B5EF4-FFF2-40B4-BE49-F238E27FC236}">
                  <a16:creationId xmlns:a16="http://schemas.microsoft.com/office/drawing/2014/main" id="{00000000-0008-0000-0800-0000A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20</xdr:row>
          <xdr:rowOff>129540</xdr:rowOff>
        </xdr:from>
        <xdr:to>
          <xdr:col>9</xdr:col>
          <xdr:colOff>97155</xdr:colOff>
          <xdr:row>22</xdr:row>
          <xdr:rowOff>15240</xdr:rowOff>
        </xdr:to>
        <xdr:sp macro="" textlink="">
          <xdr:nvSpPr>
            <xdr:cNvPr id="9390" name="Check Box 174" hidden="1">
              <a:extLst>
                <a:ext uri="{63B3BB69-23CF-44E3-9099-C40C66FF867C}">
                  <a14:compatExt spid="_x0000_s9390"/>
                </a:ext>
                <a:ext uri="{FF2B5EF4-FFF2-40B4-BE49-F238E27FC236}">
                  <a16:creationId xmlns:a16="http://schemas.microsoft.com/office/drawing/2014/main" id="{00000000-0008-0000-0800-0000A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18</xdr:row>
          <xdr:rowOff>129540</xdr:rowOff>
        </xdr:from>
        <xdr:to>
          <xdr:col>20</xdr:col>
          <xdr:colOff>91440</xdr:colOff>
          <xdr:row>20</xdr:row>
          <xdr:rowOff>38100</xdr:rowOff>
        </xdr:to>
        <xdr:sp macro="" textlink="">
          <xdr:nvSpPr>
            <xdr:cNvPr id="9391" name="Check Box 175" hidden="1">
              <a:extLst>
                <a:ext uri="{63B3BB69-23CF-44E3-9099-C40C66FF867C}">
                  <a14:compatExt spid="_x0000_s9391"/>
                </a:ext>
                <a:ext uri="{FF2B5EF4-FFF2-40B4-BE49-F238E27FC236}">
                  <a16:creationId xmlns:a16="http://schemas.microsoft.com/office/drawing/2014/main" id="{00000000-0008-0000-0800-0000A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19</xdr:row>
          <xdr:rowOff>121920</xdr:rowOff>
        </xdr:from>
        <xdr:to>
          <xdr:col>20</xdr:col>
          <xdr:colOff>91440</xdr:colOff>
          <xdr:row>21</xdr:row>
          <xdr:rowOff>19050</xdr:rowOff>
        </xdr:to>
        <xdr:sp macro="" textlink="">
          <xdr:nvSpPr>
            <xdr:cNvPr id="9392" name="Check Box 176" hidden="1">
              <a:extLst>
                <a:ext uri="{63B3BB69-23CF-44E3-9099-C40C66FF867C}">
                  <a14:compatExt spid="_x0000_s9392"/>
                </a:ext>
                <a:ext uri="{FF2B5EF4-FFF2-40B4-BE49-F238E27FC236}">
                  <a16:creationId xmlns:a16="http://schemas.microsoft.com/office/drawing/2014/main" id="{00000000-0008-0000-0800-0000B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20</xdr:row>
          <xdr:rowOff>129540</xdr:rowOff>
        </xdr:from>
        <xdr:to>
          <xdr:col>20</xdr:col>
          <xdr:colOff>91440</xdr:colOff>
          <xdr:row>22</xdr:row>
          <xdr:rowOff>15240</xdr:rowOff>
        </xdr:to>
        <xdr:sp macro="" textlink="">
          <xdr:nvSpPr>
            <xdr:cNvPr id="9393" name="Check Box 177" hidden="1">
              <a:extLst>
                <a:ext uri="{63B3BB69-23CF-44E3-9099-C40C66FF867C}">
                  <a14:compatExt spid="_x0000_s9393"/>
                </a:ext>
                <a:ext uri="{FF2B5EF4-FFF2-40B4-BE49-F238E27FC236}">
                  <a16:creationId xmlns:a16="http://schemas.microsoft.com/office/drawing/2014/main" id="{00000000-0008-0000-0800-0000B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2</xdr:row>
          <xdr:rowOff>137160</xdr:rowOff>
        </xdr:from>
        <xdr:to>
          <xdr:col>20</xdr:col>
          <xdr:colOff>91440</xdr:colOff>
          <xdr:row>4</xdr:row>
          <xdr:rowOff>38100</xdr:rowOff>
        </xdr:to>
        <xdr:sp macro="" textlink="">
          <xdr:nvSpPr>
            <xdr:cNvPr id="9394" name="Check Box 178" hidden="1">
              <a:extLst>
                <a:ext uri="{63B3BB69-23CF-44E3-9099-C40C66FF867C}">
                  <a14:compatExt spid="_x0000_s9394"/>
                </a:ext>
                <a:ext uri="{FF2B5EF4-FFF2-40B4-BE49-F238E27FC236}">
                  <a16:creationId xmlns:a16="http://schemas.microsoft.com/office/drawing/2014/main" id="{00000000-0008-0000-0800-0000B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3</xdr:row>
          <xdr:rowOff>121920</xdr:rowOff>
        </xdr:from>
        <xdr:to>
          <xdr:col>20</xdr:col>
          <xdr:colOff>91440</xdr:colOff>
          <xdr:row>5</xdr:row>
          <xdr:rowOff>19050</xdr:rowOff>
        </xdr:to>
        <xdr:sp macro="" textlink="">
          <xdr:nvSpPr>
            <xdr:cNvPr id="9395" name="Check Box 179" hidden="1">
              <a:extLst>
                <a:ext uri="{63B3BB69-23CF-44E3-9099-C40C66FF867C}">
                  <a14:compatExt spid="_x0000_s9395"/>
                </a:ext>
                <a:ext uri="{FF2B5EF4-FFF2-40B4-BE49-F238E27FC236}">
                  <a16:creationId xmlns:a16="http://schemas.microsoft.com/office/drawing/2014/main" id="{00000000-0008-0000-0800-0000B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4</xdr:row>
          <xdr:rowOff>129540</xdr:rowOff>
        </xdr:from>
        <xdr:to>
          <xdr:col>20</xdr:col>
          <xdr:colOff>91440</xdr:colOff>
          <xdr:row>6</xdr:row>
          <xdr:rowOff>15240</xdr:rowOff>
        </xdr:to>
        <xdr:sp macro="" textlink="">
          <xdr:nvSpPr>
            <xdr:cNvPr id="9396" name="Check Box 180" hidden="1">
              <a:extLst>
                <a:ext uri="{63B3BB69-23CF-44E3-9099-C40C66FF867C}">
                  <a14:compatExt spid="_x0000_s9396"/>
                </a:ext>
                <a:ext uri="{FF2B5EF4-FFF2-40B4-BE49-F238E27FC236}">
                  <a16:creationId xmlns:a16="http://schemas.microsoft.com/office/drawing/2014/main" id="{00000000-0008-0000-0800-0000B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6</xdr:row>
          <xdr:rowOff>129540</xdr:rowOff>
        </xdr:from>
        <xdr:to>
          <xdr:col>14</xdr:col>
          <xdr:colOff>97155</xdr:colOff>
          <xdr:row>8</xdr:row>
          <xdr:rowOff>38100</xdr:rowOff>
        </xdr:to>
        <xdr:sp macro="" textlink="">
          <xdr:nvSpPr>
            <xdr:cNvPr id="9397" name="Check Box 181" hidden="1">
              <a:extLst>
                <a:ext uri="{63B3BB69-23CF-44E3-9099-C40C66FF867C}">
                  <a14:compatExt spid="_x0000_s9397"/>
                </a:ext>
                <a:ext uri="{FF2B5EF4-FFF2-40B4-BE49-F238E27FC236}">
                  <a16:creationId xmlns:a16="http://schemas.microsoft.com/office/drawing/2014/main" id="{00000000-0008-0000-0800-0000B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7</xdr:row>
          <xdr:rowOff>121920</xdr:rowOff>
        </xdr:from>
        <xdr:to>
          <xdr:col>14</xdr:col>
          <xdr:colOff>97155</xdr:colOff>
          <xdr:row>9</xdr:row>
          <xdr:rowOff>19050</xdr:rowOff>
        </xdr:to>
        <xdr:sp macro="" textlink="">
          <xdr:nvSpPr>
            <xdr:cNvPr id="9398" name="Check Box 182" hidden="1">
              <a:extLst>
                <a:ext uri="{63B3BB69-23CF-44E3-9099-C40C66FF867C}">
                  <a14:compatExt spid="_x0000_s9398"/>
                </a:ext>
                <a:ext uri="{FF2B5EF4-FFF2-40B4-BE49-F238E27FC236}">
                  <a16:creationId xmlns:a16="http://schemas.microsoft.com/office/drawing/2014/main" id="{00000000-0008-0000-0800-0000B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xdr:row>
          <xdr:rowOff>129540</xdr:rowOff>
        </xdr:from>
        <xdr:to>
          <xdr:col>14</xdr:col>
          <xdr:colOff>97155</xdr:colOff>
          <xdr:row>10</xdr:row>
          <xdr:rowOff>15240</xdr:rowOff>
        </xdr:to>
        <xdr:sp macro="" textlink="">
          <xdr:nvSpPr>
            <xdr:cNvPr id="9399" name="Check Box 183" hidden="1">
              <a:extLst>
                <a:ext uri="{63B3BB69-23CF-44E3-9099-C40C66FF867C}">
                  <a14:compatExt spid="_x0000_s9399"/>
                </a:ext>
                <a:ext uri="{FF2B5EF4-FFF2-40B4-BE49-F238E27FC236}">
                  <a16:creationId xmlns:a16="http://schemas.microsoft.com/office/drawing/2014/main" id="{00000000-0008-0000-0800-0000B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xdr:row>
          <xdr:rowOff>129540</xdr:rowOff>
        </xdr:from>
        <xdr:to>
          <xdr:col>14</xdr:col>
          <xdr:colOff>97155</xdr:colOff>
          <xdr:row>16</xdr:row>
          <xdr:rowOff>38100</xdr:rowOff>
        </xdr:to>
        <xdr:sp macro="" textlink="">
          <xdr:nvSpPr>
            <xdr:cNvPr id="9400" name="Check Box 184" hidden="1">
              <a:extLst>
                <a:ext uri="{63B3BB69-23CF-44E3-9099-C40C66FF867C}">
                  <a14:compatExt spid="_x0000_s9400"/>
                </a:ext>
                <a:ext uri="{FF2B5EF4-FFF2-40B4-BE49-F238E27FC236}">
                  <a16:creationId xmlns:a16="http://schemas.microsoft.com/office/drawing/2014/main" id="{00000000-0008-0000-0800-0000B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15</xdr:row>
          <xdr:rowOff>121920</xdr:rowOff>
        </xdr:from>
        <xdr:to>
          <xdr:col>14</xdr:col>
          <xdr:colOff>97155</xdr:colOff>
          <xdr:row>17</xdr:row>
          <xdr:rowOff>19050</xdr:rowOff>
        </xdr:to>
        <xdr:sp macro="" textlink="">
          <xdr:nvSpPr>
            <xdr:cNvPr id="9401" name="Check Box 185" hidden="1">
              <a:extLst>
                <a:ext uri="{63B3BB69-23CF-44E3-9099-C40C66FF867C}">
                  <a14:compatExt spid="_x0000_s9401"/>
                </a:ext>
                <a:ext uri="{FF2B5EF4-FFF2-40B4-BE49-F238E27FC236}">
                  <a16:creationId xmlns:a16="http://schemas.microsoft.com/office/drawing/2014/main" id="{00000000-0008-0000-0800-0000B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16</xdr:row>
          <xdr:rowOff>129540</xdr:rowOff>
        </xdr:from>
        <xdr:to>
          <xdr:col>14</xdr:col>
          <xdr:colOff>97155</xdr:colOff>
          <xdr:row>18</xdr:row>
          <xdr:rowOff>15240</xdr:rowOff>
        </xdr:to>
        <xdr:sp macro="" textlink="">
          <xdr:nvSpPr>
            <xdr:cNvPr id="9402" name="Check Box 186" hidden="1">
              <a:extLst>
                <a:ext uri="{63B3BB69-23CF-44E3-9099-C40C66FF867C}">
                  <a14:compatExt spid="_x0000_s9402"/>
                </a:ext>
                <a:ext uri="{FF2B5EF4-FFF2-40B4-BE49-F238E27FC236}">
                  <a16:creationId xmlns:a16="http://schemas.microsoft.com/office/drawing/2014/main" id="{00000000-0008-0000-0800-0000B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129540</xdr:rowOff>
        </xdr:from>
        <xdr:to>
          <xdr:col>11</xdr:col>
          <xdr:colOff>97155</xdr:colOff>
          <xdr:row>9</xdr:row>
          <xdr:rowOff>15240</xdr:rowOff>
        </xdr:to>
        <xdr:sp macro="" textlink="">
          <xdr:nvSpPr>
            <xdr:cNvPr id="9403" name="Check Box 187" hidden="1">
              <a:extLst>
                <a:ext uri="{63B3BB69-23CF-44E3-9099-C40C66FF867C}">
                  <a14:compatExt spid="_x0000_s9403"/>
                </a:ext>
                <a:ext uri="{FF2B5EF4-FFF2-40B4-BE49-F238E27FC236}">
                  <a16:creationId xmlns:a16="http://schemas.microsoft.com/office/drawing/2014/main" id="{00000000-0008-0000-0800-0000B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952500</xdr:colOff>
          <xdr:row>11</xdr:row>
          <xdr:rowOff>129540</xdr:rowOff>
        </xdr:from>
        <xdr:to>
          <xdr:col>9</xdr:col>
          <xdr:colOff>97155</xdr:colOff>
          <xdr:row>13</xdr:row>
          <xdr:rowOff>15240</xdr:rowOff>
        </xdr:to>
        <xdr:sp macro="" textlink="">
          <xdr:nvSpPr>
            <xdr:cNvPr id="9404" name="Check Box 188" hidden="1">
              <a:extLst>
                <a:ext uri="{63B3BB69-23CF-44E3-9099-C40C66FF867C}">
                  <a14:compatExt spid="_x0000_s9404"/>
                </a:ext>
                <a:ext uri="{FF2B5EF4-FFF2-40B4-BE49-F238E27FC236}">
                  <a16:creationId xmlns:a16="http://schemas.microsoft.com/office/drawing/2014/main" id="{00000000-0008-0000-0800-0000B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15</xdr:row>
          <xdr:rowOff>129540</xdr:rowOff>
        </xdr:from>
        <xdr:to>
          <xdr:col>11</xdr:col>
          <xdr:colOff>97155</xdr:colOff>
          <xdr:row>17</xdr:row>
          <xdr:rowOff>15240</xdr:rowOff>
        </xdr:to>
        <xdr:sp macro="" textlink="">
          <xdr:nvSpPr>
            <xdr:cNvPr id="9405" name="Check Box 189" hidden="1">
              <a:extLst>
                <a:ext uri="{63B3BB69-23CF-44E3-9099-C40C66FF867C}">
                  <a14:compatExt spid="_x0000_s9405"/>
                </a:ext>
                <a:ext uri="{FF2B5EF4-FFF2-40B4-BE49-F238E27FC236}">
                  <a16:creationId xmlns:a16="http://schemas.microsoft.com/office/drawing/2014/main" id="{00000000-0008-0000-0800-0000B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19</xdr:row>
          <xdr:rowOff>129540</xdr:rowOff>
        </xdr:from>
        <xdr:to>
          <xdr:col>14</xdr:col>
          <xdr:colOff>97155</xdr:colOff>
          <xdr:row>21</xdr:row>
          <xdr:rowOff>15240</xdr:rowOff>
        </xdr:to>
        <xdr:sp macro="" textlink="">
          <xdr:nvSpPr>
            <xdr:cNvPr id="9406" name="Check Box 190" hidden="1">
              <a:extLst>
                <a:ext uri="{63B3BB69-23CF-44E3-9099-C40C66FF867C}">
                  <a14:compatExt spid="_x0000_s9406"/>
                </a:ext>
                <a:ext uri="{FF2B5EF4-FFF2-40B4-BE49-F238E27FC236}">
                  <a16:creationId xmlns:a16="http://schemas.microsoft.com/office/drawing/2014/main" id="{00000000-0008-0000-0800-0000B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15</xdr:row>
          <xdr:rowOff>129540</xdr:rowOff>
        </xdr:from>
        <xdr:to>
          <xdr:col>18</xdr:col>
          <xdr:colOff>97155</xdr:colOff>
          <xdr:row>17</xdr:row>
          <xdr:rowOff>15240</xdr:rowOff>
        </xdr:to>
        <xdr:sp macro="" textlink="">
          <xdr:nvSpPr>
            <xdr:cNvPr id="9407" name="Check Box 191" hidden="1">
              <a:extLst>
                <a:ext uri="{63B3BB69-23CF-44E3-9099-C40C66FF867C}">
                  <a14:compatExt spid="_x0000_s9407"/>
                </a:ext>
                <a:ext uri="{FF2B5EF4-FFF2-40B4-BE49-F238E27FC236}">
                  <a16:creationId xmlns:a16="http://schemas.microsoft.com/office/drawing/2014/main" id="{00000000-0008-0000-0800-0000B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11</xdr:row>
          <xdr:rowOff>129540</xdr:rowOff>
        </xdr:from>
        <xdr:to>
          <xdr:col>20</xdr:col>
          <xdr:colOff>91440</xdr:colOff>
          <xdr:row>13</xdr:row>
          <xdr:rowOff>15240</xdr:rowOff>
        </xdr:to>
        <xdr:sp macro="" textlink="">
          <xdr:nvSpPr>
            <xdr:cNvPr id="9408" name="Check Box 192" hidden="1">
              <a:extLst>
                <a:ext uri="{63B3BB69-23CF-44E3-9099-C40C66FF867C}">
                  <a14:compatExt spid="_x0000_s9408"/>
                </a:ext>
                <a:ext uri="{FF2B5EF4-FFF2-40B4-BE49-F238E27FC236}">
                  <a16:creationId xmlns:a16="http://schemas.microsoft.com/office/drawing/2014/main" id="{00000000-0008-0000-0800-0000C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xdr:row>
          <xdr:rowOff>129540</xdr:rowOff>
        </xdr:from>
        <xdr:to>
          <xdr:col>18</xdr:col>
          <xdr:colOff>97155</xdr:colOff>
          <xdr:row>9</xdr:row>
          <xdr:rowOff>15240</xdr:rowOff>
        </xdr:to>
        <xdr:sp macro="" textlink="">
          <xdr:nvSpPr>
            <xdr:cNvPr id="9409" name="Check Box 193" hidden="1">
              <a:extLst>
                <a:ext uri="{63B3BB69-23CF-44E3-9099-C40C66FF867C}">
                  <a14:compatExt spid="_x0000_s9409"/>
                </a:ext>
                <a:ext uri="{FF2B5EF4-FFF2-40B4-BE49-F238E27FC236}">
                  <a16:creationId xmlns:a16="http://schemas.microsoft.com/office/drawing/2014/main" id="{00000000-0008-0000-0800-0000C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11</xdr:row>
          <xdr:rowOff>129540</xdr:rowOff>
        </xdr:from>
        <xdr:to>
          <xdr:col>14</xdr:col>
          <xdr:colOff>97155</xdr:colOff>
          <xdr:row>13</xdr:row>
          <xdr:rowOff>15240</xdr:rowOff>
        </xdr:to>
        <xdr:sp macro="" textlink="">
          <xdr:nvSpPr>
            <xdr:cNvPr id="9410" name="Check Box 194" hidden="1">
              <a:extLst>
                <a:ext uri="{63B3BB69-23CF-44E3-9099-C40C66FF867C}">
                  <a14:compatExt spid="_x0000_s9410"/>
                </a:ext>
                <a:ext uri="{FF2B5EF4-FFF2-40B4-BE49-F238E27FC236}">
                  <a16:creationId xmlns:a16="http://schemas.microsoft.com/office/drawing/2014/main" id="{00000000-0008-0000-0800-0000C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xdr:row>
          <xdr:rowOff>129540</xdr:rowOff>
        </xdr:from>
        <xdr:to>
          <xdr:col>14</xdr:col>
          <xdr:colOff>97155</xdr:colOff>
          <xdr:row>5</xdr:row>
          <xdr:rowOff>15240</xdr:rowOff>
        </xdr:to>
        <xdr:sp macro="" textlink="">
          <xdr:nvSpPr>
            <xdr:cNvPr id="9411" name="Check Box 195" hidden="1">
              <a:extLst>
                <a:ext uri="{63B3BB69-23CF-44E3-9099-C40C66FF867C}">
                  <a14:compatExt spid="_x0000_s9411"/>
                </a:ext>
                <a:ext uri="{FF2B5EF4-FFF2-40B4-BE49-F238E27FC236}">
                  <a16:creationId xmlns:a16="http://schemas.microsoft.com/office/drawing/2014/main" id="{00000000-0008-0000-0800-0000C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85</xdr:row>
          <xdr:rowOff>129540</xdr:rowOff>
        </xdr:from>
        <xdr:to>
          <xdr:col>1</xdr:col>
          <xdr:colOff>59055</xdr:colOff>
          <xdr:row>87</xdr:row>
          <xdr:rowOff>38100</xdr:rowOff>
        </xdr:to>
        <xdr:sp macro="" textlink="">
          <xdr:nvSpPr>
            <xdr:cNvPr id="9418" name="Option Button 202" hidden="1">
              <a:extLst>
                <a:ext uri="{63B3BB69-23CF-44E3-9099-C40C66FF867C}">
                  <a14:compatExt spid="_x0000_s9418"/>
                </a:ext>
                <a:ext uri="{FF2B5EF4-FFF2-40B4-BE49-F238E27FC236}">
                  <a16:creationId xmlns:a16="http://schemas.microsoft.com/office/drawing/2014/main" id="{00000000-0008-0000-0800-0000C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86</xdr:row>
          <xdr:rowOff>129540</xdr:rowOff>
        </xdr:from>
        <xdr:to>
          <xdr:col>1</xdr:col>
          <xdr:colOff>59055</xdr:colOff>
          <xdr:row>88</xdr:row>
          <xdr:rowOff>38100</xdr:rowOff>
        </xdr:to>
        <xdr:sp macro="" textlink="">
          <xdr:nvSpPr>
            <xdr:cNvPr id="9497" name="Option Button 281" hidden="1">
              <a:extLst>
                <a:ext uri="{63B3BB69-23CF-44E3-9099-C40C66FF867C}">
                  <a14:compatExt spid="_x0000_s9497"/>
                </a:ext>
                <a:ext uri="{FF2B5EF4-FFF2-40B4-BE49-F238E27FC236}">
                  <a16:creationId xmlns:a16="http://schemas.microsoft.com/office/drawing/2014/main" id="{00000000-0008-0000-0800-000019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87</xdr:row>
          <xdr:rowOff>137160</xdr:rowOff>
        </xdr:from>
        <xdr:to>
          <xdr:col>1</xdr:col>
          <xdr:colOff>59055</xdr:colOff>
          <xdr:row>89</xdr:row>
          <xdr:rowOff>38100</xdr:rowOff>
        </xdr:to>
        <xdr:sp macro="" textlink="">
          <xdr:nvSpPr>
            <xdr:cNvPr id="9498" name="Option Button 282" hidden="1">
              <a:extLst>
                <a:ext uri="{63B3BB69-23CF-44E3-9099-C40C66FF867C}">
                  <a14:compatExt spid="_x0000_s9498"/>
                </a:ext>
                <a:ext uri="{FF2B5EF4-FFF2-40B4-BE49-F238E27FC236}">
                  <a16:creationId xmlns:a16="http://schemas.microsoft.com/office/drawing/2014/main" id="{00000000-0008-0000-0800-00001A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88</xdr:row>
          <xdr:rowOff>129540</xdr:rowOff>
        </xdr:from>
        <xdr:to>
          <xdr:col>1</xdr:col>
          <xdr:colOff>59055</xdr:colOff>
          <xdr:row>90</xdr:row>
          <xdr:rowOff>38100</xdr:rowOff>
        </xdr:to>
        <xdr:sp macro="" textlink="">
          <xdr:nvSpPr>
            <xdr:cNvPr id="9499" name="Option Button 283" hidden="1">
              <a:extLst>
                <a:ext uri="{63B3BB69-23CF-44E3-9099-C40C66FF867C}">
                  <a14:compatExt spid="_x0000_s9499"/>
                </a:ext>
                <a:ext uri="{FF2B5EF4-FFF2-40B4-BE49-F238E27FC236}">
                  <a16:creationId xmlns:a16="http://schemas.microsoft.com/office/drawing/2014/main" id="{00000000-0008-0000-0800-00001B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89</xdr:row>
          <xdr:rowOff>137160</xdr:rowOff>
        </xdr:from>
        <xdr:to>
          <xdr:col>1</xdr:col>
          <xdr:colOff>59055</xdr:colOff>
          <xdr:row>91</xdr:row>
          <xdr:rowOff>38100</xdr:rowOff>
        </xdr:to>
        <xdr:sp macro="" textlink="">
          <xdr:nvSpPr>
            <xdr:cNvPr id="9500" name="Option Button 284" hidden="1">
              <a:extLst>
                <a:ext uri="{63B3BB69-23CF-44E3-9099-C40C66FF867C}">
                  <a14:compatExt spid="_x0000_s9500"/>
                </a:ext>
                <a:ext uri="{FF2B5EF4-FFF2-40B4-BE49-F238E27FC236}">
                  <a16:creationId xmlns:a16="http://schemas.microsoft.com/office/drawing/2014/main" id="{00000000-0008-0000-0800-00001C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90</xdr:row>
          <xdr:rowOff>129540</xdr:rowOff>
        </xdr:from>
        <xdr:to>
          <xdr:col>1</xdr:col>
          <xdr:colOff>59055</xdr:colOff>
          <xdr:row>92</xdr:row>
          <xdr:rowOff>38100</xdr:rowOff>
        </xdr:to>
        <xdr:sp macro="" textlink="">
          <xdr:nvSpPr>
            <xdr:cNvPr id="9501" name="Option Button 285" hidden="1">
              <a:extLst>
                <a:ext uri="{63B3BB69-23CF-44E3-9099-C40C66FF867C}">
                  <a14:compatExt spid="_x0000_s9501"/>
                </a:ext>
                <a:ext uri="{FF2B5EF4-FFF2-40B4-BE49-F238E27FC236}">
                  <a16:creationId xmlns:a16="http://schemas.microsoft.com/office/drawing/2014/main" id="{00000000-0008-0000-0800-00001D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91</xdr:row>
          <xdr:rowOff>137160</xdr:rowOff>
        </xdr:from>
        <xdr:to>
          <xdr:col>1</xdr:col>
          <xdr:colOff>59055</xdr:colOff>
          <xdr:row>93</xdr:row>
          <xdr:rowOff>38100</xdr:rowOff>
        </xdr:to>
        <xdr:sp macro="" textlink="">
          <xdr:nvSpPr>
            <xdr:cNvPr id="9502" name="Option Button 286" hidden="1">
              <a:extLst>
                <a:ext uri="{63B3BB69-23CF-44E3-9099-C40C66FF867C}">
                  <a14:compatExt spid="_x0000_s9502"/>
                </a:ext>
                <a:ext uri="{FF2B5EF4-FFF2-40B4-BE49-F238E27FC236}">
                  <a16:creationId xmlns:a16="http://schemas.microsoft.com/office/drawing/2014/main" id="{00000000-0008-0000-0800-00001E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92</xdr:row>
          <xdr:rowOff>129540</xdr:rowOff>
        </xdr:from>
        <xdr:to>
          <xdr:col>1</xdr:col>
          <xdr:colOff>59055</xdr:colOff>
          <xdr:row>94</xdr:row>
          <xdr:rowOff>38100</xdr:rowOff>
        </xdr:to>
        <xdr:sp macro="" textlink="">
          <xdr:nvSpPr>
            <xdr:cNvPr id="9503" name="Option Button 287" hidden="1">
              <a:extLst>
                <a:ext uri="{63B3BB69-23CF-44E3-9099-C40C66FF867C}">
                  <a14:compatExt spid="_x0000_s9503"/>
                </a:ext>
                <a:ext uri="{FF2B5EF4-FFF2-40B4-BE49-F238E27FC236}">
                  <a16:creationId xmlns:a16="http://schemas.microsoft.com/office/drawing/2014/main" id="{00000000-0008-0000-0800-00001F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93</xdr:row>
          <xdr:rowOff>137160</xdr:rowOff>
        </xdr:from>
        <xdr:to>
          <xdr:col>1</xdr:col>
          <xdr:colOff>59055</xdr:colOff>
          <xdr:row>95</xdr:row>
          <xdr:rowOff>57150</xdr:rowOff>
        </xdr:to>
        <xdr:sp macro="" textlink="">
          <xdr:nvSpPr>
            <xdr:cNvPr id="9504" name="Option Button 288" hidden="1">
              <a:extLst>
                <a:ext uri="{63B3BB69-23CF-44E3-9099-C40C66FF867C}">
                  <a14:compatExt spid="_x0000_s9504"/>
                </a:ext>
                <a:ext uri="{FF2B5EF4-FFF2-40B4-BE49-F238E27FC236}">
                  <a16:creationId xmlns:a16="http://schemas.microsoft.com/office/drawing/2014/main" id="{00000000-0008-0000-0800-000020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94</xdr:row>
          <xdr:rowOff>129540</xdr:rowOff>
        </xdr:from>
        <xdr:to>
          <xdr:col>1</xdr:col>
          <xdr:colOff>59055</xdr:colOff>
          <xdr:row>96</xdr:row>
          <xdr:rowOff>57150</xdr:rowOff>
        </xdr:to>
        <xdr:sp macro="" textlink="">
          <xdr:nvSpPr>
            <xdr:cNvPr id="9505" name="Option Button 289" hidden="1">
              <a:extLst>
                <a:ext uri="{63B3BB69-23CF-44E3-9099-C40C66FF867C}">
                  <a14:compatExt spid="_x0000_s9505"/>
                </a:ext>
                <a:ext uri="{FF2B5EF4-FFF2-40B4-BE49-F238E27FC236}">
                  <a16:creationId xmlns:a16="http://schemas.microsoft.com/office/drawing/2014/main" id="{00000000-0008-0000-0800-000021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95</xdr:row>
          <xdr:rowOff>137160</xdr:rowOff>
        </xdr:from>
        <xdr:to>
          <xdr:col>1</xdr:col>
          <xdr:colOff>59055</xdr:colOff>
          <xdr:row>97</xdr:row>
          <xdr:rowOff>53340</xdr:rowOff>
        </xdr:to>
        <xdr:sp macro="" textlink="">
          <xdr:nvSpPr>
            <xdr:cNvPr id="9506" name="Option Button 290" hidden="1">
              <a:extLst>
                <a:ext uri="{63B3BB69-23CF-44E3-9099-C40C66FF867C}">
                  <a14:compatExt spid="_x0000_s9506"/>
                </a:ext>
                <a:ext uri="{FF2B5EF4-FFF2-40B4-BE49-F238E27FC236}">
                  <a16:creationId xmlns:a16="http://schemas.microsoft.com/office/drawing/2014/main" id="{00000000-0008-0000-0800-000022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96</xdr:row>
          <xdr:rowOff>129540</xdr:rowOff>
        </xdr:from>
        <xdr:to>
          <xdr:col>1</xdr:col>
          <xdr:colOff>59055</xdr:colOff>
          <xdr:row>98</xdr:row>
          <xdr:rowOff>19050</xdr:rowOff>
        </xdr:to>
        <xdr:sp macro="" textlink="">
          <xdr:nvSpPr>
            <xdr:cNvPr id="9507" name="Option Button 291" hidden="1">
              <a:extLst>
                <a:ext uri="{63B3BB69-23CF-44E3-9099-C40C66FF867C}">
                  <a14:compatExt spid="_x0000_s9507"/>
                </a:ext>
                <a:ext uri="{FF2B5EF4-FFF2-40B4-BE49-F238E27FC236}">
                  <a16:creationId xmlns:a16="http://schemas.microsoft.com/office/drawing/2014/main" id="{00000000-0008-0000-0800-000023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97</xdr:row>
          <xdr:rowOff>144780</xdr:rowOff>
        </xdr:from>
        <xdr:to>
          <xdr:col>1</xdr:col>
          <xdr:colOff>59055</xdr:colOff>
          <xdr:row>99</xdr:row>
          <xdr:rowOff>19050</xdr:rowOff>
        </xdr:to>
        <xdr:sp macro="" textlink="">
          <xdr:nvSpPr>
            <xdr:cNvPr id="9508" name="Option Button 292" hidden="1">
              <a:extLst>
                <a:ext uri="{63B3BB69-23CF-44E3-9099-C40C66FF867C}">
                  <a14:compatExt spid="_x0000_s9508"/>
                </a:ext>
                <a:ext uri="{FF2B5EF4-FFF2-40B4-BE49-F238E27FC236}">
                  <a16:creationId xmlns:a16="http://schemas.microsoft.com/office/drawing/2014/main" id="{00000000-0008-0000-0800-000024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98</xdr:row>
          <xdr:rowOff>137160</xdr:rowOff>
        </xdr:from>
        <xdr:to>
          <xdr:col>1</xdr:col>
          <xdr:colOff>59055</xdr:colOff>
          <xdr:row>100</xdr:row>
          <xdr:rowOff>19050</xdr:rowOff>
        </xdr:to>
        <xdr:sp macro="" textlink="">
          <xdr:nvSpPr>
            <xdr:cNvPr id="9509" name="Option Button 293" hidden="1">
              <a:extLst>
                <a:ext uri="{63B3BB69-23CF-44E3-9099-C40C66FF867C}">
                  <a14:compatExt spid="_x0000_s9509"/>
                </a:ext>
                <a:ext uri="{FF2B5EF4-FFF2-40B4-BE49-F238E27FC236}">
                  <a16:creationId xmlns:a16="http://schemas.microsoft.com/office/drawing/2014/main" id="{00000000-0008-0000-0800-000025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99</xdr:row>
          <xdr:rowOff>137160</xdr:rowOff>
        </xdr:from>
        <xdr:to>
          <xdr:col>1</xdr:col>
          <xdr:colOff>59055</xdr:colOff>
          <xdr:row>101</xdr:row>
          <xdr:rowOff>38100</xdr:rowOff>
        </xdr:to>
        <xdr:sp macro="" textlink="">
          <xdr:nvSpPr>
            <xdr:cNvPr id="9510" name="Option Button 294" hidden="1">
              <a:extLst>
                <a:ext uri="{63B3BB69-23CF-44E3-9099-C40C66FF867C}">
                  <a14:compatExt spid="_x0000_s9510"/>
                </a:ext>
                <a:ext uri="{FF2B5EF4-FFF2-40B4-BE49-F238E27FC236}">
                  <a16:creationId xmlns:a16="http://schemas.microsoft.com/office/drawing/2014/main" id="{00000000-0008-0000-0800-000026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100</xdr:row>
          <xdr:rowOff>129540</xdr:rowOff>
        </xdr:from>
        <xdr:to>
          <xdr:col>1</xdr:col>
          <xdr:colOff>59055</xdr:colOff>
          <xdr:row>102</xdr:row>
          <xdr:rowOff>38100</xdr:rowOff>
        </xdr:to>
        <xdr:sp macro="" textlink="">
          <xdr:nvSpPr>
            <xdr:cNvPr id="9511" name="Option Button 295" hidden="1">
              <a:extLst>
                <a:ext uri="{63B3BB69-23CF-44E3-9099-C40C66FF867C}">
                  <a14:compatExt spid="_x0000_s9511"/>
                </a:ext>
                <a:ext uri="{FF2B5EF4-FFF2-40B4-BE49-F238E27FC236}">
                  <a16:creationId xmlns:a16="http://schemas.microsoft.com/office/drawing/2014/main" id="{00000000-0008-0000-0800-000027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101</xdr:row>
          <xdr:rowOff>137160</xdr:rowOff>
        </xdr:from>
        <xdr:to>
          <xdr:col>1</xdr:col>
          <xdr:colOff>59055</xdr:colOff>
          <xdr:row>103</xdr:row>
          <xdr:rowOff>38100</xdr:rowOff>
        </xdr:to>
        <xdr:sp macro="" textlink="">
          <xdr:nvSpPr>
            <xdr:cNvPr id="9512" name="Option Button 296" hidden="1">
              <a:extLst>
                <a:ext uri="{63B3BB69-23CF-44E3-9099-C40C66FF867C}">
                  <a14:compatExt spid="_x0000_s9512"/>
                </a:ext>
                <a:ext uri="{FF2B5EF4-FFF2-40B4-BE49-F238E27FC236}">
                  <a16:creationId xmlns:a16="http://schemas.microsoft.com/office/drawing/2014/main" id="{00000000-0008-0000-0800-000028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102</xdr:row>
          <xdr:rowOff>129540</xdr:rowOff>
        </xdr:from>
        <xdr:to>
          <xdr:col>1</xdr:col>
          <xdr:colOff>59055</xdr:colOff>
          <xdr:row>104</xdr:row>
          <xdr:rowOff>38100</xdr:rowOff>
        </xdr:to>
        <xdr:sp macro="" textlink="">
          <xdr:nvSpPr>
            <xdr:cNvPr id="9513" name="Option Button 297" hidden="1">
              <a:extLst>
                <a:ext uri="{63B3BB69-23CF-44E3-9099-C40C66FF867C}">
                  <a14:compatExt spid="_x0000_s9513"/>
                </a:ext>
                <a:ext uri="{FF2B5EF4-FFF2-40B4-BE49-F238E27FC236}">
                  <a16:creationId xmlns:a16="http://schemas.microsoft.com/office/drawing/2014/main" id="{00000000-0008-0000-0800-000029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103</xdr:row>
          <xdr:rowOff>137160</xdr:rowOff>
        </xdr:from>
        <xdr:to>
          <xdr:col>1</xdr:col>
          <xdr:colOff>59055</xdr:colOff>
          <xdr:row>105</xdr:row>
          <xdr:rowOff>38100</xdr:rowOff>
        </xdr:to>
        <xdr:sp macro="" textlink="">
          <xdr:nvSpPr>
            <xdr:cNvPr id="9514" name="Option Button 298" hidden="1">
              <a:extLst>
                <a:ext uri="{63B3BB69-23CF-44E3-9099-C40C66FF867C}">
                  <a14:compatExt spid="_x0000_s9514"/>
                </a:ext>
                <a:ext uri="{FF2B5EF4-FFF2-40B4-BE49-F238E27FC236}">
                  <a16:creationId xmlns:a16="http://schemas.microsoft.com/office/drawing/2014/main" id="{00000000-0008-0000-0800-00002A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104</xdr:row>
          <xdr:rowOff>129540</xdr:rowOff>
        </xdr:from>
        <xdr:to>
          <xdr:col>1</xdr:col>
          <xdr:colOff>59055</xdr:colOff>
          <xdr:row>106</xdr:row>
          <xdr:rowOff>38100</xdr:rowOff>
        </xdr:to>
        <xdr:sp macro="" textlink="">
          <xdr:nvSpPr>
            <xdr:cNvPr id="9515" name="Option Button 299" hidden="1">
              <a:extLst>
                <a:ext uri="{63B3BB69-23CF-44E3-9099-C40C66FF867C}">
                  <a14:compatExt spid="_x0000_s9515"/>
                </a:ext>
                <a:ext uri="{FF2B5EF4-FFF2-40B4-BE49-F238E27FC236}">
                  <a16:creationId xmlns:a16="http://schemas.microsoft.com/office/drawing/2014/main" id="{00000000-0008-0000-0800-00002B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105</xdr:row>
          <xdr:rowOff>137160</xdr:rowOff>
        </xdr:from>
        <xdr:to>
          <xdr:col>1</xdr:col>
          <xdr:colOff>59055</xdr:colOff>
          <xdr:row>107</xdr:row>
          <xdr:rowOff>38100</xdr:rowOff>
        </xdr:to>
        <xdr:sp macro="" textlink="">
          <xdr:nvSpPr>
            <xdr:cNvPr id="9516" name="Option Button 300" hidden="1">
              <a:extLst>
                <a:ext uri="{63B3BB69-23CF-44E3-9099-C40C66FF867C}">
                  <a14:compatExt spid="_x0000_s9516"/>
                </a:ext>
                <a:ext uri="{FF2B5EF4-FFF2-40B4-BE49-F238E27FC236}">
                  <a16:creationId xmlns:a16="http://schemas.microsoft.com/office/drawing/2014/main" id="{00000000-0008-0000-0800-00002C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106</xdr:row>
          <xdr:rowOff>129540</xdr:rowOff>
        </xdr:from>
        <xdr:to>
          <xdr:col>1</xdr:col>
          <xdr:colOff>59055</xdr:colOff>
          <xdr:row>108</xdr:row>
          <xdr:rowOff>38100</xdr:rowOff>
        </xdr:to>
        <xdr:sp macro="" textlink="">
          <xdr:nvSpPr>
            <xdr:cNvPr id="9517" name="Option Button 301" hidden="1">
              <a:extLst>
                <a:ext uri="{63B3BB69-23CF-44E3-9099-C40C66FF867C}">
                  <a14:compatExt spid="_x0000_s9517"/>
                </a:ext>
                <a:ext uri="{FF2B5EF4-FFF2-40B4-BE49-F238E27FC236}">
                  <a16:creationId xmlns:a16="http://schemas.microsoft.com/office/drawing/2014/main" id="{00000000-0008-0000-0800-00002D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107</xdr:row>
          <xdr:rowOff>137160</xdr:rowOff>
        </xdr:from>
        <xdr:to>
          <xdr:col>1</xdr:col>
          <xdr:colOff>59055</xdr:colOff>
          <xdr:row>109</xdr:row>
          <xdr:rowOff>38100</xdr:rowOff>
        </xdr:to>
        <xdr:sp macro="" textlink="">
          <xdr:nvSpPr>
            <xdr:cNvPr id="9518" name="Option Button 302" hidden="1">
              <a:extLst>
                <a:ext uri="{63B3BB69-23CF-44E3-9099-C40C66FF867C}">
                  <a14:compatExt spid="_x0000_s9518"/>
                </a:ext>
                <a:ext uri="{FF2B5EF4-FFF2-40B4-BE49-F238E27FC236}">
                  <a16:creationId xmlns:a16="http://schemas.microsoft.com/office/drawing/2014/main" id="{00000000-0008-0000-0800-00002E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108</xdr:row>
          <xdr:rowOff>129540</xdr:rowOff>
        </xdr:from>
        <xdr:to>
          <xdr:col>1</xdr:col>
          <xdr:colOff>59055</xdr:colOff>
          <xdr:row>110</xdr:row>
          <xdr:rowOff>38100</xdr:rowOff>
        </xdr:to>
        <xdr:sp macro="" textlink="">
          <xdr:nvSpPr>
            <xdr:cNvPr id="9519" name="Option Button 303" hidden="1">
              <a:extLst>
                <a:ext uri="{63B3BB69-23CF-44E3-9099-C40C66FF867C}">
                  <a14:compatExt spid="_x0000_s9519"/>
                </a:ext>
                <a:ext uri="{FF2B5EF4-FFF2-40B4-BE49-F238E27FC236}">
                  <a16:creationId xmlns:a16="http://schemas.microsoft.com/office/drawing/2014/main" id="{00000000-0008-0000-0800-00002F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109</xdr:row>
          <xdr:rowOff>137160</xdr:rowOff>
        </xdr:from>
        <xdr:to>
          <xdr:col>1</xdr:col>
          <xdr:colOff>59055</xdr:colOff>
          <xdr:row>111</xdr:row>
          <xdr:rowOff>38100</xdr:rowOff>
        </xdr:to>
        <xdr:sp macro="" textlink="">
          <xdr:nvSpPr>
            <xdr:cNvPr id="9520" name="Option Button 304" hidden="1">
              <a:extLst>
                <a:ext uri="{63B3BB69-23CF-44E3-9099-C40C66FF867C}">
                  <a14:compatExt spid="_x0000_s9520"/>
                </a:ext>
                <a:ext uri="{FF2B5EF4-FFF2-40B4-BE49-F238E27FC236}">
                  <a16:creationId xmlns:a16="http://schemas.microsoft.com/office/drawing/2014/main" id="{00000000-0008-0000-0800-000030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110</xdr:row>
          <xdr:rowOff>129540</xdr:rowOff>
        </xdr:from>
        <xdr:to>
          <xdr:col>1</xdr:col>
          <xdr:colOff>59055</xdr:colOff>
          <xdr:row>112</xdr:row>
          <xdr:rowOff>38100</xdr:rowOff>
        </xdr:to>
        <xdr:sp macro="" textlink="">
          <xdr:nvSpPr>
            <xdr:cNvPr id="9521" name="Option Button 305" hidden="1">
              <a:extLst>
                <a:ext uri="{63B3BB69-23CF-44E3-9099-C40C66FF867C}">
                  <a14:compatExt spid="_x0000_s9521"/>
                </a:ext>
                <a:ext uri="{FF2B5EF4-FFF2-40B4-BE49-F238E27FC236}">
                  <a16:creationId xmlns:a16="http://schemas.microsoft.com/office/drawing/2014/main" id="{00000000-0008-0000-0800-000031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111</xdr:row>
          <xdr:rowOff>137160</xdr:rowOff>
        </xdr:from>
        <xdr:to>
          <xdr:col>1</xdr:col>
          <xdr:colOff>59055</xdr:colOff>
          <xdr:row>113</xdr:row>
          <xdr:rowOff>38100</xdr:rowOff>
        </xdr:to>
        <xdr:sp macro="" textlink="">
          <xdr:nvSpPr>
            <xdr:cNvPr id="9522" name="Option Button 306" hidden="1">
              <a:extLst>
                <a:ext uri="{63B3BB69-23CF-44E3-9099-C40C66FF867C}">
                  <a14:compatExt spid="_x0000_s9522"/>
                </a:ext>
                <a:ext uri="{FF2B5EF4-FFF2-40B4-BE49-F238E27FC236}">
                  <a16:creationId xmlns:a16="http://schemas.microsoft.com/office/drawing/2014/main" id="{00000000-0008-0000-0800-000032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112</xdr:row>
          <xdr:rowOff>129540</xdr:rowOff>
        </xdr:from>
        <xdr:to>
          <xdr:col>1</xdr:col>
          <xdr:colOff>59055</xdr:colOff>
          <xdr:row>114</xdr:row>
          <xdr:rowOff>38100</xdr:rowOff>
        </xdr:to>
        <xdr:sp macro="" textlink="">
          <xdr:nvSpPr>
            <xdr:cNvPr id="9523" name="Option Button 307" hidden="1">
              <a:extLst>
                <a:ext uri="{63B3BB69-23CF-44E3-9099-C40C66FF867C}">
                  <a14:compatExt spid="_x0000_s9523"/>
                </a:ext>
                <a:ext uri="{FF2B5EF4-FFF2-40B4-BE49-F238E27FC236}">
                  <a16:creationId xmlns:a16="http://schemas.microsoft.com/office/drawing/2014/main" id="{00000000-0008-0000-0800-000033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113</xdr:row>
          <xdr:rowOff>137160</xdr:rowOff>
        </xdr:from>
        <xdr:to>
          <xdr:col>1</xdr:col>
          <xdr:colOff>59055</xdr:colOff>
          <xdr:row>115</xdr:row>
          <xdr:rowOff>38100</xdr:rowOff>
        </xdr:to>
        <xdr:sp macro="" textlink="">
          <xdr:nvSpPr>
            <xdr:cNvPr id="9524" name="Option Button 308" hidden="1">
              <a:extLst>
                <a:ext uri="{63B3BB69-23CF-44E3-9099-C40C66FF867C}">
                  <a14:compatExt spid="_x0000_s9524"/>
                </a:ext>
                <a:ext uri="{FF2B5EF4-FFF2-40B4-BE49-F238E27FC236}">
                  <a16:creationId xmlns:a16="http://schemas.microsoft.com/office/drawing/2014/main" id="{00000000-0008-0000-0800-000034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114</xdr:row>
          <xdr:rowOff>129540</xdr:rowOff>
        </xdr:from>
        <xdr:to>
          <xdr:col>1</xdr:col>
          <xdr:colOff>59055</xdr:colOff>
          <xdr:row>116</xdr:row>
          <xdr:rowOff>38100</xdr:rowOff>
        </xdr:to>
        <xdr:sp macro="" textlink="">
          <xdr:nvSpPr>
            <xdr:cNvPr id="9525" name="Option Button 309" hidden="1">
              <a:extLst>
                <a:ext uri="{63B3BB69-23CF-44E3-9099-C40C66FF867C}">
                  <a14:compatExt spid="_x0000_s9525"/>
                </a:ext>
                <a:ext uri="{FF2B5EF4-FFF2-40B4-BE49-F238E27FC236}">
                  <a16:creationId xmlns:a16="http://schemas.microsoft.com/office/drawing/2014/main" id="{00000000-0008-0000-0800-000035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115</xdr:row>
          <xdr:rowOff>137160</xdr:rowOff>
        </xdr:from>
        <xdr:to>
          <xdr:col>1</xdr:col>
          <xdr:colOff>59055</xdr:colOff>
          <xdr:row>117</xdr:row>
          <xdr:rowOff>38100</xdr:rowOff>
        </xdr:to>
        <xdr:sp macro="" textlink="">
          <xdr:nvSpPr>
            <xdr:cNvPr id="9526" name="Option Button 310" hidden="1">
              <a:extLst>
                <a:ext uri="{63B3BB69-23CF-44E3-9099-C40C66FF867C}">
                  <a14:compatExt spid="_x0000_s9526"/>
                </a:ext>
                <a:ext uri="{FF2B5EF4-FFF2-40B4-BE49-F238E27FC236}">
                  <a16:creationId xmlns:a16="http://schemas.microsoft.com/office/drawing/2014/main" id="{00000000-0008-0000-0800-000036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116</xdr:row>
          <xdr:rowOff>129540</xdr:rowOff>
        </xdr:from>
        <xdr:to>
          <xdr:col>1</xdr:col>
          <xdr:colOff>59055</xdr:colOff>
          <xdr:row>118</xdr:row>
          <xdr:rowOff>38100</xdr:rowOff>
        </xdr:to>
        <xdr:sp macro="" textlink="">
          <xdr:nvSpPr>
            <xdr:cNvPr id="9527" name="Option Button 311" hidden="1">
              <a:extLst>
                <a:ext uri="{63B3BB69-23CF-44E3-9099-C40C66FF867C}">
                  <a14:compatExt spid="_x0000_s9527"/>
                </a:ext>
                <a:ext uri="{FF2B5EF4-FFF2-40B4-BE49-F238E27FC236}">
                  <a16:creationId xmlns:a16="http://schemas.microsoft.com/office/drawing/2014/main" id="{00000000-0008-0000-0800-000037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117</xdr:row>
          <xdr:rowOff>137160</xdr:rowOff>
        </xdr:from>
        <xdr:to>
          <xdr:col>1</xdr:col>
          <xdr:colOff>59055</xdr:colOff>
          <xdr:row>119</xdr:row>
          <xdr:rowOff>38100</xdr:rowOff>
        </xdr:to>
        <xdr:sp macro="" textlink="">
          <xdr:nvSpPr>
            <xdr:cNvPr id="9528" name="Option Button 312" hidden="1">
              <a:extLst>
                <a:ext uri="{63B3BB69-23CF-44E3-9099-C40C66FF867C}">
                  <a14:compatExt spid="_x0000_s9528"/>
                </a:ext>
                <a:ext uri="{FF2B5EF4-FFF2-40B4-BE49-F238E27FC236}">
                  <a16:creationId xmlns:a16="http://schemas.microsoft.com/office/drawing/2014/main" id="{00000000-0008-0000-0800-000038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118</xdr:row>
          <xdr:rowOff>129540</xdr:rowOff>
        </xdr:from>
        <xdr:to>
          <xdr:col>1</xdr:col>
          <xdr:colOff>59055</xdr:colOff>
          <xdr:row>120</xdr:row>
          <xdr:rowOff>38100</xdr:rowOff>
        </xdr:to>
        <xdr:sp macro="" textlink="">
          <xdr:nvSpPr>
            <xdr:cNvPr id="9529" name="Option Button 313" hidden="1">
              <a:extLst>
                <a:ext uri="{63B3BB69-23CF-44E3-9099-C40C66FF867C}">
                  <a14:compatExt spid="_x0000_s9529"/>
                </a:ext>
                <a:ext uri="{FF2B5EF4-FFF2-40B4-BE49-F238E27FC236}">
                  <a16:creationId xmlns:a16="http://schemas.microsoft.com/office/drawing/2014/main" id="{00000000-0008-0000-0800-000039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119</xdr:row>
          <xdr:rowOff>137160</xdr:rowOff>
        </xdr:from>
        <xdr:to>
          <xdr:col>1</xdr:col>
          <xdr:colOff>59055</xdr:colOff>
          <xdr:row>121</xdr:row>
          <xdr:rowOff>38100</xdr:rowOff>
        </xdr:to>
        <xdr:sp macro="" textlink="">
          <xdr:nvSpPr>
            <xdr:cNvPr id="9530" name="Option Button 314" hidden="1">
              <a:extLst>
                <a:ext uri="{63B3BB69-23CF-44E3-9099-C40C66FF867C}">
                  <a14:compatExt spid="_x0000_s9530"/>
                </a:ext>
                <a:ext uri="{FF2B5EF4-FFF2-40B4-BE49-F238E27FC236}">
                  <a16:creationId xmlns:a16="http://schemas.microsoft.com/office/drawing/2014/main" id="{00000000-0008-0000-0800-00003A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120</xdr:row>
          <xdr:rowOff>129540</xdr:rowOff>
        </xdr:from>
        <xdr:to>
          <xdr:col>1</xdr:col>
          <xdr:colOff>59055</xdr:colOff>
          <xdr:row>122</xdr:row>
          <xdr:rowOff>17145</xdr:rowOff>
        </xdr:to>
        <xdr:sp macro="" textlink="">
          <xdr:nvSpPr>
            <xdr:cNvPr id="9531" name="Option Button 315" hidden="1">
              <a:extLst>
                <a:ext uri="{63B3BB69-23CF-44E3-9099-C40C66FF867C}">
                  <a14:compatExt spid="_x0000_s9531"/>
                </a:ext>
                <a:ext uri="{FF2B5EF4-FFF2-40B4-BE49-F238E27FC236}">
                  <a16:creationId xmlns:a16="http://schemas.microsoft.com/office/drawing/2014/main" id="{00000000-0008-0000-0800-00003B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121</xdr:row>
          <xdr:rowOff>144780</xdr:rowOff>
        </xdr:from>
        <xdr:to>
          <xdr:col>1</xdr:col>
          <xdr:colOff>59055</xdr:colOff>
          <xdr:row>123</xdr:row>
          <xdr:rowOff>19050</xdr:rowOff>
        </xdr:to>
        <xdr:sp macro="" textlink="">
          <xdr:nvSpPr>
            <xdr:cNvPr id="9532" name="Option Button 316" hidden="1">
              <a:extLst>
                <a:ext uri="{63B3BB69-23CF-44E3-9099-C40C66FF867C}">
                  <a14:compatExt spid="_x0000_s9532"/>
                </a:ext>
                <a:ext uri="{FF2B5EF4-FFF2-40B4-BE49-F238E27FC236}">
                  <a16:creationId xmlns:a16="http://schemas.microsoft.com/office/drawing/2014/main" id="{00000000-0008-0000-0800-00003C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122</xdr:row>
          <xdr:rowOff>137160</xdr:rowOff>
        </xdr:from>
        <xdr:to>
          <xdr:col>1</xdr:col>
          <xdr:colOff>59055</xdr:colOff>
          <xdr:row>124</xdr:row>
          <xdr:rowOff>0</xdr:rowOff>
        </xdr:to>
        <xdr:sp macro="" textlink="">
          <xdr:nvSpPr>
            <xdr:cNvPr id="9533" name="Option Button 317" hidden="1">
              <a:extLst>
                <a:ext uri="{63B3BB69-23CF-44E3-9099-C40C66FF867C}">
                  <a14:compatExt spid="_x0000_s9533"/>
                </a:ext>
                <a:ext uri="{FF2B5EF4-FFF2-40B4-BE49-F238E27FC236}">
                  <a16:creationId xmlns:a16="http://schemas.microsoft.com/office/drawing/2014/main" id="{00000000-0008-0000-0800-00003D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123</xdr:row>
          <xdr:rowOff>144780</xdr:rowOff>
        </xdr:from>
        <xdr:to>
          <xdr:col>1</xdr:col>
          <xdr:colOff>59055</xdr:colOff>
          <xdr:row>125</xdr:row>
          <xdr:rowOff>38100</xdr:rowOff>
        </xdr:to>
        <xdr:sp macro="" textlink="">
          <xdr:nvSpPr>
            <xdr:cNvPr id="9534" name="Option Button 318" hidden="1">
              <a:extLst>
                <a:ext uri="{63B3BB69-23CF-44E3-9099-C40C66FF867C}">
                  <a14:compatExt spid="_x0000_s9534"/>
                </a:ext>
                <a:ext uri="{FF2B5EF4-FFF2-40B4-BE49-F238E27FC236}">
                  <a16:creationId xmlns:a16="http://schemas.microsoft.com/office/drawing/2014/main" id="{00000000-0008-0000-0800-00003E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124</xdr:row>
          <xdr:rowOff>129540</xdr:rowOff>
        </xdr:from>
        <xdr:to>
          <xdr:col>1</xdr:col>
          <xdr:colOff>59055</xdr:colOff>
          <xdr:row>126</xdr:row>
          <xdr:rowOff>38100</xdr:rowOff>
        </xdr:to>
        <xdr:sp macro="" textlink="">
          <xdr:nvSpPr>
            <xdr:cNvPr id="9535" name="Option Button 319" hidden="1">
              <a:extLst>
                <a:ext uri="{63B3BB69-23CF-44E3-9099-C40C66FF867C}">
                  <a14:compatExt spid="_x0000_s9535"/>
                </a:ext>
                <a:ext uri="{FF2B5EF4-FFF2-40B4-BE49-F238E27FC236}">
                  <a16:creationId xmlns:a16="http://schemas.microsoft.com/office/drawing/2014/main" id="{00000000-0008-0000-0800-00003F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125</xdr:row>
          <xdr:rowOff>137160</xdr:rowOff>
        </xdr:from>
        <xdr:to>
          <xdr:col>1</xdr:col>
          <xdr:colOff>59055</xdr:colOff>
          <xdr:row>127</xdr:row>
          <xdr:rowOff>38100</xdr:rowOff>
        </xdr:to>
        <xdr:sp macro="" textlink="">
          <xdr:nvSpPr>
            <xdr:cNvPr id="9536" name="Option Button 320" hidden="1">
              <a:extLst>
                <a:ext uri="{63B3BB69-23CF-44E3-9099-C40C66FF867C}">
                  <a14:compatExt spid="_x0000_s9536"/>
                </a:ext>
                <a:ext uri="{FF2B5EF4-FFF2-40B4-BE49-F238E27FC236}">
                  <a16:creationId xmlns:a16="http://schemas.microsoft.com/office/drawing/2014/main" id="{00000000-0008-0000-0800-000040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126</xdr:row>
          <xdr:rowOff>129540</xdr:rowOff>
        </xdr:from>
        <xdr:to>
          <xdr:col>1</xdr:col>
          <xdr:colOff>59055</xdr:colOff>
          <xdr:row>128</xdr:row>
          <xdr:rowOff>38100</xdr:rowOff>
        </xdr:to>
        <xdr:sp macro="" textlink="">
          <xdr:nvSpPr>
            <xdr:cNvPr id="9537" name="Option Button 321" hidden="1">
              <a:extLst>
                <a:ext uri="{63B3BB69-23CF-44E3-9099-C40C66FF867C}">
                  <a14:compatExt spid="_x0000_s9537"/>
                </a:ext>
                <a:ext uri="{FF2B5EF4-FFF2-40B4-BE49-F238E27FC236}">
                  <a16:creationId xmlns:a16="http://schemas.microsoft.com/office/drawing/2014/main" id="{00000000-0008-0000-0800-000041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127</xdr:row>
          <xdr:rowOff>137160</xdr:rowOff>
        </xdr:from>
        <xdr:to>
          <xdr:col>1</xdr:col>
          <xdr:colOff>59055</xdr:colOff>
          <xdr:row>129</xdr:row>
          <xdr:rowOff>38100</xdr:rowOff>
        </xdr:to>
        <xdr:sp macro="" textlink="">
          <xdr:nvSpPr>
            <xdr:cNvPr id="9538" name="Option Button 322" hidden="1">
              <a:extLst>
                <a:ext uri="{63B3BB69-23CF-44E3-9099-C40C66FF867C}">
                  <a14:compatExt spid="_x0000_s9538"/>
                </a:ext>
                <a:ext uri="{FF2B5EF4-FFF2-40B4-BE49-F238E27FC236}">
                  <a16:creationId xmlns:a16="http://schemas.microsoft.com/office/drawing/2014/main" id="{00000000-0008-0000-0800-000042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128</xdr:row>
          <xdr:rowOff>129540</xdr:rowOff>
        </xdr:from>
        <xdr:to>
          <xdr:col>1</xdr:col>
          <xdr:colOff>59055</xdr:colOff>
          <xdr:row>130</xdr:row>
          <xdr:rowOff>38100</xdr:rowOff>
        </xdr:to>
        <xdr:sp macro="" textlink="">
          <xdr:nvSpPr>
            <xdr:cNvPr id="9539" name="Option Button 323" hidden="1">
              <a:extLst>
                <a:ext uri="{63B3BB69-23CF-44E3-9099-C40C66FF867C}">
                  <a14:compatExt spid="_x0000_s9539"/>
                </a:ext>
                <a:ext uri="{FF2B5EF4-FFF2-40B4-BE49-F238E27FC236}">
                  <a16:creationId xmlns:a16="http://schemas.microsoft.com/office/drawing/2014/main" id="{00000000-0008-0000-0800-000043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129</xdr:row>
          <xdr:rowOff>137160</xdr:rowOff>
        </xdr:from>
        <xdr:to>
          <xdr:col>1</xdr:col>
          <xdr:colOff>59055</xdr:colOff>
          <xdr:row>131</xdr:row>
          <xdr:rowOff>38100</xdr:rowOff>
        </xdr:to>
        <xdr:sp macro="" textlink="">
          <xdr:nvSpPr>
            <xdr:cNvPr id="9540" name="Option Button 324" hidden="1">
              <a:extLst>
                <a:ext uri="{63B3BB69-23CF-44E3-9099-C40C66FF867C}">
                  <a14:compatExt spid="_x0000_s9540"/>
                </a:ext>
                <a:ext uri="{FF2B5EF4-FFF2-40B4-BE49-F238E27FC236}">
                  <a16:creationId xmlns:a16="http://schemas.microsoft.com/office/drawing/2014/main" id="{00000000-0008-0000-0800-000044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130</xdr:row>
          <xdr:rowOff>129540</xdr:rowOff>
        </xdr:from>
        <xdr:to>
          <xdr:col>1</xdr:col>
          <xdr:colOff>59055</xdr:colOff>
          <xdr:row>132</xdr:row>
          <xdr:rowOff>38100</xdr:rowOff>
        </xdr:to>
        <xdr:sp macro="" textlink="">
          <xdr:nvSpPr>
            <xdr:cNvPr id="9541" name="Option Button 325" hidden="1">
              <a:extLst>
                <a:ext uri="{63B3BB69-23CF-44E3-9099-C40C66FF867C}">
                  <a14:compatExt spid="_x0000_s9541"/>
                </a:ext>
                <a:ext uri="{FF2B5EF4-FFF2-40B4-BE49-F238E27FC236}">
                  <a16:creationId xmlns:a16="http://schemas.microsoft.com/office/drawing/2014/main" id="{00000000-0008-0000-0800-000045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131</xdr:row>
          <xdr:rowOff>137160</xdr:rowOff>
        </xdr:from>
        <xdr:to>
          <xdr:col>1</xdr:col>
          <xdr:colOff>59055</xdr:colOff>
          <xdr:row>133</xdr:row>
          <xdr:rowOff>38100</xdr:rowOff>
        </xdr:to>
        <xdr:sp macro="" textlink="">
          <xdr:nvSpPr>
            <xdr:cNvPr id="9542" name="Option Button 326" hidden="1">
              <a:extLst>
                <a:ext uri="{63B3BB69-23CF-44E3-9099-C40C66FF867C}">
                  <a14:compatExt spid="_x0000_s9542"/>
                </a:ext>
                <a:ext uri="{FF2B5EF4-FFF2-40B4-BE49-F238E27FC236}">
                  <a16:creationId xmlns:a16="http://schemas.microsoft.com/office/drawing/2014/main" id="{00000000-0008-0000-0800-000046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132</xdr:row>
          <xdr:rowOff>129540</xdr:rowOff>
        </xdr:from>
        <xdr:to>
          <xdr:col>1</xdr:col>
          <xdr:colOff>59055</xdr:colOff>
          <xdr:row>134</xdr:row>
          <xdr:rowOff>38100</xdr:rowOff>
        </xdr:to>
        <xdr:sp macro="" textlink="">
          <xdr:nvSpPr>
            <xdr:cNvPr id="9543" name="Option Button 327" hidden="1">
              <a:extLst>
                <a:ext uri="{63B3BB69-23CF-44E3-9099-C40C66FF867C}">
                  <a14:compatExt spid="_x0000_s9543"/>
                </a:ext>
                <a:ext uri="{FF2B5EF4-FFF2-40B4-BE49-F238E27FC236}">
                  <a16:creationId xmlns:a16="http://schemas.microsoft.com/office/drawing/2014/main" id="{00000000-0008-0000-0800-000047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133</xdr:row>
          <xdr:rowOff>137160</xdr:rowOff>
        </xdr:from>
        <xdr:to>
          <xdr:col>1</xdr:col>
          <xdr:colOff>59055</xdr:colOff>
          <xdr:row>135</xdr:row>
          <xdr:rowOff>38100</xdr:rowOff>
        </xdr:to>
        <xdr:sp macro="" textlink="">
          <xdr:nvSpPr>
            <xdr:cNvPr id="9544" name="Option Button 328" hidden="1">
              <a:extLst>
                <a:ext uri="{63B3BB69-23CF-44E3-9099-C40C66FF867C}">
                  <a14:compatExt spid="_x0000_s9544"/>
                </a:ext>
                <a:ext uri="{FF2B5EF4-FFF2-40B4-BE49-F238E27FC236}">
                  <a16:creationId xmlns:a16="http://schemas.microsoft.com/office/drawing/2014/main" id="{00000000-0008-0000-0800-0000482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30480</xdr:rowOff>
        </xdr:from>
        <xdr:to>
          <xdr:col>13</xdr:col>
          <xdr:colOff>335280</xdr:colOff>
          <xdr:row>20</xdr:row>
          <xdr:rowOff>0</xdr:rowOff>
        </xdr:to>
        <xdr:sp macro="" textlink="">
          <xdr:nvSpPr>
            <xdr:cNvPr id="7169" name="Log" hidden="1">
              <a:extLst>
                <a:ext uri="{63B3BB69-23CF-44E3-9099-C40C66FF867C}">
                  <a14:compatExt spid="_x0000_s7169"/>
                </a:ext>
                <a:ext uri="{FF2B5EF4-FFF2-40B4-BE49-F238E27FC236}">
                  <a16:creationId xmlns:a16="http://schemas.microsoft.com/office/drawing/2014/main" id="{00000000-0008-0000-0A00-0000011C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449580</xdr:colOff>
          <xdr:row>2</xdr:row>
          <xdr:rowOff>7620</xdr:rowOff>
        </xdr:from>
        <xdr:to>
          <xdr:col>16</xdr:col>
          <xdr:colOff>106680</xdr:colOff>
          <xdr:row>4</xdr:row>
          <xdr:rowOff>0</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A00-000002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Generate Log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449580</xdr:colOff>
          <xdr:row>5</xdr:row>
          <xdr:rowOff>7620</xdr:rowOff>
        </xdr:from>
        <xdr:to>
          <xdr:col>16</xdr:col>
          <xdr:colOff>106680</xdr:colOff>
          <xdr:row>7</xdr:row>
          <xdr:rowOff>0</xdr:rowOff>
        </xdr:to>
        <xdr:sp macro="" textlink="">
          <xdr:nvSpPr>
            <xdr:cNvPr id="7171" name="Button 3" hidden="1">
              <a:extLst>
                <a:ext uri="{63B3BB69-23CF-44E3-9099-C40C66FF867C}">
                  <a14:compatExt spid="_x0000_s7171"/>
                </a:ext>
                <a:ext uri="{FF2B5EF4-FFF2-40B4-BE49-F238E27FC236}">
                  <a16:creationId xmlns:a16="http://schemas.microsoft.com/office/drawing/2014/main" id="{00000000-0008-0000-0A00-000003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Copy Log</a:t>
              </a:r>
            </a:p>
            <a:p>
              <a:pPr algn="ctr" rtl="0">
                <a:defRPr sz="1000"/>
              </a:pPr>
              <a:r>
                <a:rPr lang="nl-NL" sz="1400" b="0" i="0" u="none" strike="noStrike" baseline="0">
                  <a:solidFill>
                    <a:srgbClr val="000000"/>
                  </a:solidFill>
                  <a:latin typeface="Arial"/>
                  <a:cs typeface="Arial"/>
                </a:rPr>
                <a:t>Copy Log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449580</xdr:colOff>
          <xdr:row>8</xdr:row>
          <xdr:rowOff>68580</xdr:rowOff>
        </xdr:from>
        <xdr:to>
          <xdr:col>16</xdr:col>
          <xdr:colOff>106680</xdr:colOff>
          <xdr:row>10</xdr:row>
          <xdr:rowOff>60960</xdr:rowOff>
        </xdr:to>
        <xdr:sp macro="" textlink="">
          <xdr:nvSpPr>
            <xdr:cNvPr id="7172" name="Button 4" hidden="1">
              <a:extLst>
                <a:ext uri="{63B3BB69-23CF-44E3-9099-C40C66FF867C}">
                  <a14:compatExt spid="_x0000_s7172"/>
                </a:ext>
                <a:ext uri="{FF2B5EF4-FFF2-40B4-BE49-F238E27FC236}">
                  <a16:creationId xmlns:a16="http://schemas.microsoft.com/office/drawing/2014/main" id="{00000000-0008-0000-0A00-000004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Clear Log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434340</xdr:colOff>
          <xdr:row>11</xdr:row>
          <xdr:rowOff>91440</xdr:rowOff>
        </xdr:from>
        <xdr:to>
          <xdr:col>16</xdr:col>
          <xdr:colOff>99060</xdr:colOff>
          <xdr:row>13</xdr:row>
          <xdr:rowOff>76200</xdr:rowOff>
        </xdr:to>
        <xdr:sp macro="" textlink="">
          <xdr:nvSpPr>
            <xdr:cNvPr id="7173" name="Button 5" hidden="1">
              <a:extLst>
                <a:ext uri="{63B3BB69-23CF-44E3-9099-C40C66FF867C}">
                  <a14:compatExt spid="_x0000_s7173"/>
                </a:ext>
                <a:ext uri="{FF2B5EF4-FFF2-40B4-BE49-F238E27FC236}">
                  <a16:creationId xmlns:a16="http://schemas.microsoft.com/office/drawing/2014/main" id="{00000000-0008-0000-0A00-000005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TODO Current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15240</xdr:rowOff>
        </xdr:from>
        <xdr:to>
          <xdr:col>5</xdr:col>
          <xdr:colOff>617220</xdr:colOff>
          <xdr:row>56</xdr:row>
          <xdr:rowOff>137160</xdr:rowOff>
        </xdr:to>
        <xdr:sp macro="" textlink="">
          <xdr:nvSpPr>
            <xdr:cNvPr id="7174" name="stat" hidden="1">
              <a:extLst>
                <a:ext uri="{63B3BB69-23CF-44E3-9099-C40C66FF867C}">
                  <a14:compatExt spid="_x0000_s7174"/>
                </a:ext>
                <a:ext uri="{FF2B5EF4-FFF2-40B4-BE49-F238E27FC236}">
                  <a16:creationId xmlns:a16="http://schemas.microsoft.com/office/drawing/2014/main" id="{00000000-0008-0000-0A00-0000061C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617220</xdr:colOff>
          <xdr:row>29</xdr:row>
          <xdr:rowOff>38100</xdr:rowOff>
        </xdr:from>
        <xdr:to>
          <xdr:col>9</xdr:col>
          <xdr:colOff>106680</xdr:colOff>
          <xdr:row>31</xdr:row>
          <xdr:rowOff>30480</xdr:rowOff>
        </xdr:to>
        <xdr:sp macro="" textlink="">
          <xdr:nvSpPr>
            <xdr:cNvPr id="7193" name="Button 25" hidden="1">
              <a:extLst>
                <a:ext uri="{63B3BB69-23CF-44E3-9099-C40C66FF867C}">
                  <a14:compatExt spid="_x0000_s7193"/>
                </a:ext>
                <a:ext uri="{FF2B5EF4-FFF2-40B4-BE49-F238E27FC236}">
                  <a16:creationId xmlns:a16="http://schemas.microsoft.com/office/drawing/2014/main" id="{00000000-0008-0000-0A00-000019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Generate Stats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617220</xdr:colOff>
          <xdr:row>32</xdr:row>
          <xdr:rowOff>68580</xdr:rowOff>
        </xdr:from>
        <xdr:to>
          <xdr:col>9</xdr:col>
          <xdr:colOff>106680</xdr:colOff>
          <xdr:row>34</xdr:row>
          <xdr:rowOff>60960</xdr:rowOff>
        </xdr:to>
        <xdr:sp macro="" textlink="">
          <xdr:nvSpPr>
            <xdr:cNvPr id="7194" name="Button 26" hidden="1">
              <a:extLst>
                <a:ext uri="{63B3BB69-23CF-44E3-9099-C40C66FF867C}">
                  <a14:compatExt spid="_x0000_s7194"/>
                </a:ext>
                <a:ext uri="{FF2B5EF4-FFF2-40B4-BE49-F238E27FC236}">
                  <a16:creationId xmlns:a16="http://schemas.microsoft.com/office/drawing/2014/main" id="{00000000-0008-0000-0A00-00001A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Copy Stats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617220</xdr:colOff>
          <xdr:row>35</xdr:row>
          <xdr:rowOff>106680</xdr:rowOff>
        </xdr:from>
        <xdr:to>
          <xdr:col>9</xdr:col>
          <xdr:colOff>106680</xdr:colOff>
          <xdr:row>37</xdr:row>
          <xdr:rowOff>99060</xdr:rowOff>
        </xdr:to>
        <xdr:sp macro="" textlink="">
          <xdr:nvSpPr>
            <xdr:cNvPr id="7195" name="Button 27" hidden="1">
              <a:extLst>
                <a:ext uri="{63B3BB69-23CF-44E3-9099-C40C66FF867C}">
                  <a14:compatExt spid="_x0000_s7195"/>
                </a:ext>
                <a:ext uri="{FF2B5EF4-FFF2-40B4-BE49-F238E27FC236}">
                  <a16:creationId xmlns:a16="http://schemas.microsoft.com/office/drawing/2014/main" id="{00000000-0008-0000-0A00-00001B1C0000}"/>
                </a:ext>
              </a:extLst>
            </xdr:cNvPr>
            <xdr:cNvSpPr/>
          </xdr:nvSpPr>
          <xdr:spPr bwMode="auto">
            <a:xfrm>
              <a:off x="0" y="0"/>
              <a:ext cx="0" cy="0"/>
            </a:xfrm>
            <a:prstGeom prst="rect">
              <a:avLst/>
            </a:prstGeom>
            <a:noFill/>
            <a:ln w="9525">
              <a:miter lim="800000"/>
              <a:headEnd/>
              <a:tailEnd/>
            </a:ln>
          </xdr:spPr>
          <xdr:txBody>
            <a:bodyPr vertOverflow="clip" wrap="square" lIns="45720" tIns="32004" rIns="45720" bIns="32004" anchor="ctr" upright="1"/>
            <a:lstStyle/>
            <a:p>
              <a:pPr algn="ctr" rtl="0">
                <a:defRPr sz="1000"/>
              </a:pPr>
              <a:r>
                <a:rPr lang="nl-NL" sz="1400" b="0" i="0" u="none" strike="noStrike" baseline="0">
                  <a:solidFill>
                    <a:srgbClr val="000000"/>
                  </a:solidFill>
                  <a:latin typeface="Arial"/>
                  <a:cs typeface="Arial"/>
                </a:rPr>
                <a:t>Clear Stats</a:t>
              </a:r>
            </a:p>
          </xdr:txBody>
        </xdr:sp>
        <xdr:clientData fPrintsWithSheet="0"/>
      </xdr:twoCellAnchor>
    </mc:Choice>
    <mc:Fallback/>
  </mc:AlternateContent>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62.xml"/><Relationship Id="rId13" Type="http://schemas.openxmlformats.org/officeDocument/2006/relationships/ctrlProp" Target="../ctrlProps/ctrlProp167.xml"/><Relationship Id="rId3" Type="http://schemas.openxmlformats.org/officeDocument/2006/relationships/vmlDrawing" Target="../drawings/vmlDrawing7.vml"/><Relationship Id="rId7" Type="http://schemas.openxmlformats.org/officeDocument/2006/relationships/image" Target="../media/image2.emf"/><Relationship Id="rId12" Type="http://schemas.openxmlformats.org/officeDocument/2006/relationships/ctrlProp" Target="../ctrlProps/ctrlProp166.xml"/><Relationship Id="rId2" Type="http://schemas.openxmlformats.org/officeDocument/2006/relationships/drawing" Target="../drawings/drawing3.xml"/><Relationship Id="rId1" Type="http://schemas.openxmlformats.org/officeDocument/2006/relationships/printerSettings" Target="../printerSettings/printerSettings11.bin"/><Relationship Id="rId6" Type="http://schemas.openxmlformats.org/officeDocument/2006/relationships/control" Target="../activeX/activeX2.xml"/><Relationship Id="rId11" Type="http://schemas.openxmlformats.org/officeDocument/2006/relationships/ctrlProp" Target="../ctrlProps/ctrlProp165.xml"/><Relationship Id="rId5" Type="http://schemas.openxmlformats.org/officeDocument/2006/relationships/image" Target="../media/image1.emf"/><Relationship Id="rId15" Type="http://schemas.openxmlformats.org/officeDocument/2006/relationships/comments" Target="../comments6.xml"/><Relationship Id="rId10" Type="http://schemas.openxmlformats.org/officeDocument/2006/relationships/ctrlProp" Target="../ctrlProps/ctrlProp164.xml"/><Relationship Id="rId4" Type="http://schemas.openxmlformats.org/officeDocument/2006/relationships/control" Target="../activeX/activeX1.xml"/><Relationship Id="rId9" Type="http://schemas.openxmlformats.org/officeDocument/2006/relationships/ctrlProp" Target="../ctrlProps/ctrlProp163.xml"/><Relationship Id="rId14" Type="http://schemas.openxmlformats.org/officeDocument/2006/relationships/ctrlProp" Target="../ctrlProps/ctrlProp16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4.xml"/><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47" Type="http://schemas.openxmlformats.org/officeDocument/2006/relationships/ctrlProp" Target="../ctrlProps/ctrlProp45.xml"/><Relationship Id="rId63" Type="http://schemas.openxmlformats.org/officeDocument/2006/relationships/ctrlProp" Target="../ctrlProps/ctrlProp61.xml"/><Relationship Id="rId68" Type="http://schemas.openxmlformats.org/officeDocument/2006/relationships/ctrlProp" Target="../ctrlProps/ctrlProp66.xml"/><Relationship Id="rId84" Type="http://schemas.openxmlformats.org/officeDocument/2006/relationships/ctrlProp" Target="../ctrlProps/ctrlProp82.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38" Type="http://schemas.openxmlformats.org/officeDocument/2006/relationships/ctrlProp" Target="../ctrlProps/ctrlProp136.xml"/><Relationship Id="rId154" Type="http://schemas.openxmlformats.org/officeDocument/2006/relationships/ctrlProp" Target="../ctrlProps/ctrlProp152.xml"/><Relationship Id="rId159" Type="http://schemas.openxmlformats.org/officeDocument/2006/relationships/ctrlProp" Target="../ctrlProps/ctrlProp157.xml"/><Relationship Id="rId16" Type="http://schemas.openxmlformats.org/officeDocument/2006/relationships/ctrlProp" Target="../ctrlProps/ctrlProp1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37" Type="http://schemas.openxmlformats.org/officeDocument/2006/relationships/ctrlProp" Target="../ctrlProps/ctrlProp35.xml"/><Relationship Id="rId53" Type="http://schemas.openxmlformats.org/officeDocument/2006/relationships/ctrlProp" Target="../ctrlProps/ctrlProp51.xml"/><Relationship Id="rId58" Type="http://schemas.openxmlformats.org/officeDocument/2006/relationships/ctrlProp" Target="../ctrlProps/ctrlProp56.xml"/><Relationship Id="rId74" Type="http://schemas.openxmlformats.org/officeDocument/2006/relationships/ctrlProp" Target="../ctrlProps/ctrlProp72.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28" Type="http://schemas.openxmlformats.org/officeDocument/2006/relationships/ctrlProp" Target="../ctrlProps/ctrlProp126.xml"/><Relationship Id="rId144" Type="http://schemas.openxmlformats.org/officeDocument/2006/relationships/ctrlProp" Target="../ctrlProps/ctrlProp142.xml"/><Relationship Id="rId149" Type="http://schemas.openxmlformats.org/officeDocument/2006/relationships/ctrlProp" Target="../ctrlProps/ctrlProp147.xml"/><Relationship Id="rId5" Type="http://schemas.openxmlformats.org/officeDocument/2006/relationships/ctrlProp" Target="../ctrlProps/ctrlProp3.xml"/><Relationship Id="rId90" Type="http://schemas.openxmlformats.org/officeDocument/2006/relationships/ctrlProp" Target="../ctrlProps/ctrlProp88.xml"/><Relationship Id="rId95" Type="http://schemas.openxmlformats.org/officeDocument/2006/relationships/ctrlProp" Target="../ctrlProps/ctrlProp93.xml"/><Relationship Id="rId160" Type="http://schemas.openxmlformats.org/officeDocument/2006/relationships/ctrlProp" Target="../ctrlProps/ctrlProp158.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55" Type="http://schemas.openxmlformats.org/officeDocument/2006/relationships/ctrlProp" Target="../ctrlProps/ctrlProp153.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61" Type="http://schemas.openxmlformats.org/officeDocument/2006/relationships/ctrlProp" Target="../ctrlProps/ctrlProp159.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6" Type="http://schemas.openxmlformats.org/officeDocument/2006/relationships/ctrlProp" Target="../ctrlProps/ctrlProp104.xml"/><Relationship Id="rId114" Type="http://schemas.openxmlformats.org/officeDocument/2006/relationships/ctrlProp" Target="../ctrlProps/ctrlProp112.xml"/><Relationship Id="rId119" Type="http://schemas.openxmlformats.org/officeDocument/2006/relationships/ctrlProp" Target="../ctrlProps/ctrlProp117.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73" Type="http://schemas.openxmlformats.org/officeDocument/2006/relationships/ctrlProp" Target="../ctrlProps/ctrlProp71.xml"/><Relationship Id="rId78" Type="http://schemas.openxmlformats.org/officeDocument/2006/relationships/ctrlProp" Target="../ctrlProps/ctrlProp76.xml"/><Relationship Id="rId81" Type="http://schemas.openxmlformats.org/officeDocument/2006/relationships/ctrlProp" Target="../ctrlProps/ctrlProp79.xml"/><Relationship Id="rId86" Type="http://schemas.openxmlformats.org/officeDocument/2006/relationships/ctrlProp" Target="../ctrlProps/ctrlProp84.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30" Type="http://schemas.openxmlformats.org/officeDocument/2006/relationships/ctrlProp" Target="../ctrlProps/ctrlProp128.xml"/><Relationship Id="rId135" Type="http://schemas.openxmlformats.org/officeDocument/2006/relationships/ctrlProp" Target="../ctrlProps/ctrlProp133.xml"/><Relationship Id="rId143" Type="http://schemas.openxmlformats.org/officeDocument/2006/relationships/ctrlProp" Target="../ctrlProps/ctrlProp141.xml"/><Relationship Id="rId148" Type="http://schemas.openxmlformats.org/officeDocument/2006/relationships/ctrlProp" Target="../ctrlProps/ctrlProp146.xml"/><Relationship Id="rId151" Type="http://schemas.openxmlformats.org/officeDocument/2006/relationships/ctrlProp" Target="../ctrlProps/ctrlProp149.xml"/><Relationship Id="rId156" Type="http://schemas.openxmlformats.org/officeDocument/2006/relationships/ctrlProp" Target="../ctrlProps/ctrlProp154.xml"/><Relationship Id="rId4" Type="http://schemas.openxmlformats.org/officeDocument/2006/relationships/ctrlProp" Target="../ctrlProps/ctrlProp2.xml"/><Relationship Id="rId9" Type="http://schemas.openxmlformats.org/officeDocument/2006/relationships/ctrlProp" Target="../ctrlProps/ctrlProp7.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2" Type="http://schemas.openxmlformats.org/officeDocument/2006/relationships/drawing" Target="../drawings/drawing2.x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vmlDrawing" Target="../drawings/vmlDrawing5.v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10"/>
  <sheetViews>
    <sheetView tabSelected="1" zoomScale="85" workbookViewId="0">
      <selection activeCell="B14" sqref="B14"/>
    </sheetView>
  </sheetViews>
  <sheetFormatPr defaultRowHeight="13.2" x14ac:dyDescent="0.25"/>
  <cols>
    <col min="1" max="1" width="16.44140625" style="16" bestFit="1" customWidth="1"/>
    <col min="2" max="2" width="12.33203125" bestFit="1" customWidth="1"/>
    <col min="3" max="3" width="8.88671875" bestFit="1" customWidth="1"/>
    <col min="4" max="4" width="11.5546875" bestFit="1" customWidth="1"/>
    <col min="5" max="5" width="9.88671875" bestFit="1" customWidth="1"/>
    <col min="6" max="6" width="9.6640625" bestFit="1" customWidth="1"/>
    <col min="7" max="7" width="8.5546875" customWidth="1"/>
    <col min="8" max="8" width="15.6640625" customWidth="1"/>
    <col min="9" max="9" width="11.5546875" customWidth="1"/>
    <col min="10" max="10" width="14.109375" customWidth="1"/>
    <col min="11" max="11" width="6.109375" customWidth="1"/>
    <col min="12" max="12" width="12.33203125" bestFit="1" customWidth="1"/>
    <col min="13" max="13" width="7.88671875" bestFit="1" customWidth="1"/>
    <col min="14" max="14" width="12.44140625" bestFit="1" customWidth="1"/>
    <col min="15" max="15" width="9.88671875" customWidth="1"/>
  </cols>
  <sheetData>
    <row r="1" spans="1:15" s="815" customFormat="1" ht="18.75" customHeight="1" thickTop="1" x14ac:dyDescent="0.3">
      <c r="A1" s="1459" t="s">
        <v>516</v>
      </c>
      <c r="B1" s="1459"/>
      <c r="C1" s="1459"/>
      <c r="D1" s="1459"/>
      <c r="E1" s="1459"/>
      <c r="F1" s="1459"/>
      <c r="G1" s="1459"/>
      <c r="H1" s="1459"/>
      <c r="I1" s="1459"/>
      <c r="J1" s="1459"/>
      <c r="K1" s="1459"/>
      <c r="L1" s="1460"/>
      <c r="M1" s="1416" t="s">
        <v>397</v>
      </c>
      <c r="N1" s="1417"/>
      <c r="O1" s="1418"/>
    </row>
    <row r="2" spans="1:15" s="816" customFormat="1" x14ac:dyDescent="0.25">
      <c r="A2" s="1419" t="s">
        <v>514</v>
      </c>
      <c r="B2" s="1420"/>
      <c r="C2" s="1420"/>
      <c r="D2" s="1420"/>
      <c r="E2" s="1420"/>
      <c r="F2" s="1420"/>
      <c r="G2" s="1420"/>
      <c r="H2" s="1420"/>
      <c r="I2" s="1420"/>
      <c r="J2" s="1420"/>
      <c r="K2" s="1420"/>
      <c r="L2" s="1421"/>
      <c r="M2" s="1447" t="s">
        <v>672</v>
      </c>
      <c r="N2" s="1448"/>
      <c r="O2" s="1449"/>
    </row>
    <row r="3" spans="1:15" s="816" customFormat="1" x14ac:dyDescent="0.25">
      <c r="A3" s="1422"/>
      <c r="B3" s="1420"/>
      <c r="C3" s="1420"/>
      <c r="D3" s="1420"/>
      <c r="E3" s="1420"/>
      <c r="F3" s="1420"/>
      <c r="G3" s="1420"/>
      <c r="H3" s="1420"/>
      <c r="I3" s="1420"/>
      <c r="J3" s="1420"/>
      <c r="K3" s="1420"/>
      <c r="L3" s="1421"/>
      <c r="M3" s="1450"/>
      <c r="N3" s="1448"/>
      <c r="O3" s="1449"/>
    </row>
    <row r="4" spans="1:15" s="816" customFormat="1" x14ac:dyDescent="0.25">
      <c r="A4" s="1422"/>
      <c r="B4" s="1420"/>
      <c r="C4" s="1420"/>
      <c r="D4" s="1420"/>
      <c r="E4" s="1420"/>
      <c r="F4" s="1420"/>
      <c r="G4" s="1420"/>
      <c r="H4" s="1420"/>
      <c r="I4" s="1420"/>
      <c r="J4" s="1420"/>
      <c r="K4" s="1420"/>
      <c r="L4" s="1421"/>
      <c r="M4" s="1450"/>
      <c r="N4" s="1448"/>
      <c r="O4" s="1449"/>
    </row>
    <row r="5" spans="1:15" s="815" customFormat="1" x14ac:dyDescent="0.25">
      <c r="A5" s="1422"/>
      <c r="B5" s="1420"/>
      <c r="C5" s="1420"/>
      <c r="D5" s="1420"/>
      <c r="E5" s="1420"/>
      <c r="F5" s="1420"/>
      <c r="G5" s="1420"/>
      <c r="H5" s="1420"/>
      <c r="I5" s="1420"/>
      <c r="J5" s="1420"/>
      <c r="K5" s="1420"/>
      <c r="L5" s="1421"/>
      <c r="M5" s="1450"/>
      <c r="N5" s="1448"/>
      <c r="O5" s="1449"/>
    </row>
    <row r="6" spans="1:15" s="815" customFormat="1" x14ac:dyDescent="0.25">
      <c r="A6" s="1422"/>
      <c r="B6" s="1420"/>
      <c r="C6" s="1420"/>
      <c r="D6" s="1420"/>
      <c r="E6" s="1420"/>
      <c r="F6" s="1420"/>
      <c r="G6" s="1420"/>
      <c r="H6" s="1420"/>
      <c r="I6" s="1420"/>
      <c r="J6" s="1420"/>
      <c r="K6" s="1420"/>
      <c r="L6" s="1421"/>
      <c r="M6" s="1450"/>
      <c r="N6" s="1448"/>
      <c r="O6" s="1449"/>
    </row>
    <row r="7" spans="1:15" s="815" customFormat="1" ht="13.8" thickBot="1" x14ac:dyDescent="0.3">
      <c r="A7" s="1423"/>
      <c r="B7" s="1424"/>
      <c r="C7" s="1424"/>
      <c r="D7" s="1424"/>
      <c r="E7" s="1424"/>
      <c r="F7" s="1424"/>
      <c r="G7" s="1424"/>
      <c r="H7" s="1424"/>
      <c r="I7" s="1424"/>
      <c r="J7" s="1424"/>
      <c r="K7" s="1424"/>
      <c r="L7" s="1425"/>
      <c r="M7" s="1450"/>
      <c r="N7" s="1448"/>
      <c r="O7" s="1449"/>
    </row>
    <row r="8" spans="1:15" s="815" customFormat="1" ht="15.6" x14ac:dyDescent="0.25">
      <c r="A8" s="1461" t="s">
        <v>515</v>
      </c>
      <c r="B8" s="1462"/>
      <c r="C8" s="1462"/>
      <c r="D8" s="1462"/>
      <c r="E8" s="1462"/>
      <c r="F8" s="1462"/>
      <c r="G8" s="1462"/>
      <c r="H8" s="1462"/>
      <c r="I8" s="1463"/>
      <c r="J8" s="1426" t="s">
        <v>756</v>
      </c>
      <c r="K8" s="1427"/>
      <c r="L8" s="1428"/>
      <c r="M8" s="1451"/>
      <c r="N8" s="1452"/>
      <c r="O8" s="1453"/>
    </row>
    <row r="9" spans="1:15" s="815" customFormat="1" ht="12.75" customHeight="1" x14ac:dyDescent="0.25">
      <c r="A9" s="1419" t="s">
        <v>517</v>
      </c>
      <c r="B9" s="1420"/>
      <c r="C9" s="1420"/>
      <c r="D9" s="1420"/>
      <c r="E9" s="1420"/>
      <c r="F9" s="1420"/>
      <c r="G9" s="1420"/>
      <c r="H9" s="1420"/>
      <c r="I9" s="1420"/>
      <c r="J9" s="1429"/>
      <c r="K9" s="1430"/>
      <c r="L9" s="1431"/>
      <c r="M9" s="1451"/>
      <c r="N9" s="1452"/>
      <c r="O9" s="1453"/>
    </row>
    <row r="10" spans="1:15" s="815" customFormat="1" ht="12.75" customHeight="1" x14ac:dyDescent="0.25">
      <c r="A10" s="1422"/>
      <c r="B10" s="1420"/>
      <c r="C10" s="1420"/>
      <c r="D10" s="1420"/>
      <c r="E10" s="1420"/>
      <c r="F10" s="1420"/>
      <c r="G10" s="1420"/>
      <c r="H10" s="1420"/>
      <c r="I10" s="1420"/>
      <c r="J10" s="1429"/>
      <c r="K10" s="1430"/>
      <c r="L10" s="1431"/>
      <c r="M10" s="1451"/>
      <c r="N10" s="1452"/>
      <c r="O10" s="1453"/>
    </row>
    <row r="11" spans="1:15" s="815" customFormat="1" ht="12.75" customHeight="1" x14ac:dyDescent="0.25">
      <c r="A11" s="1422"/>
      <c r="B11" s="1420"/>
      <c r="C11" s="1420"/>
      <c r="D11" s="1420"/>
      <c r="E11" s="1420"/>
      <c r="F11" s="1420"/>
      <c r="G11" s="1420"/>
      <c r="H11" s="1420"/>
      <c r="I11" s="1420"/>
      <c r="J11" s="1429"/>
      <c r="K11" s="1430"/>
      <c r="L11" s="1431"/>
      <c r="M11" s="1451"/>
      <c r="N11" s="1452"/>
      <c r="O11" s="1453"/>
    </row>
    <row r="12" spans="1:15" s="815" customFormat="1" ht="13.5" customHeight="1" thickBot="1" x14ac:dyDescent="0.3">
      <c r="A12" s="1422"/>
      <c r="B12" s="1420"/>
      <c r="C12" s="1420"/>
      <c r="D12" s="1420"/>
      <c r="E12" s="1420"/>
      <c r="F12" s="1420"/>
      <c r="G12" s="1420"/>
      <c r="H12" s="1420"/>
      <c r="I12" s="1420"/>
      <c r="J12" s="1432"/>
      <c r="K12" s="1433"/>
      <c r="L12" s="1434"/>
      <c r="M12" s="1454"/>
      <c r="N12" s="1455"/>
      <c r="O12" s="1456"/>
    </row>
    <row r="13" spans="1:15" s="815" customFormat="1" ht="25.5" customHeight="1" x14ac:dyDescent="0.3">
      <c r="A13" s="1444" t="s">
        <v>270</v>
      </c>
      <c r="B13" s="1445"/>
      <c r="C13" s="1445"/>
      <c r="D13" s="1445"/>
      <c r="E13" s="1445"/>
      <c r="F13" s="1445"/>
      <c r="G13" s="1445"/>
      <c r="H13" s="1445"/>
      <c r="I13" s="1445"/>
      <c r="J13" s="1445"/>
      <c r="K13" s="1445"/>
      <c r="L13" s="1445"/>
      <c r="M13" s="1445"/>
      <c r="N13" s="1445"/>
      <c r="O13" s="1445"/>
    </row>
    <row r="14" spans="1:15" s="873" customFormat="1" x14ac:dyDescent="0.25">
      <c r="A14" s="188" t="s">
        <v>28</v>
      </c>
      <c r="B14" s="1275" t="s">
        <v>92</v>
      </c>
      <c r="C14" s="1276"/>
      <c r="D14" s="1435" t="s">
        <v>338</v>
      </c>
      <c r="E14" s="1436"/>
      <c r="K14" s="1277"/>
      <c r="N14" s="1174" t="s">
        <v>563</v>
      </c>
      <c r="O14" s="1175">
        <f>MATCH(B14,races,0)</f>
        <v>1</v>
      </c>
    </row>
    <row r="15" spans="1:15" s="815" customFormat="1" ht="12.75" customHeight="1" x14ac:dyDescent="0.25">
      <c r="A15" s="729" t="s">
        <v>512</v>
      </c>
      <c r="B15" s="667">
        <v>43768</v>
      </c>
      <c r="C15" s="872"/>
      <c r="D15" s="729" t="s">
        <v>762</v>
      </c>
      <c r="E15" s="876">
        <f>B15+(1+B16)/24+B18</f>
        <v>43768</v>
      </c>
      <c r="F15" s="872"/>
      <c r="G15" s="872"/>
      <c r="H15" s="872"/>
      <c r="I15" s="872"/>
      <c r="J15" s="872"/>
      <c r="K15" s="872"/>
      <c r="L15" s="872"/>
      <c r="M15" s="872"/>
      <c r="N15" s="52" t="s">
        <v>176</v>
      </c>
      <c r="O15" s="893">
        <f ca="1">INDIRECT(ADDRESS(5+4*($O$14-1),COLUMN(Races!$Q:$Q)+ROW(A1)-1,1,1,"Races"))</f>
        <v>0</v>
      </c>
    </row>
    <row r="16" spans="1:15" s="815" customFormat="1" ht="13.8" thickBot="1" x14ac:dyDescent="0.3">
      <c r="A16" s="52" t="s">
        <v>334</v>
      </c>
      <c r="B16" s="668">
        <v>-1</v>
      </c>
      <c r="C16" s="872" t="s">
        <v>335</v>
      </c>
      <c r="D16" s="729" t="s">
        <v>331</v>
      </c>
      <c r="E16" s="876">
        <f ca="1">NOW()</f>
        <v>43767.560803703702</v>
      </c>
      <c r="F16" s="872"/>
      <c r="G16" s="872"/>
      <c r="H16" s="872"/>
      <c r="I16" s="872"/>
      <c r="J16" s="872"/>
      <c r="K16" s="872"/>
      <c r="L16" s="872"/>
      <c r="M16" s="872"/>
      <c r="N16" s="52" t="s">
        <v>109</v>
      </c>
      <c r="O16" s="893">
        <f ca="1">INDIRECT(ADDRESS(5+4*($O$14-1),COLUMN(Races!$Q:$Q)+ROW(A2)-1,1,1,"Races"))</f>
        <v>0</v>
      </c>
    </row>
    <row r="17" spans="1:15" s="815" customFormat="1" ht="13.8" thickBot="1" x14ac:dyDescent="0.3">
      <c r="A17" s="52" t="s">
        <v>336</v>
      </c>
      <c r="B17" s="1007">
        <f ca="1">TODAY()</f>
        <v>43767</v>
      </c>
      <c r="C17" s="1278"/>
      <c r="D17" s="877" t="s">
        <v>763</v>
      </c>
      <c r="E17" s="801">
        <f ca="1">ROUNDDOWN((E16-E15)*24*4,0)</f>
        <v>-42</v>
      </c>
      <c r="F17" s="1279"/>
      <c r="G17" s="1279"/>
      <c r="H17" s="872"/>
      <c r="I17" s="872"/>
      <c r="J17" s="872"/>
      <c r="K17" s="872"/>
      <c r="L17" s="872"/>
      <c r="M17" s="872"/>
      <c r="N17" s="52" t="s">
        <v>173</v>
      </c>
      <c r="O17" s="893">
        <f ca="1">INDIRECT(ADDRESS(5+4*($O$14-1),COLUMN(Races!$Q:$Q)+ROW(A3)-1,1,1,"Races"))</f>
        <v>0</v>
      </c>
    </row>
    <row r="18" spans="1:15" s="815" customFormat="1" ht="13.8" thickBot="1" x14ac:dyDescent="0.3">
      <c r="A18" s="1396" t="s">
        <v>757</v>
      </c>
      <c r="B18" s="1008">
        <v>0</v>
      </c>
      <c r="C18" s="1278"/>
      <c r="D18" s="878" t="s">
        <v>332</v>
      </c>
      <c r="E18" s="879" t="e">
        <f ca="1">IF(INDIRECT("Imps!L"&amp;TEXT(E17+3,0)),"Yes","Nope")</f>
        <v>#REF!</v>
      </c>
      <c r="F18" s="872"/>
      <c r="G18" s="872"/>
      <c r="H18" s="872"/>
      <c r="I18" s="872"/>
      <c r="J18" s="872"/>
      <c r="K18" s="872"/>
      <c r="L18" s="872"/>
      <c r="M18" s="872"/>
      <c r="N18" s="52" t="s">
        <v>111</v>
      </c>
      <c r="O18" s="893">
        <f ca="1">INDIRECT(ADDRESS(5+4*($O$14-1),COLUMN(Races!$Q:$Q)+ROW(A4)-1,1,1,"Races"))</f>
        <v>0.05</v>
      </c>
    </row>
    <row r="19" spans="1:15" s="815" customFormat="1" x14ac:dyDescent="0.25">
      <c r="A19" s="874"/>
      <c r="B19" s="872"/>
      <c r="C19" s="872"/>
      <c r="D19" s="872"/>
      <c r="E19" s="872"/>
      <c r="F19" s="872"/>
      <c r="G19" s="872"/>
      <c r="H19" s="872"/>
      <c r="I19" s="872"/>
      <c r="J19" s="872"/>
      <c r="K19" s="872"/>
      <c r="L19" s="872"/>
      <c r="M19" s="872"/>
      <c r="N19" s="52" t="s">
        <v>112</v>
      </c>
      <c r="O19" s="893">
        <f ca="1">INDIRECT(ADDRESS(5+4*($O$14-1),COLUMN(Races!$Q:$Q)+ROW(A5)-1,1,1,"Races"))</f>
        <v>0</v>
      </c>
    </row>
    <row r="20" spans="1:15" s="815" customFormat="1" x14ac:dyDescent="0.25">
      <c r="A20" s="874"/>
      <c r="B20" s="872"/>
      <c r="C20" s="872"/>
      <c r="D20" s="872"/>
      <c r="E20" s="872"/>
      <c r="F20" s="872"/>
      <c r="G20" s="872"/>
      <c r="H20" s="872"/>
      <c r="I20" s="872"/>
      <c r="J20" s="872"/>
      <c r="K20" s="872"/>
      <c r="L20" s="872"/>
      <c r="M20" s="872"/>
      <c r="N20" s="52" t="s">
        <v>113</v>
      </c>
      <c r="O20" s="893">
        <f ca="1">INDIRECT(ADDRESS(5+4*($O$14-1),COLUMN(Races!$Q:$Q)+ROW(A6)-1,1,1,"Races"))</f>
        <v>0</v>
      </c>
    </row>
    <row r="21" spans="1:15" s="815" customFormat="1" x14ac:dyDescent="0.25">
      <c r="A21" s="888" t="s">
        <v>333</v>
      </c>
      <c r="B21" s="889" t="s">
        <v>31</v>
      </c>
      <c r="C21" s="890" t="s">
        <v>32</v>
      </c>
      <c r="D21" s="891" t="s">
        <v>2</v>
      </c>
      <c r="E21" s="891" t="s">
        <v>3</v>
      </c>
      <c r="F21" s="1284" t="s">
        <v>7</v>
      </c>
      <c r="G21" s="1284" t="s">
        <v>4</v>
      </c>
      <c r="H21" s="1284" t="s">
        <v>12</v>
      </c>
      <c r="I21" s="1284" t="s">
        <v>5</v>
      </c>
      <c r="J21" s="1284" t="s">
        <v>85</v>
      </c>
      <c r="K21" s="1284" t="s">
        <v>694</v>
      </c>
      <c r="L21" s="892" t="s">
        <v>242</v>
      </c>
      <c r="M21" s="872"/>
      <c r="N21" s="52" t="s">
        <v>114</v>
      </c>
      <c r="O21" s="893">
        <f ca="1">INDIRECT(ADDRESS(5+4*($O$14-1),COLUMN(Races!$Q:$Q)+ROW(A7)-1,1,1,"Races"))</f>
        <v>0</v>
      </c>
    </row>
    <row r="22" spans="1:15" s="815" customFormat="1" x14ac:dyDescent="0.25">
      <c r="A22" s="70" t="str">
        <f>VLOOKUP($B$14,Races!$A$4:$D$140,4,FALSE)</f>
        <v>Spearman</v>
      </c>
      <c r="B22" s="887">
        <f>VLOOKUP($A22,Races!$D$4:$H$140,2,FALSE)</f>
        <v>3</v>
      </c>
      <c r="C22" s="882">
        <f>VLOOKUP($A22,Races!$D$4:$H$140,3,FALSE)</f>
        <v>0</v>
      </c>
      <c r="D22" s="26">
        <f>VLOOKUP($A22,Races!$D$4:$H$140,4,FALSE)</f>
        <v>275</v>
      </c>
      <c r="E22" s="26">
        <f>VLOOKUP($A22,Races!$D$4:$H$140,5,FALSE)</f>
        <v>25</v>
      </c>
      <c r="F22" s="26">
        <f>VLOOKUP($A22,Races!$D$4:$M$140,6,FALSE)</f>
        <v>0</v>
      </c>
      <c r="G22" s="26">
        <f>VLOOKUP($A22,Races!$D$4:$M$140,7,FALSE)</f>
        <v>0</v>
      </c>
      <c r="H22" s="26">
        <f>VLOOKUP($A22,Races!$D$4:$M$140,8,FALSE)</f>
        <v>0</v>
      </c>
      <c r="I22" s="26">
        <f>VLOOKUP($A22,Races!$D$4:$M$140,9,FALSE)</f>
        <v>0</v>
      </c>
      <c r="J22" s="26">
        <f>VLOOKUP($A22,Races!$D$4:$M$140,10,FALSE)</f>
        <v>0</v>
      </c>
      <c r="K22" s="443"/>
      <c r="L22" s="53">
        <v>5</v>
      </c>
      <c r="M22" s="872"/>
      <c r="N22" s="52" t="s">
        <v>115</v>
      </c>
      <c r="O22" s="893">
        <f ca="1">INDIRECT(ADDRESS(5+4*($O$14-1),COLUMN(Races!$Q:$Q)+ROW(A8)-1,1,1,"Races"))</f>
        <v>0</v>
      </c>
    </row>
    <row r="23" spans="1:15" s="815" customFormat="1" x14ac:dyDescent="0.25">
      <c r="A23" s="883" t="str">
        <f ca="1">INDIRECT(CONCATENATE("Races!$D$",TEXT(1+MATCH($A$22,Races!$D$1:$D$140,0),0)))</f>
        <v>Archer</v>
      </c>
      <c r="B23" s="887">
        <f ca="1">VLOOKUP($A23,Races!$D$4:$H$140,2,FALSE)+E88*C88</f>
        <v>0</v>
      </c>
      <c r="C23" s="882">
        <f ca="1">VLOOKUP($A23,Races!$D$4:$H$140,3,FALSE)+E88*D88</f>
        <v>3</v>
      </c>
      <c r="D23" s="26">
        <f ca="1">VLOOKUP($A23,Races!$D$4:$H$140,4,FALSE)</f>
        <v>275</v>
      </c>
      <c r="E23" s="26">
        <f ca="1">VLOOKUP($A23,Races!$D$4:$H$140,5,FALSE)</f>
        <v>10</v>
      </c>
      <c r="F23" s="26">
        <f ca="1">VLOOKUP($A23,Races!$D$4:$M$140,6,FALSE)</f>
        <v>0</v>
      </c>
      <c r="G23" s="26">
        <f ca="1">VLOOKUP($A23,Races!$D$4:$M$140,7,FALSE)</f>
        <v>0</v>
      </c>
      <c r="H23" s="26">
        <f ca="1">VLOOKUP($A23,Races!$D$4:$M$140,8,FALSE)</f>
        <v>0</v>
      </c>
      <c r="I23" s="26">
        <f ca="1">VLOOKUP($A23,Races!$D$4:$M$140,9,FALSE)</f>
        <v>0</v>
      </c>
      <c r="J23" s="26">
        <f ca="1">VLOOKUP($A23,Races!$D$4:$M$140,10,FALSE)</f>
        <v>0</v>
      </c>
      <c r="K23" s="1274"/>
      <c r="L23" s="53">
        <v>5</v>
      </c>
      <c r="M23" s="1280"/>
      <c r="N23" s="52" t="s">
        <v>116</v>
      </c>
      <c r="O23" s="893">
        <f ca="1">INDIRECT(ADDRESS(5+4*($O$14-1),COLUMN(Races!$Q:$Q)+ROW(A9)-1,1,1,"Races"))</f>
        <v>0</v>
      </c>
    </row>
    <row r="24" spans="1:15" s="815" customFormat="1" x14ac:dyDescent="0.25">
      <c r="A24" s="883" t="str">
        <f ca="1">INDIRECT(CONCATENATE("Races!$D$",TEXT(1+MATCH($A$23,Races!$D$1:$D$140,0),0)))</f>
        <v>Knight</v>
      </c>
      <c r="B24" s="887">
        <f ca="1">VLOOKUP($A24,Races!$D$4:$H$140,2,FALSE)+E78*C78+E89*C89+E86*C86+E91*C91+E92*C92</f>
        <v>2</v>
      </c>
      <c r="C24" s="882">
        <f ca="1">VLOOKUP($A24,Races!$D$4:$H$140,3,FALSE)+E81*D81+E82*D82+E79*D79+E78*D78+E77*D77+E76*D76+E74*D74+E89*D89+E84*D84+E86*D86+E93*D93</f>
        <v>6</v>
      </c>
      <c r="D24" s="26">
        <f ca="1">VLOOKUP($A24,Races!$D$4:$H$140,4,FALSE)</f>
        <v>1000</v>
      </c>
      <c r="E24" s="26">
        <f ca="1">VLOOKUP($A24,Races!$D$4:$H$140,5,FALSE)</f>
        <v>75</v>
      </c>
      <c r="F24" s="26">
        <f ca="1">VLOOKUP($A24,Races!$D$4:$M$140,6,FALSE)</f>
        <v>0</v>
      </c>
      <c r="G24" s="26">
        <f ca="1">VLOOKUP($A24,Races!$D$4:$M$140,7,FALSE)</f>
        <v>0</v>
      </c>
      <c r="H24" s="26">
        <f ca="1">VLOOKUP($A24,Races!$D$4:$M$140,8,FALSE)</f>
        <v>0</v>
      </c>
      <c r="I24" s="26">
        <f ca="1">VLOOKUP($A24,Races!$D$4:$M$140,9,FALSE)</f>
        <v>0</v>
      </c>
      <c r="J24" s="26">
        <f ca="1">VLOOKUP($A24,Races!$D$4:$M$140,10,FALSE)</f>
        <v>0</v>
      </c>
      <c r="K24" s="1274"/>
      <c r="L24" s="53">
        <f ca="1">1.8 * MIN(MAX(B24,C24),6)  +  0.45 * MIN(MIN(B24,C24),6)  +  0.2 * ( MAX(B24-6,0) + MAX(C24-6,0) )</f>
        <v>11.700000000000001</v>
      </c>
      <c r="M24" s="1280"/>
      <c r="N24" s="52" t="s">
        <v>32</v>
      </c>
      <c r="O24" s="893">
        <f ca="1">INDIRECT(ADDRESS(5+4*($O$14-1),COLUMN(Races!$Q:$Q)+ROW(A10)-1,1,1,"Races"))</f>
        <v>0</v>
      </c>
    </row>
    <row r="25" spans="1:15" s="815" customFormat="1" x14ac:dyDescent="0.25">
      <c r="A25" s="883" t="str">
        <f ca="1">INDIRECT(CONCATENATE("Races!$D$",TEXT(1+MATCH($A$24,Races!$D$1:$D$140,0),0)))</f>
        <v>Cavalry</v>
      </c>
      <c r="B25" s="887">
        <f ca="1">VLOOKUP($A25,Races!$D$4:$H$140,2,FALSE)+E74*C75+E79*C80+E87*C87+E90*C90+E94*C94</f>
        <v>6</v>
      </c>
      <c r="C25" s="882">
        <f ca="1">VLOOKUP($A25,Races!$D$4:$H$140,3,FALSE)+E74*D75+E85*D85</f>
        <v>3</v>
      </c>
      <c r="D25" s="26">
        <f ca="1">VLOOKUP($A25,Races!$D$4:$H$140,4,FALSE)</f>
        <v>1250</v>
      </c>
      <c r="E25" s="26">
        <f ca="1">VLOOKUP($A25,Races!$D$4:$H$140,5,FALSE)</f>
        <v>100</v>
      </c>
      <c r="F25" s="26">
        <f ca="1">VLOOKUP($A25,Races!$D$4:$M$140,6,FALSE)</f>
        <v>0</v>
      </c>
      <c r="G25" s="26">
        <f ca="1">VLOOKUP($A25,Races!$D$4:$M$140,7,FALSE)</f>
        <v>0</v>
      </c>
      <c r="H25" s="26">
        <f ca="1">VLOOKUP($A25,Races!$D$4:$M$140,8,FALSE)</f>
        <v>0</v>
      </c>
      <c r="I25" s="26">
        <f ca="1">VLOOKUP($A25,Races!$D$4:$M$140,9,FALSE)</f>
        <v>0</v>
      </c>
      <c r="J25" s="26">
        <f ca="1">VLOOKUP($A25,Races!$D$4:$M$140,10,FALSE)</f>
        <v>0</v>
      </c>
      <c r="K25" s="1274"/>
      <c r="L25" s="53">
        <f ca="1">1.8 * MIN(MAX(B25,C25),6)  +  0.45 * MIN(MIN(B25,C25),6)  +  0.2 * ( MAX(B25-6,0) + MAX(C25-6,0) )</f>
        <v>12.15</v>
      </c>
      <c r="M25" s="1280"/>
      <c r="N25" s="52" t="s">
        <v>31</v>
      </c>
      <c r="O25" s="893">
        <f ca="1">INDIRECT(ADDRESS(5+4*($O$14-1),COLUMN(Races!$Q:$Q)+ROW(A11)-1,1,1,"Races"))</f>
        <v>0</v>
      </c>
    </row>
    <row r="26" spans="1:15" s="815" customFormat="1" x14ac:dyDescent="0.25">
      <c r="A26" s="883" t="s">
        <v>76</v>
      </c>
      <c r="B26" s="56"/>
      <c r="C26" s="26"/>
      <c r="D26" s="26">
        <v>500</v>
      </c>
      <c r="E26" s="26"/>
      <c r="F26" s="107"/>
      <c r="G26" s="107"/>
      <c r="H26" s="107"/>
      <c r="I26" s="107"/>
      <c r="J26" s="107"/>
      <c r="K26" s="1274"/>
      <c r="L26" s="53">
        <v>5</v>
      </c>
      <c r="M26" s="1280"/>
      <c r="N26" s="894" t="s">
        <v>174</v>
      </c>
      <c r="O26" s="893">
        <f ca="1">INDIRECT(ADDRESS(5+4*($O$14-1),COLUMN(Races!$Q:$Q)+ROW(A12)-1,1,1,"Races"))</f>
        <v>0</v>
      </c>
    </row>
    <row r="27" spans="1:15" s="815" customFormat="1" x14ac:dyDescent="0.25">
      <c r="A27" s="883" t="s">
        <v>194</v>
      </c>
      <c r="B27" s="56"/>
      <c r="C27" s="26"/>
      <c r="D27" s="26">
        <v>500</v>
      </c>
      <c r="E27" s="26"/>
      <c r="F27" s="107"/>
      <c r="G27" s="107"/>
      <c r="H27" s="107"/>
      <c r="I27" s="107"/>
      <c r="J27" s="107"/>
      <c r="K27" s="1274"/>
      <c r="L27" s="53">
        <v>5</v>
      </c>
      <c r="M27" s="1280"/>
      <c r="N27" s="52" t="s">
        <v>175</v>
      </c>
      <c r="O27" s="893">
        <f ca="1">INDIRECT(ADDRESS(5+4*($O$14-1),COLUMN(Races!$Q:$Q)+ROW(A13)-1,1,1,"Races"))</f>
        <v>0</v>
      </c>
    </row>
    <row r="28" spans="1:15" s="815" customFormat="1" x14ac:dyDescent="0.25">
      <c r="A28" s="884" t="s">
        <v>195</v>
      </c>
      <c r="B28" s="72"/>
      <c r="C28" s="1269"/>
      <c r="D28" s="885">
        <f>IF(B14="Icekin",825,1000)</f>
        <v>1000</v>
      </c>
      <c r="E28" s="886" t="s">
        <v>262</v>
      </c>
      <c r="F28" s="678"/>
      <c r="G28" s="678"/>
      <c r="H28" s="678"/>
      <c r="I28" s="678"/>
      <c r="J28" s="678"/>
      <c r="K28" s="678"/>
      <c r="L28" s="75">
        <v>5</v>
      </c>
      <c r="M28" s="872"/>
      <c r="N28" s="52" t="s">
        <v>503</v>
      </c>
      <c r="O28" s="893">
        <f ca="1">INDIRECT(ADDRESS(5+4*($O$14-1),COLUMN(Races!$Q:$Q)+ROW(A14)-1,1,1,"Races"))</f>
        <v>0</v>
      </c>
    </row>
    <row r="29" spans="1:15" s="815" customFormat="1" x14ac:dyDescent="0.25">
      <c r="A29" s="1281"/>
      <c r="B29" s="872"/>
      <c r="C29" s="872"/>
      <c r="D29" s="1152"/>
      <c r="E29" s="1153"/>
      <c r="F29" s="872"/>
      <c r="G29" s="872"/>
      <c r="H29" s="872"/>
      <c r="I29" s="872"/>
      <c r="J29" s="872"/>
      <c r="K29" s="872"/>
      <c r="L29" s="872"/>
      <c r="M29" s="872"/>
      <c r="N29" s="52" t="s">
        <v>564</v>
      </c>
      <c r="O29" s="893">
        <f ca="1">INDIRECT(ADDRESS(5+4*($O$14-1),COLUMN(Races!$Q:$Q)+ROW(O15)-1,1,1,"Races"))</f>
        <v>0</v>
      </c>
    </row>
    <row r="30" spans="1:15" s="815" customFormat="1" x14ac:dyDescent="0.25">
      <c r="A30" s="1282"/>
      <c r="B30" s="968"/>
      <c r="C30" s="968"/>
      <c r="D30" s="1154"/>
      <c r="E30" s="1155"/>
      <c r="F30" s="968"/>
      <c r="G30" s="968"/>
      <c r="H30" s="968"/>
      <c r="I30" s="968"/>
      <c r="J30" s="968"/>
      <c r="K30" s="968"/>
      <c r="L30" s="968"/>
      <c r="M30" s="968"/>
      <c r="N30" s="72" t="s">
        <v>565</v>
      </c>
      <c r="O30" s="1283">
        <f ca="1">INDIRECT(ADDRESS(5+4*($O$14-1),COLUMN(Races!$Q:$Q)+ROW(A16)-1,1,1,"Races"))</f>
        <v>0</v>
      </c>
    </row>
    <row r="31" spans="1:15" s="12" customFormat="1" ht="29.25" customHeight="1" x14ac:dyDescent="0.3">
      <c r="A31" s="1440" t="s">
        <v>389</v>
      </c>
      <c r="B31" s="1441"/>
      <c r="C31" s="1441"/>
      <c r="D31" s="1441"/>
      <c r="E31" s="1441"/>
      <c r="F31" s="1441"/>
      <c r="G31" s="1441"/>
      <c r="H31" s="1441"/>
      <c r="I31" s="1441"/>
      <c r="J31" s="1441"/>
      <c r="K31" s="1441"/>
      <c r="L31" s="1441"/>
      <c r="M31" s="1441"/>
      <c r="N31" s="1441"/>
      <c r="O31" s="1441"/>
    </row>
    <row r="32" spans="1:15" x14ac:dyDescent="0.25">
      <c r="A32" s="881" t="s">
        <v>22</v>
      </c>
      <c r="B32" s="815"/>
      <c r="C32" s="1411" t="s">
        <v>31</v>
      </c>
      <c r="D32" s="1412"/>
      <c r="E32" s="1446"/>
      <c r="F32" s="1411" t="s">
        <v>32</v>
      </c>
      <c r="G32" s="1412"/>
      <c r="H32" s="1412"/>
      <c r="I32" s="871" t="s">
        <v>22</v>
      </c>
      <c r="J32" s="815"/>
      <c r="K32" s="815"/>
      <c r="L32" s="815"/>
      <c r="M32" s="815"/>
      <c r="N32" s="815"/>
      <c r="O32" s="966"/>
    </row>
    <row r="33" spans="1:18" x14ac:dyDescent="0.25">
      <c r="A33" s="15" t="s">
        <v>34</v>
      </c>
      <c r="B33" s="300" t="s">
        <v>228</v>
      </c>
      <c r="C33" s="299" t="s">
        <v>201</v>
      </c>
      <c r="D33" s="283" t="s">
        <v>219</v>
      </c>
      <c r="E33" s="300" t="s">
        <v>238</v>
      </c>
      <c r="F33" s="283" t="s">
        <v>201</v>
      </c>
      <c r="G33" s="283" t="s">
        <v>219</v>
      </c>
      <c r="H33" s="283" t="s">
        <v>238</v>
      </c>
      <c r="I33" s="868" t="s">
        <v>34</v>
      </c>
      <c r="J33" s="815"/>
      <c r="K33" s="880" t="s">
        <v>492</v>
      </c>
      <c r="L33" s="815"/>
      <c r="M33" s="815"/>
      <c r="N33" s="875"/>
      <c r="O33" s="967"/>
    </row>
    <row r="34" spans="1:18" x14ac:dyDescent="0.25">
      <c r="A34" s="15" t="str">
        <f>A22</f>
        <v>Spearman</v>
      </c>
      <c r="B34" s="71">
        <f>Military!E$27</f>
        <v>0</v>
      </c>
      <c r="C34" s="89">
        <f>B34*B22</f>
        <v>0</v>
      </c>
      <c r="D34" s="1407">
        <f ca="1">Military!P75</f>
        <v>0.05</v>
      </c>
      <c r="E34" s="71">
        <f ca="1">C34*(1+$D$34)</f>
        <v>0</v>
      </c>
      <c r="F34" s="23">
        <f>B34*C22</f>
        <v>0</v>
      </c>
      <c r="G34" s="1409">
        <f ca="1">Military!T75</f>
        <v>0</v>
      </c>
      <c r="H34" s="23">
        <f ca="1">F34*(1+$G$34)</f>
        <v>0</v>
      </c>
      <c r="I34" s="866" t="str">
        <f>A34</f>
        <v>Spearman</v>
      </c>
      <c r="J34" s="815"/>
      <c r="K34" s="1457" t="s">
        <v>493</v>
      </c>
      <c r="L34" s="1458"/>
      <c r="M34" s="1458"/>
      <c r="N34" s="1458"/>
      <c r="O34" s="967"/>
    </row>
    <row r="35" spans="1:18" x14ac:dyDescent="0.25">
      <c r="A35" s="863" t="str">
        <f ca="1">A23</f>
        <v>Archer</v>
      </c>
      <c r="B35" s="57">
        <f>Military!F$27</f>
        <v>0</v>
      </c>
      <c r="C35" s="56">
        <f ca="1">B35*B23</f>
        <v>0</v>
      </c>
      <c r="D35" s="1408"/>
      <c r="E35" s="57">
        <f ca="1">C35*(1+$D$34)</f>
        <v>0</v>
      </c>
      <c r="F35" s="26">
        <f ca="1">B35*C23</f>
        <v>0</v>
      </c>
      <c r="G35" s="1408"/>
      <c r="H35" s="26">
        <f ca="1">F35*(1+$G$34)</f>
        <v>0</v>
      </c>
      <c r="I35" s="866" t="str">
        <f ca="1">A35</f>
        <v>Archer</v>
      </c>
      <c r="J35" s="815"/>
      <c r="K35" s="1458"/>
      <c r="L35" s="1458"/>
      <c r="M35" s="1458"/>
      <c r="N35" s="1458"/>
      <c r="O35" s="967"/>
      <c r="R35" s="1345" t="s">
        <v>748</v>
      </c>
    </row>
    <row r="36" spans="1:18" x14ac:dyDescent="0.25">
      <c r="A36" s="863" t="str">
        <f ca="1">A24</f>
        <v>Knight</v>
      </c>
      <c r="B36" s="57">
        <f>Military!G$27</f>
        <v>0</v>
      </c>
      <c r="C36" s="56">
        <f ca="1">B36*B24</f>
        <v>0</v>
      </c>
      <c r="D36" s="1408"/>
      <c r="E36" s="57">
        <f ca="1">C36*(1+$D$34)</f>
        <v>0</v>
      </c>
      <c r="F36" s="26">
        <f ca="1">B36*C24+E99*D99</f>
        <v>0</v>
      </c>
      <c r="G36" s="1408"/>
      <c r="H36" s="26">
        <f ca="1">F36*(1+$G$34)</f>
        <v>0</v>
      </c>
      <c r="I36" s="866" t="str">
        <f ca="1">A36</f>
        <v>Knight</v>
      </c>
      <c r="J36" s="815"/>
      <c r="K36" s="1458"/>
      <c r="L36" s="1458"/>
      <c r="M36" s="1458"/>
      <c r="N36" s="1458"/>
      <c r="O36" s="967"/>
      <c r="R36" s="1345" t="s">
        <v>711</v>
      </c>
    </row>
    <row r="37" spans="1:18" ht="13.8" thickBot="1" x14ac:dyDescent="0.3">
      <c r="A37" s="863" t="str">
        <f ca="1">A25</f>
        <v>Cavalry</v>
      </c>
      <c r="B37" s="57">
        <f>Military!H$27</f>
        <v>0</v>
      </c>
      <c r="C37" s="139">
        <f ca="1">B37*B25+E99*C100</f>
        <v>0</v>
      </c>
      <c r="D37" s="1408"/>
      <c r="E37" s="138">
        <f ca="1">C37*(1+$D$34)</f>
        <v>0</v>
      </c>
      <c r="F37" s="140">
        <f ca="1">B37*C25</f>
        <v>0</v>
      </c>
      <c r="G37" s="1408"/>
      <c r="H37" s="140">
        <f ca="1">F37*(1+$G$34)</f>
        <v>0</v>
      </c>
      <c r="I37" s="866" t="str">
        <f ca="1">A37</f>
        <v>Cavalry</v>
      </c>
      <c r="J37" s="815"/>
      <c r="K37" s="1442" t="s">
        <v>513</v>
      </c>
      <c r="L37" s="1443"/>
      <c r="M37" s="1443"/>
      <c r="N37" s="1443"/>
      <c r="O37" s="967"/>
      <c r="R37" s="1345" t="s">
        <v>698</v>
      </c>
    </row>
    <row r="38" spans="1:18" ht="13.8" thickTop="1" x14ac:dyDescent="0.25">
      <c r="A38" s="865"/>
      <c r="B38" s="895"/>
      <c r="C38" s="851">
        <f ca="1">SUM(C34:C37)</f>
        <v>0</v>
      </c>
      <c r="D38" s="16"/>
      <c r="E38" s="852">
        <f ca="1">SUM(E34:E37)</f>
        <v>0</v>
      </c>
      <c r="F38" s="853">
        <f ca="1">SUM(F34:F37)</f>
        <v>0</v>
      </c>
      <c r="G38" s="848"/>
      <c r="H38" s="853">
        <f ca="1">SUM(H34:H37)</f>
        <v>0</v>
      </c>
      <c r="I38" s="867"/>
      <c r="J38" s="815"/>
      <c r="K38" s="1443"/>
      <c r="L38" s="1443"/>
      <c r="M38" s="1443"/>
      <c r="N38" s="1443"/>
      <c r="O38" s="967"/>
      <c r="R38" s="1345" t="s">
        <v>754</v>
      </c>
    </row>
    <row r="39" spans="1:18" x14ac:dyDescent="0.25">
      <c r="A39" s="52" t="s">
        <v>24</v>
      </c>
      <c r="B39" s="441">
        <f ca="1">F39</f>
        <v>5295</v>
      </c>
      <c r="C39" s="729"/>
      <c r="D39" s="107"/>
      <c r="E39" s="451"/>
      <c r="F39" s="26">
        <f ca="1">Military!Z75</f>
        <v>5295</v>
      </c>
      <c r="G39" s="315"/>
      <c r="H39" s="26">
        <f ca="1">F39*(1+$G$34)</f>
        <v>5295</v>
      </c>
      <c r="I39" s="866" t="s">
        <v>483</v>
      </c>
      <c r="J39" s="815"/>
      <c r="K39" s="1437" t="s">
        <v>511</v>
      </c>
      <c r="L39" s="1438"/>
      <c r="M39" s="1438"/>
      <c r="N39" s="1438"/>
      <c r="O39" s="967"/>
      <c r="R39" s="1345" t="s">
        <v>744</v>
      </c>
    </row>
    <row r="40" spans="1:18" ht="13.8" thickBot="1" x14ac:dyDescent="0.3">
      <c r="A40" s="52" t="s">
        <v>482</v>
      </c>
      <c r="B40" s="107">
        <f>E52</f>
        <v>0</v>
      </c>
      <c r="C40" s="729"/>
      <c r="D40" s="107"/>
      <c r="E40" s="451"/>
      <c r="F40" s="827">
        <f ca="1">MIN(Population!C75/2,Constants!B13*20*Construction!BD75)</f>
        <v>0</v>
      </c>
      <c r="G40" s="315"/>
      <c r="H40" s="828">
        <f ca="1">F40*(1+$G$34)</f>
        <v>0</v>
      </c>
      <c r="I40" s="866" t="s">
        <v>390</v>
      </c>
      <c r="J40" s="815"/>
      <c r="K40" s="1438"/>
      <c r="L40" s="1438"/>
      <c r="M40" s="1438"/>
      <c r="N40" s="1438"/>
      <c r="O40" s="967"/>
      <c r="R40" s="1345" t="s">
        <v>751</v>
      </c>
    </row>
    <row r="41" spans="1:18" ht="13.8" thickTop="1" x14ac:dyDescent="0.25">
      <c r="A41" s="25"/>
      <c r="B41" s="678"/>
      <c r="C41" s="878"/>
      <c r="D41" s="678"/>
      <c r="E41" s="896"/>
      <c r="F41" s="854">
        <f ca="1">F39+F38+F40</f>
        <v>5295</v>
      </c>
      <c r="G41" s="25"/>
      <c r="H41" s="855">
        <f ca="1">H39+H38+H40</f>
        <v>5295</v>
      </c>
      <c r="I41" s="298"/>
      <c r="J41" s="815"/>
      <c r="K41" s="1439"/>
      <c r="L41" s="1439"/>
      <c r="M41" s="1439"/>
      <c r="N41" s="1439"/>
      <c r="O41" s="967"/>
      <c r="R41" s="1345" t="s">
        <v>752</v>
      </c>
    </row>
    <row r="42" spans="1:18" x14ac:dyDescent="0.25">
      <c r="A42" s="872"/>
      <c r="B42" s="815"/>
      <c r="C42" s="872"/>
      <c r="D42" s="1410"/>
      <c r="E42" s="1410"/>
      <c r="F42" s="1410"/>
      <c r="G42" s="1410"/>
      <c r="H42" s="1410"/>
      <c r="I42" s="872"/>
      <c r="J42" s="815"/>
      <c r="K42" s="815"/>
      <c r="L42" s="815"/>
      <c r="M42" s="815"/>
      <c r="N42" s="815"/>
      <c r="O42" s="967"/>
      <c r="R42" s="1345" t="s">
        <v>753</v>
      </c>
    </row>
    <row r="43" spans="1:18" x14ac:dyDescent="0.25">
      <c r="A43" s="865" t="str">
        <f>A26</f>
        <v>Spy</v>
      </c>
      <c r="B43" s="71">
        <f>Military!I27</f>
        <v>0</v>
      </c>
      <c r="C43" s="16"/>
      <c r="D43" s="815"/>
      <c r="E43" s="815"/>
      <c r="F43" s="815"/>
      <c r="G43" s="815"/>
      <c r="I43" s="872"/>
      <c r="J43" s="815"/>
      <c r="K43" s="880" t="s">
        <v>491</v>
      </c>
      <c r="L43" s="815"/>
      <c r="M43" s="815"/>
      <c r="N43" s="815"/>
      <c r="O43" s="967"/>
    </row>
    <row r="44" spans="1:18" x14ac:dyDescent="0.25">
      <c r="A44" s="863" t="str">
        <f>A27</f>
        <v>Wizard</v>
      </c>
      <c r="B44" s="57">
        <f>Military!J27</f>
        <v>0</v>
      </c>
      <c r="C44" s="872"/>
      <c r="D44" s="880" t="s">
        <v>266</v>
      </c>
      <c r="E44" s="815"/>
      <c r="F44" s="815"/>
      <c r="G44" s="815"/>
      <c r="H44" s="880" t="s">
        <v>268</v>
      </c>
      <c r="I44" s="815"/>
      <c r="J44" s="815"/>
      <c r="K44" s="1414" t="s">
        <v>518</v>
      </c>
      <c r="L44" s="1415"/>
      <c r="M44" s="1415"/>
      <c r="N44" s="1415"/>
      <c r="O44" s="967"/>
    </row>
    <row r="45" spans="1:18" x14ac:dyDescent="0.25">
      <c r="A45" s="864" t="str">
        <f>A28</f>
        <v>Archmage</v>
      </c>
      <c r="B45" s="73">
        <f>Military!K27</f>
        <v>0</v>
      </c>
      <c r="C45" s="872"/>
      <c r="D45" s="188" t="s">
        <v>1</v>
      </c>
      <c r="E45" s="15">
        <f>Construction!BS75</f>
        <v>1000</v>
      </c>
      <c r="F45" s="103">
        <v>1</v>
      </c>
      <c r="G45" s="815"/>
      <c r="H45" s="50" t="s">
        <v>269</v>
      </c>
      <c r="I45" s="318" t="s">
        <v>201</v>
      </c>
      <c r="J45" s="319" t="s">
        <v>238</v>
      </c>
      <c r="K45" s="1415"/>
      <c r="L45" s="1415"/>
      <c r="M45" s="1415"/>
      <c r="N45" s="1415"/>
      <c r="O45" s="967"/>
    </row>
    <row r="46" spans="1:18" x14ac:dyDescent="0.25">
      <c r="A46" s="872"/>
      <c r="B46" s="815"/>
      <c r="C46" s="872"/>
      <c r="D46" s="869" t="str">
        <f>Construction!AX2</f>
        <v>Hom</v>
      </c>
      <c r="E46" s="856">
        <f>Construction!AX75</f>
        <v>0</v>
      </c>
      <c r="F46" s="857">
        <f t="shared" ref="F46:F64" si="0">E46/$E$45</f>
        <v>0</v>
      </c>
      <c r="G46" s="815"/>
      <c r="H46" s="301" t="s">
        <v>263</v>
      </c>
      <c r="I46" s="470">
        <f ca="1">C38/E45</f>
        <v>0</v>
      </c>
      <c r="J46" s="471">
        <f ca="1">E38/E45</f>
        <v>0</v>
      </c>
      <c r="K46" s="1415"/>
      <c r="L46" s="1415"/>
      <c r="M46" s="1415"/>
      <c r="N46" s="1415"/>
      <c r="O46" s="967"/>
    </row>
    <row r="47" spans="1:18" x14ac:dyDescent="0.25">
      <c r="A47" s="12" t="s">
        <v>279</v>
      </c>
      <c r="B47" s="55">
        <f ca="1">Production!N27*boat_size</f>
        <v>6000</v>
      </c>
      <c r="C47" s="872"/>
      <c r="D47" s="762" t="str">
        <f>Construction!AY2</f>
        <v>Alc</v>
      </c>
      <c r="E47" s="16">
        <f>Construction!AY75</f>
        <v>0</v>
      </c>
      <c r="F47" s="303">
        <f t="shared" si="0"/>
        <v>0</v>
      </c>
      <c r="G47" s="815"/>
      <c r="H47" s="63" t="s">
        <v>264</v>
      </c>
      <c r="I47" s="472">
        <f ca="1">F38/E45</f>
        <v>0</v>
      </c>
      <c r="J47" s="473">
        <f ca="1">H38/E45</f>
        <v>0</v>
      </c>
      <c r="K47" s="1415"/>
      <c r="L47" s="1415"/>
      <c r="M47" s="1415"/>
      <c r="N47" s="1415"/>
      <c r="O47" s="967"/>
    </row>
    <row r="48" spans="1:18" x14ac:dyDescent="0.25">
      <c r="A48" s="163" t="s">
        <v>388</v>
      </c>
      <c r="B48" s="55">
        <f>SUM(Imps!M3:'Imps'!M75)</f>
        <v>0</v>
      </c>
      <c r="C48" s="872"/>
      <c r="D48" s="762" t="str">
        <f>Construction!AZ2</f>
        <v>Far</v>
      </c>
      <c r="E48" s="16">
        <f>Construction!AZ75</f>
        <v>80</v>
      </c>
      <c r="F48" s="303">
        <f t="shared" si="0"/>
        <v>0.08</v>
      </c>
      <c r="G48" s="815"/>
      <c r="H48" s="63" t="s">
        <v>265</v>
      </c>
      <c r="I48" s="474">
        <f>(B43+IF(race="Halfling",B37/3,IF(race="Lizardfolk",B36/5,0)))/E45</f>
        <v>0</v>
      </c>
      <c r="J48" s="473">
        <f ca="1">I48*(1+O25)</f>
        <v>0</v>
      </c>
      <c r="K48" s="1415"/>
      <c r="L48" s="1415"/>
      <c r="M48" s="1415"/>
      <c r="N48" s="1415"/>
      <c r="O48" s="967"/>
      <c r="R48" s="1345"/>
    </row>
    <row r="49" spans="1:15" x14ac:dyDescent="0.25">
      <c r="C49" s="872"/>
      <c r="D49" s="762" t="str">
        <f>Construction!BA2</f>
        <v>Smi</v>
      </c>
      <c r="E49" s="16">
        <f>Construction!BA75</f>
        <v>0</v>
      </c>
      <c r="F49" s="303">
        <f t="shared" si="0"/>
        <v>0</v>
      </c>
      <c r="G49" s="815"/>
      <c r="H49" s="298" t="s">
        <v>267</v>
      </c>
      <c r="I49" s="475">
        <f>(B45*2+B44)/E45</f>
        <v>0</v>
      </c>
      <c r="J49" s="476">
        <f ca="1">I49*(1+O26+Constants!O55*Techs!AV75)</f>
        <v>0</v>
      </c>
      <c r="K49" s="1415"/>
      <c r="L49" s="1415"/>
      <c r="M49" s="1415"/>
      <c r="N49" s="1415"/>
      <c r="O49" s="967"/>
    </row>
    <row r="50" spans="1:15" x14ac:dyDescent="0.25">
      <c r="A50" s="188" t="s">
        <v>1</v>
      </c>
      <c r="B50" s="71">
        <f>E45</f>
        <v>1000</v>
      </c>
      <c r="C50" s="872"/>
      <c r="D50" s="762" t="str">
        <f>Construction!BB2</f>
        <v>Mas</v>
      </c>
      <c r="E50" s="16">
        <f>Construction!BB75</f>
        <v>0</v>
      </c>
      <c r="F50" s="303">
        <f t="shared" si="0"/>
        <v>0</v>
      </c>
      <c r="G50" s="815"/>
      <c r="H50" s="815"/>
      <c r="I50" s="815"/>
      <c r="J50" s="815"/>
      <c r="K50" s="880" t="s">
        <v>500</v>
      </c>
      <c r="L50" s="815"/>
      <c r="M50" s="815"/>
      <c r="N50" s="815"/>
      <c r="O50" s="967"/>
    </row>
    <row r="51" spans="1:15" x14ac:dyDescent="0.25">
      <c r="A51" s="52" t="s">
        <v>21</v>
      </c>
      <c r="B51" s="57">
        <f ca="1">Population!C75</f>
        <v>1845</v>
      </c>
      <c r="C51" s="872"/>
      <c r="D51" s="762" t="str">
        <f>Construction!BC2</f>
        <v>Ly</v>
      </c>
      <c r="E51" s="16">
        <f>Construction!BC75</f>
        <v>50</v>
      </c>
      <c r="F51" s="303">
        <f t="shared" si="0"/>
        <v>0.05</v>
      </c>
      <c r="G51" s="815"/>
      <c r="H51" s="880" t="s">
        <v>2</v>
      </c>
      <c r="I51" s="815"/>
      <c r="J51" s="815"/>
      <c r="K51" s="1413" t="s">
        <v>743</v>
      </c>
      <c r="L51" s="1413"/>
      <c r="M51" s="1413"/>
      <c r="N51" s="1413"/>
      <c r="O51" s="967"/>
    </row>
    <row r="52" spans="1:15" x14ac:dyDescent="0.25">
      <c r="A52" s="52" t="s">
        <v>24</v>
      </c>
      <c r="B52" s="57">
        <f ca="1">B39</f>
        <v>5295</v>
      </c>
      <c r="C52" s="872"/>
      <c r="D52" s="762" t="str">
        <f>Construction!BD2</f>
        <v>Hav</v>
      </c>
      <c r="E52" s="16">
        <f>Construction!BD75</f>
        <v>0</v>
      </c>
      <c r="F52" s="303">
        <f t="shared" si="0"/>
        <v>0</v>
      </c>
      <c r="G52" s="815"/>
      <c r="H52" s="50" t="s">
        <v>0</v>
      </c>
      <c r="I52" s="50" t="s">
        <v>228</v>
      </c>
      <c r="J52" s="849" t="s">
        <v>396</v>
      </c>
      <c r="K52" s="1413"/>
      <c r="L52" s="1413"/>
      <c r="M52" s="1413"/>
      <c r="N52" s="1413"/>
      <c r="O52" s="967"/>
    </row>
    <row r="53" spans="1:15" x14ac:dyDescent="0.25">
      <c r="A53" s="52" t="s">
        <v>242</v>
      </c>
      <c r="B53" s="57">
        <f ca="1">Production!G75</f>
        <v>20900</v>
      </c>
      <c r="C53" s="872"/>
      <c r="D53" s="762" t="str">
        <f>Construction!BE2</f>
        <v>OM</v>
      </c>
      <c r="E53" s="16">
        <f>Construction!BE75</f>
        <v>0</v>
      </c>
      <c r="F53" s="303">
        <f t="shared" si="0"/>
        <v>0</v>
      </c>
      <c r="G53" s="815"/>
      <c r="H53" s="282">
        <v>61</v>
      </c>
      <c r="I53" s="316">
        <f ca="1">Production!H63</f>
        <v>4776219</v>
      </c>
      <c r="J53" s="949">
        <f ca="1">Production!H63+SUM(Military!AU3:AU63)</f>
        <v>4776219</v>
      </c>
      <c r="K53" s="947"/>
      <c r="L53" s="815"/>
      <c r="M53" s="815"/>
      <c r="N53" s="815"/>
      <c r="O53" s="967"/>
    </row>
    <row r="54" spans="1:15" x14ac:dyDescent="0.25">
      <c r="A54" s="52" t="s">
        <v>278</v>
      </c>
      <c r="B54" s="57">
        <f ca="1">H38</f>
        <v>0</v>
      </c>
      <c r="C54" s="872"/>
      <c r="D54" s="762" t="str">
        <f>Construction!BF2</f>
        <v>GN</v>
      </c>
      <c r="E54" s="16">
        <f>Construction!BF75</f>
        <v>0</v>
      </c>
      <c r="F54" s="303">
        <f t="shared" si="0"/>
        <v>0</v>
      </c>
      <c r="G54" s="815"/>
      <c r="H54" s="282">
        <v>64</v>
      </c>
      <c r="I54" s="316">
        <f ca="1">Production!H66</f>
        <v>4791162</v>
      </c>
      <c r="J54" s="950">
        <f ca="1">Production!H66+SUM(Military!AU4:AU66)</f>
        <v>4791162</v>
      </c>
      <c r="K54" s="948"/>
      <c r="L54" s="815"/>
      <c r="M54" s="815"/>
      <c r="N54" s="815"/>
      <c r="O54" s="967"/>
    </row>
    <row r="55" spans="1:15" x14ac:dyDescent="0.25">
      <c r="A55" s="52" t="s">
        <v>277</v>
      </c>
      <c r="B55" s="57">
        <f ca="1">E38</f>
        <v>0</v>
      </c>
      <c r="C55" s="872"/>
      <c r="D55" s="762" t="str">
        <f>Construction!BI2</f>
        <v>Bar</v>
      </c>
      <c r="E55" s="16">
        <f>Construction!BI75</f>
        <v>0</v>
      </c>
      <c r="F55" s="303">
        <f t="shared" si="0"/>
        <v>0</v>
      </c>
      <c r="G55" s="815"/>
      <c r="H55" s="302" t="s">
        <v>241</v>
      </c>
      <c r="I55" s="317">
        <f ca="1">Production!H75</f>
        <v>4835991</v>
      </c>
      <c r="J55" s="951">
        <f ca="1">Production!H75+SUM(Military!AU3:AU75)</f>
        <v>4835991</v>
      </c>
      <c r="K55" s="948"/>
      <c r="L55" s="815"/>
      <c r="M55" s="815"/>
      <c r="N55" s="815"/>
      <c r="O55" s="967"/>
    </row>
    <row r="56" spans="1:15" x14ac:dyDescent="0.25">
      <c r="A56" s="52" t="s">
        <v>6</v>
      </c>
      <c r="B56" s="57">
        <f ca="1">Production!S75</f>
        <v>4981</v>
      </c>
      <c r="C56" s="872"/>
      <c r="D56" s="762" t="str">
        <f>Construction!BG2</f>
        <v>Fac</v>
      </c>
      <c r="E56" s="16">
        <f>Construction!BG75</f>
        <v>0</v>
      </c>
      <c r="F56" s="303">
        <f t="shared" si="0"/>
        <v>0</v>
      </c>
      <c r="G56" s="815"/>
      <c r="H56" s="815"/>
      <c r="I56" s="815"/>
      <c r="J56" s="815"/>
      <c r="K56" s="948"/>
      <c r="L56" s="815"/>
      <c r="M56" s="815"/>
      <c r="N56" s="815"/>
      <c r="O56" s="967"/>
    </row>
    <row r="57" spans="1:15" x14ac:dyDescent="0.25">
      <c r="A57" s="52" t="s">
        <v>2</v>
      </c>
      <c r="B57" s="57">
        <f ca="1">Production!H$75</f>
        <v>4835991</v>
      </c>
      <c r="C57" s="872"/>
      <c r="D57" s="762" t="str">
        <f>Construction!BH2</f>
        <v>GT</v>
      </c>
      <c r="E57" s="16">
        <f>Construction!BH75</f>
        <v>0</v>
      </c>
      <c r="F57" s="303">
        <f t="shared" si="0"/>
        <v>0</v>
      </c>
      <c r="G57" s="815"/>
      <c r="H57" s="881" t="s">
        <v>288</v>
      </c>
      <c r="I57" s="815"/>
      <c r="J57" s="815"/>
      <c r="K57" s="815"/>
      <c r="L57" s="815"/>
      <c r="M57" s="815"/>
      <c r="N57" s="815"/>
      <c r="O57" s="967"/>
    </row>
    <row r="58" spans="1:15" x14ac:dyDescent="0.25">
      <c r="A58" s="52" t="s">
        <v>5</v>
      </c>
      <c r="B58" s="57">
        <f ca="1">Production!I$75</f>
        <v>280322</v>
      </c>
      <c r="C58" s="872"/>
      <c r="D58" s="762" t="str">
        <f>Construction!BJ2</f>
        <v>Shr</v>
      </c>
      <c r="E58" s="16">
        <f>Construction!BJ75</f>
        <v>0</v>
      </c>
      <c r="F58" s="303">
        <f t="shared" si="0"/>
        <v>0</v>
      </c>
      <c r="G58" s="815"/>
      <c r="H58" s="70" t="s">
        <v>289</v>
      </c>
      <c r="I58" s="89" t="s">
        <v>228</v>
      </c>
      <c r="J58" s="861" t="s">
        <v>395</v>
      </c>
      <c r="K58" s="815"/>
      <c r="L58" s="815"/>
      <c r="M58" s="815"/>
      <c r="N58" s="815"/>
      <c r="O58" s="967"/>
    </row>
    <row r="59" spans="1:15" x14ac:dyDescent="0.25">
      <c r="A59" s="52" t="s">
        <v>7</v>
      </c>
      <c r="B59" s="57">
        <f ca="1">Production!J$75</f>
        <v>300924</v>
      </c>
      <c r="C59" s="872"/>
      <c r="D59" s="762" t="str">
        <f>Construction!BK2</f>
        <v>Tow</v>
      </c>
      <c r="E59" s="16">
        <f>Construction!BK75</f>
        <v>50</v>
      </c>
      <c r="F59" s="303">
        <f t="shared" si="0"/>
        <v>0.05</v>
      </c>
      <c r="G59" s="815"/>
      <c r="H59" s="70" t="s">
        <v>290</v>
      </c>
      <c r="I59" s="89">
        <f ca="1">SUM(Construction!AP3:AP87)</f>
        <v>0</v>
      </c>
      <c r="J59" s="861" t="e">
        <f ca="1">I59/I$64</f>
        <v>#DIV/0!</v>
      </c>
      <c r="K59" s="815"/>
      <c r="L59" s="815"/>
      <c r="M59" s="815"/>
      <c r="N59" s="815"/>
      <c r="O59" s="967"/>
    </row>
    <row r="60" spans="1:15" x14ac:dyDescent="0.25">
      <c r="A60" s="52" t="s">
        <v>12</v>
      </c>
      <c r="B60" s="57">
        <f ca="1">Production!K$75</f>
        <v>52578</v>
      </c>
      <c r="C60" s="872"/>
      <c r="D60" s="762" t="str">
        <f>Construction!BL2</f>
        <v>Tem</v>
      </c>
      <c r="E60" s="16">
        <f>Construction!BL75</f>
        <v>0</v>
      </c>
      <c r="F60" s="303">
        <f t="shared" si="0"/>
        <v>0</v>
      </c>
      <c r="G60" s="815"/>
      <c r="H60" s="52" t="s">
        <v>291</v>
      </c>
      <c r="I60" s="56">
        <f>SUM(Explore!AH3:AH87)</f>
        <v>0</v>
      </c>
      <c r="J60" s="763" t="e">
        <f ca="1">I60/I$64</f>
        <v>#DIV/0!</v>
      </c>
      <c r="K60" s="815"/>
      <c r="L60" s="815"/>
      <c r="M60" s="815"/>
      <c r="N60" s="815"/>
      <c r="O60" s="967"/>
    </row>
    <row r="61" spans="1:15" x14ac:dyDescent="0.25">
      <c r="A61" s="52" t="s">
        <v>3</v>
      </c>
      <c r="B61" s="57">
        <f ca="1">Production!L$75</f>
        <v>300000</v>
      </c>
      <c r="C61" s="872"/>
      <c r="D61" s="762" t="str">
        <f>Construction!BM2</f>
        <v>WG</v>
      </c>
      <c r="E61" s="16">
        <f>Construction!BM75</f>
        <v>0</v>
      </c>
      <c r="F61" s="303">
        <f t="shared" si="0"/>
        <v>0</v>
      </c>
      <c r="G61" s="815"/>
      <c r="H61" s="52" t="s">
        <v>22</v>
      </c>
      <c r="I61" s="56">
        <f ca="1">SUM(Military!AU3:AU87)</f>
        <v>0</v>
      </c>
      <c r="J61" s="763" t="e">
        <f ca="1">I61/I$64</f>
        <v>#DIV/0!</v>
      </c>
      <c r="K61" s="815"/>
      <c r="L61" s="815"/>
      <c r="M61" s="815"/>
      <c r="N61" s="815"/>
      <c r="O61" s="967"/>
    </row>
    <row r="62" spans="1:15" x14ac:dyDescent="0.25">
      <c r="A62" s="52" t="s">
        <v>4</v>
      </c>
      <c r="B62" s="57">
        <f ca="1">Production!M$75</f>
        <v>20000</v>
      </c>
      <c r="C62" s="872"/>
      <c r="D62" s="762" t="str">
        <f>Construction!BN2</f>
        <v>DM</v>
      </c>
      <c r="E62" s="16">
        <f>Construction!BN75</f>
        <v>0</v>
      </c>
      <c r="F62" s="303">
        <f t="shared" si="0"/>
        <v>0</v>
      </c>
      <c r="G62" s="815"/>
      <c r="H62" s="52" t="s">
        <v>203</v>
      </c>
      <c r="I62" s="56">
        <f ca="1">SUM(Rezone!Y3:Y87)</f>
        <v>0</v>
      </c>
      <c r="J62" s="763" t="e">
        <f ca="1">I62/I$64</f>
        <v>#DIV/0!</v>
      </c>
      <c r="K62" s="815"/>
      <c r="L62" s="815"/>
      <c r="M62" s="815"/>
      <c r="N62" s="815"/>
      <c r="O62" s="967"/>
    </row>
    <row r="63" spans="1:15" x14ac:dyDescent="0.25">
      <c r="A63" s="52" t="s">
        <v>85</v>
      </c>
      <c r="B63" s="57">
        <f ca="1">Production!N$75</f>
        <v>200</v>
      </c>
      <c r="C63" s="872"/>
      <c r="D63" s="762" t="str">
        <f>Construction!BO2</f>
        <v>Sch</v>
      </c>
      <c r="E63" s="16">
        <f>Construction!BO75</f>
        <v>0</v>
      </c>
      <c r="F63" s="303">
        <f t="shared" si="0"/>
        <v>0</v>
      </c>
      <c r="G63" s="815"/>
      <c r="H63" s="72" t="s">
        <v>292</v>
      </c>
      <c r="I63" s="90">
        <f>Imps!AV75+Imps!BA75+Imps!BF75+Imps!BK75+Imps!BP75+Imps!BU75</f>
        <v>0</v>
      </c>
      <c r="J63" s="763" t="e">
        <f ca="1">I63/I$64</f>
        <v>#DIV/0!</v>
      </c>
      <c r="K63" s="815"/>
      <c r="L63" s="815"/>
      <c r="M63" s="815"/>
      <c r="N63" s="815"/>
      <c r="O63" s="967"/>
    </row>
    <row r="64" spans="1:15" x14ac:dyDescent="0.25">
      <c r="A64" s="52" t="s">
        <v>286</v>
      </c>
      <c r="B64" s="57">
        <f>SUM(Explore!T64:Z75)+SUM(Explore!S76:S86)*15</f>
        <v>0</v>
      </c>
      <c r="C64" s="815"/>
      <c r="D64" s="870" t="str">
        <f>Construction!BP2</f>
        <v>Doc</v>
      </c>
      <c r="E64" s="25">
        <f>Construction!BP75</f>
        <v>0</v>
      </c>
      <c r="F64" s="304">
        <f t="shared" si="0"/>
        <v>0</v>
      </c>
      <c r="G64" s="815"/>
      <c r="H64" s="50" t="s">
        <v>199</v>
      </c>
      <c r="I64" s="54">
        <f ca="1">SUM(I59:I63)</f>
        <v>0</v>
      </c>
      <c r="J64" s="862">
        <f>1</f>
        <v>1</v>
      </c>
      <c r="K64" s="815"/>
      <c r="L64" s="815"/>
      <c r="M64" s="815"/>
      <c r="N64" s="815"/>
      <c r="O64" s="967"/>
    </row>
    <row r="65" spans="1:15" x14ac:dyDescent="0.25">
      <c r="A65" s="72" t="s">
        <v>287</v>
      </c>
      <c r="B65" s="73">
        <f>Construction!C75</f>
        <v>0</v>
      </c>
      <c r="C65" s="815"/>
      <c r="D65" s="188" t="str">
        <f>B67</f>
        <v>Plain</v>
      </c>
      <c r="E65" s="858">
        <f ca="1">Construction!DF75</f>
        <v>150</v>
      </c>
      <c r="F65" s="860">
        <f ca="1">E65/E45</f>
        <v>0.15</v>
      </c>
      <c r="G65" s="815"/>
      <c r="I65" s="815"/>
      <c r="K65" s="815"/>
      <c r="L65" s="815"/>
      <c r="M65" s="815"/>
      <c r="N65" s="815"/>
      <c r="O65" s="967"/>
    </row>
    <row r="66" spans="1:15" x14ac:dyDescent="0.25">
      <c r="A66" s="70" t="s">
        <v>392</v>
      </c>
      <c r="B66" s="301" t="str">
        <f>VLOOKUP($B$14,Races!$A$4:$B$140,2,FALSE)</f>
        <v>Good</v>
      </c>
      <c r="C66" s="815"/>
      <c r="D66" s="52" t="s">
        <v>373</v>
      </c>
      <c r="E66" s="26">
        <f>E45-SUM(E46:E64)-B65</f>
        <v>820</v>
      </c>
      <c r="F66" s="859">
        <f>E66/E45</f>
        <v>0.82</v>
      </c>
      <c r="G66" s="815"/>
      <c r="H66" s="815"/>
      <c r="I66" s="815"/>
      <c r="J66" s="815"/>
      <c r="K66" s="815"/>
      <c r="L66" s="815"/>
      <c r="M66" s="815"/>
      <c r="N66" s="815"/>
      <c r="O66" s="967"/>
    </row>
    <row r="67" spans="1:15" x14ac:dyDescent="0.25">
      <c r="A67" s="72" t="s">
        <v>391</v>
      </c>
      <c r="B67" s="298" t="str">
        <f>VLOOKUP($B$14,Races!$A$4:$C$140,3,FALSE)</f>
        <v>Plain</v>
      </c>
      <c r="C67" s="815"/>
      <c r="D67" s="72" t="s">
        <v>374</v>
      </c>
      <c r="E67" s="24">
        <f>B65</f>
        <v>0</v>
      </c>
      <c r="F67" s="75">
        <f>E67/E45</f>
        <v>0</v>
      </c>
      <c r="G67" s="815"/>
      <c r="H67" s="815"/>
      <c r="I67" s="815"/>
      <c r="J67" s="815"/>
      <c r="K67" s="815"/>
      <c r="L67" s="815"/>
      <c r="M67" s="815"/>
      <c r="N67" s="815"/>
      <c r="O67" s="967"/>
    </row>
    <row r="68" spans="1:15" x14ac:dyDescent="0.25">
      <c r="A68" s="872"/>
      <c r="B68" s="815"/>
      <c r="C68" s="815"/>
      <c r="D68" s="815"/>
      <c r="E68" s="815"/>
      <c r="F68" s="815"/>
      <c r="G68" s="815"/>
      <c r="H68" s="815"/>
      <c r="I68" s="815"/>
      <c r="J68" s="815"/>
      <c r="K68" s="815"/>
      <c r="L68" s="815"/>
      <c r="M68" s="815"/>
      <c r="N68" s="815"/>
      <c r="O68" s="967"/>
    </row>
    <row r="69" spans="1:15" x14ac:dyDescent="0.25">
      <c r="A69" s="872"/>
      <c r="B69" s="815"/>
      <c r="C69" s="815"/>
      <c r="D69" s="815"/>
      <c r="E69" s="815"/>
      <c r="F69" s="815"/>
      <c r="G69" s="815"/>
      <c r="H69" s="815"/>
      <c r="I69" s="815"/>
      <c r="J69" s="815"/>
      <c r="K69" s="815"/>
      <c r="L69" s="815"/>
      <c r="M69" s="815"/>
      <c r="N69" s="815"/>
      <c r="O69" s="967"/>
    </row>
    <row r="70" spans="1:15" x14ac:dyDescent="0.25">
      <c r="A70" s="872"/>
      <c r="B70" s="872"/>
      <c r="C70" s="968"/>
      <c r="D70" s="968"/>
      <c r="E70" s="968"/>
      <c r="F70" s="968"/>
      <c r="G70" s="968"/>
      <c r="H70" s="968"/>
      <c r="I70" s="968"/>
      <c r="J70" s="968"/>
      <c r="K70" s="968"/>
      <c r="L70" s="968"/>
      <c r="M70" s="968"/>
      <c r="N70" s="968"/>
      <c r="O70" s="969"/>
    </row>
    <row r="71" spans="1:15" x14ac:dyDescent="0.25">
      <c r="A71" s="1405" t="s">
        <v>299</v>
      </c>
      <c r="B71" s="1406"/>
      <c r="C71" s="753"/>
      <c r="D71" s="753"/>
      <c r="E71" s="753"/>
      <c r="O71" s="16"/>
    </row>
    <row r="72" spans="1:15" x14ac:dyDescent="0.25">
      <c r="A72" s="754" t="s">
        <v>300</v>
      </c>
      <c r="B72" s="755"/>
      <c r="C72" s="753"/>
      <c r="D72" s="753"/>
      <c r="E72" s="755"/>
      <c r="O72" s="16"/>
    </row>
    <row r="73" spans="1:15" x14ac:dyDescent="0.25">
      <c r="A73" s="756" t="s">
        <v>302</v>
      </c>
      <c r="B73" s="756" t="s">
        <v>303</v>
      </c>
      <c r="C73" s="756" t="s">
        <v>305</v>
      </c>
      <c r="D73" s="756" t="s">
        <v>304</v>
      </c>
      <c r="E73" s="753"/>
      <c r="G73" s="16"/>
      <c r="H73" s="16"/>
      <c r="I73" s="1343"/>
      <c r="J73" s="1028"/>
      <c r="M73" s="1"/>
      <c r="O73" s="16"/>
    </row>
    <row r="74" spans="1:15" x14ac:dyDescent="0.25">
      <c r="A74" s="753" t="s">
        <v>95</v>
      </c>
      <c r="B74" s="753" t="s">
        <v>130</v>
      </c>
      <c r="C74" s="757"/>
      <c r="D74" s="757">
        <f ca="1">IF(Constants!F131="none",$F$65/Constants!C131,MIN(Constants!F131,$F$65/Constants!C131))</f>
        <v>0.74999999999999989</v>
      </c>
      <c r="E74" s="753" t="b">
        <f>$B$14=A74</f>
        <v>0</v>
      </c>
      <c r="O74" s="16"/>
    </row>
    <row r="75" spans="1:15" x14ac:dyDescent="0.25">
      <c r="A75" s="753"/>
      <c r="B75" s="753" t="s">
        <v>131</v>
      </c>
      <c r="C75" s="757">
        <f ca="1">IF(Constants!F132="none",$F$65/Constants!C132,MIN(Constants!F132,$F$65/Constants!C132))</f>
        <v>0.74999999999999989</v>
      </c>
      <c r="D75" s="757">
        <f ca="1">IF(Constants!F133="none",$F$65/Constants!C133,MIN(Constants!F133,$F$65/Constants!C133))</f>
        <v>0.74999999999999989</v>
      </c>
      <c r="E75" s="753"/>
    </row>
    <row r="76" spans="1:15" x14ac:dyDescent="0.25">
      <c r="A76" s="753" t="s">
        <v>99</v>
      </c>
      <c r="B76" s="753" t="s">
        <v>146</v>
      </c>
      <c r="C76" s="757"/>
      <c r="D76" s="757">
        <f ca="1">MIN(Constants!F134,$F$65/Constants!C134)</f>
        <v>0.74999999999999989</v>
      </c>
      <c r="E76" s="753" t="b">
        <f>$B$14=A76</f>
        <v>0</v>
      </c>
    </row>
    <row r="77" spans="1:15" x14ac:dyDescent="0.25">
      <c r="A77" s="753" t="s">
        <v>97</v>
      </c>
      <c r="B77" s="753" t="s">
        <v>138</v>
      </c>
      <c r="C77" s="757"/>
      <c r="D77" s="757">
        <f ca="1">MIN(Constants!F135,$F$65/Constants!C135)</f>
        <v>0.74999999999999989</v>
      </c>
      <c r="E77" s="753" t="b">
        <f>$B$14=A77</f>
        <v>0</v>
      </c>
    </row>
    <row r="78" spans="1:15" x14ac:dyDescent="0.25">
      <c r="A78" s="753" t="s">
        <v>102</v>
      </c>
      <c r="B78" s="753" t="s">
        <v>154</v>
      </c>
      <c r="C78" s="757">
        <f>MIN(Constants!F136,F61/Constants!C136)</f>
        <v>0</v>
      </c>
      <c r="D78" s="757">
        <f>MIN(Constants!F137,F61/Constants!C137)</f>
        <v>0</v>
      </c>
      <c r="E78" s="753" t="b">
        <f>$B$14=A78</f>
        <v>0</v>
      </c>
    </row>
    <row r="79" spans="1:15" x14ac:dyDescent="0.25">
      <c r="A79" s="753" t="s">
        <v>344</v>
      </c>
      <c r="B79" s="753" t="s">
        <v>347</v>
      </c>
      <c r="C79" s="753"/>
      <c r="D79" s="757">
        <f ca="1">MIN(Constants!F138,F65/Constants!C138)</f>
        <v>0.74999999999999989</v>
      </c>
      <c r="E79" s="753" t="b">
        <f>$B$14=A79</f>
        <v>0</v>
      </c>
      <c r="G79" s="107"/>
      <c r="H79" s="107"/>
      <c r="I79" s="107"/>
    </row>
    <row r="80" spans="1:15" x14ac:dyDescent="0.25">
      <c r="A80" s="753"/>
      <c r="B80" s="753" t="s">
        <v>348</v>
      </c>
      <c r="C80" s="753">
        <f>MIN(Constants!F139,I49*Constants!C139)</f>
        <v>0</v>
      </c>
      <c r="D80" s="753"/>
      <c r="E80" s="753"/>
      <c r="G80" s="107"/>
      <c r="H80" s="107"/>
      <c r="I80" s="107"/>
    </row>
    <row r="81" spans="1:14" x14ac:dyDescent="0.25">
      <c r="A81" s="753" t="s">
        <v>150</v>
      </c>
      <c r="B81" s="753" t="s">
        <v>387</v>
      </c>
      <c r="C81" s="753"/>
      <c r="D81" s="757">
        <f>MIN(Constants!F140,Production!O27/Constants!C140)</f>
        <v>0.83333333333333337</v>
      </c>
      <c r="E81" s="753" t="b">
        <f>$B$14=A81</f>
        <v>0</v>
      </c>
      <c r="G81" s="107"/>
      <c r="H81" s="448"/>
      <c r="I81" s="107"/>
      <c r="J81" s="946"/>
      <c r="K81" s="98"/>
      <c r="M81" s="1"/>
      <c r="N81" s="98"/>
    </row>
    <row r="82" spans="1:14" x14ac:dyDescent="0.25">
      <c r="A82" s="753" t="s">
        <v>574</v>
      </c>
      <c r="B82" s="753" t="s">
        <v>487</v>
      </c>
      <c r="C82" s="753"/>
      <c r="D82" s="757">
        <f ca="1">MIN(nox_nightshade_cap,E65/E45/nox_nightshade_swamp_bonus)</f>
        <v>1.4999999999999998</v>
      </c>
      <c r="E82" s="753" t="b">
        <f>$B$14=A82</f>
        <v>0</v>
      </c>
      <c r="G82" s="107"/>
      <c r="H82" s="448"/>
      <c r="I82" s="448"/>
      <c r="J82" s="946"/>
      <c r="K82" s="98"/>
      <c r="M82" s="1"/>
      <c r="N82" s="98"/>
    </row>
    <row r="83" spans="1:14" x14ac:dyDescent="0.25">
      <c r="A83" s="1384" t="s">
        <v>598</v>
      </c>
      <c r="B83" s="1385" t="s">
        <v>602</v>
      </c>
      <c r="C83" s="1386">
        <f>MIN(flying_ant_cap,F52/flying_ant_bonus)</f>
        <v>0</v>
      </c>
      <c r="D83" s="1386"/>
      <c r="E83" s="753" t="b">
        <f t="shared" ref="E83:E86" si="1">$B$14=A83</f>
        <v>0</v>
      </c>
      <c r="F83" s="1345"/>
      <c r="G83" s="1383"/>
      <c r="H83" s="448"/>
      <c r="I83" s="448"/>
      <c r="J83" s="946"/>
      <c r="K83" s="98"/>
      <c r="M83" s="1"/>
    </row>
    <row r="84" spans="1:14" x14ac:dyDescent="0.25">
      <c r="A84" s="1388" t="s">
        <v>608</v>
      </c>
      <c r="B84" s="1387" t="s">
        <v>611</v>
      </c>
      <c r="C84" s="1389"/>
      <c r="D84" s="1389">
        <f ca="1">MIN(goat_witch_cap,F65/goat_witch_bonus)</f>
        <v>1.4999999999999998</v>
      </c>
      <c r="E84" s="1390" t="b">
        <f t="shared" si="1"/>
        <v>0</v>
      </c>
      <c r="F84" s="1391"/>
      <c r="G84" s="1383"/>
      <c r="H84" s="448"/>
      <c r="I84" s="448"/>
      <c r="J84" s="946"/>
      <c r="K84" s="98"/>
      <c r="M84" s="1"/>
    </row>
    <row r="85" spans="1:14" x14ac:dyDescent="0.25">
      <c r="A85" s="1388" t="s">
        <v>608</v>
      </c>
      <c r="B85" s="1387" t="s">
        <v>612</v>
      </c>
      <c r="C85" s="1389"/>
      <c r="D85" s="1389">
        <f ca="1">MIN(minotaur_cap,F65/minotaur_bonus)</f>
        <v>1.4999999999999998</v>
      </c>
      <c r="E85" s="1390" t="b">
        <f t="shared" si="1"/>
        <v>0</v>
      </c>
      <c r="F85" s="35"/>
      <c r="G85" s="1383"/>
      <c r="H85" s="448"/>
      <c r="I85" s="448"/>
      <c r="J85" s="946"/>
      <c r="K85" s="98"/>
      <c r="M85" s="1"/>
    </row>
    <row r="86" spans="1:14" x14ac:dyDescent="0.25">
      <c r="A86" s="1387" t="s">
        <v>623</v>
      </c>
      <c r="B86" s="1387" t="s">
        <v>626</v>
      </c>
      <c r="C86" s="1389">
        <f>MIN(fanatic_cap,F60/fanatic_bonus)</f>
        <v>0</v>
      </c>
      <c r="D86" s="1389">
        <f>MIN(fanatic_cap,F60/fanatic_bonus)</f>
        <v>0</v>
      </c>
      <c r="E86" s="1390" t="b">
        <f t="shared" si="1"/>
        <v>0</v>
      </c>
      <c r="F86" s="35"/>
      <c r="G86" s="1383"/>
      <c r="H86" s="448"/>
      <c r="I86" s="107"/>
      <c r="J86" s="946"/>
      <c r="K86" s="98"/>
      <c r="M86" s="1"/>
    </row>
    <row r="87" spans="1:14" x14ac:dyDescent="0.25">
      <c r="A87" s="1387" t="s">
        <v>623</v>
      </c>
      <c r="B87" s="1387" t="s">
        <v>627</v>
      </c>
      <c r="C87" s="1389">
        <f>MIN(holy_warrior_cap,F58/holy_warrior_bonus)</f>
        <v>0</v>
      </c>
      <c r="D87" s="1389"/>
      <c r="E87" s="1390" t="b">
        <f>$B$14=A87</f>
        <v>0</v>
      </c>
      <c r="F87" s="35"/>
      <c r="G87" s="1383"/>
      <c r="H87" s="448"/>
      <c r="I87" s="448"/>
      <c r="J87" s="11"/>
      <c r="K87" s="98"/>
      <c r="M87" s="1"/>
    </row>
    <row r="88" spans="1:14" x14ac:dyDescent="0.25">
      <c r="A88" s="1387" t="s">
        <v>104</v>
      </c>
      <c r="B88" s="1387" t="s">
        <v>159</v>
      </c>
      <c r="C88" s="1389">
        <f>MIN(banshee_cap,F47/banshee_bonus)</f>
        <v>0</v>
      </c>
      <c r="D88" s="1389">
        <f>MIN(banshee_cap,F47/banshee_bonus)</f>
        <v>0</v>
      </c>
      <c r="E88" s="1390" t="b">
        <f>$B$14=A88</f>
        <v>0</v>
      </c>
      <c r="F88" s="1391"/>
      <c r="G88" s="1383"/>
      <c r="H88" s="107"/>
      <c r="I88" s="448"/>
      <c r="J88" s="11"/>
      <c r="K88" s="98"/>
      <c r="M88" s="1"/>
    </row>
    <row r="89" spans="1:14" x14ac:dyDescent="0.25">
      <c r="A89" s="1387" t="s">
        <v>104</v>
      </c>
      <c r="B89" s="1387" t="s">
        <v>158</v>
      </c>
      <c r="C89" s="1389">
        <f>MIN(phantom_cap,F47/phantom_bonus)</f>
        <v>0</v>
      </c>
      <c r="D89" s="1389">
        <f>MIN(phantom_cap,F47/phantom_bonus)</f>
        <v>0</v>
      </c>
      <c r="E89" s="1390" t="b">
        <f t="shared" ref="E89:E94" si="2">$B$14=A89</f>
        <v>0</v>
      </c>
      <c r="F89" s="1391"/>
      <c r="G89" s="1383"/>
      <c r="H89" s="448"/>
      <c r="I89" s="448"/>
      <c r="J89" s="11"/>
      <c r="K89" s="98"/>
      <c r="M89" s="1"/>
    </row>
    <row r="90" spans="1:14" x14ac:dyDescent="0.25">
      <c r="A90" s="1387" t="s">
        <v>103</v>
      </c>
      <c r="B90" s="1387" t="s">
        <v>666</v>
      </c>
      <c r="C90" s="1389">
        <f>MIN(wraith_cap,I49/wraith_bonus)</f>
        <v>0</v>
      </c>
      <c r="D90" s="1389"/>
      <c r="E90" s="1390" t="b">
        <f t="shared" si="2"/>
        <v>0</v>
      </c>
      <c r="F90" s="1391"/>
      <c r="G90" s="1383"/>
      <c r="H90" s="448"/>
      <c r="I90" s="107"/>
      <c r="J90" s="1182"/>
      <c r="M90" s="1"/>
    </row>
    <row r="91" spans="1:14" x14ac:dyDescent="0.25">
      <c r="A91" s="1387" t="s">
        <v>96</v>
      </c>
      <c r="B91" s="1387" t="s">
        <v>134</v>
      </c>
      <c r="C91" s="1389">
        <f>MIN(staff_cap,I48/staff_bonus)</f>
        <v>0</v>
      </c>
      <c r="D91" s="1389"/>
      <c r="E91" s="1390" t="b">
        <f t="shared" si="2"/>
        <v>0</v>
      </c>
      <c r="F91" s="1391"/>
      <c r="G91" s="1383"/>
      <c r="H91" s="1381"/>
      <c r="I91" s="107"/>
      <c r="J91" s="1182"/>
      <c r="K91" s="1345"/>
      <c r="M91" s="1"/>
    </row>
    <row r="92" spans="1:14" x14ac:dyDescent="0.25">
      <c r="A92" s="1387" t="s">
        <v>618</v>
      </c>
      <c r="B92" s="1387" t="s">
        <v>621</v>
      </c>
      <c r="C92" s="1392">
        <f>MIN(valkyrja_cap,Production!O27/valkyrja_bonus)</f>
        <v>1</v>
      </c>
      <c r="D92" s="1393"/>
      <c r="E92" s="1390" t="b">
        <f t="shared" si="2"/>
        <v>0</v>
      </c>
      <c r="F92" s="1391"/>
      <c r="G92" s="1383"/>
      <c r="H92" s="107"/>
      <c r="I92" s="1383"/>
      <c r="J92" s="1026"/>
      <c r="M92" s="1"/>
    </row>
    <row r="93" spans="1:14" x14ac:dyDescent="0.25">
      <c r="A93" s="1387" t="s">
        <v>639</v>
      </c>
      <c r="B93" s="1387" t="s">
        <v>641</v>
      </c>
      <c r="C93" s="1392"/>
      <c r="D93" s="1394">
        <f>MIN(warlock_cap,Production!O27/warlock_bonus)</f>
        <v>1</v>
      </c>
      <c r="E93" s="1390" t="b">
        <f t="shared" si="2"/>
        <v>0</v>
      </c>
      <c r="F93" s="1391"/>
      <c r="G93" s="1383"/>
      <c r="H93" s="1381"/>
      <c r="I93" s="1383"/>
      <c r="J93" s="1026"/>
      <c r="M93" s="1"/>
    </row>
    <row r="94" spans="1:14" x14ac:dyDescent="0.25">
      <c r="A94" s="1387" t="s">
        <v>107</v>
      </c>
      <c r="B94" s="1385" t="s">
        <v>172</v>
      </c>
      <c r="C94" s="1386">
        <f ca="1">MIN(lizardman_cap,F65/lizardman_bonus)</f>
        <v>2.9999999999999996</v>
      </c>
      <c r="D94" s="1386"/>
      <c r="E94" s="753" t="b">
        <f t="shared" si="2"/>
        <v>0</v>
      </c>
      <c r="F94" s="1345"/>
      <c r="G94" s="1383"/>
      <c r="H94" s="1381"/>
      <c r="I94" s="107"/>
      <c r="J94" s="11"/>
      <c r="K94" s="1345"/>
      <c r="M94" s="1"/>
    </row>
    <row r="95" spans="1:14" x14ac:dyDescent="0.25">
      <c r="G95" s="1383"/>
    </row>
    <row r="96" spans="1:14" x14ac:dyDescent="0.25">
      <c r="G96" s="1383"/>
      <c r="H96" s="107"/>
      <c r="I96" s="107"/>
    </row>
    <row r="97" spans="1:15" x14ac:dyDescent="0.25">
      <c r="G97" s="1383"/>
      <c r="H97" s="107"/>
      <c r="I97" s="107"/>
    </row>
    <row r="98" spans="1:15" x14ac:dyDescent="0.25">
      <c r="A98" s="754" t="s">
        <v>301</v>
      </c>
      <c r="B98" s="753"/>
      <c r="C98" s="753"/>
      <c r="D98" s="753"/>
      <c r="E98" s="758"/>
      <c r="G98" s="107"/>
      <c r="H98" s="107"/>
      <c r="I98" s="107"/>
    </row>
    <row r="99" spans="1:15" x14ac:dyDescent="0.25">
      <c r="A99" s="753" t="s">
        <v>106</v>
      </c>
      <c r="B99" s="753" t="s">
        <v>342</v>
      </c>
      <c r="C99" s="753"/>
      <c r="D99" s="753">
        <f>MIN(B36,B37)*2</f>
        <v>0</v>
      </c>
      <c r="E99" s="753" t="b">
        <f>$B$14=A99</f>
        <v>0</v>
      </c>
    </row>
    <row r="100" spans="1:15" x14ac:dyDescent="0.25">
      <c r="A100" s="753"/>
      <c r="B100" s="753" t="s">
        <v>343</v>
      </c>
      <c r="C100" s="753">
        <f>MIN(B37,B34)*2</f>
        <v>0</v>
      </c>
      <c r="D100" s="753"/>
      <c r="E100" s="753"/>
    </row>
    <row r="101" spans="1:15" x14ac:dyDescent="0.25">
      <c r="O101" s="16"/>
    </row>
    <row r="102" spans="1:15" x14ac:dyDescent="0.25">
      <c r="O102" s="16"/>
    </row>
    <row r="103" spans="1:15" x14ac:dyDescent="0.25">
      <c r="O103" s="16"/>
    </row>
    <row r="104" spans="1:15" x14ac:dyDescent="0.25">
      <c r="O104" s="16"/>
    </row>
    <row r="105" spans="1:15" x14ac:dyDescent="0.25">
      <c r="O105" s="16"/>
    </row>
    <row r="106" spans="1:15" x14ac:dyDescent="0.25">
      <c r="O106" s="16"/>
    </row>
    <row r="107" spans="1:15" x14ac:dyDescent="0.25">
      <c r="O107" s="16"/>
    </row>
    <row r="111" spans="1:15" x14ac:dyDescent="0.25">
      <c r="O111" s="16"/>
    </row>
    <row r="112" spans="1:15" x14ac:dyDescent="0.25">
      <c r="O112" s="16"/>
    </row>
    <row r="113" spans="15:15" x14ac:dyDescent="0.25">
      <c r="O113" s="16"/>
    </row>
    <row r="114" spans="15:15" x14ac:dyDescent="0.25">
      <c r="O114" s="16"/>
    </row>
    <row r="115" spans="15:15" x14ac:dyDescent="0.25">
      <c r="O115" s="16"/>
    </row>
    <row r="116" spans="15:15" x14ac:dyDescent="0.25">
      <c r="O116" s="16"/>
    </row>
    <row r="117" spans="15:15" x14ac:dyDescent="0.25">
      <c r="O117" s="16"/>
    </row>
    <row r="118" spans="15:15" x14ac:dyDescent="0.25">
      <c r="O118" s="16"/>
    </row>
    <row r="119" spans="15:15" x14ac:dyDescent="0.25">
      <c r="O119" s="16"/>
    </row>
    <row r="120" spans="15:15" x14ac:dyDescent="0.25">
      <c r="O120" s="16"/>
    </row>
    <row r="121" spans="15:15" x14ac:dyDescent="0.25">
      <c r="O121" s="16"/>
    </row>
    <row r="122" spans="15:15" x14ac:dyDescent="0.25">
      <c r="O122" s="16"/>
    </row>
    <row r="123" spans="15:15" x14ac:dyDescent="0.25">
      <c r="O123" s="16"/>
    </row>
    <row r="124" spans="15:15" x14ac:dyDescent="0.25">
      <c r="O124" s="16"/>
    </row>
    <row r="125" spans="15:15" x14ac:dyDescent="0.25">
      <c r="O125" s="16"/>
    </row>
    <row r="126" spans="15:15" x14ac:dyDescent="0.25">
      <c r="O126" s="16"/>
    </row>
    <row r="127" spans="15:15" x14ac:dyDescent="0.25">
      <c r="O127" s="16"/>
    </row>
    <row r="128" spans="15:15" x14ac:dyDescent="0.25">
      <c r="O128" s="16"/>
    </row>
    <row r="129" spans="15:15" x14ac:dyDescent="0.25">
      <c r="O129" s="16"/>
    </row>
    <row r="130" spans="15:15" x14ac:dyDescent="0.25">
      <c r="O130" s="16"/>
    </row>
    <row r="131" spans="15:15" x14ac:dyDescent="0.25">
      <c r="O131" s="16"/>
    </row>
    <row r="132" spans="15:15" x14ac:dyDescent="0.25">
      <c r="O132" s="16"/>
    </row>
    <row r="133" spans="15:15" x14ac:dyDescent="0.25">
      <c r="O133" s="16"/>
    </row>
    <row r="134" spans="15:15" x14ac:dyDescent="0.25">
      <c r="O134" s="16"/>
    </row>
    <row r="135" spans="15:15" x14ac:dyDescent="0.25">
      <c r="O135" s="16"/>
    </row>
    <row r="136" spans="15:15" x14ac:dyDescent="0.25">
      <c r="O136" s="16"/>
    </row>
    <row r="137" spans="15:15" x14ac:dyDescent="0.25">
      <c r="O137" s="16"/>
    </row>
    <row r="138" spans="15:15" x14ac:dyDescent="0.25">
      <c r="O138" s="16"/>
    </row>
    <row r="139" spans="15:15" x14ac:dyDescent="0.25">
      <c r="O139" s="16"/>
    </row>
    <row r="140" spans="15:15" x14ac:dyDescent="0.25">
      <c r="O140" s="16"/>
    </row>
    <row r="141" spans="15:15" x14ac:dyDescent="0.25">
      <c r="O141" s="16"/>
    </row>
    <row r="142" spans="15:15" x14ac:dyDescent="0.25">
      <c r="O142" s="16"/>
    </row>
    <row r="143" spans="15:15" x14ac:dyDescent="0.25">
      <c r="O143" s="16"/>
    </row>
    <row r="144" spans="15:15" x14ac:dyDescent="0.25">
      <c r="O144" s="16"/>
    </row>
    <row r="145" spans="15:15" x14ac:dyDescent="0.25">
      <c r="O145" s="16"/>
    </row>
    <row r="146" spans="15:15" x14ac:dyDescent="0.25">
      <c r="O146" s="16"/>
    </row>
    <row r="147" spans="15:15" x14ac:dyDescent="0.25">
      <c r="O147" s="16"/>
    </row>
    <row r="148" spans="15:15" x14ac:dyDescent="0.25">
      <c r="O148" s="16"/>
    </row>
    <row r="149" spans="15:15" x14ac:dyDescent="0.25">
      <c r="O149" s="16"/>
    </row>
    <row r="150" spans="15:15" x14ac:dyDescent="0.25">
      <c r="O150" s="16"/>
    </row>
    <row r="151" spans="15:15" x14ac:dyDescent="0.25">
      <c r="O151" s="16"/>
    </row>
    <row r="152" spans="15:15" x14ac:dyDescent="0.25">
      <c r="O152" s="16"/>
    </row>
    <row r="153" spans="15:15" x14ac:dyDescent="0.25">
      <c r="O153" s="16"/>
    </row>
    <row r="154" spans="15:15" x14ac:dyDescent="0.25">
      <c r="O154" s="16"/>
    </row>
    <row r="155" spans="15:15" x14ac:dyDescent="0.25">
      <c r="O155" s="16"/>
    </row>
    <row r="156" spans="15:15" x14ac:dyDescent="0.25">
      <c r="O156" s="16"/>
    </row>
    <row r="157" spans="15:15" x14ac:dyDescent="0.25">
      <c r="O157" s="16"/>
    </row>
    <row r="158" spans="15:15" x14ac:dyDescent="0.25">
      <c r="O158" s="16"/>
    </row>
    <row r="159" spans="15:15" x14ac:dyDescent="0.25">
      <c r="O159" s="16"/>
    </row>
    <row r="160" spans="15:15" x14ac:dyDescent="0.25">
      <c r="O160" s="16"/>
    </row>
    <row r="161" spans="15:15" x14ac:dyDescent="0.25">
      <c r="O161" s="16"/>
    </row>
    <row r="162" spans="15:15" x14ac:dyDescent="0.25">
      <c r="O162" s="16"/>
    </row>
    <row r="163" spans="15:15" x14ac:dyDescent="0.25">
      <c r="O163" s="16"/>
    </row>
    <row r="164" spans="15:15" x14ac:dyDescent="0.25">
      <c r="O164" s="16"/>
    </row>
    <row r="165" spans="15:15" x14ac:dyDescent="0.25">
      <c r="O165" s="16"/>
    </row>
    <row r="166" spans="15:15" x14ac:dyDescent="0.25">
      <c r="O166" s="16"/>
    </row>
    <row r="167" spans="15:15" x14ac:dyDescent="0.25">
      <c r="O167" s="16"/>
    </row>
    <row r="168" spans="15:15" x14ac:dyDescent="0.25">
      <c r="O168" s="16"/>
    </row>
    <row r="169" spans="15:15" x14ac:dyDescent="0.25">
      <c r="O169" s="16"/>
    </row>
    <row r="170" spans="15:15" x14ac:dyDescent="0.25">
      <c r="O170" s="16"/>
    </row>
    <row r="171" spans="15:15" x14ac:dyDescent="0.25">
      <c r="O171" s="16"/>
    </row>
    <row r="172" spans="15:15" x14ac:dyDescent="0.25">
      <c r="O172" s="16"/>
    </row>
    <row r="173" spans="15:15" x14ac:dyDescent="0.25">
      <c r="O173" s="16"/>
    </row>
    <row r="174" spans="15:15" x14ac:dyDescent="0.25">
      <c r="O174" s="16"/>
    </row>
    <row r="175" spans="15:15" x14ac:dyDescent="0.25">
      <c r="O175" s="16"/>
    </row>
    <row r="176" spans="15:15" x14ac:dyDescent="0.25">
      <c r="O176" s="16"/>
    </row>
    <row r="177" spans="15:15" x14ac:dyDescent="0.25">
      <c r="O177" s="16"/>
    </row>
    <row r="178" spans="15:15" x14ac:dyDescent="0.25">
      <c r="O178" s="16"/>
    </row>
    <row r="179" spans="15:15" x14ac:dyDescent="0.25">
      <c r="O179" s="16"/>
    </row>
    <row r="180" spans="15:15" x14ac:dyDescent="0.25">
      <c r="O180" s="16"/>
    </row>
    <row r="181" spans="15:15" x14ac:dyDescent="0.25">
      <c r="O181" s="16"/>
    </row>
    <row r="182" spans="15:15" x14ac:dyDescent="0.25">
      <c r="O182" s="16"/>
    </row>
    <row r="183" spans="15:15" x14ac:dyDescent="0.25">
      <c r="O183" s="16"/>
    </row>
    <row r="184" spans="15:15" x14ac:dyDescent="0.25">
      <c r="O184" s="16"/>
    </row>
    <row r="185" spans="15:15" x14ac:dyDescent="0.25">
      <c r="O185" s="16"/>
    </row>
    <row r="186" spans="15:15" x14ac:dyDescent="0.25">
      <c r="O186" s="16"/>
    </row>
    <row r="187" spans="15:15" x14ac:dyDescent="0.25">
      <c r="O187" s="16"/>
    </row>
    <row r="188" spans="15:15" x14ac:dyDescent="0.25">
      <c r="O188" s="16"/>
    </row>
    <row r="189" spans="15:15" x14ac:dyDescent="0.25">
      <c r="O189" s="16"/>
    </row>
    <row r="190" spans="15:15" x14ac:dyDescent="0.25">
      <c r="O190" s="16"/>
    </row>
    <row r="191" spans="15:15" x14ac:dyDescent="0.25">
      <c r="O191" s="16"/>
    </row>
    <row r="192" spans="15:15" x14ac:dyDescent="0.25">
      <c r="O192" s="16"/>
    </row>
    <row r="193" spans="15:15" x14ac:dyDescent="0.25">
      <c r="O193" s="16"/>
    </row>
    <row r="194" spans="15:15" x14ac:dyDescent="0.25">
      <c r="O194" s="16"/>
    </row>
    <row r="195" spans="15:15" x14ac:dyDescent="0.25">
      <c r="O195" s="16"/>
    </row>
    <row r="196" spans="15:15" x14ac:dyDescent="0.25">
      <c r="O196" s="16"/>
    </row>
    <row r="197" spans="15:15" x14ac:dyDescent="0.25">
      <c r="O197" s="16"/>
    </row>
    <row r="198" spans="15:15" x14ac:dyDescent="0.25">
      <c r="O198" s="16"/>
    </row>
    <row r="199" spans="15:15" x14ac:dyDescent="0.25">
      <c r="O199" s="16"/>
    </row>
    <row r="200" spans="15:15" x14ac:dyDescent="0.25">
      <c r="O200" s="16"/>
    </row>
    <row r="201" spans="15:15" x14ac:dyDescent="0.25">
      <c r="O201" s="16"/>
    </row>
    <row r="202" spans="15:15" x14ac:dyDescent="0.25">
      <c r="O202" s="16"/>
    </row>
    <row r="203" spans="15:15" x14ac:dyDescent="0.25">
      <c r="O203" s="16"/>
    </row>
    <row r="204" spans="15:15" x14ac:dyDescent="0.25">
      <c r="O204" s="16"/>
    </row>
    <row r="205" spans="15:15" x14ac:dyDescent="0.25">
      <c r="O205" s="16"/>
    </row>
    <row r="206" spans="15:15" x14ac:dyDescent="0.25">
      <c r="O206" s="16"/>
    </row>
    <row r="207" spans="15:15" x14ac:dyDescent="0.25">
      <c r="O207" s="16"/>
    </row>
    <row r="208" spans="15:15" x14ac:dyDescent="0.25">
      <c r="O208" s="16"/>
    </row>
    <row r="209" spans="15:15" x14ac:dyDescent="0.25">
      <c r="O209" s="16"/>
    </row>
    <row r="210" spans="15:15" x14ac:dyDescent="0.25">
      <c r="O210" s="16"/>
    </row>
    <row r="211" spans="15:15" x14ac:dyDescent="0.25">
      <c r="O211" s="16"/>
    </row>
    <row r="212" spans="15:15" x14ac:dyDescent="0.25">
      <c r="O212" s="16"/>
    </row>
    <row r="213" spans="15:15" x14ac:dyDescent="0.25">
      <c r="O213" s="16"/>
    </row>
    <row r="214" spans="15:15" x14ac:dyDescent="0.25">
      <c r="O214" s="16"/>
    </row>
    <row r="215" spans="15:15" x14ac:dyDescent="0.25">
      <c r="O215" s="16"/>
    </row>
    <row r="216" spans="15:15" x14ac:dyDescent="0.25">
      <c r="O216" s="16"/>
    </row>
    <row r="217" spans="15:15" x14ac:dyDescent="0.25">
      <c r="O217" s="16"/>
    </row>
    <row r="218" spans="15:15" x14ac:dyDescent="0.25">
      <c r="O218" s="16"/>
    </row>
    <row r="219" spans="15:15" x14ac:dyDescent="0.25">
      <c r="O219" s="16"/>
    </row>
    <row r="220" spans="15:15" x14ac:dyDescent="0.25">
      <c r="O220" s="16"/>
    </row>
    <row r="221" spans="15:15" x14ac:dyDescent="0.25">
      <c r="O221" s="16"/>
    </row>
    <row r="222" spans="15:15" x14ac:dyDescent="0.25">
      <c r="O222" s="16"/>
    </row>
    <row r="223" spans="15:15" x14ac:dyDescent="0.25">
      <c r="O223" s="16"/>
    </row>
    <row r="224" spans="15:15" x14ac:dyDescent="0.25">
      <c r="O224" s="16"/>
    </row>
    <row r="225" spans="15:15" x14ac:dyDescent="0.25">
      <c r="O225" s="16"/>
    </row>
    <row r="226" spans="15:15" x14ac:dyDescent="0.25">
      <c r="O226" s="16"/>
    </row>
    <row r="227" spans="15:15" x14ac:dyDescent="0.25">
      <c r="O227" s="16"/>
    </row>
    <row r="228" spans="15:15" x14ac:dyDescent="0.25">
      <c r="O228" s="16"/>
    </row>
    <row r="229" spans="15:15" x14ac:dyDescent="0.25">
      <c r="O229" s="16"/>
    </row>
    <row r="230" spans="15:15" x14ac:dyDescent="0.25">
      <c r="O230" s="16"/>
    </row>
    <row r="231" spans="15:15" x14ac:dyDescent="0.25">
      <c r="O231" s="16"/>
    </row>
    <row r="232" spans="15:15" x14ac:dyDescent="0.25">
      <c r="O232" s="16"/>
    </row>
    <row r="233" spans="15:15" x14ac:dyDescent="0.25">
      <c r="O233" s="16"/>
    </row>
    <row r="234" spans="15:15" x14ac:dyDescent="0.25">
      <c r="O234" s="16"/>
    </row>
    <row r="235" spans="15:15" x14ac:dyDescent="0.25">
      <c r="O235" s="16"/>
    </row>
    <row r="236" spans="15:15" x14ac:dyDescent="0.25">
      <c r="O236" s="16"/>
    </row>
    <row r="237" spans="15:15" x14ac:dyDescent="0.25">
      <c r="O237" s="16"/>
    </row>
    <row r="238" spans="15:15" x14ac:dyDescent="0.25">
      <c r="O238" s="16"/>
    </row>
    <row r="239" spans="15:15" x14ac:dyDescent="0.25">
      <c r="O239" s="16"/>
    </row>
    <row r="240" spans="15:15" x14ac:dyDescent="0.25">
      <c r="O240" s="16"/>
    </row>
    <row r="241" spans="15:15" x14ac:dyDescent="0.25">
      <c r="O241" s="16"/>
    </row>
    <row r="242" spans="15:15" x14ac:dyDescent="0.25">
      <c r="O242" s="16"/>
    </row>
    <row r="243" spans="15:15" x14ac:dyDescent="0.25">
      <c r="O243" s="16"/>
    </row>
    <row r="244" spans="15:15" x14ac:dyDescent="0.25">
      <c r="O244" s="16"/>
    </row>
    <row r="245" spans="15:15" x14ac:dyDescent="0.25">
      <c r="O245" s="16"/>
    </row>
    <row r="246" spans="15:15" x14ac:dyDescent="0.25">
      <c r="O246" s="16"/>
    </row>
    <row r="247" spans="15:15" x14ac:dyDescent="0.25">
      <c r="O247" s="16"/>
    </row>
    <row r="248" spans="15:15" x14ac:dyDescent="0.25">
      <c r="O248" s="16"/>
    </row>
    <row r="249" spans="15:15" x14ac:dyDescent="0.25">
      <c r="O249" s="16"/>
    </row>
    <row r="250" spans="15:15" x14ac:dyDescent="0.25">
      <c r="O250" s="16"/>
    </row>
    <row r="251" spans="15:15" x14ac:dyDescent="0.25">
      <c r="O251" s="16"/>
    </row>
    <row r="252" spans="15:15" x14ac:dyDescent="0.25">
      <c r="O252" s="16"/>
    </row>
    <row r="253" spans="15:15" x14ac:dyDescent="0.25">
      <c r="O253" s="16"/>
    </row>
    <row r="254" spans="15:15" x14ac:dyDescent="0.25">
      <c r="O254" s="16"/>
    </row>
    <row r="255" spans="15:15" x14ac:dyDescent="0.25">
      <c r="O255" s="16"/>
    </row>
    <row r="256" spans="15:15" x14ac:dyDescent="0.25">
      <c r="O256" s="16"/>
    </row>
    <row r="257" spans="15:15" x14ac:dyDescent="0.25">
      <c r="O257" s="16"/>
    </row>
    <row r="258" spans="15:15" x14ac:dyDescent="0.25">
      <c r="O258" s="16"/>
    </row>
    <row r="259" spans="15:15" x14ac:dyDescent="0.25">
      <c r="O259" s="16"/>
    </row>
    <row r="260" spans="15:15" x14ac:dyDescent="0.25">
      <c r="O260" s="16"/>
    </row>
    <row r="261" spans="15:15" x14ac:dyDescent="0.25">
      <c r="O261" s="16"/>
    </row>
    <row r="262" spans="15:15" x14ac:dyDescent="0.25">
      <c r="O262" s="16"/>
    </row>
    <row r="263" spans="15:15" x14ac:dyDescent="0.25">
      <c r="O263" s="16"/>
    </row>
    <row r="264" spans="15:15" x14ac:dyDescent="0.25">
      <c r="O264" s="16"/>
    </row>
    <row r="265" spans="15:15" x14ac:dyDescent="0.25">
      <c r="O265" s="16"/>
    </row>
    <row r="266" spans="15:15" x14ac:dyDescent="0.25">
      <c r="O266" s="16"/>
    </row>
    <row r="267" spans="15:15" x14ac:dyDescent="0.25">
      <c r="O267" s="16"/>
    </row>
    <row r="268" spans="15:15" x14ac:dyDescent="0.25">
      <c r="O268" s="16"/>
    </row>
    <row r="269" spans="15:15" x14ac:dyDescent="0.25">
      <c r="O269" s="16"/>
    </row>
    <row r="270" spans="15:15" x14ac:dyDescent="0.25">
      <c r="O270" s="16"/>
    </row>
    <row r="271" spans="15:15" x14ac:dyDescent="0.25">
      <c r="O271" s="16"/>
    </row>
    <row r="272" spans="15:15" x14ac:dyDescent="0.25">
      <c r="O272" s="16"/>
    </row>
    <row r="273" spans="15:15" x14ac:dyDescent="0.25">
      <c r="O273" s="16"/>
    </row>
    <row r="274" spans="15:15" x14ac:dyDescent="0.25">
      <c r="O274" s="16"/>
    </row>
    <row r="275" spans="15:15" x14ac:dyDescent="0.25">
      <c r="O275" s="16"/>
    </row>
    <row r="276" spans="15:15" x14ac:dyDescent="0.25">
      <c r="O276" s="16"/>
    </row>
    <row r="277" spans="15:15" x14ac:dyDescent="0.25">
      <c r="O277" s="16"/>
    </row>
    <row r="278" spans="15:15" x14ac:dyDescent="0.25">
      <c r="O278" s="16"/>
    </row>
    <row r="279" spans="15:15" x14ac:dyDescent="0.25">
      <c r="O279" s="16"/>
    </row>
    <row r="280" spans="15:15" x14ac:dyDescent="0.25">
      <c r="O280" s="16"/>
    </row>
    <row r="281" spans="15:15" x14ac:dyDescent="0.25">
      <c r="O281" s="16"/>
    </row>
    <row r="282" spans="15:15" x14ac:dyDescent="0.25">
      <c r="O282" s="16"/>
    </row>
    <row r="283" spans="15:15" x14ac:dyDescent="0.25">
      <c r="O283" s="16"/>
    </row>
    <row r="284" spans="15:15" x14ac:dyDescent="0.25">
      <c r="O284" s="16"/>
    </row>
    <row r="285" spans="15:15" x14ac:dyDescent="0.25">
      <c r="O285" s="16"/>
    </row>
    <row r="286" spans="15:15" x14ac:dyDescent="0.25">
      <c r="O286" s="16"/>
    </row>
    <row r="287" spans="15:15" x14ac:dyDescent="0.25">
      <c r="O287" s="16"/>
    </row>
    <row r="288" spans="15:15" x14ac:dyDescent="0.25">
      <c r="O288" s="16"/>
    </row>
    <row r="289" spans="15:15" x14ac:dyDescent="0.25">
      <c r="O289" s="16"/>
    </row>
    <row r="290" spans="15:15" x14ac:dyDescent="0.25">
      <c r="O290" s="16"/>
    </row>
    <row r="291" spans="15:15" x14ac:dyDescent="0.25">
      <c r="O291" s="16"/>
    </row>
    <row r="292" spans="15:15" x14ac:dyDescent="0.25">
      <c r="O292" s="16"/>
    </row>
    <row r="293" spans="15:15" x14ac:dyDescent="0.25">
      <c r="O293" s="16"/>
    </row>
    <row r="294" spans="15:15" x14ac:dyDescent="0.25">
      <c r="O294" s="16"/>
    </row>
    <row r="295" spans="15:15" x14ac:dyDescent="0.25">
      <c r="O295" s="16"/>
    </row>
    <row r="296" spans="15:15" x14ac:dyDescent="0.25">
      <c r="O296" s="16"/>
    </row>
    <row r="297" spans="15:15" x14ac:dyDescent="0.25">
      <c r="O297" s="16"/>
    </row>
    <row r="298" spans="15:15" x14ac:dyDescent="0.25">
      <c r="O298" s="16"/>
    </row>
    <row r="299" spans="15:15" x14ac:dyDescent="0.25">
      <c r="O299" s="16"/>
    </row>
    <row r="300" spans="15:15" x14ac:dyDescent="0.25">
      <c r="O300" s="16"/>
    </row>
    <row r="301" spans="15:15" x14ac:dyDescent="0.25">
      <c r="O301" s="16"/>
    </row>
    <row r="302" spans="15:15" x14ac:dyDescent="0.25">
      <c r="O302" s="16"/>
    </row>
    <row r="303" spans="15:15" x14ac:dyDescent="0.25">
      <c r="O303" s="16"/>
    </row>
    <row r="304" spans="15:15" x14ac:dyDescent="0.25">
      <c r="O304" s="16"/>
    </row>
    <row r="305" spans="15:15" x14ac:dyDescent="0.25">
      <c r="O305" s="16"/>
    </row>
    <row r="306" spans="15:15" x14ac:dyDescent="0.25">
      <c r="O306" s="16"/>
    </row>
    <row r="307" spans="15:15" x14ac:dyDescent="0.25">
      <c r="O307" s="16"/>
    </row>
    <row r="308" spans="15:15" x14ac:dyDescent="0.25">
      <c r="O308" s="16"/>
    </row>
    <row r="309" spans="15:15" x14ac:dyDescent="0.25">
      <c r="O309" s="16"/>
    </row>
    <row r="310" spans="15:15" x14ac:dyDescent="0.25">
      <c r="O310" s="16"/>
    </row>
  </sheetData>
  <mergeCells count="21">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 ref="A71:B71"/>
    <mergeCell ref="D34:D37"/>
    <mergeCell ref="G34:G37"/>
    <mergeCell ref="D42:H42"/>
    <mergeCell ref="F32:H32"/>
  </mergeCells>
  <phoneticPr fontId="0" type="noConversion"/>
  <conditionalFormatting sqref="D42">
    <cfRule type="expression" dxfId="269" priority="1" stopIfTrue="1">
      <formula>$D$42&lt;&gt;""</formula>
    </cfRule>
  </conditionalFormatting>
  <conditionalFormatting sqref="E18">
    <cfRule type="cellIs" dxfId="268" priority="2" stopIfTrue="1" operator="equal">
      <formula>"""Yes"""</formula>
    </cfRule>
    <cfRule type="expression" dxfId="267" priority="3" stopIfTrue="1">
      <formula>ISERROR(E18)</formula>
    </cfRule>
  </conditionalFormatting>
  <conditionalFormatting sqref="E17">
    <cfRule type="cellIs" dxfId="266" priority="4" stopIfTrue="1" operator="lessThan">
      <formula>1</formula>
    </cfRule>
  </conditionalFormatting>
  <dataValidations count="1">
    <dataValidation type="list" allowBlank="1" showInputMessage="1" showErrorMessage="1" sqref="B14" xr:uid="{00000000-0002-0000-0000-000000000000}">
      <formula1>races</formula1>
    </dataValidation>
  </dataValidations>
  <pageMargins left="0.75" right="0.75" top="1" bottom="1" header="0.5" footer="0.5"/>
  <pageSetup paperSize="9"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88" r:id="rId4" name="Button 16">
              <controlPr defaultSize="0" print="0" autoFill="0" autoPict="0" macro="[0]!Cleansheet.Cleansheet">
                <anchor moveWithCells="1" sizeWithCells="1">
                  <from>
                    <xdr:col>5</xdr:col>
                    <xdr:colOff>228600</xdr:colOff>
                    <xdr:row>14</xdr:row>
                    <xdr:rowOff>137160</xdr:rowOff>
                  </from>
                  <to>
                    <xdr:col>6</xdr:col>
                    <xdr:colOff>419100</xdr:colOff>
                    <xdr:row>16</xdr:row>
                    <xdr:rowOff>99060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T1269"/>
  <sheetViews>
    <sheetView zoomScale="85" workbookViewId="0">
      <pane ySplit="2" topLeftCell="A3" activePane="bottomLeft" state="frozenSplit"/>
      <selection activeCell="A3" sqref="A3"/>
      <selection pane="bottomLeft" activeCell="A3" sqref="A3"/>
    </sheetView>
  </sheetViews>
  <sheetFormatPr defaultRowHeight="13.2" x14ac:dyDescent="0.25"/>
  <cols>
    <col min="1" max="1" width="5.109375" style="323" bestFit="1" customWidth="1"/>
    <col min="2" max="2" width="3.88671875" bestFit="1" customWidth="1"/>
    <col min="3" max="3" width="11.33203125" bestFit="1" customWidth="1"/>
    <col min="4" max="5" width="7.6640625" bestFit="1" customWidth="1"/>
    <col min="6" max="6" width="6.6640625" bestFit="1" customWidth="1"/>
    <col min="7" max="7" width="2.109375" bestFit="1" customWidth="1"/>
    <col min="8" max="8" width="7.6640625" bestFit="1" customWidth="1"/>
    <col min="9" max="9" width="9.33203125" customWidth="1"/>
    <col min="10" max="10" width="9.6640625" customWidth="1"/>
    <col min="11" max="11" width="4.5546875" style="320" customWidth="1"/>
    <col min="12" max="12" width="5.6640625" customWidth="1"/>
    <col min="13" max="13" width="5.5546875" customWidth="1"/>
    <col min="14" max="14" width="5.109375" style="16" customWidth="1"/>
    <col min="15" max="15" width="9" customWidth="1"/>
    <col min="16" max="16" width="7.44140625" customWidth="1"/>
    <col min="17" max="17" width="7.6640625" customWidth="1"/>
    <col min="18" max="18" width="9" customWidth="1"/>
    <col min="19" max="19" width="7.44140625" customWidth="1"/>
    <col min="20" max="20" width="13.5546875" customWidth="1"/>
    <col min="21" max="21" width="9" customWidth="1"/>
    <col min="22" max="22" width="7.44140625" customWidth="1"/>
    <col min="23" max="23" width="10.44140625" customWidth="1"/>
    <col min="24" max="24" width="2.44140625" customWidth="1"/>
    <col min="25" max="25" width="9.44140625" bestFit="1" customWidth="1"/>
    <col min="26" max="26" width="7" customWidth="1"/>
    <col min="27" max="27" width="7.5546875" bestFit="1" customWidth="1"/>
    <col min="28" max="29" width="7.44140625" bestFit="1" customWidth="1"/>
    <col min="30" max="32" width="8" bestFit="1" customWidth="1"/>
    <col min="33" max="33" width="2.109375" bestFit="1" customWidth="1"/>
    <col min="34" max="35" width="7.6640625" bestFit="1" customWidth="1"/>
    <col min="36" max="36" width="7.5546875" bestFit="1" customWidth="1"/>
    <col min="37" max="37" width="6.88671875" bestFit="1" customWidth="1"/>
    <col min="38" max="38" width="5.6640625" bestFit="1" customWidth="1"/>
    <col min="39" max="40" width="8" bestFit="1" customWidth="1"/>
    <col min="41" max="41" width="8" customWidth="1"/>
    <col min="42" max="42" width="3.33203125" customWidth="1"/>
    <col min="43" max="43" width="8.33203125" bestFit="1" customWidth="1"/>
    <col min="44" max="44" width="7.109375" customWidth="1"/>
    <col min="45" max="45" width="5" bestFit="1" customWidth="1"/>
    <col min="46" max="46" width="6" bestFit="1" customWidth="1"/>
    <col min="47" max="47" width="2.109375" bestFit="1" customWidth="1"/>
    <col min="48" max="48" width="8.33203125" bestFit="1" customWidth="1"/>
    <col min="49" max="49" width="7.44140625" bestFit="1" customWidth="1"/>
    <col min="50" max="50" width="4.109375" bestFit="1" customWidth="1"/>
    <col min="51" max="51" width="6" bestFit="1" customWidth="1"/>
    <col min="52" max="52" width="2.109375" bestFit="1" customWidth="1"/>
    <col min="53" max="53" width="8.33203125" bestFit="1" customWidth="1"/>
    <col min="54" max="54" width="7.109375" bestFit="1" customWidth="1"/>
    <col min="55" max="55" width="4.109375" bestFit="1" customWidth="1"/>
    <col min="56" max="56" width="6" bestFit="1" customWidth="1"/>
    <col min="57" max="57" width="2.109375" bestFit="1" customWidth="1"/>
    <col min="58" max="58" width="8.33203125" bestFit="1" customWidth="1"/>
    <col min="59" max="59" width="7.109375" bestFit="1" customWidth="1"/>
    <col min="60" max="60" width="4.109375" bestFit="1" customWidth="1"/>
    <col min="61" max="61" width="6" bestFit="1" customWidth="1"/>
    <col min="62" max="62" width="2.109375" bestFit="1" customWidth="1"/>
    <col min="63" max="63" width="8.33203125" bestFit="1" customWidth="1"/>
    <col min="64" max="64" width="7.109375" bestFit="1" customWidth="1"/>
    <col min="65" max="65" width="4.109375" bestFit="1" customWidth="1"/>
    <col min="66" max="66" width="6" bestFit="1" customWidth="1"/>
    <col min="67" max="67" width="2.109375" bestFit="1" customWidth="1"/>
    <col min="68" max="68" width="8.33203125" bestFit="1" customWidth="1"/>
    <col min="69" max="69" width="7.109375" bestFit="1" customWidth="1"/>
    <col min="70" max="70" width="4.109375" bestFit="1" customWidth="1"/>
    <col min="71" max="71" width="6" bestFit="1" customWidth="1"/>
    <col min="72" max="72" width="2.109375" bestFit="1" customWidth="1"/>
    <col min="73" max="73" width="8.33203125" bestFit="1" customWidth="1"/>
    <col min="74" max="74" width="7.109375" bestFit="1" customWidth="1"/>
    <col min="75" max="75" width="4.109375" bestFit="1" customWidth="1"/>
    <col min="76" max="76" width="6" bestFit="1" customWidth="1"/>
    <col min="77" max="77" width="2.109375" bestFit="1" customWidth="1"/>
    <col min="78" max="78" width="8.33203125" bestFit="1" customWidth="1"/>
    <col min="79" max="79" width="7.109375" bestFit="1" customWidth="1"/>
    <col min="80" max="80" width="4.109375" bestFit="1" customWidth="1"/>
    <col min="81" max="81" width="6" bestFit="1" customWidth="1"/>
    <col min="82" max="82" width="2.109375" bestFit="1" customWidth="1"/>
    <col min="83" max="83" width="8.33203125" bestFit="1" customWidth="1"/>
    <col min="84" max="84" width="7.109375" bestFit="1" customWidth="1"/>
    <col min="85" max="85" width="5.5546875" bestFit="1" customWidth="1"/>
    <col min="86" max="86" width="6" bestFit="1" customWidth="1"/>
    <col min="87" max="87" width="2.109375" bestFit="1" customWidth="1"/>
    <col min="88" max="88" width="8.6640625" bestFit="1" customWidth="1"/>
    <col min="89" max="89" width="5.5546875" bestFit="1" customWidth="1"/>
    <col min="90" max="90" width="5.88671875" bestFit="1" customWidth="1"/>
    <col min="91" max="91" width="5.6640625" bestFit="1" customWidth="1"/>
    <col min="92" max="92" width="9.88671875" bestFit="1" customWidth="1"/>
    <col min="93" max="93" width="10.6640625" customWidth="1"/>
    <col min="94" max="94" width="11" customWidth="1"/>
    <col min="95" max="95" width="10" customWidth="1"/>
    <col min="96" max="96" width="10.88671875" bestFit="1" customWidth="1"/>
  </cols>
  <sheetData>
    <row r="1" spans="1:98" s="34" customFormat="1" x14ac:dyDescent="0.25">
      <c r="A1" s="321"/>
      <c r="C1" s="1465" t="s">
        <v>80</v>
      </c>
      <c r="D1" s="1465"/>
      <c r="E1" s="1465"/>
      <c r="F1" s="1465"/>
      <c r="H1" s="34" t="s">
        <v>293</v>
      </c>
      <c r="K1" s="445"/>
      <c r="N1" s="495"/>
      <c r="O1" s="34" t="s">
        <v>227</v>
      </c>
      <c r="Y1" s="34" t="s">
        <v>37</v>
      </c>
      <c r="AH1" s="1468" t="s">
        <v>222</v>
      </c>
      <c r="AI1" s="1468"/>
      <c r="AQ1" s="1468" t="s">
        <v>229</v>
      </c>
      <c r="AR1" s="1468"/>
      <c r="AV1" s="1468" t="s">
        <v>230</v>
      </c>
      <c r="AW1" s="1468"/>
      <c r="AX1" s="1415"/>
      <c r="BA1" s="1468" t="s">
        <v>231</v>
      </c>
      <c r="BB1" s="1468"/>
      <c r="BC1" s="1468"/>
      <c r="BF1" s="1468" t="s">
        <v>232</v>
      </c>
      <c r="BG1" s="1468"/>
      <c r="BH1" s="1468"/>
      <c r="BI1" s="1468"/>
      <c r="BK1" s="1468" t="s">
        <v>233</v>
      </c>
      <c r="BL1" s="1468"/>
      <c r="BM1" s="1468"/>
      <c r="BP1" s="1468" t="s">
        <v>234</v>
      </c>
      <c r="BQ1" s="1415"/>
      <c r="BR1" s="1415"/>
      <c r="BU1" s="1468" t="s">
        <v>768</v>
      </c>
      <c r="BV1" s="1468"/>
      <c r="BW1" s="1468"/>
      <c r="BZ1" s="1468" t="s">
        <v>765</v>
      </c>
      <c r="CA1" s="1468"/>
      <c r="CB1" s="1468"/>
      <c r="CE1" s="1468" t="s">
        <v>769</v>
      </c>
      <c r="CF1" s="1468"/>
      <c r="CG1" s="1468"/>
      <c r="CJ1" s="34" t="s">
        <v>322</v>
      </c>
    </row>
    <row r="2" spans="1:98" s="820" customFormat="1" ht="13.8" thickBot="1" x14ac:dyDescent="0.3">
      <c r="A2" s="814" t="s">
        <v>1</v>
      </c>
      <c r="C2" s="820" t="s">
        <v>2</v>
      </c>
      <c r="D2" s="820" t="s">
        <v>7</v>
      </c>
      <c r="E2" s="820" t="s">
        <v>3</v>
      </c>
      <c r="F2" s="820" t="s">
        <v>4</v>
      </c>
      <c r="H2" s="820" t="s">
        <v>285</v>
      </c>
      <c r="I2" s="820" t="s">
        <v>235</v>
      </c>
      <c r="J2" s="820" t="s">
        <v>23</v>
      </c>
      <c r="K2" s="820" t="s">
        <v>0</v>
      </c>
      <c r="L2" s="820" t="s">
        <v>325</v>
      </c>
      <c r="M2" s="820" t="s">
        <v>321</v>
      </c>
      <c r="N2" s="820" t="s">
        <v>1</v>
      </c>
      <c r="O2" s="820" t="s">
        <v>328</v>
      </c>
      <c r="P2" s="820" t="s">
        <v>228</v>
      </c>
      <c r="Q2" s="820" t="s">
        <v>329</v>
      </c>
      <c r="R2" s="820" t="s">
        <v>328</v>
      </c>
      <c r="S2" s="820" t="s">
        <v>228</v>
      </c>
      <c r="T2" s="820" t="s">
        <v>329</v>
      </c>
      <c r="U2" s="820" t="s">
        <v>328</v>
      </c>
      <c r="V2" s="820" t="s">
        <v>228</v>
      </c>
      <c r="W2" s="820" t="s">
        <v>329</v>
      </c>
      <c r="Y2" s="820" t="s">
        <v>221</v>
      </c>
      <c r="Z2" s="820" t="s">
        <v>223</v>
      </c>
      <c r="AA2" s="820" t="s">
        <v>224</v>
      </c>
      <c r="AB2" s="820" t="s">
        <v>225</v>
      </c>
      <c r="AC2" s="820" t="s">
        <v>226</v>
      </c>
      <c r="AD2" s="820" t="s">
        <v>767</v>
      </c>
      <c r="AE2" s="1399" t="s">
        <v>764</v>
      </c>
      <c r="AF2" s="1346" t="s">
        <v>766</v>
      </c>
      <c r="AH2" s="820" t="s">
        <v>221</v>
      </c>
      <c r="AI2" s="820" t="s">
        <v>223</v>
      </c>
      <c r="AJ2" s="820" t="s">
        <v>224</v>
      </c>
      <c r="AK2" s="820" t="s">
        <v>225</v>
      </c>
      <c r="AL2" s="820" t="s">
        <v>226</v>
      </c>
      <c r="AM2" s="820" t="s">
        <v>767</v>
      </c>
      <c r="AN2" s="1399" t="s">
        <v>764</v>
      </c>
      <c r="AO2" s="1346" t="s">
        <v>766</v>
      </c>
      <c r="AQ2" s="820" t="s">
        <v>2</v>
      </c>
      <c r="AR2" s="820" t="s">
        <v>7</v>
      </c>
      <c r="AS2" s="820" t="s">
        <v>3</v>
      </c>
      <c r="AT2" s="820" t="s">
        <v>4</v>
      </c>
      <c r="AV2" s="820" t="s">
        <v>2</v>
      </c>
      <c r="AW2" s="820" t="s">
        <v>7</v>
      </c>
      <c r="AX2" s="820" t="s">
        <v>3</v>
      </c>
      <c r="AY2" s="820" t="s">
        <v>4</v>
      </c>
      <c r="BA2" s="820" t="s">
        <v>2</v>
      </c>
      <c r="BB2" s="820" t="s">
        <v>7</v>
      </c>
      <c r="BC2" s="820" t="s">
        <v>3</v>
      </c>
      <c r="BD2" s="820" t="s">
        <v>4</v>
      </c>
      <c r="BF2" s="820" t="s">
        <v>2</v>
      </c>
      <c r="BG2" s="820" t="s">
        <v>7</v>
      </c>
      <c r="BH2" s="820" t="s">
        <v>3</v>
      </c>
      <c r="BI2" s="820" t="s">
        <v>4</v>
      </c>
      <c r="BK2" s="820" t="s">
        <v>2</v>
      </c>
      <c r="BL2" s="820" t="s">
        <v>7</v>
      </c>
      <c r="BM2" s="820" t="s">
        <v>3</v>
      </c>
      <c r="BN2" s="820" t="s">
        <v>4</v>
      </c>
      <c r="BP2" s="820" t="s">
        <v>2</v>
      </c>
      <c r="BQ2" s="820" t="s">
        <v>7</v>
      </c>
      <c r="BR2" s="820" t="s">
        <v>3</v>
      </c>
      <c r="BS2" s="820" t="s">
        <v>4</v>
      </c>
      <c r="BU2" s="820" t="s">
        <v>2</v>
      </c>
      <c r="BV2" s="820" t="s">
        <v>7</v>
      </c>
      <c r="BW2" s="820" t="s">
        <v>3</v>
      </c>
      <c r="BX2" s="820" t="s">
        <v>4</v>
      </c>
      <c r="BZ2" s="1399" t="s">
        <v>2</v>
      </c>
      <c r="CA2" s="1399" t="s">
        <v>7</v>
      </c>
      <c r="CB2" s="1399" t="s">
        <v>3</v>
      </c>
      <c r="CC2" s="1399" t="s">
        <v>4</v>
      </c>
      <c r="CD2" s="1399"/>
      <c r="CE2" s="1399" t="s">
        <v>2</v>
      </c>
      <c r="CF2" s="1399" t="s">
        <v>7</v>
      </c>
      <c r="CG2" s="1399" t="s">
        <v>3</v>
      </c>
      <c r="CH2" s="1399" t="s">
        <v>4</v>
      </c>
      <c r="CI2" s="1399"/>
      <c r="CJ2" s="1168" t="s">
        <v>323</v>
      </c>
      <c r="CK2" s="820" t="s">
        <v>321</v>
      </c>
      <c r="CM2" s="820" t="s">
        <v>325</v>
      </c>
      <c r="CN2" s="820" t="s">
        <v>324</v>
      </c>
    </row>
    <row r="3" spans="1:98" s="1006" customFormat="1" x14ac:dyDescent="0.25">
      <c r="A3" s="1160">
        <f>Construction!E3</f>
        <v>1000</v>
      </c>
      <c r="C3" s="1063">
        <f ca="1">Production!H3</f>
        <v>4350000</v>
      </c>
      <c r="D3" s="1074">
        <f ca="1">Production!J3</f>
        <v>355000</v>
      </c>
      <c r="E3" s="1074">
        <f ca="1">Production!L3</f>
        <v>300000</v>
      </c>
      <c r="F3" s="236">
        <f ca="1">Production!M3</f>
        <v>20000</v>
      </c>
      <c r="G3" s="1074"/>
      <c r="H3" s="1063">
        <f ca="1">Military!Z3</f>
        <v>4725</v>
      </c>
      <c r="I3" s="543">
        <f ca="1">Population!I3</f>
        <v>0.32653061224489793</v>
      </c>
      <c r="J3" s="542">
        <f ca="1">Population!F3/Population!U3</f>
        <v>2.2058823529411766</v>
      </c>
      <c r="K3" s="1004">
        <f>Rezone!J3</f>
        <v>1</v>
      </c>
      <c r="L3" s="585">
        <f>CM3</f>
        <v>43768</v>
      </c>
      <c r="M3" s="1161">
        <f t="shared" ref="M3:M14" si="0">IF(ISERROR(CJ3),0,CJ3*1)</f>
        <v>0</v>
      </c>
      <c r="N3" s="1162">
        <f t="shared" ref="N3:N14" si="1">A3</f>
        <v>1000</v>
      </c>
      <c r="O3" s="1510" t="s">
        <v>4</v>
      </c>
      <c r="P3" s="426"/>
      <c r="Q3" s="1513" t="s">
        <v>223</v>
      </c>
      <c r="R3" s="1163" t="s">
        <v>7</v>
      </c>
      <c r="S3" s="426"/>
      <c r="T3" s="1512" t="s">
        <v>223</v>
      </c>
      <c r="U3" s="1163" t="s">
        <v>3</v>
      </c>
      <c r="V3" s="426"/>
      <c r="W3" s="1512" t="s">
        <v>223</v>
      </c>
      <c r="Y3" s="1082">
        <f ca="1">science_cap*(1-EXP(-AH3/(science_param*($A4-Explore!$S4*20)+15000)))*(1+(mason_bonus*Construction!BB3/Construction!BS3))+IF(Overview!$B$14="Beastfolk",Construction!DA3/Construction!E3,0)*(1 + Production!O3/100*prestige_pop_multiplier)</f>
        <v>0</v>
      </c>
      <c r="Z3" s="1084">
        <f ca="1">keep_cap*(1-EXP(-AI3/(keep_param*($A4-Explore!$S4*20)+15000)))*(1+(mason_bonus*Construction!BB3/Construction!BS3))+IF(Overview!$B$14="Beastfolk",Construction!DF3/Construction!E3,0)*(1 + Production!O3/100*prestige_pop_multiplier)</f>
        <v>0</v>
      </c>
      <c r="AA3" s="1067">
        <f ca="1">harbor_towers_cap*(1-EXP(-AJ3/(harbor_towers_param*($A4-Explore!$S4*20)+15000)))*(1+(mason_bonus*Construction!BB3/Construction!BS3))+IF(Overview!$B$14="Beastfolk",2*Construction!DC3/Construction!E3,0)*(1 + Production!O3/100*prestige_pop_multiplier)</f>
        <v>0</v>
      </c>
      <c r="AB3" s="1067">
        <f ca="1">walls_forges_cap*(1-EXP(-AK3/(walls_forges_param*($A4-Explore!$S4*20)+15000)))*(1+(mason_bonus*Construction!BB3/Construction!BS3))+IF(Overview!$B$14="Beastfolk",0.2*Construction!CY3/Construction!E3,0)</f>
        <v>0</v>
      </c>
      <c r="AC3" s="1067">
        <f ca="1">walls_forges_cap*(1-EXP(-AL3/(walls_forges_param*($A4-Explore!$S4*20)+15000)))*(1+(mason_bonus*Construction!BB3/Construction!BS3))+IF(Overview!$B$14="Beastfolk",5*Construction!DB3/Construction!E3,0)</f>
        <v>0</v>
      </c>
      <c r="AD3" s="1064">
        <f ca="1">harbor_towers_cap*(1-EXP(-AM3/(harbor_towers_param*($A4-Explore!$S4*20)+15000)))*(1+(mason_bonus*Construction!BB3/Construction!BS3))+IF(Overview!$B$14="Beastfolk",Construction!DE3/Construction!E3)*(1 + Production!O3/100*prestige_pop_multiplier)</f>
        <v>0</v>
      </c>
      <c r="AE3" s="1064">
        <f ca="1">armory_cap*(1-EXP(-AN3/(armory_param*($A4-Explore!$S4*20)+15000)))*(1+(mason_bonus*Construction!$BB3/Construction!$BS3))</f>
        <v>0</v>
      </c>
      <c r="AF3" s="1064">
        <f ca="1">infirmary_cap*(1-EXP(-AO3/(infirmary_param*($A4-Explore!$S4*20)+15000)))*(1+(mason_bonus*Construction!$BB3/Construction!$BS3))</f>
        <v>0</v>
      </c>
      <c r="AH3" s="1063">
        <f ca="1">(1+Overview!$O$28+IF(Magic!BA3&gt;0,0.1,0))*SUM(AV3:AY3)</f>
        <v>0</v>
      </c>
      <c r="AI3" s="1074">
        <f ca="1">(1+Overview!$O$28+IF(Magic!BA3&gt;0,0.1,0))*SUM(BA3:BD3)</f>
        <v>0</v>
      </c>
      <c r="AJ3" s="1074">
        <f ca="1">(1+Overview!$O$28+IF(Magic!BA3&gt;0,0.1,0))*SUM(BF3:BI3)</f>
        <v>0</v>
      </c>
      <c r="AK3" s="1074">
        <f ca="1">(1+Overview!$O$28+IF(Magic!BA3&gt;0,0.1,0))*SUM(BK3:BN3)</f>
        <v>0</v>
      </c>
      <c r="AL3" s="1074">
        <f ca="1">(1+Overview!$O$28+IF(Magic!BA3&gt;0,0.1,0))*SUM(BP3:BS3)</f>
        <v>0</v>
      </c>
      <c r="AM3" s="236">
        <f ca="1">(1+Overview!$O$28+IF(Magic!BA3&gt;0,0.1,0))*SUM(BU3:BX3)</f>
        <v>0</v>
      </c>
      <c r="AN3" s="236">
        <f ca="1">(1+Overview!$O$28+IF(Magic!BA3&gt;0,0.1,0))*SUM(BZ3:CC3)</f>
        <v>0</v>
      </c>
      <c r="AO3" s="1074">
        <f ca="1">(1+Overview!$O$28+IF(Magic!BA3&gt;0,0.1,0))*SUM(CE3:CH3)</f>
        <v>0</v>
      </c>
      <c r="AQ3" s="536">
        <f t="shared" ref="AQ3:AT14" si="2">IF(AND($O3=AQ$2,$Q3&lt;&gt;""),$P3) + IF(AND($R3=AQ$2,$T3&lt;&gt;""),$S3) + IF(AND($U3=AQ$2,$W3&lt;&gt;""),$V3)</f>
        <v>0</v>
      </c>
      <c r="AR3" s="1006">
        <f t="shared" si="2"/>
        <v>0</v>
      </c>
      <c r="AS3" s="1006">
        <f t="shared" si="2"/>
        <v>0</v>
      </c>
      <c r="AT3" s="1065">
        <f t="shared" si="2"/>
        <v>0</v>
      </c>
      <c r="AV3" s="1063">
        <f>IF($O3=AV$2,IF($Q3=$Y$2,$P3)) + IF($R3=AV$2,IF($T3=$Y$2,$S3)) + IF($U3=AV$2,IF($W3=$Y$2,$V3))</f>
        <v>0</v>
      </c>
      <c r="AW3" s="1074">
        <f t="shared" ref="AW3:AX14" si="3">IF($O3=AW$2,IF($Q3=$Y$2,2*$P3)) + IF($R3=AW$2,IF($T3=$Y$2,2*$S3)) + IF($U3=AW$2,IF($W3=$Y$2,2*$V3))</f>
        <v>0</v>
      </c>
      <c r="AX3" s="1074">
        <f t="shared" si="3"/>
        <v>0</v>
      </c>
      <c r="AY3" s="236">
        <f t="shared" ref="AY3:AY14" si="4">IF($O3=AY$2,IF($Q3=$Y$2,12*$P3)) + IF($R3=AY$2,IF($T3=$Y$2,12*$S3)) + IF($U3=AY$2,IF($W3=$Y$2,12*$V3))</f>
        <v>0</v>
      </c>
      <c r="BA3" s="1063">
        <f t="shared" ref="BA3:BA14" si="5">IF($O3=BA$2,IF($Q3=$Z$2,$P3)) + IF($R3=BA$2,IF($T3=$Z$2,$S3)) + IF($U3=BA$2,IF($W3=$Z$2,$V3))</f>
        <v>0</v>
      </c>
      <c r="BB3" s="1074">
        <f t="shared" ref="BB3:BC14" si="6">IF($O3=BB$2,IF($Q3=$Z$2,2*$P3)) + IF($R3=BB$2,IF($T3=$Z$2,2*$S3)) + IF($U3=BB$2,IF($W3=$Z$2,2*$V3))</f>
        <v>0</v>
      </c>
      <c r="BC3" s="1074">
        <f t="shared" si="6"/>
        <v>0</v>
      </c>
      <c r="BD3" s="236">
        <f t="shared" ref="BD3:BD14" si="7">IF($O3=BD$2,IF($Q3=$Z$2,12*$P3)) + IF($R3=BD$2,IF($T3=$Z$2,12*$S3)) + IF($U3=BD$2,IF($W3=$Z$2,12*$V3))</f>
        <v>0</v>
      </c>
      <c r="BF3" s="1063">
        <f t="shared" ref="BF3:BF14" si="8">IF($O3=BF$2,IF($Q3=$AA$2,$P3)) + IF($R3=BF$2,IF($T3=$AA$2,$S3)) + IF($U3=BF$2,IF($W3=$AA$2,$V3))</f>
        <v>0</v>
      </c>
      <c r="BG3" s="1074">
        <f t="shared" ref="BG3:BG14" si="9">IF($O3=BG$2,IF($Q3=$AA$2,2*$P3)) + IF($R3=BG$2,IF($T3=$AA$2,2*$S3)) + IF($U3=BG$2,IF($W3=$AA$2,2*$V3))</f>
        <v>0</v>
      </c>
      <c r="BH3" s="1074">
        <f t="shared" ref="BH3:BH14" si="10">IF($O3=BJ$2,IF($Q3=$AA$2,2*$P3)) + IF($R3=BJ$2,IF($T3=$AA$2,2*$S3)) + IF($U3=BJ$2,IF($W3=$AA$2,2*$V3))</f>
        <v>0</v>
      </c>
      <c r="BI3" s="236">
        <f t="shared" ref="BI3:BI14" si="11">IF($O3=BI$2,IF($Q3=$AA$2,12*$P3)) + IF($R3=BI$2,IF($T3=$AA$2,12*$S3)) + IF($U3=BI$2,IF($W3=$AA$2,12*$V3))</f>
        <v>0</v>
      </c>
      <c r="BK3" s="1063">
        <f t="shared" ref="BK3:BK14" si="12">IF($O3=BK$2,IF($Q3=$AB$2,$P3)) + IF($R3=BK$2,IF($T3=$AB$2,$S3)) + IF($U3=BK$2,IF($W3=$AB$2,$V3))</f>
        <v>0</v>
      </c>
      <c r="BL3" s="1074">
        <f t="shared" ref="BL3:BM14" si="13">IF($O3=BL$2,IF($Q3=$AB$2,2*$P3)) + IF($R3=BL$2,IF($T3=$AB$2,2*$S3)) + IF($U3=BL$2,IF($W3=$AB$2,2*$V3))</f>
        <v>0</v>
      </c>
      <c r="BM3" s="1074">
        <f t="shared" si="13"/>
        <v>0</v>
      </c>
      <c r="BN3" s="236">
        <f t="shared" ref="BN3:BN14" si="14">IF($O3=BN$2,IF($Q3=$AB$2,12*$P3)) + IF($R3=BN$2,IF($T3=$AB$2,12*$S3)) + IF($U3=BN$2,IF($W3=$AB$2,12*$V3))</f>
        <v>0</v>
      </c>
      <c r="BP3" s="1063">
        <f t="shared" ref="BP3:BP14" si="15">IF($O3=BP$2,IF($Q3=$AC$2,$P3)) + IF($R3=BP$2,IF($T3=$AC$2,$S3)) + IF($U3=BP$2,IF($W3=$AC$2,$V3))</f>
        <v>0</v>
      </c>
      <c r="BQ3" s="1074">
        <f t="shared" ref="BQ3:BR14" si="16">IF($O3=BQ$2,IF($Q3=$AC$2,2*$P3)) + IF($R3=BQ$2,IF($T3=$AC$2,2*$S3)) + IF($U3=BQ$2,IF($W3=$AC$2,2*$V3))</f>
        <v>0</v>
      </c>
      <c r="BR3" s="1074">
        <f t="shared" si="16"/>
        <v>0</v>
      </c>
      <c r="BS3" s="236">
        <f t="shared" ref="BS3:BS14" si="17">IF($O3=BS$2,IF($Q3=$AC$2,12*$P3)) + IF($R3=BS$2,IF($T3=$AC$2,12*$S3)) + IF($U3=BS$2,IF($W3=$AC$2,12*$V3))</f>
        <v>0</v>
      </c>
      <c r="BU3" s="1063">
        <f>IF($O3=BU$2,IF($Q3=$AD$2,$P3)) + IF($R3=BU$2,IF($T3=$AD$2,$S3)) + IF($U3=BU$2,IF($W3=$AD$2,$V3))</f>
        <v>0</v>
      </c>
      <c r="BV3" s="1074">
        <f>IF($O3=BV$2,IF($Q3=$AD$2,2*$P3)) + IF($R3=BV$2,IF($T3=$AD$2,2*$S3)) + IF($U3=BV$2,IF($W3=$AD$2,2*$V3))</f>
        <v>0</v>
      </c>
      <c r="BW3" s="1074">
        <f>IF($O3=BW$2,IF($Q3=$AD$2,2*$P3)) + IF($R3=BW$2,IF($T3=$AD$2,2*$S3)) + IF($U3=BW$2,IF($W3=$AD$2,2*$V3))</f>
        <v>0</v>
      </c>
      <c r="BX3" s="236">
        <f>IF($O3=BX$2,IF($Q3=$AD$2,12*$P3)) + IF($R3=BX$2,IF($T3=$AD$2,12*$S3)) + IF($U3=BX$2,IF($W3=$AD$2,12*$V3))</f>
        <v>0</v>
      </c>
      <c r="BZ3" s="1063">
        <f>IF($O3=BZ$2,IF($Q3=Armory,$P3)) + IF($R3=BZ$2,IF($T3=Armory,$S3)) + IF($U3=BZ$2,IF($W3=Armory,$V3))</f>
        <v>0</v>
      </c>
      <c r="CA3" s="1074">
        <f>IF($O3=CA$2,IF($Q3=Armory,2*$P3)) + IF($R3=CA$2,IF($T3=Armory,2*$S3)) + IF($U3=CA$2,IF($W3=Armory,2*$V3))</f>
        <v>0</v>
      </c>
      <c r="CB3" s="1074">
        <f>IF($O3=CB$2,IF($Q3=Armory,2*$P3)) + IF($R3=CB$2,IF($T3=Armory,2*$S3)) + IF($U3=CB$2,IF($W3=Armory,2*$V3))</f>
        <v>0</v>
      </c>
      <c r="CC3" s="236">
        <f>IF($O3=CC$2,IF($Q3=Armory,12*$P3)) + IF($R3=CC$2,IF($T3=Armory,12*$S3)) + IF($U3=CC$2,IF($W3=Armory,12*$V3))</f>
        <v>0</v>
      </c>
      <c r="CE3" s="1063">
        <f>IF($O3=CE$2,IF($Q3=Infirmary,$P3)) + IF($R3=CE$2,IF($T3=Infirmary,$S3)) + IF($U3=CE$2,IF($W3=Infirmary,$V3))</f>
        <v>0</v>
      </c>
      <c r="CF3" s="1074">
        <f>IF($O3=CF$2,IF($Q3=Infirmary,2*$P3)) + IF($R3=CF$2,IF($T3=Infirmary,2*$S3)) + IF($U3=CF$2,IF($W3=Infirmary,2*$V3))</f>
        <v>0</v>
      </c>
      <c r="CG3" s="1074">
        <f>IF($O3=CG$2,IF($Q3=Infirmary,2*$P3)) + IF($R3=CG$2,IF($T3=Infirmary,2*$S3)) + IF($U3=CG$2,IF($W3=Infirmary,2*$V3))</f>
        <v>0</v>
      </c>
      <c r="CH3" s="236">
        <f>IF($O3=CH$2,IF($Q3=Infirmary,12*$P3)) + IF($R3=CH$2,IF($T3=Infirmary,12*$S3)) + IF($U3=CH$2,IF($W3=Infirmary,12*$V3))</f>
        <v>0</v>
      </c>
      <c r="CJ3" s="536" t="e">
        <f>OR(Production!C3,Construction!N3:'Construction'!AF3,Construction!BV3:CN3,Explore!S3:Z3,Military!AF3:AL3,Military!X3,Military!BE3:BL3,Rezone!L3:R3,Magic!G3:Q3)</f>
        <v>#VALUE!</v>
      </c>
      <c r="CK3" s="1146">
        <f>M3</f>
        <v>0</v>
      </c>
      <c r="CL3" s="1146"/>
      <c r="CM3" s="1164">
        <f>Overview!E15</f>
        <v>43768</v>
      </c>
      <c r="CN3" s="1165">
        <f>CM3-(5+Overview!B16)/24</f>
        <v>43767.833333333336</v>
      </c>
      <c r="CO3" s="1062"/>
      <c r="CP3" s="1166"/>
      <c r="CQ3" s="1167"/>
    </row>
    <row r="4" spans="1:98" s="191" customFormat="1" x14ac:dyDescent="0.25">
      <c r="A4" s="509">
        <f>Construction!E4</f>
        <v>1000</v>
      </c>
      <c r="B4" s="170"/>
      <c r="C4" s="172">
        <f ca="1">Production!H4</f>
        <v>4359720</v>
      </c>
      <c r="D4" s="168">
        <f ca="1">Production!J4</f>
        <v>353950</v>
      </c>
      <c r="E4" s="168">
        <f ca="1">Production!L4</f>
        <v>300000</v>
      </c>
      <c r="F4" s="166">
        <f ca="1">Production!M4</f>
        <v>20000</v>
      </c>
      <c r="G4" s="164"/>
      <c r="H4" s="172">
        <f ca="1">Military!Z4</f>
        <v>4835</v>
      </c>
      <c r="I4" s="538">
        <f ca="1">Population!I4</f>
        <v>0.34736461223012904</v>
      </c>
      <c r="J4" s="165">
        <f ca="1">Population!F4/Population!U4</f>
        <v>2.1286764705882355</v>
      </c>
      <c r="K4" s="1000">
        <f>Rezone!J4</f>
        <v>2</v>
      </c>
      <c r="L4" s="582">
        <f>L3+1/24/4</f>
        <v>43768.010416666664</v>
      </c>
      <c r="M4" s="645">
        <f t="shared" si="0"/>
        <v>0</v>
      </c>
      <c r="N4" s="528">
        <f t="shared" si="1"/>
        <v>1000</v>
      </c>
      <c r="O4" s="406" t="s">
        <v>4</v>
      </c>
      <c r="P4" s="370"/>
      <c r="Q4" s="408" t="s">
        <v>223</v>
      </c>
      <c r="R4" s="406" t="s">
        <v>7</v>
      </c>
      <c r="S4" s="370"/>
      <c r="T4" s="1511" t="s">
        <v>223</v>
      </c>
      <c r="U4" s="413" t="s">
        <v>3</v>
      </c>
      <c r="V4" s="414"/>
      <c r="W4" s="415" t="s">
        <v>223</v>
      </c>
      <c r="X4" s="170"/>
      <c r="Y4" s="501">
        <f ca="1">science_cap*(1-EXP(-AH4/(science_param*($A5-Explore!$S5*20)+15000)))*(1+(mason_bonus*Construction!BB4/Construction!BS4))+IF(Overview!$B$14="Beastfolk",Construction!DA4/Construction!E4,0)*(1 + Production!O4/100*prestige_pop_multiplier)</f>
        <v>0</v>
      </c>
      <c r="Z4" s="454">
        <f ca="1">keep_cap*(1-EXP(-AI4/(keep_param*($A5-Explore!$S5*20)+15000)))*(1+(mason_bonus*Construction!BB4/Construction!BS4))+IF(Overview!$B$14="Beastfolk",Construction!DF4/Construction!E4,0)*(1 + Production!O4/100*prestige_pop_multiplier)</f>
        <v>0</v>
      </c>
      <c r="AA4" s="454">
        <f ca="1">harbor_towers_cap*(1-EXP(-AJ4/(harbor_towers_param*($A5-Explore!$S5*20)+15000)))*(1+(mason_bonus*Construction!BB4/Construction!BS4))+IF(Overview!$B$14="Beastfolk",2*Construction!DC4/Construction!E4,0)*(1 + Production!O4/100*prestige_pop_multiplier)</f>
        <v>0</v>
      </c>
      <c r="AB4" s="454">
        <f ca="1">walls_forges_cap*(1-EXP(-AK4/(walls_forges_param*($A5-Explore!$S5*20)+15000)))*(1+(mason_bonus*Construction!BB4/Construction!BS4))+IF(Overview!$B$14="Beastfolk",0.2*Construction!CY4/Construction!E4,0)</f>
        <v>0</v>
      </c>
      <c r="AC4" s="454">
        <f ca="1">walls_forges_cap*(1-EXP(-AL4/(walls_forges_param*($A5-Explore!$S5*20)+15000)))*(1+(mason_bonus*Construction!BB4/Construction!BS4))+IF(Overview!$B$14="Beastfolk",5*Construction!DB4/Construction!E4,0)</f>
        <v>0</v>
      </c>
      <c r="AD4" s="171">
        <f ca="1">harbor_towers_cap*(1-EXP(-AM4/(harbor_towers_param*($A5-Explore!$S5*20)+15000)))*(1+(mason_bonus*Construction!BB4/Construction!BS4))+IF(Overview!$B$14="Beastfolk",Construction!DE4/Construction!E4)*(1 + Production!O4/100*prestige_pop_multiplier)</f>
        <v>0</v>
      </c>
      <c r="AE4" s="171">
        <f ca="1">armory_cap*(1-EXP(-AN4/(armory_param*($A5-Explore!$S5*20)+15000)))*(1+(mason_bonus*Construction!$BB4/Construction!$BS4))</f>
        <v>0</v>
      </c>
      <c r="AF4" s="171">
        <f ca="1">infirmary_cap*(1-EXP(-AO4/(infirmary_param*($A5-Explore!$S5*20)+15000)))*(1+(mason_bonus*Construction!$BB4/Construction!$BS4))</f>
        <v>0</v>
      </c>
      <c r="AG4" s="170"/>
      <c r="AH4" s="56">
        <f ca="1">(1+Overview!$O$28+IF(Magic!BA4&gt;0,0.1,0))*SUM(AV4:AY4) + AH3</f>
        <v>0</v>
      </c>
      <c r="AI4" s="26">
        <f ca="1">(1+Overview!$O$28+IF(Magic!BA4&gt;0,0.1,0))*SUM(BA4:BD4) + AI3</f>
        <v>0</v>
      </c>
      <c r="AJ4" s="168">
        <f ca="1">(1+Overview!$O$28+IF(Magic!BA4&gt;0,0.1,0))*SUM(BF4:BI4) + AJ3</f>
        <v>0</v>
      </c>
      <c r="AK4" s="168">
        <f ca="1">(1+Overview!$O$28+IF(Magic!BA4&gt;0,0.1,0))*SUM(BK4:BN4) + AK3</f>
        <v>0</v>
      </c>
      <c r="AL4" s="168">
        <f ca="1">(1+Overview!$O$28+IF(Magic!BA4&gt;0,0.1,0))*SUM(BP4:BS4) + AL3</f>
        <v>0</v>
      </c>
      <c r="AM4" s="167">
        <f ca="1">(1+Overview!$O$28+IF(Magic!BA4&gt;0,0.1,0))*SUM(BU4:BX4) + AM3</f>
        <v>0</v>
      </c>
      <c r="AN4" s="167">
        <f ca="1">(1+Overview!$O$28+IF(Magic!BA4&gt;0,0.1,0))*SUM(BZ4:CC4)+AN3</f>
        <v>0</v>
      </c>
      <c r="AO4" s="164">
        <f ca="1">(1+Overview!$O$28+IF(Magic!BA4&gt;0,0.1,0))*SUM(CE4:CH4)+AO3</f>
        <v>0</v>
      </c>
      <c r="AP4" s="170"/>
      <c r="AQ4" s="188">
        <f t="shared" si="2"/>
        <v>0</v>
      </c>
      <c r="AR4" s="191">
        <f t="shared" si="2"/>
        <v>0</v>
      </c>
      <c r="AS4" s="191">
        <f t="shared" si="2"/>
        <v>0</v>
      </c>
      <c r="AT4" s="189">
        <f t="shared" si="2"/>
        <v>0</v>
      </c>
      <c r="AU4" s="170"/>
      <c r="AV4" s="172">
        <f t="shared" ref="AV4:AV14" si="18">IF($O4=AV$2,IF($Q4=$Y$2,$P4)) + IF($R4=AV$2,IF($T4=$Y$2,$S4)) + IF($U4=AV$2,IF($W4=$Y$2,$V4))</f>
        <v>0</v>
      </c>
      <c r="AW4" s="168">
        <f t="shared" si="3"/>
        <v>0</v>
      </c>
      <c r="AX4" s="168">
        <f t="shared" si="3"/>
        <v>0</v>
      </c>
      <c r="AY4" s="167">
        <f t="shared" si="4"/>
        <v>0</v>
      </c>
      <c r="AZ4" s="170"/>
      <c r="BA4" s="172">
        <f t="shared" si="5"/>
        <v>0</v>
      </c>
      <c r="BB4" s="168">
        <f t="shared" si="6"/>
        <v>0</v>
      </c>
      <c r="BC4" s="168">
        <f t="shared" si="6"/>
        <v>0</v>
      </c>
      <c r="BD4" s="167">
        <f t="shared" si="7"/>
        <v>0</v>
      </c>
      <c r="BE4" s="170"/>
      <c r="BF4" s="172">
        <f t="shared" si="8"/>
        <v>0</v>
      </c>
      <c r="BG4" s="168">
        <f t="shared" si="9"/>
        <v>0</v>
      </c>
      <c r="BH4" s="168">
        <f t="shared" si="10"/>
        <v>0</v>
      </c>
      <c r="BI4" s="167">
        <f t="shared" si="11"/>
        <v>0</v>
      </c>
      <c r="BJ4" s="170"/>
      <c r="BK4" s="172">
        <f t="shared" si="12"/>
        <v>0</v>
      </c>
      <c r="BL4" s="168">
        <f t="shared" si="13"/>
        <v>0</v>
      </c>
      <c r="BM4" s="168">
        <f t="shared" si="13"/>
        <v>0</v>
      </c>
      <c r="BN4" s="167">
        <f t="shared" si="14"/>
        <v>0</v>
      </c>
      <c r="BO4" s="170"/>
      <c r="BP4" s="172">
        <f t="shared" si="15"/>
        <v>0</v>
      </c>
      <c r="BQ4" s="168">
        <f t="shared" si="16"/>
        <v>0</v>
      </c>
      <c r="BR4" s="168">
        <f t="shared" si="16"/>
        <v>0</v>
      </c>
      <c r="BS4" s="167">
        <f t="shared" si="17"/>
        <v>0</v>
      </c>
      <c r="BT4" s="170"/>
      <c r="BU4" s="172">
        <f>IF($O4=BU$2,IF($Q4=$AD$2,$P4)) + IF($R4=BU$2,IF($T4=$AD$2,$S4)) + IF($U4=BU$2,IF($W4=$AD$2,$V4))</f>
        <v>0</v>
      </c>
      <c r="BV4" s="168">
        <f>IF($O4=BV$2,IF($Q4=$AD$2,2*$P4)) + IF($R4=BV$2,IF($T4=$AD$2,2*$S4)) + IF($U4=BV$2,IF($W4=$AD$2,2*$V4))</f>
        <v>0</v>
      </c>
      <c r="BW4" s="168">
        <f>IF($O4=BW$2,IF($Q4=$AD$2,2*$P4)) + IF($R4=BW$2,IF($T4=$AD$2,2*$S4)) + IF($U4=BW$2,IF($W4=$AD$2,2*$V4))</f>
        <v>0</v>
      </c>
      <c r="BX4" s="167">
        <f>IF($O4=BX$2,IF($Q4=$AD$2,12*$P4)) + IF($R4=BX$2,IF($T4=$AD$2,12*$S4)) + IF($U4=BX$2,IF($W4=$AD$2,12*$V4))</f>
        <v>0</v>
      </c>
      <c r="BZ4" s="172">
        <f>IF($O4=BZ$2,IF($Q4=Armory,$P4)) + IF($R4=BZ$2,IF($T4=Armory,$S4)) + IF($U4=BZ$2,IF($W4=Armory,$V4))</f>
        <v>0</v>
      </c>
      <c r="CA4" s="168">
        <f>IF($O4=CA$2,IF($Q4=Armory,2*$P4)) + IF($R4=CA$2,IF($T4=Armory,2*$S4)) + IF($U4=CA$2,IF($W4=Armory,2*$V4))</f>
        <v>0</v>
      </c>
      <c r="CB4" s="168">
        <f>IF($O4=CB$2,IF($Q4=Armory,2*$P4)) + IF($R4=CB$2,IF($T4=Armory,2*$S4)) + IF($U4=CB$2,IF($W4=Armory,2*$V4))</f>
        <v>0</v>
      </c>
      <c r="CC4" s="167">
        <f>IF($O4=CC$2,IF($Q4=Armory,12*$P4)) + IF($R4=CC$2,IF($T4=Armory,12*$S4)) + IF($U4=CC$2,IF($W4=Armory,12*$V4))</f>
        <v>0</v>
      </c>
      <c r="CE4" s="172">
        <f>IF($O4=CE$2,IF($Q4=Infirmary,$P4)) + IF($R4=CE$2,IF($T4=Infirmary,$S4)) + IF($U4=CE$2,IF($W4=Infirmary,$V4))</f>
        <v>0</v>
      </c>
      <c r="CF4" s="168">
        <f>IF($O4=CF$2,IF($Q4=Infirmary,2*$P4)) + IF($R4=CF$2,IF($T4=Infirmary,2*$S4)) + IF($U4=CF$2,IF($W4=Infirmary,2*$V4))</f>
        <v>0</v>
      </c>
      <c r="CG4" s="168">
        <f>IF($O4=CG$2,IF($Q4=Infirmary,2*$P4)) + IF($R4=CG$2,IF($T4=Infirmary,2*$S4)) + IF($U4=CG$2,IF($W4=Infirmary,2*$V4))</f>
        <v>0</v>
      </c>
      <c r="CH4" s="167">
        <f>IF($O4=CH$2,IF($Q4=Infirmary,12*$P4)) + IF($R4=CH$2,IF($T4=Infirmary,12*$S4)) + IF($U4=CH$2,IF($W4=Infirmary,12*$V4))</f>
        <v>0</v>
      </c>
      <c r="CJ4" s="188" t="e">
        <f>OR(Production!C4,Construction!N4:'Construction'!AF4,Construction!BV4:CN4,Explore!S4:Z4,Military!AF4:AL4,Military!X4,Military!BE4:BL4,Rezone!L4:R4,Magic!G4:Q4)</f>
        <v>#VALUE!</v>
      </c>
      <c r="CK4" s="547">
        <f>M4</f>
        <v>0</v>
      </c>
      <c r="CL4" s="547"/>
      <c r="CM4" s="553">
        <f>CM3+1/24/4</f>
        <v>43768.010416666664</v>
      </c>
      <c r="CN4" s="561">
        <f>CN3+1/24/4</f>
        <v>43767.84375</v>
      </c>
      <c r="CO4" s="626"/>
      <c r="CP4" s="803"/>
      <c r="CQ4" s="768"/>
    </row>
    <row r="5" spans="1:98" s="170" customFormat="1" x14ac:dyDescent="0.25">
      <c r="A5" s="508">
        <f>Construction!E5</f>
        <v>1000</v>
      </c>
      <c r="C5" s="152">
        <f ca="1">Production!H5</f>
        <v>4369440</v>
      </c>
      <c r="D5" s="164">
        <f ca="1">Production!J5</f>
        <v>352910</v>
      </c>
      <c r="E5" s="164">
        <f ca="1">Production!L5</f>
        <v>300000</v>
      </c>
      <c r="F5" s="166">
        <f ca="1">Production!M5</f>
        <v>20000</v>
      </c>
      <c r="G5" s="164"/>
      <c r="H5" s="152">
        <f ca="1">Military!Z5</f>
        <v>4939</v>
      </c>
      <c r="I5" s="538">
        <f ca="1">Population!I5</f>
        <v>0.36955057261091329</v>
      </c>
      <c r="J5" s="165">
        <f ca="1">Population!F5/Population!U5</f>
        <v>2.0561011904761903</v>
      </c>
      <c r="K5" s="1000">
        <f>Rezone!J5</f>
        <v>3</v>
      </c>
      <c r="L5" s="582">
        <f t="shared" ref="L5:L68" si="19">L4+1/24/4</f>
        <v>43768.020833333328</v>
      </c>
      <c r="M5" s="646">
        <f t="shared" si="0"/>
        <v>0</v>
      </c>
      <c r="N5" s="529">
        <f t="shared" si="1"/>
        <v>1000</v>
      </c>
      <c r="O5" s="406" t="s">
        <v>4</v>
      </c>
      <c r="P5" s="370"/>
      <c r="Q5" s="408" t="s">
        <v>223</v>
      </c>
      <c r="R5" s="406" t="s">
        <v>7</v>
      </c>
      <c r="S5" s="370"/>
      <c r="T5" s="408" t="s">
        <v>223</v>
      </c>
      <c r="U5" s="406" t="s">
        <v>3</v>
      </c>
      <c r="V5" s="407"/>
      <c r="W5" s="409" t="s">
        <v>223</v>
      </c>
      <c r="Y5" s="501">
        <f ca="1">science_cap*(1-EXP(-AH5/(science_param*($A6-Explore!$S6*20)+15000)))*(1+(mason_bonus*Construction!BB5/Construction!BS5))+IF(Overview!$B$14="Beastfolk",Construction!DA5/Construction!E5,0)*(1 + Production!O5/100*prestige_pop_multiplier)</f>
        <v>0</v>
      </c>
      <c r="Z5" s="454">
        <f ca="1">keep_cap*(1-EXP(-AI5/(keep_param*($A6-Explore!$S6*20)+15000)))*(1+(mason_bonus*Construction!BB5/Construction!BS5))+IF(Overview!$B$14="Beastfolk",Construction!DF5/Construction!E5,0)*(1 + Production!O5/100*prestige_pop_multiplier)</f>
        <v>0</v>
      </c>
      <c r="AA5" s="454">
        <f ca="1">harbor_towers_cap*(1-EXP(-AJ5/(harbor_towers_param*($A6-Explore!$S6*20)+15000)))*(1+(mason_bonus*Construction!BB5/Construction!BS5))+IF(Overview!$B$14="Beastfolk",2*Construction!DC5/Construction!E5,0)*(1 + Production!O5/100*prestige_pop_multiplier)</f>
        <v>0</v>
      </c>
      <c r="AB5" s="454">
        <f ca="1">walls_forges_cap*(1-EXP(-AK5/(walls_forges_param*($A6-Explore!$S6*20)+15000)))*(1+(mason_bonus*Construction!BB5/Construction!BS5))+IF(Overview!$B$14="Beastfolk",0.2*Construction!CY5/Construction!E5,0)</f>
        <v>0</v>
      </c>
      <c r="AC5" s="454">
        <f ca="1">walls_forges_cap*(1-EXP(-AL5/(walls_forges_param*($A6-Explore!$S6*20)+15000)))*(1+(mason_bonus*Construction!BB5/Construction!BS5))+IF(Overview!$B$14="Beastfolk",5*Construction!DB5/Construction!E5,0)</f>
        <v>0</v>
      </c>
      <c r="AD5" s="171">
        <f ca="1">harbor_towers_cap*(1-EXP(-AM5/(harbor_towers_param*($A6-Explore!$S6*20)+15000)))*(1+(mason_bonus*Construction!BB5/Construction!BS5))+IF(Overview!$B$14="Beastfolk",Construction!DE5/Construction!E5)*(1 + Production!O5/100*prestige_pop_multiplier)</f>
        <v>0</v>
      </c>
      <c r="AE5" s="171">
        <f ca="1">armory_cap*(1-EXP(-AN5/(armory_param*($A6-Explore!$S6*20)+15000)))*(1+(mason_bonus*Construction!$BB5/Construction!$BS5))</f>
        <v>0</v>
      </c>
      <c r="AF5" s="171">
        <f ca="1">infirmary_cap*(1-EXP(-AO5/(infirmary_param*($A6-Explore!$S6*20)+15000)))*(1+(mason_bonus*Construction!$BB5/Construction!$BS5))</f>
        <v>0</v>
      </c>
      <c r="AH5" s="56">
        <f ca="1">(1+Overview!$O$28+IF(Magic!BA5&gt;0,0.1,0))*SUM(AV5:AY5) + AH4</f>
        <v>0</v>
      </c>
      <c r="AI5" s="26">
        <f ca="1">(1+Overview!$O$28+IF(Magic!BA5&gt;0,0.1,0))*SUM(BA5:BD5) + AI4</f>
        <v>0</v>
      </c>
      <c r="AJ5" s="164">
        <f ca="1">(1+Overview!$O$28+IF(Magic!BA5&gt;0,0.1,0))*SUM(BF5:BI5) + AJ4</f>
        <v>0</v>
      </c>
      <c r="AK5" s="164">
        <f ca="1">(1+Overview!$O$28+IF(Magic!BA5&gt;0,0.1,0))*SUM(BK5:BN5) + AK4</f>
        <v>0</v>
      </c>
      <c r="AL5" s="164">
        <f ca="1">(1+Overview!$O$28+IF(Magic!BA5&gt;0,0.1,0))*SUM(BP5:BS5) + AL4</f>
        <v>0</v>
      </c>
      <c r="AM5" s="166">
        <f ca="1">(1+Overview!$O$28+IF(Magic!BA5&gt;0,0.1,0))*SUM(BU5:BX5) + AM4</f>
        <v>0</v>
      </c>
      <c r="AN5" s="166">
        <f ca="1">(1+Overview!$O$28+IF(Magic!BA5&gt;0,0.1,0))*SUM(BZ5:CC5)+AN4</f>
        <v>0</v>
      </c>
      <c r="AO5" s="164">
        <f ca="1">(1+Overview!$O$28+IF(Magic!BA5&gt;0,0.1,0))*SUM(CE5:CH5)+AO4</f>
        <v>0</v>
      </c>
      <c r="AQ5" s="156">
        <f t="shared" si="2"/>
        <v>0</v>
      </c>
      <c r="AR5" s="170">
        <f t="shared" si="2"/>
        <v>0</v>
      </c>
      <c r="AS5" s="170">
        <f t="shared" si="2"/>
        <v>0</v>
      </c>
      <c r="AT5" s="157">
        <f t="shared" si="2"/>
        <v>0</v>
      </c>
      <c r="AV5" s="152">
        <f t="shared" si="18"/>
        <v>0</v>
      </c>
      <c r="AW5" s="164">
        <f t="shared" si="3"/>
        <v>0</v>
      </c>
      <c r="AX5" s="164">
        <f t="shared" si="3"/>
        <v>0</v>
      </c>
      <c r="AY5" s="166">
        <f t="shared" si="4"/>
        <v>0</v>
      </c>
      <c r="BA5" s="152">
        <f t="shared" si="5"/>
        <v>0</v>
      </c>
      <c r="BB5" s="164">
        <f t="shared" si="6"/>
        <v>0</v>
      </c>
      <c r="BC5" s="164">
        <f t="shared" si="6"/>
        <v>0</v>
      </c>
      <c r="BD5" s="166">
        <f t="shared" si="7"/>
        <v>0</v>
      </c>
      <c r="BF5" s="152">
        <f t="shared" si="8"/>
        <v>0</v>
      </c>
      <c r="BG5" s="164">
        <f t="shared" si="9"/>
        <v>0</v>
      </c>
      <c r="BH5" s="164">
        <f t="shared" si="10"/>
        <v>0</v>
      </c>
      <c r="BI5" s="166">
        <f t="shared" si="11"/>
        <v>0</v>
      </c>
      <c r="BK5" s="152">
        <f t="shared" si="12"/>
        <v>0</v>
      </c>
      <c r="BL5" s="164">
        <f t="shared" si="13"/>
        <v>0</v>
      </c>
      <c r="BM5" s="164">
        <f t="shared" si="13"/>
        <v>0</v>
      </c>
      <c r="BN5" s="166">
        <f t="shared" si="14"/>
        <v>0</v>
      </c>
      <c r="BP5" s="152">
        <f t="shared" si="15"/>
        <v>0</v>
      </c>
      <c r="BQ5" s="164">
        <f t="shared" si="16"/>
        <v>0</v>
      </c>
      <c r="BR5" s="164">
        <f t="shared" si="16"/>
        <v>0</v>
      </c>
      <c r="BS5" s="166">
        <f t="shared" si="17"/>
        <v>0</v>
      </c>
      <c r="BU5" s="152">
        <f>IF($O5=BU$2,IF($Q5=$AD$2,$P5)) + IF($R5=BU$2,IF($T5=$AD$2,$S5)) + IF($U5=BU$2,IF($W5=$AD$2,$V5))</f>
        <v>0</v>
      </c>
      <c r="BV5" s="164">
        <f>IF($O5=BV$2,IF($Q5=$AD$2,2*$P5)) + IF($R5=BV$2,IF($T5=$AD$2,2*$S5)) + IF($U5=BV$2,IF($W5=$AD$2,2*$V5))</f>
        <v>0</v>
      </c>
      <c r="BW5" s="164">
        <f>IF($O5=BW$2,IF($Q5=$AD$2,2*$P5)) + IF($R5=BW$2,IF($T5=$AD$2,2*$S5)) + IF($U5=BW$2,IF($W5=$AD$2,2*$V5))</f>
        <v>0</v>
      </c>
      <c r="BX5" s="166">
        <f>IF($O5=BX$2,IF($Q5=$AD$2,12*$P5)) + IF($R5=BX$2,IF($T5=$AD$2,12*$S5)) + IF($U5=BX$2,IF($W5=$AD$2,12*$V5))</f>
        <v>0</v>
      </c>
      <c r="BZ5" s="152">
        <f>IF($O5=BZ$2,IF($Q5=Armory,$P5)) + IF($R5=BZ$2,IF($T5=Armory,$S5)) + IF($U5=BZ$2,IF($W5=Armory,$V5))</f>
        <v>0</v>
      </c>
      <c r="CA5" s="164">
        <f>IF($O5=CA$2,IF($Q5=Armory,2*$P5)) + IF($R5=CA$2,IF($T5=Armory,2*$S5)) + IF($U5=CA$2,IF($W5=Armory,2*$V5))</f>
        <v>0</v>
      </c>
      <c r="CB5" s="164">
        <f>IF($O5=CB$2,IF($Q5=Armory,2*$P5)) + IF($R5=CB$2,IF($T5=Armory,2*$S5)) + IF($U5=CB$2,IF($W5=Armory,2*$V5))</f>
        <v>0</v>
      </c>
      <c r="CC5" s="166">
        <f>IF($O5=CC$2,IF($Q5=Armory,12*$P5)) + IF($R5=CC$2,IF($T5=Armory,12*$S5)) + IF($U5=CC$2,IF($W5=Armory,12*$V5))</f>
        <v>0</v>
      </c>
      <c r="CE5" s="152">
        <f>IF($O5=CE$2,IF($Q5=Infirmary,$P5)) + IF($R5=CE$2,IF($T5=Infirmary,$S5)) + IF($U5=CE$2,IF($W5=Infirmary,$V5))</f>
        <v>0</v>
      </c>
      <c r="CF5" s="164">
        <f>IF($O5=CF$2,IF($Q5=Infirmary,2*$P5)) + IF($R5=CF$2,IF($T5=Infirmary,2*$S5)) + IF($U5=CF$2,IF($W5=Infirmary,2*$V5))</f>
        <v>0</v>
      </c>
      <c r="CG5" s="164">
        <f>IF($O5=CG$2,IF($Q5=Infirmary,2*$P5)) + IF($R5=CG$2,IF($T5=Infirmary,2*$S5)) + IF($U5=CG$2,IF($W5=Infirmary,2*$V5))</f>
        <v>0</v>
      </c>
      <c r="CH5" s="166">
        <f>IF($O5=CH$2,IF($Q5=Infirmary,12*$P5)) + IF($R5=CH$2,IF($T5=Infirmary,12*$S5)) + IF($U5=CH$2,IF($W5=Infirmary,12*$V5))</f>
        <v>0</v>
      </c>
      <c r="CJ5" s="156" t="e">
        <f>OR(Production!C5,Construction!N5:'Construction'!AF5,Construction!BV5:CN5,Explore!S5:Z5,Military!AF5:AL5,Military!X5,Military!BE5:BL5,Rezone!L5:R5,Magic!G5:Q5)</f>
        <v>#VALUE!</v>
      </c>
      <c r="CK5" s="546">
        <f>M5</f>
        <v>0</v>
      </c>
      <c r="CL5" s="546"/>
      <c r="CM5" s="552">
        <f t="shared" ref="CM5:CM68" si="20">CM4+1/24/4</f>
        <v>43768.020833333328</v>
      </c>
      <c r="CN5" s="560">
        <f t="shared" ref="CN5:CN68" si="21">CN4+1/24/4</f>
        <v>43767.854166666664</v>
      </c>
      <c r="CO5" s="627"/>
      <c r="CP5" s="803"/>
      <c r="CQ5" s="770"/>
      <c r="CT5" s="670"/>
    </row>
    <row r="6" spans="1:98" s="16" customFormat="1" x14ac:dyDescent="0.25">
      <c r="A6" s="511">
        <f>Construction!E6</f>
        <v>1000</v>
      </c>
      <c r="C6" s="56">
        <f ca="1">Production!H6</f>
        <v>4379160</v>
      </c>
      <c r="D6" s="26">
        <f ca="1">Production!J6</f>
        <v>351881</v>
      </c>
      <c r="E6" s="26">
        <f ca="1">Production!L6</f>
        <v>300000</v>
      </c>
      <c r="F6" s="57">
        <f ca="1">Production!M6</f>
        <v>20000</v>
      </c>
      <c r="G6" s="26"/>
      <c r="H6" s="56">
        <f ca="1">Military!Z6</f>
        <v>5036</v>
      </c>
      <c r="I6" s="538">
        <f ca="1">Population!I6</f>
        <v>0.39312106388387913</v>
      </c>
      <c r="J6" s="165">
        <f ca="1">Population!F6/Population!U6</f>
        <v>1.9878829656862744</v>
      </c>
      <c r="K6" s="1000">
        <f>Rezone!J6</f>
        <v>4</v>
      </c>
      <c r="L6" s="582">
        <f t="shared" si="19"/>
        <v>43768.031249999993</v>
      </c>
      <c r="M6" s="316">
        <f t="shared" si="0"/>
        <v>0</v>
      </c>
      <c r="N6" s="638">
        <f t="shared" si="1"/>
        <v>1000</v>
      </c>
      <c r="O6" s="423" t="s">
        <v>4</v>
      </c>
      <c r="P6" s="370"/>
      <c r="Q6" s="424" t="s">
        <v>223</v>
      </c>
      <c r="R6" s="423" t="s">
        <v>7</v>
      </c>
      <c r="S6" s="370"/>
      <c r="T6" s="424" t="s">
        <v>223</v>
      </c>
      <c r="U6" s="406" t="s">
        <v>3</v>
      </c>
      <c r="V6" s="407"/>
      <c r="W6" s="409" t="s">
        <v>223</v>
      </c>
      <c r="Y6" s="501">
        <f ca="1">science_cap*(1-EXP(-AH6/(science_param*($A7-Explore!$S7*20)+15000)))*(1+(mason_bonus*Construction!BB6/Construction!BS6))+IF(Overview!$B$14="Beastfolk",Construction!DA6/Construction!E6,0)*(1 + Production!O6/100*prestige_pop_multiplier)</f>
        <v>0</v>
      </c>
      <c r="Z6" s="454">
        <f ca="1">keep_cap*(1-EXP(-AI6/(keep_param*($A7-Explore!$S7*20)+15000)))*(1+(mason_bonus*Construction!BB6/Construction!BS6))+IF(Overview!$B$14="Beastfolk",Construction!DF6/Construction!E6,0)*(1 + Production!O6/100*prestige_pop_multiplier)</f>
        <v>0</v>
      </c>
      <c r="AA6" s="454">
        <f ca="1">harbor_towers_cap*(1-EXP(-AJ6/(harbor_towers_param*($A7-Explore!$S7*20)+15000)))*(1+(mason_bonus*Construction!BB6/Construction!BS6))+IF(Overview!$B$14="Beastfolk",2*Construction!DC6/Construction!E6,0)*(1 + Production!O6/100*prestige_pop_multiplier)</f>
        <v>0</v>
      </c>
      <c r="AB6" s="454">
        <f ca="1">walls_forges_cap*(1-EXP(-AK6/(walls_forges_param*($A7-Explore!$S7*20)+15000)))*(1+(mason_bonus*Construction!BB6/Construction!BS6))+IF(Overview!$B$14="Beastfolk",0.2*Construction!CY6/Construction!E6,0)</f>
        <v>0</v>
      </c>
      <c r="AC6" s="454">
        <f ca="1">walls_forges_cap*(1-EXP(-AL6/(walls_forges_param*($A7-Explore!$S7*20)+15000)))*(1+(mason_bonus*Construction!BB6/Construction!BS6))+IF(Overview!$B$14="Beastfolk",5*Construction!DB6/Construction!E6,0)</f>
        <v>0</v>
      </c>
      <c r="AD6" s="171">
        <f ca="1">harbor_towers_cap*(1-EXP(-AM6/(harbor_towers_param*($A7-Explore!$S7*20)+15000)))*(1+(mason_bonus*Construction!BB6/Construction!BS6))+IF(Overview!$B$14="Beastfolk",Construction!DE6/Construction!E6)*(1 + Production!O6/100*prestige_pop_multiplier)</f>
        <v>0</v>
      </c>
      <c r="AE6" s="171">
        <f ca="1">armory_cap*(1-EXP(-AN6/(armory_param*($A7-Explore!$S7*20)+15000)))*(1+(mason_bonus*Construction!$BB6/Construction!$BS6))</f>
        <v>0</v>
      </c>
      <c r="AF6" s="171">
        <f ca="1">infirmary_cap*(1-EXP(-AO6/(infirmary_param*($A7-Explore!$S7*20)+15000)))*(1+(mason_bonus*Construction!$BB6/Construction!$BS6))</f>
        <v>0</v>
      </c>
      <c r="AH6" s="56">
        <f ca="1">(1+Overview!$O$28+IF(Magic!BA6&gt;0,0.1,0))*SUM(AV6:AY6) + AH5</f>
        <v>0</v>
      </c>
      <c r="AI6" s="26">
        <f ca="1">(1+Overview!$O$28+IF(Magic!BA6&gt;0,0.1,0))*SUM(BA6:BD6) + AI5</f>
        <v>0</v>
      </c>
      <c r="AJ6" s="164">
        <f ca="1">(1+Overview!$O$28+IF(Magic!BA6&gt;0,0.1,0))*SUM(BF6:BI6) + AJ5</f>
        <v>0</v>
      </c>
      <c r="AK6" s="164">
        <f ca="1">(1+Overview!$O$28+IF(Magic!BA6&gt;0,0.1,0))*SUM(BK6:BN6) + AK5</f>
        <v>0</v>
      </c>
      <c r="AL6" s="164">
        <f ca="1">(1+Overview!$O$28+IF(Magic!BA6&gt;0,0.1,0))*SUM(BP6:BS6) + AL5</f>
        <v>0</v>
      </c>
      <c r="AM6" s="166">
        <f ca="1">(1+Overview!$O$28+IF(Magic!BA6&gt;0,0.1,0))*SUM(BU6:BX6) + AM5</f>
        <v>0</v>
      </c>
      <c r="AN6" s="166">
        <f ca="1">(1+Overview!$O$28+IF(Magic!BA6&gt;0,0.1,0))*SUM(BZ6:CC6)+AN5</f>
        <v>0</v>
      </c>
      <c r="AO6" s="164">
        <f ca="1">(1+Overview!$O$28+IF(Magic!BA6&gt;0,0.1,0))*SUM(CE6:CH6)+AO5</f>
        <v>0</v>
      </c>
      <c r="AQ6" s="52">
        <f t="shared" si="2"/>
        <v>0</v>
      </c>
      <c r="AR6" s="16">
        <f t="shared" si="2"/>
        <v>0</v>
      </c>
      <c r="AS6" s="16">
        <f t="shared" si="2"/>
        <v>0</v>
      </c>
      <c r="AT6" s="53">
        <f t="shared" si="2"/>
        <v>0</v>
      </c>
      <c r="AV6" s="56">
        <f t="shared" si="18"/>
        <v>0</v>
      </c>
      <c r="AW6" s="26">
        <f t="shared" si="3"/>
        <v>0</v>
      </c>
      <c r="AX6" s="26">
        <f t="shared" si="3"/>
        <v>0</v>
      </c>
      <c r="AY6" s="57">
        <f t="shared" si="4"/>
        <v>0</v>
      </c>
      <c r="BA6" s="56">
        <f t="shared" si="5"/>
        <v>0</v>
      </c>
      <c r="BB6" s="26">
        <f t="shared" si="6"/>
        <v>0</v>
      </c>
      <c r="BC6" s="26">
        <f t="shared" si="6"/>
        <v>0</v>
      </c>
      <c r="BD6" s="57">
        <f t="shared" si="7"/>
        <v>0</v>
      </c>
      <c r="BF6" s="56">
        <f t="shared" si="8"/>
        <v>0</v>
      </c>
      <c r="BG6" s="26">
        <f t="shared" si="9"/>
        <v>0</v>
      </c>
      <c r="BH6" s="26">
        <f t="shared" si="10"/>
        <v>0</v>
      </c>
      <c r="BI6" s="57">
        <f t="shared" si="11"/>
        <v>0</v>
      </c>
      <c r="BK6" s="56">
        <f t="shared" si="12"/>
        <v>0</v>
      </c>
      <c r="BL6" s="26">
        <f t="shared" si="13"/>
        <v>0</v>
      </c>
      <c r="BM6" s="26">
        <f t="shared" si="13"/>
        <v>0</v>
      </c>
      <c r="BN6" s="57">
        <f t="shared" si="14"/>
        <v>0</v>
      </c>
      <c r="BP6" s="56">
        <f t="shared" si="15"/>
        <v>0</v>
      </c>
      <c r="BQ6" s="26">
        <f t="shared" si="16"/>
        <v>0</v>
      </c>
      <c r="BR6" s="26">
        <f t="shared" si="16"/>
        <v>0</v>
      </c>
      <c r="BS6" s="57">
        <f t="shared" si="17"/>
        <v>0</v>
      </c>
      <c r="BU6" s="56">
        <f>IF($O6=BU$2,IF($Q6=$AD$2,$P6)) + IF($R6=BU$2,IF($T6=$AD$2,$S6)) + IF($U6=BU$2,IF($W6=$AD$2,$V6))</f>
        <v>0</v>
      </c>
      <c r="BV6" s="26">
        <f>IF($O6=BV$2,IF($Q6=$AD$2,2*$P6)) + IF($R6=BV$2,IF($T6=$AD$2,2*$S6)) + IF($U6=BV$2,IF($W6=$AD$2,2*$V6))</f>
        <v>0</v>
      </c>
      <c r="BW6" s="26">
        <f>IF($O6=BW$2,IF($Q6=$AD$2,2*$P6)) + IF($R6=BW$2,IF($T6=$AD$2,2*$S6)) + IF($U6=BW$2,IF($W6=$AD$2,2*$V6))</f>
        <v>0</v>
      </c>
      <c r="BX6" s="57">
        <f>IF($O6=BX$2,IF($Q6=$AD$2,12*$P6)) + IF($R6=BX$2,IF($T6=$AD$2,12*$S6)) + IF($U6=BX$2,IF($W6=$AD$2,12*$V6))</f>
        <v>0</v>
      </c>
      <c r="BZ6" s="56">
        <f>IF($O6=BZ$2,IF($Q6=Armory,$P6)) + IF($R6=BZ$2,IF($T6=Armory,$S6)) + IF($U6=BZ$2,IF($W6=Armory,$V6))</f>
        <v>0</v>
      </c>
      <c r="CA6" s="26">
        <f>IF($O6=CA$2,IF($Q6=Armory,2*$P6)) + IF($R6=CA$2,IF($T6=Armory,2*$S6)) + IF($U6=CA$2,IF($W6=Armory,2*$V6))</f>
        <v>0</v>
      </c>
      <c r="CB6" s="26">
        <f>IF($O6=CB$2,IF($Q6=Armory,2*$P6)) + IF($R6=CB$2,IF($T6=Armory,2*$S6)) + IF($U6=CB$2,IF($W6=Armory,2*$V6))</f>
        <v>0</v>
      </c>
      <c r="CC6" s="57">
        <f>IF($O6=CC$2,IF($Q6=Armory,12*$P6)) + IF($R6=CC$2,IF($T6=Armory,12*$S6)) + IF($U6=CC$2,IF($W6=Armory,12*$V6))</f>
        <v>0</v>
      </c>
      <c r="CE6" s="56">
        <f>IF($O6=CE$2,IF($Q6=Infirmary,$P6)) + IF($R6=CE$2,IF($T6=Infirmary,$S6)) + IF($U6=CE$2,IF($W6=Infirmary,$V6))</f>
        <v>0</v>
      </c>
      <c r="CF6" s="26">
        <f>IF($O6=CF$2,IF($Q6=Infirmary,2*$P6)) + IF($R6=CF$2,IF($T6=Infirmary,2*$S6)) + IF($U6=CF$2,IF($W6=Infirmary,2*$V6))</f>
        <v>0</v>
      </c>
      <c r="CG6" s="26">
        <f>IF($O6=CG$2,IF($Q6=Infirmary,2*$P6)) + IF($R6=CG$2,IF($T6=Infirmary,2*$S6)) + IF($U6=CG$2,IF($W6=Infirmary,2*$V6))</f>
        <v>0</v>
      </c>
      <c r="CH6" s="57">
        <f>IF($O6=CH$2,IF($Q6=Infirmary,12*$P6)) + IF($R6=CH$2,IF($T6=Infirmary,12*$S6)) + IF($U6=CH$2,IF($W6=Infirmary,12*$V6))</f>
        <v>0</v>
      </c>
      <c r="CJ6" s="52" t="e">
        <f>OR(Production!C6,Construction!N6:'Construction'!AF6,Construction!BV6:CN6,Explore!S6:Z6,Military!AF6:AL6,Military!X6,Military!BE6:BL6,Rezone!L6:R6,Magic!G6:Q6)</f>
        <v>#VALUE!</v>
      </c>
      <c r="CK6" s="525">
        <f>M6</f>
        <v>0</v>
      </c>
      <c r="CL6" s="525"/>
      <c r="CM6" s="555">
        <f t="shared" si="20"/>
        <v>43768.031249999993</v>
      </c>
      <c r="CN6" s="563">
        <f t="shared" si="21"/>
        <v>43767.864583333328</v>
      </c>
      <c r="CO6" s="527"/>
      <c r="CP6" s="803"/>
      <c r="CQ6" s="808"/>
      <c r="CR6" s="170"/>
      <c r="CT6" s="671"/>
    </row>
    <row r="7" spans="1:98" s="16" customFormat="1" x14ac:dyDescent="0.25">
      <c r="A7" s="511">
        <f>Construction!E7</f>
        <v>1000</v>
      </c>
      <c r="C7" s="56">
        <f ca="1">Production!H7</f>
        <v>4388880</v>
      </c>
      <c r="D7" s="26">
        <f ca="1">Production!J7</f>
        <v>350862</v>
      </c>
      <c r="E7" s="26">
        <f ca="1">Production!L7</f>
        <v>300000</v>
      </c>
      <c r="F7" s="57">
        <f ca="1">Production!M7</f>
        <v>20000</v>
      </c>
      <c r="G7" s="26"/>
      <c r="H7" s="56">
        <f ca="1">Military!Z7</f>
        <v>5128</v>
      </c>
      <c r="I7" s="538">
        <f ca="1">Population!I7</f>
        <v>0.41823455461514292</v>
      </c>
      <c r="J7" s="165">
        <f ca="1">Population!F7/Population!U7</f>
        <v>1.9237549238445379</v>
      </c>
      <c r="K7" s="1000">
        <f>Rezone!J7</f>
        <v>5</v>
      </c>
      <c r="L7" s="582">
        <f t="shared" si="19"/>
        <v>43768.041666666657</v>
      </c>
      <c r="M7" s="316">
        <f t="shared" si="0"/>
        <v>0</v>
      </c>
      <c r="N7" s="638">
        <f t="shared" si="1"/>
        <v>1000</v>
      </c>
      <c r="O7" s="423" t="s">
        <v>4</v>
      </c>
      <c r="P7" s="370"/>
      <c r="Q7" s="424" t="s">
        <v>223</v>
      </c>
      <c r="R7" s="423" t="s">
        <v>7</v>
      </c>
      <c r="S7" s="370"/>
      <c r="T7" s="424" t="s">
        <v>223</v>
      </c>
      <c r="U7" s="406" t="s">
        <v>3</v>
      </c>
      <c r="V7" s="407"/>
      <c r="W7" s="409" t="s">
        <v>223</v>
      </c>
      <c r="Y7" s="501">
        <f ca="1">science_cap*(1-EXP(-AH7/(science_param*($A8-Explore!$S8*20)+15000)))*(1+(mason_bonus*Construction!BB7/Construction!BS7))+IF(Overview!$B$14="Beastfolk",Construction!DA7/Construction!E7,0)*(1 + Production!O7/100*prestige_pop_multiplier)</f>
        <v>0</v>
      </c>
      <c r="Z7" s="454">
        <f ca="1">keep_cap*(1-EXP(-AI7/(keep_param*($A8-Explore!$S8*20)+15000)))*(1+(mason_bonus*Construction!BB7/Construction!BS7))+IF(Overview!$B$14="Beastfolk",Construction!DF7/Construction!E7,0)*(1 + Production!O7/100*prestige_pop_multiplier)</f>
        <v>0</v>
      </c>
      <c r="AA7" s="454">
        <f ca="1">harbor_towers_cap*(1-EXP(-AJ7/(harbor_towers_param*($A8-Explore!$S8*20)+15000)))*(1+(mason_bonus*Construction!BB7/Construction!BS7))+IF(Overview!$B$14="Beastfolk",2*Construction!DC7/Construction!E7,0)*(1 + Production!O7/100*prestige_pop_multiplier)</f>
        <v>0</v>
      </c>
      <c r="AB7" s="454">
        <f ca="1">walls_forges_cap*(1-EXP(-AK7/(walls_forges_param*($A8-Explore!$S8*20)+15000)))*(1+(mason_bonus*Construction!BB7/Construction!BS7))+IF(Overview!$B$14="Beastfolk",0.2*Construction!CY7/Construction!E7,0)</f>
        <v>0</v>
      </c>
      <c r="AC7" s="454">
        <f ca="1">walls_forges_cap*(1-EXP(-AL7/(walls_forges_param*($A8-Explore!$S8*20)+15000)))*(1+(mason_bonus*Construction!BB7/Construction!BS7))+IF(Overview!$B$14="Beastfolk",5*Construction!DB7/Construction!E7,0)</f>
        <v>0</v>
      </c>
      <c r="AD7" s="171">
        <f ca="1">harbor_towers_cap*(1-EXP(-AM7/(harbor_towers_param*($A8-Explore!$S8*20)+15000)))*(1+(mason_bonus*Construction!BB7/Construction!BS7))+IF(Overview!$B$14="Beastfolk",Construction!DE7/Construction!E7)*(1 + Production!O7/100*prestige_pop_multiplier)</f>
        <v>0</v>
      </c>
      <c r="AE7" s="171">
        <f ca="1">armory_cap*(1-EXP(-AN7/(armory_param*($A8-Explore!$S8*20)+15000)))*(1+(mason_bonus*Construction!$BB7/Construction!$BS7))</f>
        <v>0</v>
      </c>
      <c r="AF7" s="171">
        <f ca="1">infirmary_cap*(1-EXP(-AO7/(infirmary_param*($A8-Explore!$S8*20)+15000)))*(1+(mason_bonus*Construction!$BB7/Construction!$BS7))</f>
        <v>0</v>
      </c>
      <c r="AH7" s="56">
        <f ca="1">(1+Overview!$O$28+IF(Magic!BA7&gt;0,0.1,0))*SUM(AV7:AY7) + AH6</f>
        <v>0</v>
      </c>
      <c r="AI7" s="26">
        <f ca="1">(1+Overview!$O$28+IF(Magic!BA7&gt;0,0.1,0))*SUM(BA7:BD7) + AI6</f>
        <v>0</v>
      </c>
      <c r="AJ7" s="164">
        <f ca="1">(1+Overview!$O$28+IF(Magic!BA7&gt;0,0.1,0))*SUM(BF7:BI7) + AJ6</f>
        <v>0</v>
      </c>
      <c r="AK7" s="164">
        <f ca="1">(1+Overview!$O$28+IF(Magic!BA7&gt;0,0.1,0))*SUM(BK7:BN7) + AK6</f>
        <v>0</v>
      </c>
      <c r="AL7" s="164">
        <f ca="1">(1+Overview!$O$28+IF(Magic!BA7&gt;0,0.1,0))*SUM(BP7:BS7) + AL6</f>
        <v>0</v>
      </c>
      <c r="AM7" s="166">
        <f ca="1">(1+Overview!$O$28+IF(Magic!BA7&gt;0,0.1,0))*SUM(BU7:BX7) + AM6</f>
        <v>0</v>
      </c>
      <c r="AN7" s="166">
        <f ca="1">(1+Overview!$O$28+IF(Magic!BA7&gt;0,0.1,0))*SUM(BZ7:CC7)+AN6</f>
        <v>0</v>
      </c>
      <c r="AO7" s="164">
        <f ca="1">(1+Overview!$O$28+IF(Magic!BA7&gt;0,0.1,0))*SUM(CE7:CH7)+AO6</f>
        <v>0</v>
      </c>
      <c r="AQ7" s="52">
        <f t="shared" si="2"/>
        <v>0</v>
      </c>
      <c r="AR7" s="16">
        <f t="shared" si="2"/>
        <v>0</v>
      </c>
      <c r="AS7" s="16">
        <f t="shared" si="2"/>
        <v>0</v>
      </c>
      <c r="AT7" s="53">
        <f t="shared" si="2"/>
        <v>0</v>
      </c>
      <c r="AV7" s="56">
        <f t="shared" si="18"/>
        <v>0</v>
      </c>
      <c r="AW7" s="26">
        <f t="shared" si="3"/>
        <v>0</v>
      </c>
      <c r="AX7" s="26">
        <f t="shared" si="3"/>
        <v>0</v>
      </c>
      <c r="AY7" s="57">
        <f t="shared" si="4"/>
        <v>0</v>
      </c>
      <c r="BA7" s="56">
        <f t="shared" si="5"/>
        <v>0</v>
      </c>
      <c r="BB7" s="26">
        <f t="shared" si="6"/>
        <v>0</v>
      </c>
      <c r="BC7" s="26">
        <f t="shared" si="6"/>
        <v>0</v>
      </c>
      <c r="BD7" s="57">
        <f t="shared" si="7"/>
        <v>0</v>
      </c>
      <c r="BF7" s="56">
        <f t="shared" si="8"/>
        <v>0</v>
      </c>
      <c r="BG7" s="26">
        <f t="shared" si="9"/>
        <v>0</v>
      </c>
      <c r="BH7" s="26">
        <f t="shared" si="10"/>
        <v>0</v>
      </c>
      <c r="BI7" s="57">
        <f t="shared" si="11"/>
        <v>0</v>
      </c>
      <c r="BK7" s="56">
        <f t="shared" si="12"/>
        <v>0</v>
      </c>
      <c r="BL7" s="26">
        <f t="shared" si="13"/>
        <v>0</v>
      </c>
      <c r="BM7" s="26">
        <f t="shared" si="13"/>
        <v>0</v>
      </c>
      <c r="BN7" s="57">
        <f t="shared" si="14"/>
        <v>0</v>
      </c>
      <c r="BP7" s="56">
        <f t="shared" si="15"/>
        <v>0</v>
      </c>
      <c r="BQ7" s="26">
        <f t="shared" si="16"/>
        <v>0</v>
      </c>
      <c r="BR7" s="26">
        <f t="shared" si="16"/>
        <v>0</v>
      </c>
      <c r="BS7" s="57">
        <f t="shared" si="17"/>
        <v>0</v>
      </c>
      <c r="BU7" s="56">
        <f>IF($O7=BU$2,IF($Q7=$AD$2,$P7)) + IF($R7=BU$2,IF($T7=$AD$2,$S7)) + IF($U7=BU$2,IF($W7=$AD$2,$V7))</f>
        <v>0</v>
      </c>
      <c r="BV7" s="26">
        <f>IF($O7=BV$2,IF($Q7=$AD$2,2*$P7)) + IF($R7=BV$2,IF($T7=$AD$2,2*$S7)) + IF($U7=BV$2,IF($W7=$AD$2,2*$V7))</f>
        <v>0</v>
      </c>
      <c r="BW7" s="26">
        <f>IF($O7=BW$2,IF($Q7=$AD$2,2*$P7)) + IF($R7=BW$2,IF($T7=$AD$2,2*$S7)) + IF($U7=BW$2,IF($W7=$AD$2,2*$V7))</f>
        <v>0</v>
      </c>
      <c r="BX7" s="57">
        <f>IF($O7=BX$2,IF($Q7=$AD$2,12*$P7)) + IF($R7=BX$2,IF($T7=$AD$2,12*$S7)) + IF($U7=BX$2,IF($W7=$AD$2,12*$V7))</f>
        <v>0</v>
      </c>
      <c r="BZ7" s="56">
        <f>IF($O7=BZ$2,IF($Q7=Armory,$P7)) + IF($R7=BZ$2,IF($T7=Armory,$S7)) + IF($U7=BZ$2,IF($W7=Armory,$V7))</f>
        <v>0</v>
      </c>
      <c r="CA7" s="26">
        <f>IF($O7=CA$2,IF($Q7=Armory,2*$P7)) + IF($R7=CA$2,IF($T7=Armory,2*$S7)) + IF($U7=CA$2,IF($W7=Armory,2*$V7))</f>
        <v>0</v>
      </c>
      <c r="CB7" s="26">
        <f>IF($O7=CB$2,IF($Q7=Armory,2*$P7)) + IF($R7=CB$2,IF($T7=Armory,2*$S7)) + IF($U7=CB$2,IF($W7=Armory,2*$V7))</f>
        <v>0</v>
      </c>
      <c r="CC7" s="57">
        <f>IF($O7=CC$2,IF($Q7=Armory,12*$P7)) + IF($R7=CC$2,IF($T7=Armory,12*$S7)) + IF($U7=CC$2,IF($W7=Armory,12*$V7))</f>
        <v>0</v>
      </c>
      <c r="CE7" s="56">
        <f>IF($O7=CE$2,IF($Q7=Infirmary,$P7)) + IF($R7=CE$2,IF($T7=Infirmary,$S7)) + IF($U7=CE$2,IF($W7=Infirmary,$V7))</f>
        <v>0</v>
      </c>
      <c r="CF7" s="26">
        <f>IF($O7=CF$2,IF($Q7=Infirmary,2*$P7)) + IF($R7=CF$2,IF($T7=Infirmary,2*$S7)) + IF($U7=CF$2,IF($W7=Infirmary,2*$V7))</f>
        <v>0</v>
      </c>
      <c r="CG7" s="26">
        <f>IF($O7=CG$2,IF($Q7=Infirmary,2*$P7)) + IF($R7=CG$2,IF($T7=Infirmary,2*$S7)) + IF($U7=CG$2,IF($W7=Infirmary,2*$V7))</f>
        <v>0</v>
      </c>
      <c r="CH7" s="57">
        <f>IF($O7=CH$2,IF($Q7=Infirmary,12*$P7)) + IF($R7=CH$2,IF($T7=Infirmary,12*$S7)) + IF($U7=CH$2,IF($W7=Infirmary,12*$V7))</f>
        <v>0</v>
      </c>
      <c r="CJ7" s="52" t="e">
        <f>OR(Production!C7,Construction!N7:'Construction'!AF7,Construction!BV7:CN7,Explore!S7:Z7,Military!AF7:AL7,Military!X7,Military!BE7:BL7,Rezone!L7:R7,Magic!G7:Q7)</f>
        <v>#VALUE!</v>
      </c>
      <c r="CK7" s="525">
        <f>M7</f>
        <v>0</v>
      </c>
      <c r="CL7" s="525"/>
      <c r="CM7" s="555">
        <f t="shared" si="20"/>
        <v>43768.041666666657</v>
      </c>
      <c r="CN7" s="563">
        <f t="shared" si="21"/>
        <v>43767.874999999993</v>
      </c>
      <c r="CO7" s="527"/>
      <c r="CP7" s="803"/>
      <c r="CQ7" s="808"/>
      <c r="CR7" s="170"/>
      <c r="CT7" s="672"/>
    </row>
    <row r="8" spans="1:98" s="16" customFormat="1" x14ac:dyDescent="0.25">
      <c r="A8" s="511">
        <f>Construction!E8</f>
        <v>1000</v>
      </c>
      <c r="C8" s="56">
        <f ca="1">Production!H8</f>
        <v>4398600</v>
      </c>
      <c r="D8" s="26">
        <f ca="1">Production!J8</f>
        <v>349853</v>
      </c>
      <c r="E8" s="26">
        <f ca="1">Production!L8</f>
        <v>300000</v>
      </c>
      <c r="F8" s="57">
        <f ca="1">Production!M8</f>
        <v>20000</v>
      </c>
      <c r="G8" s="26"/>
      <c r="H8" s="56">
        <f ca="1">Military!Z8</f>
        <v>5214</v>
      </c>
      <c r="I8" s="538">
        <f ca="1">Population!I8</f>
        <v>0.4449261924848712</v>
      </c>
      <c r="J8" s="165">
        <f ca="1">Population!F8/Population!U8</f>
        <v>1.8634775417979692</v>
      </c>
      <c r="K8" s="1000">
        <f>Rezone!J8</f>
        <v>6</v>
      </c>
      <c r="L8" s="582">
        <f t="shared" si="19"/>
        <v>43768.052083333321</v>
      </c>
      <c r="M8" s="316">
        <f t="shared" si="0"/>
        <v>0</v>
      </c>
      <c r="N8" s="638">
        <f t="shared" si="1"/>
        <v>1000</v>
      </c>
      <c r="O8" s="423" t="s">
        <v>4</v>
      </c>
      <c r="P8" s="370"/>
      <c r="Q8" s="424" t="s">
        <v>223</v>
      </c>
      <c r="R8" s="423" t="s">
        <v>7</v>
      </c>
      <c r="S8" s="370"/>
      <c r="T8" s="424" t="s">
        <v>223</v>
      </c>
      <c r="U8" s="406" t="s">
        <v>3</v>
      </c>
      <c r="V8" s="407"/>
      <c r="W8" s="409" t="s">
        <v>223</v>
      </c>
      <c r="Y8" s="501">
        <f ca="1">science_cap*(1-EXP(-AH8/(science_param*($A9-Explore!$S9*20)+15000)))*(1+(mason_bonus*Construction!BB8/Construction!BS8))+IF(Overview!$B$14="Beastfolk",Construction!DA8/Construction!E8,0)*(1 + Production!O8/100*prestige_pop_multiplier)</f>
        <v>0</v>
      </c>
      <c r="Z8" s="454">
        <f ca="1">keep_cap*(1-EXP(-AI8/(keep_param*($A9-Explore!$S9*20)+15000)))*(1+(mason_bonus*Construction!BB8/Construction!BS8))+IF(Overview!$B$14="Beastfolk",Construction!DF8/Construction!E8,0)*(1 + Production!O8/100*prestige_pop_multiplier)</f>
        <v>0</v>
      </c>
      <c r="AA8" s="454">
        <f ca="1">harbor_towers_cap*(1-EXP(-AJ8/(harbor_towers_param*($A9-Explore!$S9*20)+15000)))*(1+(mason_bonus*Construction!BB8/Construction!BS8))+IF(Overview!$B$14="Beastfolk",2*Construction!DC8/Construction!E8,0)*(1 + Production!O8/100*prestige_pop_multiplier)</f>
        <v>0</v>
      </c>
      <c r="AB8" s="454">
        <f ca="1">walls_forges_cap*(1-EXP(-AK8/(walls_forges_param*($A9-Explore!$S9*20)+15000)))*(1+(mason_bonus*Construction!BB8/Construction!BS8))+IF(Overview!$B$14="Beastfolk",0.2*Construction!CY8/Construction!E8,0)</f>
        <v>0</v>
      </c>
      <c r="AC8" s="454">
        <f ca="1">walls_forges_cap*(1-EXP(-AL8/(walls_forges_param*($A9-Explore!$S9*20)+15000)))*(1+(mason_bonus*Construction!BB8/Construction!BS8))+IF(Overview!$B$14="Beastfolk",5*Construction!DB8/Construction!E8,0)</f>
        <v>0</v>
      </c>
      <c r="AD8" s="171">
        <f ca="1">harbor_towers_cap*(1-EXP(-AM8/(harbor_towers_param*($A9-Explore!$S9*20)+15000)))*(1+(mason_bonus*Construction!BB8/Construction!BS8))+IF(Overview!$B$14="Beastfolk",Construction!DE8/Construction!E8)*(1 + Production!O8/100*prestige_pop_multiplier)</f>
        <v>0</v>
      </c>
      <c r="AE8" s="171">
        <f ca="1">armory_cap*(1-EXP(-AN8/(armory_param*($A9-Explore!$S9*20)+15000)))*(1+(mason_bonus*Construction!$BB8/Construction!$BS8))</f>
        <v>0</v>
      </c>
      <c r="AF8" s="171">
        <f ca="1">infirmary_cap*(1-EXP(-AO8/(infirmary_param*($A9-Explore!$S9*20)+15000)))*(1+(mason_bonus*Construction!$BB8/Construction!$BS8))</f>
        <v>0</v>
      </c>
      <c r="AH8" s="56">
        <f ca="1">(1+Overview!$O$28+IF(Magic!BA8&gt;0,0.1,0))*SUM(AV8:AY8) + AH7</f>
        <v>0</v>
      </c>
      <c r="AI8" s="26">
        <f ca="1">(1+Overview!$O$28+IF(Magic!BA8&gt;0,0.1,0))*SUM(BA8:BD8) + AI7</f>
        <v>0</v>
      </c>
      <c r="AJ8" s="164">
        <f ca="1">(1+Overview!$O$28+IF(Magic!BA8&gt;0,0.1,0))*SUM(BF8:BI8) + AJ7</f>
        <v>0</v>
      </c>
      <c r="AK8" s="164">
        <f ca="1">(1+Overview!$O$28+IF(Magic!BA8&gt;0,0.1,0))*SUM(BK8:BN8) + AK7</f>
        <v>0</v>
      </c>
      <c r="AL8" s="164">
        <f ca="1">(1+Overview!$O$28+IF(Magic!BA8&gt;0,0.1,0))*SUM(BP8:BS8) + AL7</f>
        <v>0</v>
      </c>
      <c r="AM8" s="166">
        <f ca="1">(1+Overview!$O$28+IF(Magic!BA8&gt;0,0.1,0))*SUM(BU8:BX8) + AM7</f>
        <v>0</v>
      </c>
      <c r="AN8" s="166">
        <f ca="1">(1+Overview!$O$28+IF(Magic!BA8&gt;0,0.1,0))*SUM(BZ8:CC8)+AN7</f>
        <v>0</v>
      </c>
      <c r="AO8" s="164">
        <f ca="1">(1+Overview!$O$28+IF(Magic!BA8&gt;0,0.1,0))*SUM(CE8:CH8)+AO7</f>
        <v>0</v>
      </c>
      <c r="AQ8" s="52">
        <f t="shared" si="2"/>
        <v>0</v>
      </c>
      <c r="AR8" s="16">
        <f t="shared" si="2"/>
        <v>0</v>
      </c>
      <c r="AS8" s="16">
        <f t="shared" si="2"/>
        <v>0</v>
      </c>
      <c r="AT8" s="53">
        <f t="shared" si="2"/>
        <v>0</v>
      </c>
      <c r="AV8" s="56">
        <f t="shared" si="18"/>
        <v>0</v>
      </c>
      <c r="AW8" s="26">
        <f t="shared" si="3"/>
        <v>0</v>
      </c>
      <c r="AX8" s="26">
        <f t="shared" si="3"/>
        <v>0</v>
      </c>
      <c r="AY8" s="57">
        <f t="shared" si="4"/>
        <v>0</v>
      </c>
      <c r="BA8" s="56">
        <f t="shared" si="5"/>
        <v>0</v>
      </c>
      <c r="BB8" s="26">
        <f t="shared" si="6"/>
        <v>0</v>
      </c>
      <c r="BC8" s="26">
        <f t="shared" si="6"/>
        <v>0</v>
      </c>
      <c r="BD8" s="57">
        <f t="shared" si="7"/>
        <v>0</v>
      </c>
      <c r="BF8" s="56">
        <f t="shared" si="8"/>
        <v>0</v>
      </c>
      <c r="BG8" s="26">
        <f t="shared" si="9"/>
        <v>0</v>
      </c>
      <c r="BH8" s="26">
        <f t="shared" si="10"/>
        <v>0</v>
      </c>
      <c r="BI8" s="57">
        <f t="shared" si="11"/>
        <v>0</v>
      </c>
      <c r="BK8" s="56">
        <f t="shared" si="12"/>
        <v>0</v>
      </c>
      <c r="BL8" s="26">
        <f t="shared" si="13"/>
        <v>0</v>
      </c>
      <c r="BM8" s="26">
        <f t="shared" si="13"/>
        <v>0</v>
      </c>
      <c r="BN8" s="57">
        <f t="shared" si="14"/>
        <v>0</v>
      </c>
      <c r="BP8" s="56">
        <f t="shared" si="15"/>
        <v>0</v>
      </c>
      <c r="BQ8" s="26">
        <f t="shared" si="16"/>
        <v>0</v>
      </c>
      <c r="BR8" s="26">
        <f t="shared" si="16"/>
        <v>0</v>
      </c>
      <c r="BS8" s="57">
        <f t="shared" si="17"/>
        <v>0</v>
      </c>
      <c r="BU8" s="56">
        <f>IF($O8=BU$2,IF($Q8=$AD$2,$P8)) + IF($R8=BU$2,IF($T8=$AD$2,$S8)) + IF($U8=BU$2,IF($W8=$AD$2,$V8))</f>
        <v>0</v>
      </c>
      <c r="BV8" s="26">
        <f>IF($O8=BV$2,IF($Q8=$AD$2,2*$P8)) + IF($R8=BV$2,IF($T8=$AD$2,2*$S8)) + IF($U8=BV$2,IF($W8=$AD$2,2*$V8))</f>
        <v>0</v>
      </c>
      <c r="BW8" s="26">
        <f>IF($O8=BW$2,IF($Q8=$AD$2,2*$P8)) + IF($R8=BW$2,IF($T8=$AD$2,2*$S8)) + IF($U8=BW$2,IF($W8=$AD$2,2*$V8))</f>
        <v>0</v>
      </c>
      <c r="BX8" s="57">
        <f>IF($O8=BX$2,IF($Q8=$AD$2,12*$P8)) + IF($R8=BX$2,IF($T8=$AD$2,12*$S8)) + IF($U8=BX$2,IF($W8=$AD$2,12*$V8))</f>
        <v>0</v>
      </c>
      <c r="BZ8" s="56">
        <f>IF($O8=BZ$2,IF($Q8=Armory,$P8)) + IF($R8=BZ$2,IF($T8=Armory,$S8)) + IF($U8=BZ$2,IF($W8=Armory,$V8))</f>
        <v>0</v>
      </c>
      <c r="CA8" s="26">
        <f>IF($O8=CA$2,IF($Q8=Armory,2*$P8)) + IF($R8=CA$2,IF($T8=Armory,2*$S8)) + IF($U8=CA$2,IF($W8=Armory,2*$V8))</f>
        <v>0</v>
      </c>
      <c r="CB8" s="26">
        <f>IF($O8=CB$2,IF($Q8=Armory,2*$P8)) + IF($R8=CB$2,IF($T8=Armory,2*$S8)) + IF($U8=CB$2,IF($W8=Armory,2*$V8))</f>
        <v>0</v>
      </c>
      <c r="CC8" s="57">
        <f>IF($O8=CC$2,IF($Q8=Armory,12*$P8)) + IF($R8=CC$2,IF($T8=Armory,12*$S8)) + IF($U8=CC$2,IF($W8=Armory,12*$V8))</f>
        <v>0</v>
      </c>
      <c r="CE8" s="56">
        <f>IF($O8=CE$2,IF($Q8=Infirmary,$P8)) + IF($R8=CE$2,IF($T8=Infirmary,$S8)) + IF($U8=CE$2,IF($W8=Infirmary,$V8))</f>
        <v>0</v>
      </c>
      <c r="CF8" s="26">
        <f>IF($O8=CF$2,IF($Q8=Infirmary,2*$P8)) + IF($R8=CF$2,IF($T8=Infirmary,2*$S8)) + IF($U8=CF$2,IF($W8=Infirmary,2*$V8))</f>
        <v>0</v>
      </c>
      <c r="CG8" s="26">
        <f>IF($O8=CG$2,IF($Q8=Infirmary,2*$P8)) + IF($R8=CG$2,IF($T8=Infirmary,2*$S8)) + IF($U8=CG$2,IF($W8=Infirmary,2*$V8))</f>
        <v>0</v>
      </c>
      <c r="CH8" s="57">
        <f>IF($O8=CH$2,IF($Q8=Infirmary,12*$P8)) + IF($R8=CH$2,IF($T8=Infirmary,12*$S8)) + IF($U8=CH$2,IF($W8=Infirmary,12*$V8))</f>
        <v>0</v>
      </c>
      <c r="CJ8" s="52" t="e">
        <f>OR(Production!C8,Construction!N8:'Construction'!AF8,Construction!BV8:CN8,Explore!S8:Z8,Military!AF8:AL8,Military!X8,Military!BE8:BL8,Rezone!L8:R8,Magic!G8:Q8)</f>
        <v>#VALUE!</v>
      </c>
      <c r="CK8" s="525">
        <f>M8</f>
        <v>0</v>
      </c>
      <c r="CL8" s="525"/>
      <c r="CM8" s="555">
        <f t="shared" si="20"/>
        <v>43768.052083333321</v>
      </c>
      <c r="CN8" s="563">
        <f t="shared" si="21"/>
        <v>43767.885416666657</v>
      </c>
      <c r="CO8" s="527"/>
      <c r="CP8" s="803"/>
      <c r="CQ8" s="808"/>
      <c r="CR8" s="170"/>
      <c r="CT8" s="672"/>
    </row>
    <row r="9" spans="1:98" s="16" customFormat="1" x14ac:dyDescent="0.25">
      <c r="A9" s="511">
        <f>Construction!E9</f>
        <v>1000</v>
      </c>
      <c r="C9" s="56">
        <f ca="1">Production!H9</f>
        <v>4408320</v>
      </c>
      <c r="D9" s="26">
        <f ca="1">Production!J9</f>
        <v>348854</v>
      </c>
      <c r="E9" s="26">
        <f ca="1">Production!L9</f>
        <v>300000</v>
      </c>
      <c r="F9" s="57">
        <f ca="1">Production!M9</f>
        <v>20000</v>
      </c>
      <c r="G9" s="26"/>
      <c r="H9" s="56">
        <f ca="1">Military!Z9</f>
        <v>5295</v>
      </c>
      <c r="I9" s="538">
        <f ca="1">Population!I9</f>
        <v>0.47333119476417135</v>
      </c>
      <c r="J9" s="165">
        <f ca="1">Population!F9/Population!U9</f>
        <v>1.8068162697500876</v>
      </c>
      <c r="K9" s="1000">
        <f>Rezone!J9</f>
        <v>7</v>
      </c>
      <c r="L9" s="582">
        <f t="shared" si="19"/>
        <v>43768.062499999985</v>
      </c>
      <c r="M9" s="316">
        <f t="shared" si="0"/>
        <v>0</v>
      </c>
      <c r="N9" s="638">
        <f t="shared" si="1"/>
        <v>1000</v>
      </c>
      <c r="O9" s="423" t="s">
        <v>4</v>
      </c>
      <c r="P9" s="370"/>
      <c r="Q9" s="424" t="s">
        <v>223</v>
      </c>
      <c r="R9" s="423" t="s">
        <v>7</v>
      </c>
      <c r="S9" s="370"/>
      <c r="T9" s="424" t="s">
        <v>223</v>
      </c>
      <c r="U9" s="406" t="s">
        <v>3</v>
      </c>
      <c r="V9" s="407"/>
      <c r="W9" s="409" t="s">
        <v>223</v>
      </c>
      <c r="Y9" s="501">
        <f ca="1">science_cap*(1-EXP(-AH9/(science_param*($A10-Explore!$S10*20)+15000)))*(1+(mason_bonus*Construction!BB9/Construction!BS9))+IF(Overview!$B$14="Beastfolk",Construction!DA9/Construction!E9,0)*(1 + Production!O9/100*prestige_pop_multiplier)</f>
        <v>0</v>
      </c>
      <c r="Z9" s="454">
        <f ca="1">keep_cap*(1-EXP(-AI9/(keep_param*($A10-Explore!$S10*20)+15000)))*(1+(mason_bonus*Construction!BB9/Construction!BS9))+IF(Overview!$B$14="Beastfolk",Construction!DF9/Construction!E9,0)*(1 + Production!O9/100*prestige_pop_multiplier)</f>
        <v>0</v>
      </c>
      <c r="AA9" s="454">
        <f ca="1">harbor_towers_cap*(1-EXP(-AJ9/(harbor_towers_param*($A10-Explore!$S10*20)+15000)))*(1+(mason_bonus*Construction!BB9/Construction!BS9))+IF(Overview!$B$14="Beastfolk",2*Construction!DC9/Construction!E9,0)*(1 + Production!O9/100*prestige_pop_multiplier)</f>
        <v>0</v>
      </c>
      <c r="AB9" s="454">
        <f ca="1">walls_forges_cap*(1-EXP(-AK9/(walls_forges_param*($A10-Explore!$S10*20)+15000)))*(1+(mason_bonus*Construction!BB9/Construction!BS9))+IF(Overview!$B$14="Beastfolk",0.2*Construction!CY9/Construction!E9,0)</f>
        <v>0</v>
      </c>
      <c r="AC9" s="454">
        <f ca="1">walls_forges_cap*(1-EXP(-AL9/(walls_forges_param*($A10-Explore!$S10*20)+15000)))*(1+(mason_bonus*Construction!BB9/Construction!BS9))+IF(Overview!$B$14="Beastfolk",5*Construction!DB9/Construction!E9,0)</f>
        <v>0</v>
      </c>
      <c r="AD9" s="171">
        <f ca="1">harbor_towers_cap*(1-EXP(-AM9/(harbor_towers_param*($A10-Explore!$S10*20)+15000)))*(1+(mason_bonus*Construction!BB9/Construction!BS9))+IF(Overview!$B$14="Beastfolk",Construction!DE9/Construction!E9)*(1 + Production!O9/100*prestige_pop_multiplier)</f>
        <v>0</v>
      </c>
      <c r="AE9" s="171">
        <f ca="1">armory_cap*(1-EXP(-AN9/(armory_param*($A10-Explore!$S10*20)+15000)))*(1+(mason_bonus*Construction!$BB9/Construction!$BS9))</f>
        <v>0</v>
      </c>
      <c r="AF9" s="171">
        <f ca="1">infirmary_cap*(1-EXP(-AO9/(infirmary_param*($A10-Explore!$S10*20)+15000)))*(1+(mason_bonus*Construction!$BB9/Construction!$BS9))</f>
        <v>0</v>
      </c>
      <c r="AH9" s="56">
        <f ca="1">(1+Overview!$O$28+IF(Magic!BA9&gt;0,0.1,0))*SUM(AV9:AY9) + AH8</f>
        <v>0</v>
      </c>
      <c r="AI9" s="26">
        <f ca="1">(1+Overview!$O$28+IF(Magic!BA9&gt;0,0.1,0))*SUM(BA9:BD9) + AI8</f>
        <v>0</v>
      </c>
      <c r="AJ9" s="164">
        <f ca="1">(1+Overview!$O$28+IF(Magic!BA9&gt;0,0.1,0))*SUM(BF9:BI9) + AJ8</f>
        <v>0</v>
      </c>
      <c r="AK9" s="164">
        <f ca="1">(1+Overview!$O$28+IF(Magic!BA9&gt;0,0.1,0))*SUM(BK9:BN9) + AK8</f>
        <v>0</v>
      </c>
      <c r="AL9" s="164">
        <f ca="1">(1+Overview!$O$28+IF(Magic!BA9&gt;0,0.1,0))*SUM(BP9:BS9) + AL8</f>
        <v>0</v>
      </c>
      <c r="AM9" s="166">
        <f ca="1">(1+Overview!$O$28+IF(Magic!BA9&gt;0,0.1,0))*SUM(BU9:BX9) + AM8</f>
        <v>0</v>
      </c>
      <c r="AN9" s="166">
        <f ca="1">(1+Overview!$O$28+IF(Magic!BA9&gt;0,0.1,0))*SUM(BZ9:CC9)+AN8</f>
        <v>0</v>
      </c>
      <c r="AO9" s="164">
        <f ca="1">(1+Overview!$O$28+IF(Magic!BA9&gt;0,0.1,0))*SUM(CE9:CH9)+AO8</f>
        <v>0</v>
      </c>
      <c r="AQ9" s="52">
        <f t="shared" si="2"/>
        <v>0</v>
      </c>
      <c r="AR9" s="16">
        <f t="shared" si="2"/>
        <v>0</v>
      </c>
      <c r="AS9" s="16">
        <f t="shared" si="2"/>
        <v>0</v>
      </c>
      <c r="AT9" s="53">
        <f t="shared" si="2"/>
        <v>0</v>
      </c>
      <c r="AV9" s="56">
        <f t="shared" si="18"/>
        <v>0</v>
      </c>
      <c r="AW9" s="26">
        <f t="shared" si="3"/>
        <v>0</v>
      </c>
      <c r="AX9" s="26">
        <f t="shared" si="3"/>
        <v>0</v>
      </c>
      <c r="AY9" s="57">
        <f t="shared" si="4"/>
        <v>0</v>
      </c>
      <c r="BA9" s="56">
        <f t="shared" si="5"/>
        <v>0</v>
      </c>
      <c r="BB9" s="26">
        <f t="shared" si="6"/>
        <v>0</v>
      </c>
      <c r="BC9" s="26">
        <f t="shared" si="6"/>
        <v>0</v>
      </c>
      <c r="BD9" s="57">
        <f t="shared" si="7"/>
        <v>0</v>
      </c>
      <c r="BF9" s="56">
        <f t="shared" si="8"/>
        <v>0</v>
      </c>
      <c r="BG9" s="26">
        <f t="shared" si="9"/>
        <v>0</v>
      </c>
      <c r="BH9" s="26">
        <f t="shared" si="10"/>
        <v>0</v>
      </c>
      <c r="BI9" s="57">
        <f t="shared" si="11"/>
        <v>0</v>
      </c>
      <c r="BK9" s="56">
        <f t="shared" si="12"/>
        <v>0</v>
      </c>
      <c r="BL9" s="26">
        <f t="shared" si="13"/>
        <v>0</v>
      </c>
      <c r="BM9" s="26">
        <f t="shared" si="13"/>
        <v>0</v>
      </c>
      <c r="BN9" s="57">
        <f t="shared" si="14"/>
        <v>0</v>
      </c>
      <c r="BP9" s="56">
        <f t="shared" si="15"/>
        <v>0</v>
      </c>
      <c r="BQ9" s="26">
        <f t="shared" si="16"/>
        <v>0</v>
      </c>
      <c r="BR9" s="26">
        <f t="shared" si="16"/>
        <v>0</v>
      </c>
      <c r="BS9" s="57">
        <f t="shared" si="17"/>
        <v>0</v>
      </c>
      <c r="BU9" s="56">
        <f>IF($O9=BU$2,IF($Q9=$AD$2,$P9)) + IF($R9=BU$2,IF($T9=$AD$2,$S9)) + IF($U9=BU$2,IF($W9=$AD$2,$V9))</f>
        <v>0</v>
      </c>
      <c r="BV9" s="26">
        <f>IF($O9=BV$2,IF($Q9=$AD$2,2*$P9)) + IF($R9=BV$2,IF($T9=$AD$2,2*$S9)) + IF($U9=BV$2,IF($W9=$AD$2,2*$V9))</f>
        <v>0</v>
      </c>
      <c r="BW9" s="26">
        <f>IF($O9=BW$2,IF($Q9=$AD$2,2*$P9)) + IF($R9=BW$2,IF($T9=$AD$2,2*$S9)) + IF($U9=BW$2,IF($W9=$AD$2,2*$V9))</f>
        <v>0</v>
      </c>
      <c r="BX9" s="57">
        <f>IF($O9=BX$2,IF($Q9=$AD$2,12*$P9)) + IF($R9=BX$2,IF($T9=$AD$2,12*$S9)) + IF($U9=BX$2,IF($W9=$AD$2,12*$V9))</f>
        <v>0</v>
      </c>
      <c r="BZ9" s="56">
        <f>IF($O9=BZ$2,IF($Q9=Armory,$P9)) + IF($R9=BZ$2,IF($T9=Armory,$S9)) + IF($U9=BZ$2,IF($W9=Armory,$V9))</f>
        <v>0</v>
      </c>
      <c r="CA9" s="26">
        <f>IF($O9=CA$2,IF($Q9=Armory,2*$P9)) + IF($R9=CA$2,IF($T9=Armory,2*$S9)) + IF($U9=CA$2,IF($W9=Armory,2*$V9))</f>
        <v>0</v>
      </c>
      <c r="CB9" s="26">
        <f>IF($O9=CB$2,IF($Q9=Armory,2*$P9)) + IF($R9=CB$2,IF($T9=Armory,2*$S9)) + IF($U9=CB$2,IF($W9=Armory,2*$V9))</f>
        <v>0</v>
      </c>
      <c r="CC9" s="57">
        <f>IF($O9=CC$2,IF($Q9=Armory,12*$P9)) + IF($R9=CC$2,IF($T9=Armory,12*$S9)) + IF($U9=CC$2,IF($W9=Armory,12*$V9))</f>
        <v>0</v>
      </c>
      <c r="CE9" s="56">
        <f>IF($O9=CE$2,IF($Q9=Infirmary,$P9)) + IF($R9=CE$2,IF($T9=Infirmary,$S9)) + IF($U9=CE$2,IF($W9=Infirmary,$V9))</f>
        <v>0</v>
      </c>
      <c r="CF9" s="26">
        <f>IF($O9=CF$2,IF($Q9=Infirmary,2*$P9)) + IF($R9=CF$2,IF($T9=Infirmary,2*$S9)) + IF($U9=CF$2,IF($W9=Infirmary,2*$V9))</f>
        <v>0</v>
      </c>
      <c r="CG9" s="26">
        <f>IF($O9=CG$2,IF($Q9=Infirmary,2*$P9)) + IF($R9=CG$2,IF($T9=Infirmary,2*$S9)) + IF($U9=CG$2,IF($W9=Infirmary,2*$V9))</f>
        <v>0</v>
      </c>
      <c r="CH9" s="57">
        <f>IF($O9=CH$2,IF($Q9=Infirmary,12*$P9)) + IF($R9=CH$2,IF($T9=Infirmary,12*$S9)) + IF($U9=CH$2,IF($W9=Infirmary,12*$V9))</f>
        <v>0</v>
      </c>
      <c r="CJ9" s="52" t="e">
        <f>OR(Production!C9,Construction!N9:'Construction'!AF9,Construction!BV9:CN9,Explore!S9:Z9,Military!AF9:AL9,Military!X9,Military!BE9:BL9,Rezone!L9:R9,Magic!G9:Q9)</f>
        <v>#VALUE!</v>
      </c>
      <c r="CK9" s="525">
        <f>M9</f>
        <v>0</v>
      </c>
      <c r="CL9" s="525"/>
      <c r="CM9" s="555">
        <f t="shared" si="20"/>
        <v>43768.062499999985</v>
      </c>
      <c r="CN9" s="563">
        <f t="shared" si="21"/>
        <v>43767.895833333321</v>
      </c>
      <c r="CO9" s="527"/>
      <c r="CP9" s="803"/>
      <c r="CQ9" s="808"/>
      <c r="CR9" s="170"/>
    </row>
    <row r="10" spans="1:98" s="16" customFormat="1" x14ac:dyDescent="0.25">
      <c r="A10" s="511">
        <f>Construction!E10</f>
        <v>1000</v>
      </c>
      <c r="C10" s="56">
        <f ca="1">Production!H10</f>
        <v>4418040</v>
      </c>
      <c r="D10" s="26">
        <f ca="1">Production!J10</f>
        <v>347865</v>
      </c>
      <c r="E10" s="26">
        <f ca="1">Production!L10</f>
        <v>300000</v>
      </c>
      <c r="F10" s="57">
        <f ca="1">Production!M10</f>
        <v>20000</v>
      </c>
      <c r="G10" s="26"/>
      <c r="H10" s="56">
        <f ca="1">Military!Z10</f>
        <v>5295</v>
      </c>
      <c r="I10" s="538">
        <f ca="1">Population!I10</f>
        <v>0.49824336290965404</v>
      </c>
      <c r="J10" s="165">
        <f ca="1">Population!F10/Population!U10</f>
        <v>1.7535552881953564</v>
      </c>
      <c r="K10" s="1000">
        <f>Rezone!J10</f>
        <v>8</v>
      </c>
      <c r="L10" s="582">
        <f t="shared" si="19"/>
        <v>43768.07291666665</v>
      </c>
      <c r="M10" s="316">
        <f t="shared" si="0"/>
        <v>0</v>
      </c>
      <c r="N10" s="638">
        <f t="shared" si="1"/>
        <v>1000</v>
      </c>
      <c r="O10" s="423" t="s">
        <v>4</v>
      </c>
      <c r="P10" s="370"/>
      <c r="Q10" s="424" t="s">
        <v>223</v>
      </c>
      <c r="R10" s="423" t="s">
        <v>7</v>
      </c>
      <c r="S10" s="370"/>
      <c r="T10" s="424" t="s">
        <v>223</v>
      </c>
      <c r="U10" s="406" t="s">
        <v>3</v>
      </c>
      <c r="V10" s="407"/>
      <c r="W10" s="409" t="s">
        <v>223</v>
      </c>
      <c r="Y10" s="501">
        <f ca="1">science_cap*(1-EXP(-AH10/(science_param*($A11-Explore!$S11*20)+15000)))*(1+(mason_bonus*Construction!BB10/Construction!BS10))+IF(Overview!$B$14="Beastfolk",Construction!DA10/Construction!E10,0)*(1 + Production!O10/100*prestige_pop_multiplier)</f>
        <v>0</v>
      </c>
      <c r="Z10" s="454">
        <f ca="1">keep_cap*(1-EXP(-AI10/(keep_param*($A11-Explore!$S11*20)+15000)))*(1+(mason_bonus*Construction!BB10/Construction!BS10))+IF(Overview!$B$14="Beastfolk",Construction!DF10/Construction!E10,0)*(1 + Production!O10/100*prestige_pop_multiplier)</f>
        <v>0</v>
      </c>
      <c r="AA10" s="454">
        <f ca="1">harbor_towers_cap*(1-EXP(-AJ10/(harbor_towers_param*($A11-Explore!$S11*20)+15000)))*(1+(mason_bonus*Construction!BB10/Construction!BS10))+IF(Overview!$B$14="Beastfolk",2*Construction!DC10/Construction!E10,0)*(1 + Production!O10/100*prestige_pop_multiplier)</f>
        <v>0</v>
      </c>
      <c r="AB10" s="454">
        <f ca="1">walls_forges_cap*(1-EXP(-AK10/(walls_forges_param*($A11-Explore!$S11*20)+15000)))*(1+(mason_bonus*Construction!BB10/Construction!BS10))+IF(Overview!$B$14="Beastfolk",0.2*Construction!CY10/Construction!E10,0)</f>
        <v>0</v>
      </c>
      <c r="AC10" s="454">
        <f ca="1">walls_forges_cap*(1-EXP(-AL10/(walls_forges_param*($A11-Explore!$S11*20)+15000)))*(1+(mason_bonus*Construction!BB10/Construction!BS10))+IF(Overview!$B$14="Beastfolk",5*Construction!DB10/Construction!E10,0)</f>
        <v>0</v>
      </c>
      <c r="AD10" s="171">
        <f ca="1">harbor_towers_cap*(1-EXP(-AM10/(harbor_towers_param*($A11-Explore!$S11*20)+15000)))*(1+(mason_bonus*Construction!BB10/Construction!BS10))+IF(Overview!$B$14="Beastfolk",Construction!DE10/Construction!E10)*(1 + Production!O10/100*prestige_pop_multiplier)</f>
        <v>0</v>
      </c>
      <c r="AE10" s="171">
        <f ca="1">armory_cap*(1-EXP(-AN10/(armory_param*($A11-Explore!$S11*20)+15000)))*(1+(mason_bonus*Construction!$BB10/Construction!$BS10))</f>
        <v>0</v>
      </c>
      <c r="AF10" s="171">
        <f ca="1">infirmary_cap*(1-EXP(-AO10/(infirmary_param*($A11-Explore!$S11*20)+15000)))*(1+(mason_bonus*Construction!$BB10/Construction!$BS10))</f>
        <v>0</v>
      </c>
      <c r="AH10" s="56">
        <f ca="1">(1+Overview!$O$28+IF(Magic!BA10&gt;0,0.1,0))*SUM(AV10:AY10) + AH9</f>
        <v>0</v>
      </c>
      <c r="AI10" s="26">
        <f ca="1">(1+Overview!$O$28+IF(Magic!BA10&gt;0,0.1,0))*SUM(BA10:BD10) + AI9</f>
        <v>0</v>
      </c>
      <c r="AJ10" s="164">
        <f ca="1">(1+Overview!$O$28+IF(Magic!BA10&gt;0,0.1,0))*SUM(BF10:BI10) + AJ9</f>
        <v>0</v>
      </c>
      <c r="AK10" s="164">
        <f ca="1">(1+Overview!$O$28+IF(Magic!BA10&gt;0,0.1,0))*SUM(BK10:BN10) + AK9</f>
        <v>0</v>
      </c>
      <c r="AL10" s="164">
        <f ca="1">(1+Overview!$O$28+IF(Magic!BA10&gt;0,0.1,0))*SUM(BP10:BS10) + AL9</f>
        <v>0</v>
      </c>
      <c r="AM10" s="166">
        <f ca="1">(1+Overview!$O$28+IF(Magic!BA10&gt;0,0.1,0))*SUM(BU10:BX10) + AM9</f>
        <v>0</v>
      </c>
      <c r="AN10" s="166">
        <f ca="1">(1+Overview!$O$28+IF(Magic!BA10&gt;0,0.1,0))*SUM(BZ10:CC10)+AN9</f>
        <v>0</v>
      </c>
      <c r="AO10" s="164">
        <f ca="1">(1+Overview!$O$28+IF(Magic!BA10&gt;0,0.1,0))*SUM(CE10:CH10)+AO9</f>
        <v>0</v>
      </c>
      <c r="AQ10" s="52">
        <f t="shared" si="2"/>
        <v>0</v>
      </c>
      <c r="AR10" s="16">
        <f t="shared" si="2"/>
        <v>0</v>
      </c>
      <c r="AS10" s="16">
        <f t="shared" si="2"/>
        <v>0</v>
      </c>
      <c r="AT10" s="53">
        <f t="shared" si="2"/>
        <v>0</v>
      </c>
      <c r="AV10" s="56">
        <f t="shared" si="18"/>
        <v>0</v>
      </c>
      <c r="AW10" s="26">
        <f t="shared" si="3"/>
        <v>0</v>
      </c>
      <c r="AX10" s="26">
        <f t="shared" si="3"/>
        <v>0</v>
      </c>
      <c r="AY10" s="57">
        <f t="shared" si="4"/>
        <v>0</v>
      </c>
      <c r="BA10" s="56">
        <f t="shared" si="5"/>
        <v>0</v>
      </c>
      <c r="BB10" s="26">
        <f t="shared" si="6"/>
        <v>0</v>
      </c>
      <c r="BC10" s="26">
        <f t="shared" si="6"/>
        <v>0</v>
      </c>
      <c r="BD10" s="57">
        <f t="shared" si="7"/>
        <v>0</v>
      </c>
      <c r="BF10" s="56">
        <f t="shared" si="8"/>
        <v>0</v>
      </c>
      <c r="BG10" s="26">
        <f t="shared" si="9"/>
        <v>0</v>
      </c>
      <c r="BH10" s="26">
        <f t="shared" si="10"/>
        <v>0</v>
      </c>
      <c r="BI10" s="57">
        <f t="shared" si="11"/>
        <v>0</v>
      </c>
      <c r="BK10" s="56">
        <f t="shared" si="12"/>
        <v>0</v>
      </c>
      <c r="BL10" s="26">
        <f t="shared" si="13"/>
        <v>0</v>
      </c>
      <c r="BM10" s="26">
        <f t="shared" si="13"/>
        <v>0</v>
      </c>
      <c r="BN10" s="57">
        <f t="shared" si="14"/>
        <v>0</v>
      </c>
      <c r="BP10" s="56">
        <f t="shared" si="15"/>
        <v>0</v>
      </c>
      <c r="BQ10" s="26">
        <f t="shared" si="16"/>
        <v>0</v>
      </c>
      <c r="BR10" s="26">
        <f t="shared" si="16"/>
        <v>0</v>
      </c>
      <c r="BS10" s="57">
        <f t="shared" si="17"/>
        <v>0</v>
      </c>
      <c r="BU10" s="56">
        <f>IF($O10=BU$2,IF($Q10=$AD$2,$P10)) + IF($R10=BU$2,IF($T10=$AD$2,$S10)) + IF($U10=BU$2,IF($W10=$AD$2,$V10))</f>
        <v>0</v>
      </c>
      <c r="BV10" s="26">
        <f>IF($O10=BV$2,IF($Q10=$AD$2,2*$P10)) + IF($R10=BV$2,IF($T10=$AD$2,2*$S10)) + IF($U10=BV$2,IF($W10=$AD$2,2*$V10))</f>
        <v>0</v>
      </c>
      <c r="BW10" s="26">
        <f>IF($O10=BW$2,IF($Q10=$AD$2,2*$P10)) + IF($R10=BW$2,IF($T10=$AD$2,2*$S10)) + IF($U10=BW$2,IF($W10=$AD$2,2*$V10))</f>
        <v>0</v>
      </c>
      <c r="BX10" s="57">
        <f>IF($O10=BX$2,IF($Q10=$AD$2,12*$P10)) + IF($R10=BX$2,IF($T10=$AD$2,12*$S10)) + IF($U10=BX$2,IF($W10=$AD$2,12*$V10))</f>
        <v>0</v>
      </c>
      <c r="BZ10" s="56">
        <f>IF($O10=BZ$2,IF($Q10=Armory,$P10)) + IF($R10=BZ$2,IF($T10=Armory,$S10)) + IF($U10=BZ$2,IF($W10=Armory,$V10))</f>
        <v>0</v>
      </c>
      <c r="CA10" s="26">
        <f>IF($O10=CA$2,IF($Q10=Armory,2*$P10)) + IF($R10=CA$2,IF($T10=Armory,2*$S10)) + IF($U10=CA$2,IF($W10=Armory,2*$V10))</f>
        <v>0</v>
      </c>
      <c r="CB10" s="26">
        <f>IF($O10=CB$2,IF($Q10=Armory,2*$P10)) + IF($R10=CB$2,IF($T10=Armory,2*$S10)) + IF($U10=CB$2,IF($W10=Armory,2*$V10))</f>
        <v>0</v>
      </c>
      <c r="CC10" s="57">
        <f>IF($O10=CC$2,IF($Q10=Armory,12*$P10)) + IF($R10=CC$2,IF($T10=Armory,12*$S10)) + IF($U10=CC$2,IF($W10=Armory,12*$V10))</f>
        <v>0</v>
      </c>
      <c r="CE10" s="56">
        <f>IF($O10=CE$2,IF($Q10=Infirmary,$P10)) + IF($R10=CE$2,IF($T10=Infirmary,$S10)) + IF($U10=CE$2,IF($W10=Infirmary,$V10))</f>
        <v>0</v>
      </c>
      <c r="CF10" s="26">
        <f>IF($O10=CF$2,IF($Q10=Infirmary,2*$P10)) + IF($R10=CF$2,IF($T10=Infirmary,2*$S10)) + IF($U10=CF$2,IF($W10=Infirmary,2*$V10))</f>
        <v>0</v>
      </c>
      <c r="CG10" s="26">
        <f>IF($O10=CG$2,IF($Q10=Infirmary,2*$P10)) + IF($R10=CG$2,IF($T10=Infirmary,2*$S10)) + IF($U10=CG$2,IF($W10=Infirmary,2*$V10))</f>
        <v>0</v>
      </c>
      <c r="CH10" s="57">
        <f>IF($O10=CH$2,IF($Q10=Infirmary,12*$P10)) + IF($R10=CH$2,IF($T10=Infirmary,12*$S10)) + IF($U10=CH$2,IF($W10=Infirmary,12*$V10))</f>
        <v>0</v>
      </c>
      <c r="CJ10" s="52" t="e">
        <f>OR(Production!C10,Construction!N10:'Construction'!AF10,Construction!BV10:CN10,Explore!S10:Z10,Military!AF10:AL10,Military!X10,Military!BE10:BL10,Rezone!L10:R10,Magic!G10:Q10)</f>
        <v>#VALUE!</v>
      </c>
      <c r="CK10" s="525">
        <f>M10</f>
        <v>0</v>
      </c>
      <c r="CL10" s="525"/>
      <c r="CM10" s="555">
        <f t="shared" si="20"/>
        <v>43768.07291666665</v>
      </c>
      <c r="CN10" s="563">
        <f t="shared" si="21"/>
        <v>43767.906249999985</v>
      </c>
      <c r="CO10" s="527"/>
      <c r="CP10" s="803"/>
      <c r="CQ10" s="808"/>
      <c r="CR10" s="170"/>
    </row>
    <row r="11" spans="1:98" s="16" customFormat="1" x14ac:dyDescent="0.25">
      <c r="A11" s="511">
        <f>Construction!E11</f>
        <v>1000</v>
      </c>
      <c r="C11" s="56">
        <f ca="1">Production!H11</f>
        <v>4427760</v>
      </c>
      <c r="D11" s="26">
        <f ca="1">Production!J11</f>
        <v>346886</v>
      </c>
      <c r="E11" s="26">
        <f ca="1">Production!L11</f>
        <v>300000</v>
      </c>
      <c r="F11" s="57">
        <f ca="1">Production!M11</f>
        <v>20000</v>
      </c>
      <c r="G11" s="26"/>
      <c r="H11" s="56">
        <f ca="1">Military!Z11</f>
        <v>5295</v>
      </c>
      <c r="I11" s="538">
        <f ca="1">Population!I11</f>
        <v>0.52446669779963584</v>
      </c>
      <c r="J11" s="165">
        <f ca="1">Population!F11/Population!U11</f>
        <v>1.7029573557183615</v>
      </c>
      <c r="K11" s="1000">
        <f>Rezone!J11</f>
        <v>9</v>
      </c>
      <c r="L11" s="582">
        <f t="shared" si="19"/>
        <v>43768.083333333314</v>
      </c>
      <c r="M11" s="316">
        <f t="shared" si="0"/>
        <v>0</v>
      </c>
      <c r="N11" s="638">
        <f t="shared" si="1"/>
        <v>1000</v>
      </c>
      <c r="O11" s="423" t="s">
        <v>4</v>
      </c>
      <c r="P11" s="370"/>
      <c r="Q11" s="424" t="s">
        <v>223</v>
      </c>
      <c r="R11" s="423" t="s">
        <v>7</v>
      </c>
      <c r="S11" s="370"/>
      <c r="T11" s="424" t="s">
        <v>223</v>
      </c>
      <c r="U11" s="406" t="s">
        <v>3</v>
      </c>
      <c r="V11" s="407"/>
      <c r="W11" s="409" t="s">
        <v>223</v>
      </c>
      <c r="Y11" s="501">
        <f ca="1">science_cap*(1-EXP(-AH11/(science_param*($A12-Explore!$S12*20)+15000)))*(1+(mason_bonus*Construction!BB11/Construction!BS11))+IF(Overview!$B$14="Beastfolk",Construction!DA11/Construction!E11,0)*(1 + Production!O11/100*prestige_pop_multiplier)</f>
        <v>0</v>
      </c>
      <c r="Z11" s="454">
        <f ca="1">keep_cap*(1-EXP(-AI11/(keep_param*($A12-Explore!$S12*20)+15000)))*(1+(mason_bonus*Construction!BB11/Construction!BS11))+IF(Overview!$B$14="Beastfolk",Construction!DF11/Construction!E11,0)*(1 + Production!O11/100*prestige_pop_multiplier)</f>
        <v>0</v>
      </c>
      <c r="AA11" s="454">
        <f ca="1">harbor_towers_cap*(1-EXP(-AJ11/(harbor_towers_param*($A12-Explore!$S12*20)+15000)))*(1+(mason_bonus*Construction!BB11/Construction!BS11))+IF(Overview!$B$14="Beastfolk",2*Construction!DC11/Construction!E11,0)*(1 + Production!O11/100*prestige_pop_multiplier)</f>
        <v>0</v>
      </c>
      <c r="AB11" s="454">
        <f ca="1">walls_forges_cap*(1-EXP(-AK11/(walls_forges_param*($A12-Explore!$S12*20)+15000)))*(1+(mason_bonus*Construction!BB11/Construction!BS11))+IF(Overview!$B$14="Beastfolk",0.2*Construction!CY11/Construction!E11,0)</f>
        <v>0</v>
      </c>
      <c r="AC11" s="454">
        <f ca="1">walls_forges_cap*(1-EXP(-AL11/(walls_forges_param*($A12-Explore!$S12*20)+15000)))*(1+(mason_bonus*Construction!BB11/Construction!BS11))+IF(Overview!$B$14="Beastfolk",5*Construction!DB11/Construction!E11,0)</f>
        <v>0</v>
      </c>
      <c r="AD11" s="171">
        <f ca="1">harbor_towers_cap*(1-EXP(-AM11/(harbor_towers_param*($A12-Explore!$S12*20)+15000)))*(1+(mason_bonus*Construction!BB11/Construction!BS11))+IF(Overview!$B$14="Beastfolk",Construction!DE11/Construction!E11)*(1 + Production!O11/100*prestige_pop_multiplier)</f>
        <v>0</v>
      </c>
      <c r="AE11" s="171">
        <f ca="1">armory_cap*(1-EXP(-AN11/(armory_param*($A12-Explore!$S12*20)+15000)))*(1+(mason_bonus*Construction!$BB11/Construction!$BS11))</f>
        <v>0</v>
      </c>
      <c r="AF11" s="171">
        <f ca="1">infirmary_cap*(1-EXP(-AO11/(infirmary_param*($A12-Explore!$S12*20)+15000)))*(1+(mason_bonus*Construction!$BB11/Construction!$BS11))</f>
        <v>0</v>
      </c>
      <c r="AH11" s="56">
        <f ca="1">(1+Overview!$O$28+IF(Magic!BA11&gt;0,0.1,0))*SUM(AV11:AY11) + AH10</f>
        <v>0</v>
      </c>
      <c r="AI11" s="26">
        <f ca="1">(1+Overview!$O$28+IF(Magic!BA11&gt;0,0.1,0))*SUM(BA11:BD11) + AI10</f>
        <v>0</v>
      </c>
      <c r="AJ11" s="164">
        <f ca="1">(1+Overview!$O$28+IF(Magic!BA11&gt;0,0.1,0))*SUM(BF11:BI11) + AJ10</f>
        <v>0</v>
      </c>
      <c r="AK11" s="164">
        <f ca="1">(1+Overview!$O$28+IF(Magic!BA11&gt;0,0.1,0))*SUM(BK11:BN11) + AK10</f>
        <v>0</v>
      </c>
      <c r="AL11" s="164">
        <f ca="1">(1+Overview!$O$28+IF(Magic!BA11&gt;0,0.1,0))*SUM(BP11:BS11) + AL10</f>
        <v>0</v>
      </c>
      <c r="AM11" s="166">
        <f ca="1">(1+Overview!$O$28+IF(Magic!BA11&gt;0,0.1,0))*SUM(BU11:BX11) + AM10</f>
        <v>0</v>
      </c>
      <c r="AN11" s="166">
        <f ca="1">(1+Overview!$O$28+IF(Magic!BA11&gt;0,0.1,0))*SUM(BZ11:CC11)+AN10</f>
        <v>0</v>
      </c>
      <c r="AO11" s="164">
        <f ca="1">(1+Overview!$O$28+IF(Magic!BA11&gt;0,0.1,0))*SUM(CE11:CH11)+AO10</f>
        <v>0</v>
      </c>
      <c r="AQ11" s="52">
        <f t="shared" si="2"/>
        <v>0</v>
      </c>
      <c r="AR11" s="16">
        <f t="shared" si="2"/>
        <v>0</v>
      </c>
      <c r="AS11" s="16">
        <f t="shared" si="2"/>
        <v>0</v>
      </c>
      <c r="AT11" s="53">
        <f t="shared" si="2"/>
        <v>0</v>
      </c>
      <c r="AV11" s="56">
        <f t="shared" si="18"/>
        <v>0</v>
      </c>
      <c r="AW11" s="26">
        <f t="shared" si="3"/>
        <v>0</v>
      </c>
      <c r="AX11" s="26">
        <f t="shared" si="3"/>
        <v>0</v>
      </c>
      <c r="AY11" s="57">
        <f t="shared" si="4"/>
        <v>0</v>
      </c>
      <c r="BA11" s="56">
        <f t="shared" si="5"/>
        <v>0</v>
      </c>
      <c r="BB11" s="26">
        <f t="shared" si="6"/>
        <v>0</v>
      </c>
      <c r="BC11" s="26">
        <f t="shared" si="6"/>
        <v>0</v>
      </c>
      <c r="BD11" s="57">
        <f t="shared" si="7"/>
        <v>0</v>
      </c>
      <c r="BF11" s="56">
        <f t="shared" si="8"/>
        <v>0</v>
      </c>
      <c r="BG11" s="26">
        <f t="shared" si="9"/>
        <v>0</v>
      </c>
      <c r="BH11" s="26">
        <f t="shared" si="10"/>
        <v>0</v>
      </c>
      <c r="BI11" s="57">
        <f t="shared" si="11"/>
        <v>0</v>
      </c>
      <c r="BK11" s="56">
        <f t="shared" si="12"/>
        <v>0</v>
      </c>
      <c r="BL11" s="26">
        <f t="shared" si="13"/>
        <v>0</v>
      </c>
      <c r="BM11" s="26">
        <f t="shared" si="13"/>
        <v>0</v>
      </c>
      <c r="BN11" s="57">
        <f t="shared" si="14"/>
        <v>0</v>
      </c>
      <c r="BP11" s="56">
        <f t="shared" si="15"/>
        <v>0</v>
      </c>
      <c r="BQ11" s="26">
        <f t="shared" si="16"/>
        <v>0</v>
      </c>
      <c r="BR11" s="26">
        <f t="shared" si="16"/>
        <v>0</v>
      </c>
      <c r="BS11" s="57">
        <f t="shared" si="17"/>
        <v>0</v>
      </c>
      <c r="BU11" s="56">
        <f>IF($O11=BU$2,IF($Q11=$AD$2,$P11)) + IF($R11=BU$2,IF($T11=$AD$2,$S11)) + IF($U11=BU$2,IF($W11=$AD$2,$V11))</f>
        <v>0</v>
      </c>
      <c r="BV11" s="26">
        <f>IF($O11=BV$2,IF($Q11=$AD$2,2*$P11)) + IF($R11=BV$2,IF($T11=$AD$2,2*$S11)) + IF($U11=BV$2,IF($W11=$AD$2,2*$V11))</f>
        <v>0</v>
      </c>
      <c r="BW11" s="26">
        <f>IF($O11=BW$2,IF($Q11=$AD$2,2*$P11)) + IF($R11=BW$2,IF($T11=$AD$2,2*$S11)) + IF($U11=BW$2,IF($W11=$AD$2,2*$V11))</f>
        <v>0</v>
      </c>
      <c r="BX11" s="57">
        <f>IF($O11=BX$2,IF($Q11=$AD$2,12*$P11)) + IF($R11=BX$2,IF($T11=$AD$2,12*$S11)) + IF($U11=BX$2,IF($W11=$AD$2,12*$V11))</f>
        <v>0</v>
      </c>
      <c r="BZ11" s="56">
        <f>IF($O11=BZ$2,IF($Q11=Armory,$P11)) + IF($R11=BZ$2,IF($T11=Armory,$S11)) + IF($U11=BZ$2,IF($W11=Armory,$V11))</f>
        <v>0</v>
      </c>
      <c r="CA11" s="26">
        <f>IF($O11=CA$2,IF($Q11=Armory,2*$P11)) + IF($R11=CA$2,IF($T11=Armory,2*$S11)) + IF($U11=CA$2,IF($W11=Armory,2*$V11))</f>
        <v>0</v>
      </c>
      <c r="CB11" s="26">
        <f>IF($O11=CB$2,IF($Q11=Armory,2*$P11)) + IF($R11=CB$2,IF($T11=Armory,2*$S11)) + IF($U11=CB$2,IF($W11=Armory,2*$V11))</f>
        <v>0</v>
      </c>
      <c r="CC11" s="57">
        <f>IF($O11=CC$2,IF($Q11=Armory,12*$P11)) + IF($R11=CC$2,IF($T11=Armory,12*$S11)) + IF($U11=CC$2,IF($W11=Armory,12*$V11))</f>
        <v>0</v>
      </c>
      <c r="CE11" s="56">
        <f>IF($O11=CE$2,IF($Q11=Infirmary,$P11)) + IF($R11=CE$2,IF($T11=Infirmary,$S11)) + IF($U11=CE$2,IF($W11=Infirmary,$V11))</f>
        <v>0</v>
      </c>
      <c r="CF11" s="26">
        <f>IF($O11=CF$2,IF($Q11=Infirmary,2*$P11)) + IF($R11=CF$2,IF($T11=Infirmary,2*$S11)) + IF($U11=CF$2,IF($W11=Infirmary,2*$V11))</f>
        <v>0</v>
      </c>
      <c r="CG11" s="26">
        <f>IF($O11=CG$2,IF($Q11=Infirmary,2*$P11)) + IF($R11=CG$2,IF($T11=Infirmary,2*$S11)) + IF($U11=CG$2,IF($W11=Infirmary,2*$V11))</f>
        <v>0</v>
      </c>
      <c r="CH11" s="57">
        <f>IF($O11=CH$2,IF($Q11=Infirmary,12*$P11)) + IF($R11=CH$2,IF($T11=Infirmary,12*$S11)) + IF($U11=CH$2,IF($W11=Infirmary,12*$V11))</f>
        <v>0</v>
      </c>
      <c r="CJ11" s="52" t="e">
        <f>OR(Production!C11,Construction!N11:'Construction'!AF11,Construction!BV11:CN11,Explore!S11:Z11,Military!AF11:AL11,Military!X11,Military!BE11:BL11,Rezone!L11:R11,Magic!G11:Q11)</f>
        <v>#VALUE!</v>
      </c>
      <c r="CK11" s="525">
        <f>M11</f>
        <v>0</v>
      </c>
      <c r="CL11" s="525"/>
      <c r="CM11" s="555">
        <f t="shared" si="20"/>
        <v>43768.083333333314</v>
      </c>
      <c r="CN11" s="563">
        <f t="shared" si="21"/>
        <v>43767.91666666665</v>
      </c>
      <c r="CO11" s="527"/>
      <c r="CP11" s="803"/>
      <c r="CQ11" s="808"/>
      <c r="CR11" s="170"/>
    </row>
    <row r="12" spans="1:98" s="16" customFormat="1" x14ac:dyDescent="0.25">
      <c r="A12" s="511">
        <f>Construction!E12</f>
        <v>1000</v>
      </c>
      <c r="C12" s="56">
        <f ca="1">Production!H12</f>
        <v>4437480</v>
      </c>
      <c r="D12" s="26">
        <f ca="1">Production!J12</f>
        <v>345917</v>
      </c>
      <c r="E12" s="26">
        <f ca="1">Production!L12</f>
        <v>300000</v>
      </c>
      <c r="F12" s="57">
        <f ca="1">Production!M12</f>
        <v>20000</v>
      </c>
      <c r="G12" s="26"/>
      <c r="H12" s="56">
        <f ca="1">Military!Z12</f>
        <v>5295</v>
      </c>
      <c r="I12" s="538">
        <f ca="1">Population!I12</f>
        <v>0.55207020821014297</v>
      </c>
      <c r="J12" s="165">
        <f ca="1">Population!F12/Population!U12</f>
        <v>1.6548893198652168</v>
      </c>
      <c r="K12" s="1000">
        <f>Rezone!J12</f>
        <v>10</v>
      </c>
      <c r="L12" s="582">
        <f t="shared" si="19"/>
        <v>43768.093749999978</v>
      </c>
      <c r="M12" s="316">
        <f t="shared" si="0"/>
        <v>0</v>
      </c>
      <c r="N12" s="638">
        <f t="shared" si="1"/>
        <v>1000</v>
      </c>
      <c r="O12" s="423" t="s">
        <v>4</v>
      </c>
      <c r="P12" s="370"/>
      <c r="Q12" s="424" t="s">
        <v>223</v>
      </c>
      <c r="R12" s="423" t="s">
        <v>7</v>
      </c>
      <c r="S12" s="370"/>
      <c r="T12" s="425" t="s">
        <v>223</v>
      </c>
      <c r="U12" s="408" t="s">
        <v>3</v>
      </c>
      <c r="V12" s="407"/>
      <c r="W12" s="409" t="s">
        <v>223</v>
      </c>
      <c r="Y12" s="501">
        <f ca="1">science_cap*(1-EXP(-AH12/(science_param*($A13-Explore!$S13*20)+15000)))*(1+(mason_bonus*Construction!BB12/Construction!BS12))+IF(Overview!$B$14="Beastfolk",Construction!DA12/Construction!E12,0)*(1 + Production!O12/100*prestige_pop_multiplier)</f>
        <v>0</v>
      </c>
      <c r="Z12" s="454">
        <f ca="1">keep_cap*(1-EXP(-AI12/(keep_param*($A13-Explore!$S13*20)+15000)))*(1+(mason_bonus*Construction!BB12/Construction!BS12))+IF(Overview!$B$14="Beastfolk",Construction!DF12/Construction!E12,0)*(1 + Production!O12/100*prestige_pop_multiplier)</f>
        <v>0</v>
      </c>
      <c r="AA12" s="454">
        <f ca="1">harbor_towers_cap*(1-EXP(-AJ12/(harbor_towers_param*($A13-Explore!$S13*20)+15000)))*(1+(mason_bonus*Construction!BB12/Construction!BS12))+IF(Overview!$B$14="Beastfolk",2*Construction!DC12/Construction!E12,0)*(1 + Production!O12/100*prestige_pop_multiplier)</f>
        <v>0</v>
      </c>
      <c r="AB12" s="454">
        <f ca="1">walls_forges_cap*(1-EXP(-AK12/(walls_forges_param*($A13-Explore!$S13*20)+15000)))*(1+(mason_bonus*Construction!BB12/Construction!BS12))+IF(Overview!$B$14="Beastfolk",0.2*Construction!CY12/Construction!E12,0)</f>
        <v>0</v>
      </c>
      <c r="AC12" s="454">
        <f ca="1">walls_forges_cap*(1-EXP(-AL12/(walls_forges_param*($A13-Explore!$S13*20)+15000)))*(1+(mason_bonus*Construction!BB12/Construction!BS12))+IF(Overview!$B$14="Beastfolk",5*Construction!DB12/Construction!E12,0)</f>
        <v>0</v>
      </c>
      <c r="AD12" s="171">
        <f ca="1">harbor_towers_cap*(1-EXP(-AM12/(harbor_towers_param*($A13-Explore!$S13*20)+15000)))*(1+(mason_bonus*Construction!BB12/Construction!BS12))+IF(Overview!$B$14="Beastfolk",Construction!DE12/Construction!E12)*(1 + Production!O12/100*prestige_pop_multiplier)</f>
        <v>0</v>
      </c>
      <c r="AE12" s="171">
        <f ca="1">armory_cap*(1-EXP(-AN12/(armory_param*($A13-Explore!$S13*20)+15000)))*(1+(mason_bonus*Construction!$BB12/Construction!$BS12))</f>
        <v>0</v>
      </c>
      <c r="AF12" s="171">
        <f ca="1">infirmary_cap*(1-EXP(-AO12/(infirmary_param*($A13-Explore!$S13*20)+15000)))*(1+(mason_bonus*Construction!$BB12/Construction!$BS12))</f>
        <v>0</v>
      </c>
      <c r="AH12" s="56">
        <f ca="1">(1+Overview!$O$28+IF(Magic!BA12&gt;0,0.1,0))*SUM(AV12:AY12) + AH11</f>
        <v>0</v>
      </c>
      <c r="AI12" s="26">
        <f ca="1">(1+Overview!$O$28+IF(Magic!BA12&gt;0,0.1,0))*SUM(BA12:BD12) + AI11</f>
        <v>0</v>
      </c>
      <c r="AJ12" s="164">
        <f ca="1">(1+Overview!$O$28+IF(Magic!BA12&gt;0,0.1,0))*SUM(BF12:BI12) + AJ11</f>
        <v>0</v>
      </c>
      <c r="AK12" s="164">
        <f ca="1">(1+Overview!$O$28+IF(Magic!BA12&gt;0,0.1,0))*SUM(BK12:BN12) + AK11</f>
        <v>0</v>
      </c>
      <c r="AL12" s="164">
        <f ca="1">(1+Overview!$O$28+IF(Magic!BA12&gt;0,0.1,0))*SUM(BP12:BS12) + AL11</f>
        <v>0</v>
      </c>
      <c r="AM12" s="166">
        <f ca="1">(1+Overview!$O$28+IF(Magic!BA12&gt;0,0.1,0))*SUM(BU12:BX12) + AM11</f>
        <v>0</v>
      </c>
      <c r="AN12" s="166">
        <f ca="1">(1+Overview!$O$28+IF(Magic!BA12&gt;0,0.1,0))*SUM(BZ12:CC12)+AN11</f>
        <v>0</v>
      </c>
      <c r="AO12" s="164">
        <f ca="1">(1+Overview!$O$28+IF(Magic!BA12&gt;0,0.1,0))*SUM(CE12:CH12)+AO11</f>
        <v>0</v>
      </c>
      <c r="AQ12" s="52">
        <f t="shared" si="2"/>
        <v>0</v>
      </c>
      <c r="AR12" s="16">
        <f t="shared" si="2"/>
        <v>0</v>
      </c>
      <c r="AS12" s="16">
        <f t="shared" si="2"/>
        <v>0</v>
      </c>
      <c r="AT12" s="53">
        <f t="shared" si="2"/>
        <v>0</v>
      </c>
      <c r="AV12" s="56">
        <f t="shared" si="18"/>
        <v>0</v>
      </c>
      <c r="AW12" s="26">
        <f t="shared" si="3"/>
        <v>0</v>
      </c>
      <c r="AX12" s="26">
        <f t="shared" si="3"/>
        <v>0</v>
      </c>
      <c r="AY12" s="57">
        <f t="shared" si="4"/>
        <v>0</v>
      </c>
      <c r="BA12" s="56">
        <f t="shared" si="5"/>
        <v>0</v>
      </c>
      <c r="BB12" s="26">
        <f t="shared" si="6"/>
        <v>0</v>
      </c>
      <c r="BC12" s="26">
        <f t="shared" si="6"/>
        <v>0</v>
      </c>
      <c r="BD12" s="57">
        <f t="shared" si="7"/>
        <v>0</v>
      </c>
      <c r="BF12" s="56">
        <f t="shared" si="8"/>
        <v>0</v>
      </c>
      <c r="BG12" s="26">
        <f t="shared" si="9"/>
        <v>0</v>
      </c>
      <c r="BH12" s="26">
        <f t="shared" si="10"/>
        <v>0</v>
      </c>
      <c r="BI12" s="57">
        <f t="shared" si="11"/>
        <v>0</v>
      </c>
      <c r="BK12" s="56">
        <f t="shared" si="12"/>
        <v>0</v>
      </c>
      <c r="BL12" s="26">
        <f t="shared" si="13"/>
        <v>0</v>
      </c>
      <c r="BM12" s="26">
        <f t="shared" si="13"/>
        <v>0</v>
      </c>
      <c r="BN12" s="57">
        <f t="shared" si="14"/>
        <v>0</v>
      </c>
      <c r="BP12" s="56">
        <f t="shared" si="15"/>
        <v>0</v>
      </c>
      <c r="BQ12" s="26">
        <f t="shared" si="16"/>
        <v>0</v>
      </c>
      <c r="BR12" s="26">
        <f t="shared" si="16"/>
        <v>0</v>
      </c>
      <c r="BS12" s="57">
        <f t="shared" si="17"/>
        <v>0</v>
      </c>
      <c r="BU12" s="56">
        <f>IF($O12=BU$2,IF($Q12=$AD$2,$P12)) + IF($R12=BU$2,IF($T12=$AD$2,$S12)) + IF($U12=BU$2,IF($W12=$AD$2,$V12))</f>
        <v>0</v>
      </c>
      <c r="BV12" s="26">
        <f>IF($O12=BV$2,IF($Q12=$AD$2,2*$P12)) + IF($R12=BV$2,IF($T12=$AD$2,2*$S12)) + IF($U12=BV$2,IF($W12=$AD$2,2*$V12))</f>
        <v>0</v>
      </c>
      <c r="BW12" s="26">
        <f>IF($O12=BW$2,IF($Q12=$AD$2,2*$P12)) + IF($R12=BW$2,IF($T12=$AD$2,2*$S12)) + IF($U12=BW$2,IF($W12=$AD$2,2*$V12))</f>
        <v>0</v>
      </c>
      <c r="BX12" s="57">
        <f>IF($O12=BX$2,IF($Q12=$AD$2,12*$P12)) + IF($R12=BX$2,IF($T12=$AD$2,12*$S12)) + IF($U12=BX$2,IF($W12=$AD$2,12*$V12))</f>
        <v>0</v>
      </c>
      <c r="BZ12" s="56">
        <f>IF($O12=BZ$2,IF($Q12=Armory,$P12)) + IF($R12=BZ$2,IF($T12=Armory,$S12)) + IF($U12=BZ$2,IF($W12=Armory,$V12))</f>
        <v>0</v>
      </c>
      <c r="CA12" s="26">
        <f>IF($O12=CA$2,IF($Q12=Armory,2*$P12)) + IF($R12=CA$2,IF($T12=Armory,2*$S12)) + IF($U12=CA$2,IF($W12=Armory,2*$V12))</f>
        <v>0</v>
      </c>
      <c r="CB12" s="26">
        <f>IF($O12=CB$2,IF($Q12=Armory,2*$P12)) + IF($R12=CB$2,IF($T12=Armory,2*$S12)) + IF($U12=CB$2,IF($W12=Armory,2*$V12))</f>
        <v>0</v>
      </c>
      <c r="CC12" s="57">
        <f>IF($O12=CC$2,IF($Q12=Armory,12*$P12)) + IF($R12=CC$2,IF($T12=Armory,12*$S12)) + IF($U12=CC$2,IF($W12=Armory,12*$V12))</f>
        <v>0</v>
      </c>
      <c r="CE12" s="56">
        <f>IF($O12=CE$2,IF($Q12=Infirmary,$P12)) + IF($R12=CE$2,IF($T12=Infirmary,$S12)) + IF($U12=CE$2,IF($W12=Infirmary,$V12))</f>
        <v>0</v>
      </c>
      <c r="CF12" s="26">
        <f>IF($O12=CF$2,IF($Q12=Infirmary,2*$P12)) + IF($R12=CF$2,IF($T12=Infirmary,2*$S12)) + IF($U12=CF$2,IF($W12=Infirmary,2*$V12))</f>
        <v>0</v>
      </c>
      <c r="CG12" s="26">
        <f>IF($O12=CG$2,IF($Q12=Infirmary,2*$P12)) + IF($R12=CG$2,IF($T12=Infirmary,2*$S12)) + IF($U12=CG$2,IF($W12=Infirmary,2*$V12))</f>
        <v>0</v>
      </c>
      <c r="CH12" s="57">
        <f>IF($O12=CH$2,IF($Q12=Infirmary,12*$P12)) + IF($R12=CH$2,IF($T12=Infirmary,12*$S12)) + IF($U12=CH$2,IF($W12=Infirmary,12*$V12))</f>
        <v>0</v>
      </c>
      <c r="CJ12" s="52" t="e">
        <f>OR(Production!C12,Construction!N12:'Construction'!AF12,Construction!BV12:CN12,Explore!S12:Z12,Military!AF12:AL12,Military!X12,Military!BE12:BL12,Rezone!L12:R12,Magic!G12:Q12)</f>
        <v>#VALUE!</v>
      </c>
      <c r="CK12" s="525">
        <f>M12</f>
        <v>0</v>
      </c>
      <c r="CL12" s="525"/>
      <c r="CM12" s="555">
        <f t="shared" si="20"/>
        <v>43768.093749999978</v>
      </c>
      <c r="CN12" s="563">
        <f t="shared" si="21"/>
        <v>43767.927083333314</v>
      </c>
      <c r="CO12" s="527"/>
      <c r="CP12" s="803"/>
      <c r="CQ12" s="808"/>
      <c r="CR12" s="170"/>
    </row>
    <row r="13" spans="1:98" s="16" customFormat="1" x14ac:dyDescent="0.25">
      <c r="A13" s="511">
        <f>Construction!E13</f>
        <v>1000</v>
      </c>
      <c r="C13" s="56">
        <f ca="1">Production!H13</f>
        <v>4447200</v>
      </c>
      <c r="D13" s="26">
        <f ca="1">Production!J13</f>
        <v>344958</v>
      </c>
      <c r="E13" s="26">
        <f ca="1">Production!L13</f>
        <v>300000</v>
      </c>
      <c r="F13" s="57">
        <f ca="1">Production!M13</f>
        <v>20000</v>
      </c>
      <c r="G13" s="26"/>
      <c r="H13" s="56">
        <f ca="1">Military!Z13</f>
        <v>5295</v>
      </c>
      <c r="I13" s="538">
        <f ca="1">Population!I13</f>
        <v>0.58112653495804523</v>
      </c>
      <c r="J13" s="165">
        <f ca="1">Population!F13/Population!U13</f>
        <v>1.6092246858047288</v>
      </c>
      <c r="K13" s="1000">
        <f>Rezone!J13</f>
        <v>11</v>
      </c>
      <c r="L13" s="582">
        <f t="shared" si="19"/>
        <v>43768.104166666642</v>
      </c>
      <c r="M13" s="316">
        <f t="shared" si="0"/>
        <v>0</v>
      </c>
      <c r="N13" s="638">
        <f t="shared" si="1"/>
        <v>1000</v>
      </c>
      <c r="O13" s="423" t="s">
        <v>4</v>
      </c>
      <c r="P13" s="370"/>
      <c r="Q13" s="424" t="s">
        <v>223</v>
      </c>
      <c r="R13" s="423" t="s">
        <v>7</v>
      </c>
      <c r="S13" s="370"/>
      <c r="T13" s="425" t="s">
        <v>223</v>
      </c>
      <c r="U13" s="408" t="s">
        <v>3</v>
      </c>
      <c r="V13" s="407"/>
      <c r="W13" s="409" t="s">
        <v>223</v>
      </c>
      <c r="Y13" s="501">
        <f ca="1">science_cap*(1-EXP(-AH13/(science_param*($A14-Explore!$S14*20)+15000)))*(1+(mason_bonus*Construction!BB13/Construction!BS13))+IF(Overview!$B$14="Beastfolk",Construction!DA13/Construction!E13,0)*(1 + Production!O13/100*prestige_pop_multiplier)</f>
        <v>0</v>
      </c>
      <c r="Z13" s="454">
        <f ca="1">keep_cap*(1-EXP(-AI13/(keep_param*($A14-Explore!$S14*20)+15000)))*(1+(mason_bonus*Construction!BB13/Construction!BS13))+IF(Overview!$B$14="Beastfolk",Construction!DF13/Construction!E13,0)*(1 + Production!O13/100*prestige_pop_multiplier)</f>
        <v>0</v>
      </c>
      <c r="AA13" s="454">
        <f ca="1">harbor_towers_cap*(1-EXP(-AJ13/(harbor_towers_param*($A14-Explore!$S14*20)+15000)))*(1+(mason_bonus*Construction!BB13/Construction!BS13))+IF(Overview!$B$14="Beastfolk",2*Construction!DC13/Construction!E13,0)*(1 + Production!O13/100*prestige_pop_multiplier)</f>
        <v>0</v>
      </c>
      <c r="AB13" s="454">
        <f ca="1">walls_forges_cap*(1-EXP(-AK13/(walls_forges_param*($A14-Explore!$S14*20)+15000)))*(1+(mason_bonus*Construction!BB13/Construction!BS13))+IF(Overview!$B$14="Beastfolk",0.2*Construction!CY13/Construction!E13,0)</f>
        <v>0</v>
      </c>
      <c r="AC13" s="454">
        <f ca="1">walls_forges_cap*(1-EXP(-AL13/(walls_forges_param*($A14-Explore!$S14*20)+15000)))*(1+(mason_bonus*Construction!BB13/Construction!BS13))+IF(Overview!$B$14="Beastfolk",5*Construction!DB13/Construction!E13,0)</f>
        <v>0</v>
      </c>
      <c r="AD13" s="171">
        <f ca="1">harbor_towers_cap*(1-EXP(-AM13/(harbor_towers_param*($A14-Explore!$S14*20)+15000)))*(1+(mason_bonus*Construction!BB13/Construction!BS13))+IF(Overview!$B$14="Beastfolk",Construction!DE13/Construction!E13)*(1 + Production!O13/100*prestige_pop_multiplier)</f>
        <v>0</v>
      </c>
      <c r="AE13" s="171">
        <f ca="1">armory_cap*(1-EXP(-AN13/(armory_param*($A14-Explore!$S14*20)+15000)))*(1+(mason_bonus*Construction!$BB13/Construction!$BS13))</f>
        <v>0</v>
      </c>
      <c r="AF13" s="171">
        <f ca="1">infirmary_cap*(1-EXP(-AO13/(infirmary_param*($A14-Explore!$S14*20)+15000)))*(1+(mason_bonus*Construction!$BB13/Construction!$BS13))</f>
        <v>0</v>
      </c>
      <c r="AH13" s="56">
        <f ca="1">(1+Overview!$O$28+IF(Magic!BA13&gt;0,0.1,0))*SUM(AV13:AY13) + AH12</f>
        <v>0</v>
      </c>
      <c r="AI13" s="26">
        <f ca="1">(1+Overview!$O$28+IF(Magic!BA13&gt;0,0.1,0))*SUM(BA13:BD13) + AI12</f>
        <v>0</v>
      </c>
      <c r="AJ13" s="164">
        <f ca="1">(1+Overview!$O$28+IF(Magic!BA13&gt;0,0.1,0))*SUM(BF13:BI13) + AJ12</f>
        <v>0</v>
      </c>
      <c r="AK13" s="164">
        <f ca="1">(1+Overview!$O$28+IF(Magic!BA13&gt;0,0.1,0))*SUM(BK13:BN13) + AK12</f>
        <v>0</v>
      </c>
      <c r="AL13" s="164">
        <f ca="1">(1+Overview!$O$28+IF(Magic!BA13&gt;0,0.1,0))*SUM(BP13:BS13) + AL12</f>
        <v>0</v>
      </c>
      <c r="AM13" s="166">
        <f ca="1">(1+Overview!$O$28+IF(Magic!BA13&gt;0,0.1,0))*SUM(BU13:BX13) + AM12</f>
        <v>0</v>
      </c>
      <c r="AN13" s="166">
        <f ca="1">(1+Overview!$O$28+IF(Magic!BA13&gt;0,0.1,0))*SUM(BZ13:CC13)+AN12</f>
        <v>0</v>
      </c>
      <c r="AO13" s="164">
        <f ca="1">(1+Overview!$O$28+IF(Magic!BA13&gt;0,0.1,0))*SUM(CE13:CH13)+AO12</f>
        <v>0</v>
      </c>
      <c r="AQ13" s="52">
        <f t="shared" si="2"/>
        <v>0</v>
      </c>
      <c r="AR13" s="16">
        <f t="shared" si="2"/>
        <v>0</v>
      </c>
      <c r="AS13" s="16">
        <f t="shared" si="2"/>
        <v>0</v>
      </c>
      <c r="AT13" s="53">
        <f t="shared" si="2"/>
        <v>0</v>
      </c>
      <c r="AV13" s="56">
        <f t="shared" si="18"/>
        <v>0</v>
      </c>
      <c r="AW13" s="26">
        <f t="shared" si="3"/>
        <v>0</v>
      </c>
      <c r="AX13" s="26">
        <f t="shared" si="3"/>
        <v>0</v>
      </c>
      <c r="AY13" s="57">
        <f t="shared" si="4"/>
        <v>0</v>
      </c>
      <c r="BA13" s="56">
        <f t="shared" si="5"/>
        <v>0</v>
      </c>
      <c r="BB13" s="26">
        <f t="shared" si="6"/>
        <v>0</v>
      </c>
      <c r="BC13" s="26">
        <f t="shared" si="6"/>
        <v>0</v>
      </c>
      <c r="BD13" s="57">
        <f t="shared" si="7"/>
        <v>0</v>
      </c>
      <c r="BF13" s="56">
        <f t="shared" si="8"/>
        <v>0</v>
      </c>
      <c r="BG13" s="26">
        <f t="shared" si="9"/>
        <v>0</v>
      </c>
      <c r="BH13" s="26">
        <f t="shared" si="10"/>
        <v>0</v>
      </c>
      <c r="BI13" s="57">
        <f t="shared" si="11"/>
        <v>0</v>
      </c>
      <c r="BK13" s="56">
        <f t="shared" si="12"/>
        <v>0</v>
      </c>
      <c r="BL13" s="26">
        <f t="shared" si="13"/>
        <v>0</v>
      </c>
      <c r="BM13" s="26">
        <f t="shared" si="13"/>
        <v>0</v>
      </c>
      <c r="BN13" s="57">
        <f t="shared" si="14"/>
        <v>0</v>
      </c>
      <c r="BP13" s="56">
        <f t="shared" si="15"/>
        <v>0</v>
      </c>
      <c r="BQ13" s="26">
        <f t="shared" si="16"/>
        <v>0</v>
      </c>
      <c r="BR13" s="26">
        <f t="shared" si="16"/>
        <v>0</v>
      </c>
      <c r="BS13" s="57">
        <f t="shared" si="17"/>
        <v>0</v>
      </c>
      <c r="BU13" s="56">
        <f>IF($O13=BU$2,IF($Q13=$AD$2,$P13)) + IF($R13=BU$2,IF($T13=$AD$2,$S13)) + IF($U13=BU$2,IF($W13=$AD$2,$V13))</f>
        <v>0</v>
      </c>
      <c r="BV13" s="26">
        <f>IF($O13=BV$2,IF($Q13=$AD$2,2*$P13)) + IF($R13=BV$2,IF($T13=$AD$2,2*$S13)) + IF($U13=BV$2,IF($W13=$AD$2,2*$V13))</f>
        <v>0</v>
      </c>
      <c r="BW13" s="26">
        <f>IF($O13=BW$2,IF($Q13=$AD$2,2*$P13)) + IF($R13=BW$2,IF($T13=$AD$2,2*$S13)) + IF($U13=BW$2,IF($W13=$AD$2,2*$V13))</f>
        <v>0</v>
      </c>
      <c r="BX13" s="57">
        <f>IF($O13=BX$2,IF($Q13=$AD$2,12*$P13)) + IF($R13=BX$2,IF($T13=$AD$2,12*$S13)) + IF($U13=BX$2,IF($W13=$AD$2,12*$V13))</f>
        <v>0</v>
      </c>
      <c r="BZ13" s="56">
        <f>IF($O13=BZ$2,IF($Q13=Armory,$P13)) + IF($R13=BZ$2,IF($T13=Armory,$S13)) + IF($U13=BZ$2,IF($W13=Armory,$V13))</f>
        <v>0</v>
      </c>
      <c r="CA13" s="26">
        <f>IF($O13=CA$2,IF($Q13=Armory,2*$P13)) + IF($R13=CA$2,IF($T13=Armory,2*$S13)) + IF($U13=CA$2,IF($W13=Armory,2*$V13))</f>
        <v>0</v>
      </c>
      <c r="CB13" s="26">
        <f>IF($O13=CB$2,IF($Q13=Armory,2*$P13)) + IF($R13=CB$2,IF($T13=Armory,2*$S13)) + IF($U13=CB$2,IF($W13=Armory,2*$V13))</f>
        <v>0</v>
      </c>
      <c r="CC13" s="57">
        <f>IF($O13=CC$2,IF($Q13=Armory,12*$P13)) + IF($R13=CC$2,IF($T13=Armory,12*$S13)) + IF($U13=CC$2,IF($W13=Armory,12*$V13))</f>
        <v>0</v>
      </c>
      <c r="CE13" s="56">
        <f>IF($O13=CE$2,IF($Q13=Infirmary,$P13)) + IF($R13=CE$2,IF($T13=Infirmary,$S13)) + IF($U13=CE$2,IF($W13=Infirmary,$V13))</f>
        <v>0</v>
      </c>
      <c r="CF13" s="26">
        <f>IF($O13=CF$2,IF($Q13=Infirmary,2*$P13)) + IF($R13=CF$2,IF($T13=Infirmary,2*$S13)) + IF($U13=CF$2,IF($W13=Infirmary,2*$V13))</f>
        <v>0</v>
      </c>
      <c r="CG13" s="26">
        <f>IF($O13=CG$2,IF($Q13=Infirmary,2*$P13)) + IF($R13=CG$2,IF($T13=Infirmary,2*$S13)) + IF($U13=CG$2,IF($W13=Infirmary,2*$V13))</f>
        <v>0</v>
      </c>
      <c r="CH13" s="57">
        <f>IF($O13=CH$2,IF($Q13=Infirmary,12*$P13)) + IF($R13=CH$2,IF($T13=Infirmary,12*$S13)) + IF($U13=CH$2,IF($W13=Infirmary,12*$V13))</f>
        <v>0</v>
      </c>
      <c r="CJ13" s="52" t="e">
        <f>OR(Production!C13,Construction!N13:'Construction'!AF13,Construction!BV13:CN13,Explore!S13:Z13,Military!AF13:AL13,Military!X13,Military!BE13:BL13,Rezone!L13:R13,Magic!G13:Q13)</f>
        <v>#VALUE!</v>
      </c>
      <c r="CK13" s="525">
        <f>M13</f>
        <v>0</v>
      </c>
      <c r="CL13" s="525"/>
      <c r="CM13" s="555">
        <f t="shared" si="20"/>
        <v>43768.104166666642</v>
      </c>
      <c r="CN13" s="563">
        <f t="shared" si="21"/>
        <v>43767.937499999978</v>
      </c>
      <c r="CO13" s="527"/>
      <c r="CP13" s="803"/>
      <c r="CQ13" s="808"/>
      <c r="CR13" s="170"/>
    </row>
    <row r="14" spans="1:98" s="170" customFormat="1" x14ac:dyDescent="0.25">
      <c r="A14" s="508">
        <f>Construction!E14</f>
        <v>1000</v>
      </c>
      <c r="C14" s="152">
        <f ca="1">Production!H14</f>
        <v>4456920</v>
      </c>
      <c r="D14" s="164">
        <f ca="1">Production!J14</f>
        <v>344008</v>
      </c>
      <c r="E14" s="164">
        <f ca="1">Production!L14</f>
        <v>300000</v>
      </c>
      <c r="F14" s="166">
        <f ca="1">Production!M14</f>
        <v>20000</v>
      </c>
      <c r="G14" s="164"/>
      <c r="H14" s="152">
        <f ca="1">Military!Z14</f>
        <v>5295</v>
      </c>
      <c r="I14" s="538">
        <f ca="1">Population!I14</f>
        <v>0.61171214206110025</v>
      </c>
      <c r="J14" s="165">
        <f ca="1">Population!F14/Population!U14</f>
        <v>1.5658432834472658</v>
      </c>
      <c r="K14" s="1000">
        <f>Rezone!J14</f>
        <v>12</v>
      </c>
      <c r="L14" s="582">
        <f t="shared" si="19"/>
        <v>43768.114583333307</v>
      </c>
      <c r="M14" s="646">
        <f t="shared" si="0"/>
        <v>0</v>
      </c>
      <c r="N14" s="529">
        <f t="shared" si="1"/>
        <v>1000</v>
      </c>
      <c r="O14" s="406" t="s">
        <v>4</v>
      </c>
      <c r="P14" s="370"/>
      <c r="Q14" s="408" t="s">
        <v>223</v>
      </c>
      <c r="R14" s="423" t="s">
        <v>7</v>
      </c>
      <c r="S14" s="370"/>
      <c r="T14" s="408" t="s">
        <v>223</v>
      </c>
      <c r="U14" s="406" t="s">
        <v>3</v>
      </c>
      <c r="V14" s="407"/>
      <c r="W14" s="409" t="s">
        <v>223</v>
      </c>
      <c r="Y14" s="501">
        <f ca="1">science_cap*(1-EXP(-AH14/(science_param*($A15-Explore!$S15*20)+15000)))*(1+(mason_bonus*Construction!BB14/Construction!BS14))+IF(Overview!$B$14="Beastfolk",Construction!DA14/Construction!E14,0)*(1 + Production!O14/100*prestige_pop_multiplier)</f>
        <v>0</v>
      </c>
      <c r="Z14" s="454">
        <f ca="1">keep_cap*(1-EXP(-AI14/(keep_param*($A15-Explore!$S15*20)+15000)))*(1+(mason_bonus*Construction!BB14/Construction!BS14))+IF(Overview!$B$14="Beastfolk",Construction!DF14/Construction!E14,0)*(1 + Production!O14/100*prestige_pop_multiplier)</f>
        <v>0</v>
      </c>
      <c r="AA14" s="454">
        <f ca="1">harbor_towers_cap*(1-EXP(-AJ14/(harbor_towers_param*($A15-Explore!$S15*20)+15000)))*(1+(mason_bonus*Construction!BB14/Construction!BS14))+IF(Overview!$B$14="Beastfolk",2*Construction!DC14/Construction!E14,0)*(1 + Production!O14/100*prestige_pop_multiplier)</f>
        <v>0</v>
      </c>
      <c r="AB14" s="454">
        <f ca="1">walls_forges_cap*(1-EXP(-AK14/(walls_forges_param*($A15-Explore!$S15*20)+15000)))*(1+(mason_bonus*Construction!BB14/Construction!BS14))+IF(Overview!$B$14="Beastfolk",0.2*Construction!CY14/Construction!E14,0)</f>
        <v>0</v>
      </c>
      <c r="AC14" s="454">
        <f ca="1">walls_forges_cap*(1-EXP(-AL14/(walls_forges_param*($A15-Explore!$S15*20)+15000)))*(1+(mason_bonus*Construction!BB14/Construction!BS14))+IF(Overview!$B$14="Beastfolk",5*Construction!DB14/Construction!E14,0)</f>
        <v>0</v>
      </c>
      <c r="AD14" s="171">
        <f ca="1">harbor_towers_cap*(1-EXP(-AM14/(harbor_towers_param*($A15-Explore!$S15*20)+15000)))*(1+(mason_bonus*Construction!BB14/Construction!BS14))+IF(Overview!$B$14="Beastfolk",Construction!DE14/Construction!E14)*(1 + Production!O14/100*prestige_pop_multiplier)</f>
        <v>0</v>
      </c>
      <c r="AE14" s="171">
        <f ca="1">armory_cap*(1-EXP(-AN14/(armory_param*($A15-Explore!$S15*20)+15000)))*(1+(mason_bonus*Construction!$BB14/Construction!$BS14))</f>
        <v>0</v>
      </c>
      <c r="AF14" s="171">
        <f ca="1">infirmary_cap*(1-EXP(-AO14/(infirmary_param*($A15-Explore!$S15*20)+15000)))*(1+(mason_bonus*Construction!$BB14/Construction!$BS14))</f>
        <v>0</v>
      </c>
      <c r="AH14" s="56">
        <f ca="1">(1+Overview!$O$28+IF(Magic!BA14&gt;0,0.1,0))*SUM(AV14:AY14) + AH13</f>
        <v>0</v>
      </c>
      <c r="AI14" s="26">
        <f ca="1">(1+Overview!$O$28+IF(Magic!BA14&gt;0,0.1,0))*SUM(BA14:BD14) + AI13</f>
        <v>0</v>
      </c>
      <c r="AJ14" s="164">
        <f ca="1">(1+Overview!$O$28+IF(Magic!BA14&gt;0,0.1,0))*SUM(BF14:BI14) + AJ13</f>
        <v>0</v>
      </c>
      <c r="AK14" s="164">
        <f ca="1">(1+Overview!$O$28+IF(Magic!BA14&gt;0,0.1,0))*SUM(BK14:BN14) + AK13</f>
        <v>0</v>
      </c>
      <c r="AL14" s="164">
        <f ca="1">(1+Overview!$O$28+IF(Magic!BA14&gt;0,0.1,0))*SUM(BP14:BS14) + AL13</f>
        <v>0</v>
      </c>
      <c r="AM14" s="166">
        <f ca="1">(1+Overview!$O$28+IF(Magic!BA14&gt;0,0.1,0))*SUM(BU14:BX14) + AM13</f>
        <v>0</v>
      </c>
      <c r="AN14" s="166">
        <f ca="1">(1+Overview!$O$28+IF(Magic!BA14&gt;0,0.1,0))*SUM(BZ14:CC14)+AN13</f>
        <v>0</v>
      </c>
      <c r="AO14" s="164">
        <f ca="1">(1+Overview!$O$28+IF(Magic!BA14&gt;0,0.1,0))*SUM(CE14:CH14)+AO13</f>
        <v>0</v>
      </c>
      <c r="AQ14" s="156">
        <f t="shared" si="2"/>
        <v>0</v>
      </c>
      <c r="AR14" s="170">
        <f t="shared" si="2"/>
        <v>0</v>
      </c>
      <c r="AS14" s="170">
        <f t="shared" si="2"/>
        <v>0</v>
      </c>
      <c r="AT14" s="157">
        <f t="shared" si="2"/>
        <v>0</v>
      </c>
      <c r="AV14" s="152">
        <f t="shared" si="18"/>
        <v>0</v>
      </c>
      <c r="AW14" s="164">
        <f t="shared" si="3"/>
        <v>0</v>
      </c>
      <c r="AX14" s="164">
        <f t="shared" si="3"/>
        <v>0</v>
      </c>
      <c r="AY14" s="166">
        <f t="shared" si="4"/>
        <v>0</v>
      </c>
      <c r="BA14" s="152">
        <f t="shared" si="5"/>
        <v>0</v>
      </c>
      <c r="BB14" s="164">
        <f t="shared" si="6"/>
        <v>0</v>
      </c>
      <c r="BC14" s="164">
        <f t="shared" si="6"/>
        <v>0</v>
      </c>
      <c r="BD14" s="166">
        <f t="shared" si="7"/>
        <v>0</v>
      </c>
      <c r="BF14" s="152">
        <f t="shared" si="8"/>
        <v>0</v>
      </c>
      <c r="BG14" s="164">
        <f t="shared" si="9"/>
        <v>0</v>
      </c>
      <c r="BH14" s="164">
        <f t="shared" si="10"/>
        <v>0</v>
      </c>
      <c r="BI14" s="166">
        <f t="shared" si="11"/>
        <v>0</v>
      </c>
      <c r="BK14" s="152">
        <f t="shared" si="12"/>
        <v>0</v>
      </c>
      <c r="BL14" s="164">
        <f t="shared" si="13"/>
        <v>0</v>
      </c>
      <c r="BM14" s="164">
        <f t="shared" si="13"/>
        <v>0</v>
      </c>
      <c r="BN14" s="166">
        <f t="shared" si="14"/>
        <v>0</v>
      </c>
      <c r="BP14" s="152">
        <f t="shared" si="15"/>
        <v>0</v>
      </c>
      <c r="BQ14" s="164">
        <f t="shared" si="16"/>
        <v>0</v>
      </c>
      <c r="BR14" s="164">
        <f t="shared" si="16"/>
        <v>0</v>
      </c>
      <c r="BS14" s="166">
        <f t="shared" si="17"/>
        <v>0</v>
      </c>
      <c r="BU14" s="152">
        <f>IF($O14=BU$2,IF($Q14=$AD$2,$P14)) + IF($R14=BU$2,IF($T14=$AD$2,$S14)) + IF($U14=BU$2,IF($W14=$AD$2,$V14))</f>
        <v>0</v>
      </c>
      <c r="BV14" s="164">
        <f>IF($O14=BV$2,IF($Q14=$AD$2,2*$P14)) + IF($R14=BV$2,IF($T14=$AD$2,2*$S14)) + IF($U14=BV$2,IF($W14=$AD$2,2*$V14))</f>
        <v>0</v>
      </c>
      <c r="BW14" s="164">
        <f>IF($O14=BW$2,IF($Q14=$AD$2,2*$P14)) + IF($R14=BW$2,IF($T14=$AD$2,2*$S14)) + IF($U14=BW$2,IF($W14=$AD$2,2*$V14))</f>
        <v>0</v>
      </c>
      <c r="BX14" s="166">
        <f>IF($O14=BX$2,IF($Q14=$AD$2,12*$P14)) + IF($R14=BX$2,IF($T14=$AD$2,12*$S14)) + IF($U14=BX$2,IF($W14=$AD$2,12*$V14))</f>
        <v>0</v>
      </c>
      <c r="BZ14" s="152">
        <f>IF($O14=BZ$2,IF($Q14=Armory,$P14)) + IF($R14=BZ$2,IF($T14=Armory,$S14)) + IF($U14=BZ$2,IF($W14=Armory,$V14))</f>
        <v>0</v>
      </c>
      <c r="CA14" s="164">
        <f>IF($O14=CA$2,IF($Q14=Armory,2*$P14)) + IF($R14=CA$2,IF($T14=Armory,2*$S14)) + IF($U14=CA$2,IF($W14=Armory,2*$V14))</f>
        <v>0</v>
      </c>
      <c r="CB14" s="164">
        <f>IF($O14=CB$2,IF($Q14=Armory,2*$P14)) + IF($R14=CB$2,IF($T14=Armory,2*$S14)) + IF($U14=CB$2,IF($W14=Armory,2*$V14))</f>
        <v>0</v>
      </c>
      <c r="CC14" s="166">
        <f>IF($O14=CC$2,IF($Q14=Armory,12*$P14)) + IF($R14=CC$2,IF($T14=Armory,12*$S14)) + IF($U14=CC$2,IF($W14=Armory,12*$V14))</f>
        <v>0</v>
      </c>
      <c r="CE14" s="152">
        <f>IF($O14=CE$2,IF($Q14=Infirmary,$P14)) + IF($R14=CE$2,IF($T14=Infirmary,$S14)) + IF($U14=CE$2,IF($W14=Infirmary,$V14))</f>
        <v>0</v>
      </c>
      <c r="CF14" s="164">
        <f>IF($O14=CF$2,IF($Q14=Infirmary,2*$P14)) + IF($R14=CF$2,IF($T14=Infirmary,2*$S14)) + IF($U14=CF$2,IF($W14=Infirmary,2*$V14))</f>
        <v>0</v>
      </c>
      <c r="CG14" s="164">
        <f>IF($O14=CG$2,IF($Q14=Infirmary,2*$P14)) + IF($R14=CG$2,IF($T14=Infirmary,2*$S14)) + IF($U14=CG$2,IF($W14=Infirmary,2*$V14))</f>
        <v>0</v>
      </c>
      <c r="CH14" s="166">
        <f>IF($O14=CH$2,IF($Q14=Infirmary,12*$P14)) + IF($R14=CH$2,IF($T14=Infirmary,12*$S14)) + IF($U14=CH$2,IF($W14=Infirmary,12*$V14))</f>
        <v>0</v>
      </c>
      <c r="CJ14" s="156" t="e">
        <f>OR(Production!C14,Construction!N14:'Construction'!AF14,Construction!BV14:CN14,Explore!S14:Z14,Military!AF14:AL14,Military!X14,Military!BE14:BL14,Rezone!L14:R14,Magic!G14:Q14)</f>
        <v>#VALUE!</v>
      </c>
      <c r="CK14" s="546">
        <f>M14</f>
        <v>0</v>
      </c>
      <c r="CL14" s="546"/>
      <c r="CM14" s="552">
        <f t="shared" si="20"/>
        <v>43768.114583333307</v>
      </c>
      <c r="CN14" s="560">
        <f t="shared" si="21"/>
        <v>43767.947916666642</v>
      </c>
      <c r="CO14" s="627"/>
      <c r="CP14" s="803"/>
      <c r="CQ14" s="770"/>
    </row>
    <row r="15" spans="1:98" s="163" customFormat="1" x14ac:dyDescent="0.25">
      <c r="A15" s="507">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1">
        <f>Rezone!J15</f>
        <v>13</v>
      </c>
      <c r="L15" s="581">
        <f t="shared" si="19"/>
        <v>43768.124999999971</v>
      </c>
      <c r="M15" s="644">
        <f t="shared" ref="M15:M78" si="22">IF(ISERROR(CJ15),0,CJ15*1)</f>
        <v>0</v>
      </c>
      <c r="N15" s="637">
        <f t="shared" ref="N15:N67" si="23">A15</f>
        <v>1000</v>
      </c>
      <c r="O15" s="706" t="s">
        <v>4</v>
      </c>
      <c r="P15" s="428"/>
      <c r="Q15" s="411" t="s">
        <v>223</v>
      </c>
      <c r="R15" s="427" t="s">
        <v>7</v>
      </c>
      <c r="S15" s="428"/>
      <c r="T15" s="412" t="s">
        <v>223</v>
      </c>
      <c r="U15" s="706" t="s">
        <v>3</v>
      </c>
      <c r="V15" s="410"/>
      <c r="W15" s="412" t="s">
        <v>223</v>
      </c>
      <c r="Y15" s="500">
        <f ca="1">science_cap*(1-EXP(-AH15/(science_param*($A16-Explore!$S16*20)+15000)))*(1+(mason_bonus*Construction!BB15/Construction!BS15))+IF(Overview!$B$14="Beastfolk",Construction!DA15/Construction!E15,0)*(1 + Production!O15/100*prestige_pop_multiplier)</f>
        <v>0</v>
      </c>
      <c r="Z15" s="446">
        <f ca="1">keep_cap*(1-EXP(-AI15/(keep_param*($A16-Explore!$S16*20)+15000)))*(1+(mason_bonus*Construction!BB15/Construction!BS15))+IF(Overview!$B$14="Beastfolk",Construction!DF15/Construction!E15,0)*(1 + Production!O15/100*prestige_pop_multiplier)</f>
        <v>0</v>
      </c>
      <c r="AA15" s="446">
        <f ca="1">harbor_towers_cap*(1-EXP(-AJ15/(harbor_towers_param*($A16-Explore!$S16*20)+15000)))*(1+(mason_bonus*Construction!BB15/Construction!BS15))+IF(Overview!$B$14="Beastfolk",2*Construction!DC15/Construction!E15,0)*(1 + Production!O15/100*prestige_pop_multiplier)</f>
        <v>0</v>
      </c>
      <c r="AB15" s="446">
        <f ca="1">walls_forges_cap*(1-EXP(-AK15/(walls_forges_param*($A16-Explore!$S16*20)+15000)))*(1+(mason_bonus*Construction!BB15/Construction!BS15))+IF(Overview!$B$14="Beastfolk",0.2*Construction!CY15/Construction!E15,0)</f>
        <v>0</v>
      </c>
      <c r="AC15" s="446">
        <f ca="1">walls_forges_cap*(1-EXP(-AL15/(walls_forges_param*($A16-Explore!$S16*20)+15000)))*(1+(mason_bonus*Construction!BB15/Construction!BS15))+IF(Overview!$B$14="Beastfolk",5*Construction!DB15/Construction!E15,0)</f>
        <v>0</v>
      </c>
      <c r="AD15" s="162">
        <f ca="1">harbor_towers_cap*(1-EXP(-AM15/(harbor_towers_param*($A16-Explore!$S16*20)+15000)))*(1+(mason_bonus*Construction!BB15/Construction!BS15))+IF(Overview!$B$14="Beastfolk",Construction!DE15/Construction!E15)*(1 + Production!O15/100*prestige_pop_multiplier)</f>
        <v>0</v>
      </c>
      <c r="AE15" s="162">
        <f ca="1">armory_cap*(1-EXP(-AN15/(armory_param*($A16-Explore!$S16*20)+15000)))*(1+(mason_bonus*Construction!$BB15/Construction!$BS15))</f>
        <v>0</v>
      </c>
      <c r="AF15" s="162">
        <f ca="1">infirmary_cap*(1-EXP(-AO15/(infirmary_param*($A16-Explore!$S16*20)+15000)))*(1+(mason_bonus*Construction!$BB15/Construction!$BS15))</f>
        <v>0</v>
      </c>
      <c r="AH15" s="54">
        <f ca="1">(1+Overview!$O$28+IF(Magic!BA15&gt;0,0.1,0))*SUM(AV15:AY15) + AH14</f>
        <v>0</v>
      </c>
      <c r="AI15" s="13">
        <f ca="1">(1+Overview!$O$28+IF(Magic!BA15&gt;0,0.1,0))*SUM(BA15:BD15) + AI14</f>
        <v>0</v>
      </c>
      <c r="AJ15" s="153">
        <f ca="1">(1+Overview!$O$28+IF(Magic!BA15&gt;0,0.1,0))*SUM(BF15:BI15) + AJ14</f>
        <v>0</v>
      </c>
      <c r="AK15" s="153">
        <f ca="1">(1+Overview!$O$28+IF(Magic!BA15&gt;0,0.1,0))*SUM(BK15:BN15) + AK14</f>
        <v>0</v>
      </c>
      <c r="AL15" s="153">
        <f ca="1">(1+Overview!$O$28+IF(Magic!BA15&gt;0,0.1,0))*SUM(BP15:BS15) + AL14</f>
        <v>0</v>
      </c>
      <c r="AM15" s="158">
        <f ca="1">(1+Overview!$O$28+IF(Magic!BA15&gt;0,0.1,0))*SUM(BU15:BX15) + AM14</f>
        <v>0</v>
      </c>
      <c r="AN15" s="158">
        <f ca="1">(1+Overview!$O$28+IF(Magic!BA15&gt;0,0.1,0))*SUM(BZ15:CC15)+AN14</f>
        <v>0</v>
      </c>
      <c r="AO15" s="153">
        <f ca="1">(1+Overview!$O$28+IF(Magic!BA15&gt;0,0.1,0))*SUM(CE15:CH15)+AO14</f>
        <v>0</v>
      </c>
      <c r="AQ15" s="184">
        <f t="shared" ref="AQ15:AT19" si="24">IF(AND($O15=AQ$2,$Q15&lt;&gt;""),$P15) + IF(AND($R15=AQ$2,$T15&lt;&gt;""),$S15) + IF(AND($U15=AQ$2,$W15&lt;&gt;""),$V15)</f>
        <v>0</v>
      </c>
      <c r="AR15" s="163">
        <f t="shared" si="24"/>
        <v>0</v>
      </c>
      <c r="AS15" s="163">
        <f t="shared" si="24"/>
        <v>0</v>
      </c>
      <c r="AT15" s="185">
        <f t="shared" si="24"/>
        <v>0</v>
      </c>
      <c r="AV15" s="151">
        <f t="shared" ref="AV15:AV67" si="25">IF($O15=AV$2,IF($Q15=$Y$2,$P15)) + IF($R15=AV$2,IF($T15=$Y$2,$S15)) + IF($U15=AV$2,IF($W15=$Y$2,$V15))</f>
        <v>0</v>
      </c>
      <c r="AW15" s="153">
        <f t="shared" ref="AW15:AX19" si="26">IF($O15=AW$2,IF($Q15=$Y$2,2*$P15)) + IF($R15=AW$2,IF($T15=$Y$2,2*$S15)) + IF($U15=AW$2,IF($W15=$Y$2,2*$V15))</f>
        <v>0</v>
      </c>
      <c r="AX15" s="153">
        <f t="shared" si="26"/>
        <v>0</v>
      </c>
      <c r="AY15" s="158">
        <f t="shared" ref="AY15:AY67" si="27">IF($O15=AY$2,IF($Q15=$Y$2,12*$P15)) + IF($R15=AY$2,IF($T15=$Y$2,12*$S15)) + IF($U15=AY$2,IF($W15=$Y$2,12*$V15))</f>
        <v>0</v>
      </c>
      <c r="BA15" s="151">
        <f t="shared" ref="BA15:BA67" si="28">IF($O15=BA$2,IF($Q15=$Z$2,$P15)) + IF($R15=BA$2,IF($T15=$Z$2,$S15)) + IF($U15=BA$2,IF($W15=$Z$2,$V15))</f>
        <v>0</v>
      </c>
      <c r="BB15" s="153">
        <f t="shared" ref="BB15:BC19" si="29">IF($O15=BB$2,IF($Q15=$Z$2,2*$P15)) + IF($R15=BB$2,IF($T15=$Z$2,2*$S15)) + IF($U15=BB$2,IF($W15=$Z$2,2*$V15))</f>
        <v>0</v>
      </c>
      <c r="BC15" s="153">
        <f t="shared" si="29"/>
        <v>0</v>
      </c>
      <c r="BD15" s="158">
        <f t="shared" ref="BD15:BD67" si="30">IF($O15=BD$2,IF($Q15=$Z$2,12*$P15)) + IF($R15=BD$2,IF($T15=$Z$2,12*$S15)) + IF($U15=BD$2,IF($W15=$Z$2,12*$V15))</f>
        <v>0</v>
      </c>
      <c r="BF15" s="151">
        <f t="shared" ref="BF15:BF67" si="31">IF($O15=BF$2,IF($Q15=$AA$2,$P15)) + IF($R15=BF$2,IF($T15=$AA$2,$S15)) + IF($U15=BF$2,IF($W15=$AA$2,$V15))</f>
        <v>0</v>
      </c>
      <c r="BG15" s="153">
        <f t="shared" ref="BG15:BG67" si="32">IF($O15=BG$2,IF($Q15=$AA$2,2*$P15)) + IF($R15=BG$2,IF($T15=$AA$2,2*$S15)) + IF($U15=BG$2,IF($W15=$AA$2,2*$V15))</f>
        <v>0</v>
      </c>
      <c r="BH15" s="153">
        <f>IF($O15=BJ$2,IF($Q15=$AA$2,2*$P15)) + IF($R15=BJ$2,IF($T15=$AA$2,2*$S15)) + IF($U15=BJ$2,IF($W15=$AA$2,2*$V15))</f>
        <v>0</v>
      </c>
      <c r="BI15" s="158">
        <f t="shared" ref="BI15:BI67" si="33">IF($O15=BI$2,IF($Q15=$AA$2,12*$P15)) + IF($R15=BI$2,IF($T15=$AA$2,12*$S15)) + IF($U15=BI$2,IF($W15=$AA$2,12*$V15))</f>
        <v>0</v>
      </c>
      <c r="BK15" s="151">
        <f t="shared" ref="BK15:BK67" si="34">IF($O15=BK$2,IF($Q15=$AB$2,$P15)) + IF($R15=BK$2,IF($T15=$AB$2,$S15)) + IF($U15=BK$2,IF($W15=$AB$2,$V15))</f>
        <v>0</v>
      </c>
      <c r="BL15" s="153">
        <f t="shared" ref="BL15:BM19" si="35">IF($O15=BL$2,IF($Q15=$AB$2,2*$P15)) + IF($R15=BL$2,IF($T15=$AB$2,2*$S15)) + IF($U15=BL$2,IF($W15=$AB$2,2*$V15))</f>
        <v>0</v>
      </c>
      <c r="BM15" s="153">
        <f t="shared" si="35"/>
        <v>0</v>
      </c>
      <c r="BN15" s="158">
        <f t="shared" ref="BN15:BN67" si="36">IF($O15=BN$2,IF($Q15=$AB$2,12*$P15)) + IF($R15=BN$2,IF($T15=$AB$2,12*$S15)) + IF($U15=BN$2,IF($W15=$AB$2,12*$V15))</f>
        <v>0</v>
      </c>
      <c r="BP15" s="151">
        <f t="shared" ref="BP15:BP67" si="37">IF($O15=BP$2,IF($Q15=$AC$2,$P15)) + IF($R15=BP$2,IF($T15=$AC$2,$S15)) + IF($U15=BP$2,IF($W15=$AC$2,$V15))</f>
        <v>0</v>
      </c>
      <c r="BQ15" s="153">
        <f t="shared" ref="BQ15:BR19" si="38">IF($O15=BQ$2,IF($Q15=$AC$2,2*$P15)) + IF($R15=BQ$2,IF($T15=$AC$2,2*$S15)) + IF($U15=BQ$2,IF($W15=$AC$2,2*$V15))</f>
        <v>0</v>
      </c>
      <c r="BR15" s="153">
        <f t="shared" si="38"/>
        <v>0</v>
      </c>
      <c r="BS15" s="158">
        <f t="shared" ref="BS15:BS67" si="39">IF($O15=BS$2,IF($Q15=$AC$2,12*$P15)) + IF($R15=BS$2,IF($T15=$AC$2,12*$S15)) + IF($U15=BS$2,IF($W15=$AC$2,12*$V15))</f>
        <v>0</v>
      </c>
      <c r="BU15" s="151">
        <f>IF($O15=BU$2,IF($Q15=$AD$2,$P15)) + IF($R15=BU$2,IF($T15=$AD$2,$S15)) + IF($U15=BU$2,IF($W15=$AD$2,$V15))</f>
        <v>0</v>
      </c>
      <c r="BV15" s="153">
        <f>IF($O15=BV$2,IF($Q15=$AD$2,2*$P15)) + IF($R15=BV$2,IF($T15=$AD$2,2*$S15)) + IF($U15=BV$2,IF($W15=$AD$2,2*$V15))</f>
        <v>0</v>
      </c>
      <c r="BW15" s="153">
        <f>IF($O15=BW$2,IF($Q15=$AD$2,2*$P15)) + IF($R15=BW$2,IF($T15=$AD$2,2*$S15)) + IF($U15=BW$2,IF($W15=$AD$2,2*$V15))</f>
        <v>0</v>
      </c>
      <c r="BX15" s="158">
        <f>IF($O15=BX$2,IF($Q15=$AD$2,12*$P15)) + IF($R15=BX$2,IF($T15=$AD$2,12*$S15)) + IF($U15=BX$2,IF($W15=$AD$2,12*$V15))</f>
        <v>0</v>
      </c>
      <c r="BZ15" s="151">
        <f>IF($O15=BZ$2,IF($Q15=Armory,$P15)) + IF($R15=BZ$2,IF($T15=Armory,$S15)) + IF($U15=BZ$2,IF($W15=Armory,$V15))</f>
        <v>0</v>
      </c>
      <c r="CA15" s="153">
        <f>IF($O15=CA$2,IF($Q15=Armory,2*$P15)) + IF($R15=CA$2,IF($T15=Armory,2*$S15)) + IF($U15=CA$2,IF($W15=Armory,2*$V15))</f>
        <v>0</v>
      </c>
      <c r="CB15" s="153">
        <f>IF($O15=CB$2,IF($Q15=Armory,2*$P15)) + IF($R15=CB$2,IF($T15=Armory,2*$S15)) + IF($U15=CB$2,IF($W15=Armory,2*$V15))</f>
        <v>0</v>
      </c>
      <c r="CC15" s="158">
        <f>IF($O15=CC$2,IF($Q15=Armory,12*$P15)) + IF($R15=CC$2,IF($T15=Armory,12*$S15)) + IF($U15=CC$2,IF($W15=Armory,12*$V15))</f>
        <v>0</v>
      </c>
      <c r="CE15" s="151">
        <f>IF($O15=CE$2,IF($Q15=Infirmary,$P15)) + IF($R15=CE$2,IF($T15=Infirmary,$S15)) + IF($U15=CE$2,IF($W15=Infirmary,$V15))</f>
        <v>0</v>
      </c>
      <c r="CF15" s="153">
        <f>IF($O15=CF$2,IF($Q15=Infirmary,2*$P15)) + IF($R15=CF$2,IF($T15=Infirmary,2*$S15)) + IF($U15=CF$2,IF($W15=Infirmary,2*$V15))</f>
        <v>0</v>
      </c>
      <c r="CG15" s="153">
        <f>IF($O15=CG$2,IF($Q15=Infirmary,2*$P15)) + IF($R15=CG$2,IF($T15=Infirmary,2*$S15)) + IF($U15=CG$2,IF($W15=Infirmary,2*$V15))</f>
        <v>0</v>
      </c>
      <c r="CH15" s="158">
        <f>IF($O15=CH$2,IF($Q15=Infirmary,12*$P15)) + IF($R15=CH$2,IF($T15=Infirmary,12*$S15)) + IF($U15=CH$2,IF($W15=Infirmary,12*$V15))</f>
        <v>0</v>
      </c>
      <c r="CJ15" s="184" t="e">
        <f>OR(Production!C15,Construction!N15:'Construction'!AF15,Construction!BV15:CN15,Explore!S15:Z15,Military!AF15:AL15,Military!X15,Military!BE15:BL15,Rezone!L15:R15,Magic!G15:Q15)</f>
        <v>#VALUE!</v>
      </c>
      <c r="CK15" s="319">
        <f>M15</f>
        <v>0</v>
      </c>
      <c r="CL15" s="319"/>
      <c r="CM15" s="551">
        <f t="shared" si="20"/>
        <v>43768.124999999971</v>
      </c>
      <c r="CN15" s="559">
        <f t="shared" si="21"/>
        <v>43767.958333333307</v>
      </c>
      <c r="CO15" s="625"/>
      <c r="CP15" s="804"/>
      <c r="CQ15" s="769"/>
    </row>
    <row r="16" spans="1:98" s="170" customFormat="1" x14ac:dyDescent="0.25">
      <c r="A16" s="508">
        <f>Construction!E16</f>
        <v>1000</v>
      </c>
      <c r="C16" s="152">
        <f ca="1">Production!H16</f>
        <v>4476360</v>
      </c>
      <c r="D16" s="164">
        <f ca="1">Production!J16</f>
        <v>342137</v>
      </c>
      <c r="E16" s="164">
        <f ca="1">Production!L16</f>
        <v>300000</v>
      </c>
      <c r="F16" s="166">
        <f ca="1">Production!M16</f>
        <v>20000</v>
      </c>
      <c r="G16" s="164"/>
      <c r="H16" s="152">
        <f ca="1">Military!Z16</f>
        <v>5295</v>
      </c>
      <c r="I16" s="538">
        <f ca="1">Population!I16</f>
        <v>0.6777973873253188</v>
      </c>
      <c r="J16" s="165">
        <f ca="1">Population!F16/Population!U16</f>
        <v>1.4854792355800648</v>
      </c>
      <c r="K16" s="1000">
        <f>Rezone!J16</f>
        <v>14</v>
      </c>
      <c r="L16" s="582">
        <f t="shared" si="19"/>
        <v>43768.135416666635</v>
      </c>
      <c r="M16" s="646">
        <f t="shared" si="22"/>
        <v>0</v>
      </c>
      <c r="N16" s="529">
        <f t="shared" si="23"/>
        <v>1000</v>
      </c>
      <c r="O16" s="406" t="s">
        <v>4</v>
      </c>
      <c r="P16" s="370"/>
      <c r="Q16" s="408" t="s">
        <v>223</v>
      </c>
      <c r="R16" s="423" t="s">
        <v>7</v>
      </c>
      <c r="S16" s="370"/>
      <c r="T16" s="408" t="s">
        <v>223</v>
      </c>
      <c r="U16" s="406" t="s">
        <v>3</v>
      </c>
      <c r="V16" s="407"/>
      <c r="W16" s="409" t="s">
        <v>223</v>
      </c>
      <c r="Y16" s="501">
        <f ca="1">science_cap*(1-EXP(-AH16/(science_param*($A17-Explore!$S17*20)+15000)))*(1+(mason_bonus*Construction!BB16/Construction!BS16))+IF(Overview!$B$14="Beastfolk",Construction!DA16/Construction!E16,0)*(1 + Production!O16/100*prestige_pop_multiplier)</f>
        <v>0</v>
      </c>
      <c r="Z16" s="454">
        <f ca="1">keep_cap*(1-EXP(-AI16/(keep_param*($A17-Explore!$S17*20)+15000)))*(1+(mason_bonus*Construction!BB16/Construction!BS16))+IF(Overview!$B$14="Beastfolk",Construction!DF16/Construction!E16,0)*(1 + Production!O16/100*prestige_pop_multiplier)</f>
        <v>0</v>
      </c>
      <c r="AA16" s="454">
        <f ca="1">harbor_towers_cap*(1-EXP(-AJ16/(harbor_towers_param*($A17-Explore!$S17*20)+15000)))*(1+(mason_bonus*Construction!BB16/Construction!BS16))+IF(Overview!$B$14="Beastfolk",2*Construction!DC16/Construction!E16,0)*(1 + Production!O16/100*prestige_pop_multiplier)</f>
        <v>0</v>
      </c>
      <c r="AB16" s="454">
        <f ca="1">walls_forges_cap*(1-EXP(-AK16/(walls_forges_param*($A17-Explore!$S17*20)+15000)))*(1+(mason_bonus*Construction!BB16/Construction!BS16))+IF(Overview!$B$14="Beastfolk",0.2*Construction!CY16/Construction!E16,0)</f>
        <v>0</v>
      </c>
      <c r="AC16" s="454">
        <f ca="1">walls_forges_cap*(1-EXP(-AL16/(walls_forges_param*($A17-Explore!$S17*20)+15000)))*(1+(mason_bonus*Construction!BB16/Construction!BS16))+IF(Overview!$B$14="Beastfolk",5*Construction!DB16/Construction!E16,0)</f>
        <v>0</v>
      </c>
      <c r="AD16" s="171">
        <f ca="1">harbor_towers_cap*(1-EXP(-AM16/(harbor_towers_param*($A17-Explore!$S17*20)+15000)))*(1+(mason_bonus*Construction!BB16/Construction!BS16))+IF(Overview!$B$14="Beastfolk",Construction!DE16/Construction!E16)*(1 + Production!O16/100*prestige_pop_multiplier)</f>
        <v>0</v>
      </c>
      <c r="AE16" s="171">
        <f ca="1">armory_cap*(1-EXP(-AN16/(armory_param*($A17-Explore!$S17*20)+15000)))*(1+(mason_bonus*Construction!$BB16/Construction!$BS16))</f>
        <v>0</v>
      </c>
      <c r="AF16" s="171">
        <f ca="1">infirmary_cap*(1-EXP(-AO16/(infirmary_param*($A17-Explore!$S17*20)+15000)))*(1+(mason_bonus*Construction!$BB16/Construction!$BS16))</f>
        <v>0</v>
      </c>
      <c r="AH16" s="56">
        <f ca="1">(1+Overview!$O$28+IF(Magic!BA16&gt;0,0.1,0))*SUM(AV16:AY16) + AH15</f>
        <v>0</v>
      </c>
      <c r="AI16" s="26">
        <f ca="1">(1+Overview!$O$28+IF(Magic!BA16&gt;0,0.1,0))*SUM(BA16:BD16) + AI15</f>
        <v>0</v>
      </c>
      <c r="AJ16" s="164">
        <f ca="1">(1+Overview!$O$28+IF(Magic!BA16&gt;0,0.1,0))*SUM(BF16:BI16) + AJ15</f>
        <v>0</v>
      </c>
      <c r="AK16" s="164">
        <f ca="1">(1+Overview!$O$28+IF(Magic!BA16&gt;0,0.1,0))*SUM(BK16:BN16) + AK15</f>
        <v>0</v>
      </c>
      <c r="AL16" s="164">
        <f ca="1">(1+Overview!$O$28+IF(Magic!BA16&gt;0,0.1,0))*SUM(BP16:BS16) + AL15</f>
        <v>0</v>
      </c>
      <c r="AM16" s="166">
        <f ca="1">(1+Overview!$O$28+IF(Magic!BA16&gt;0,0.1,0))*SUM(BU16:BX16) + AM15</f>
        <v>0</v>
      </c>
      <c r="AN16" s="166">
        <f ca="1">(1+Overview!$O$28+IF(Magic!BA16&gt;0,0.1,0))*SUM(BZ16:CC16)+AN15</f>
        <v>0</v>
      </c>
      <c r="AO16" s="164">
        <f ca="1">(1+Overview!$O$28+IF(Magic!BA16&gt;0,0.1,0))*SUM(CE16:CH16)+AO15</f>
        <v>0</v>
      </c>
      <c r="AQ16" s="156">
        <f t="shared" si="24"/>
        <v>0</v>
      </c>
      <c r="AR16" s="170">
        <f t="shared" si="24"/>
        <v>0</v>
      </c>
      <c r="AS16" s="170">
        <f t="shared" si="24"/>
        <v>0</v>
      </c>
      <c r="AT16" s="157">
        <f t="shared" si="24"/>
        <v>0</v>
      </c>
      <c r="AV16" s="152">
        <f t="shared" si="25"/>
        <v>0</v>
      </c>
      <c r="AW16" s="164">
        <f t="shared" si="26"/>
        <v>0</v>
      </c>
      <c r="AX16" s="164">
        <f t="shared" si="26"/>
        <v>0</v>
      </c>
      <c r="AY16" s="166">
        <f t="shared" si="27"/>
        <v>0</v>
      </c>
      <c r="BA16" s="152">
        <f t="shared" si="28"/>
        <v>0</v>
      </c>
      <c r="BB16" s="164">
        <f t="shared" si="29"/>
        <v>0</v>
      </c>
      <c r="BC16" s="164">
        <f t="shared" si="29"/>
        <v>0</v>
      </c>
      <c r="BD16" s="166">
        <f t="shared" si="30"/>
        <v>0</v>
      </c>
      <c r="BF16" s="152">
        <f t="shared" si="31"/>
        <v>0</v>
      </c>
      <c r="BG16" s="164">
        <f t="shared" si="32"/>
        <v>0</v>
      </c>
      <c r="BH16" s="164">
        <f t="shared" ref="BH16:BH74" si="40">IF($O16=BJ$2,IF($Q16=$AA$2,2*$P16)) + IF($R16=BJ$2,IF($T16=$AA$2,2*$S16)) + IF($U16=BJ$2,IF($W16=$AA$2,2*$V16))</f>
        <v>0</v>
      </c>
      <c r="BI16" s="166">
        <f t="shared" si="33"/>
        <v>0</v>
      </c>
      <c r="BK16" s="152">
        <f t="shared" si="34"/>
        <v>0</v>
      </c>
      <c r="BL16" s="164">
        <f t="shared" si="35"/>
        <v>0</v>
      </c>
      <c r="BM16" s="164">
        <f t="shared" si="35"/>
        <v>0</v>
      </c>
      <c r="BN16" s="166">
        <f t="shared" si="36"/>
        <v>0</v>
      </c>
      <c r="BP16" s="152">
        <f t="shared" si="37"/>
        <v>0</v>
      </c>
      <c r="BQ16" s="164">
        <f t="shared" si="38"/>
        <v>0</v>
      </c>
      <c r="BR16" s="164">
        <f t="shared" si="38"/>
        <v>0</v>
      </c>
      <c r="BS16" s="166">
        <f t="shared" si="39"/>
        <v>0</v>
      </c>
      <c r="BU16" s="152">
        <f>IF($O16=BU$2,IF($Q16=$AD$2,$P16)) + IF($R16=BU$2,IF($T16=$AD$2,$S16)) + IF($U16=BU$2,IF($W16=$AD$2,$V16))</f>
        <v>0</v>
      </c>
      <c r="BV16" s="164">
        <f>IF($O16=BV$2,IF($Q16=$AD$2,2*$P16)) + IF($R16=BV$2,IF($T16=$AD$2,2*$S16)) + IF($U16=BV$2,IF($W16=$AD$2,2*$V16))</f>
        <v>0</v>
      </c>
      <c r="BW16" s="164">
        <f>IF($O16=BW$2,IF($Q16=$AD$2,2*$P16)) + IF($R16=BW$2,IF($T16=$AD$2,2*$S16)) + IF($U16=BW$2,IF($W16=$AD$2,2*$V16))</f>
        <v>0</v>
      </c>
      <c r="BX16" s="166">
        <f>IF($O16=BX$2,IF($Q16=$AD$2,12*$P16)) + IF($R16=BX$2,IF($T16=$AD$2,12*$S16)) + IF($U16=BX$2,IF($W16=$AD$2,12*$V16))</f>
        <v>0</v>
      </c>
      <c r="BZ16" s="152">
        <f>IF($O16=BZ$2,IF($Q16=Armory,$P16)) + IF($R16=BZ$2,IF($T16=Armory,$S16)) + IF($U16=BZ$2,IF($W16=Armory,$V16))</f>
        <v>0</v>
      </c>
      <c r="CA16" s="164">
        <f>IF($O16=CA$2,IF($Q16=Armory,2*$P16)) + IF($R16=CA$2,IF($T16=Armory,2*$S16)) + IF($U16=CA$2,IF($W16=Armory,2*$V16))</f>
        <v>0</v>
      </c>
      <c r="CB16" s="164">
        <f>IF($O16=CB$2,IF($Q16=Armory,2*$P16)) + IF($R16=CB$2,IF($T16=Armory,2*$S16)) + IF($U16=CB$2,IF($W16=Armory,2*$V16))</f>
        <v>0</v>
      </c>
      <c r="CC16" s="166">
        <f>IF($O16=CC$2,IF($Q16=Armory,12*$P16)) + IF($R16=CC$2,IF($T16=Armory,12*$S16)) + IF($U16=CC$2,IF($W16=Armory,12*$V16))</f>
        <v>0</v>
      </c>
      <c r="CE16" s="152">
        <f>IF($O16=CE$2,IF($Q16=Infirmary,$P16)) + IF($R16=CE$2,IF($T16=Infirmary,$S16)) + IF($U16=CE$2,IF($W16=Infirmary,$V16))</f>
        <v>0</v>
      </c>
      <c r="CF16" s="164">
        <f>IF($O16=CF$2,IF($Q16=Infirmary,2*$P16)) + IF($R16=CF$2,IF($T16=Infirmary,2*$S16)) + IF($U16=CF$2,IF($W16=Infirmary,2*$V16))</f>
        <v>0</v>
      </c>
      <c r="CG16" s="164">
        <f>IF($O16=CG$2,IF($Q16=Infirmary,2*$P16)) + IF($R16=CG$2,IF($T16=Infirmary,2*$S16)) + IF($U16=CG$2,IF($W16=Infirmary,2*$V16))</f>
        <v>0</v>
      </c>
      <c r="CH16" s="166">
        <f>IF($O16=CH$2,IF($Q16=Infirmary,12*$P16)) + IF($R16=CH$2,IF($T16=Infirmary,12*$S16)) + IF($U16=CH$2,IF($W16=Infirmary,12*$V16))</f>
        <v>0</v>
      </c>
      <c r="CJ16" s="156" t="e">
        <f>OR(Production!C16,Construction!N16:'Construction'!AF16,Construction!BV16:CN16,Explore!S16:Z16,Military!AF16:AL16,Military!X16,Military!BE16:BL16,Rezone!L16:R16,Magic!G16:Q16)</f>
        <v>#VALUE!</v>
      </c>
      <c r="CK16" s="546">
        <f>M16</f>
        <v>0</v>
      </c>
      <c r="CL16" s="546"/>
      <c r="CM16" s="552">
        <f t="shared" si="20"/>
        <v>43768.135416666635</v>
      </c>
      <c r="CN16" s="560">
        <f t="shared" si="21"/>
        <v>43767.968749999971</v>
      </c>
      <c r="CO16" s="627"/>
      <c r="CP16" s="805"/>
      <c r="CQ16" s="770"/>
      <c r="CR16" s="530"/>
    </row>
    <row r="17" spans="1:98" s="170" customFormat="1" x14ac:dyDescent="0.25">
      <c r="A17" s="508">
        <f>Construction!E17</f>
        <v>1000</v>
      </c>
      <c r="C17" s="152">
        <f ca="1">Production!H17</f>
        <v>4486080</v>
      </c>
      <c r="D17" s="164">
        <f ca="1">Production!J17</f>
        <v>341216</v>
      </c>
      <c r="E17" s="164">
        <f ca="1">Production!L17</f>
        <v>300000</v>
      </c>
      <c r="F17" s="166">
        <f ca="1">Production!M17</f>
        <v>20000</v>
      </c>
      <c r="G17" s="164"/>
      <c r="H17" s="152">
        <f ca="1">Military!Z17</f>
        <v>5295</v>
      </c>
      <c r="I17" s="538">
        <f ca="1">Population!I17</f>
        <v>0.71347093402665129</v>
      </c>
      <c r="J17" s="165">
        <f ca="1">Population!F17/Population!U17</f>
        <v>1.4482851057338348</v>
      </c>
      <c r="K17" s="1000">
        <f>Rezone!J17</f>
        <v>15</v>
      </c>
      <c r="L17" s="582">
        <f t="shared" si="19"/>
        <v>43768.145833333299</v>
      </c>
      <c r="M17" s="646">
        <f t="shared" si="22"/>
        <v>0</v>
      </c>
      <c r="N17" s="529">
        <f t="shared" si="23"/>
        <v>1000</v>
      </c>
      <c r="O17" s="406" t="s">
        <v>4</v>
      </c>
      <c r="P17" s="370"/>
      <c r="Q17" s="408" t="s">
        <v>223</v>
      </c>
      <c r="R17" s="423" t="s">
        <v>7</v>
      </c>
      <c r="S17" s="370"/>
      <c r="T17" s="408" t="s">
        <v>223</v>
      </c>
      <c r="U17" s="406" t="s">
        <v>3</v>
      </c>
      <c r="V17" s="407"/>
      <c r="W17" s="409" t="s">
        <v>223</v>
      </c>
      <c r="Y17" s="501">
        <f ca="1">science_cap*(1-EXP(-AH17/(science_param*($A18-Explore!$S18*20)+15000)))*(1+(mason_bonus*Construction!BB17/Construction!BS17))+IF(Overview!$B$14="Beastfolk",Construction!DA17/Construction!E17,0)*(1 + Production!O17/100*prestige_pop_multiplier)</f>
        <v>0</v>
      </c>
      <c r="Z17" s="454">
        <f ca="1">keep_cap*(1-EXP(-AI17/(keep_param*($A18-Explore!$S18*20)+15000)))*(1+(mason_bonus*Construction!BB17/Construction!BS17))+IF(Overview!$B$14="Beastfolk",Construction!DF17/Construction!E17,0)*(1 + Production!O17/100*prestige_pop_multiplier)</f>
        <v>0</v>
      </c>
      <c r="AA17" s="454">
        <f ca="1">harbor_towers_cap*(1-EXP(-AJ17/(harbor_towers_param*($A18-Explore!$S18*20)+15000)))*(1+(mason_bonus*Construction!BB17/Construction!BS17))+IF(Overview!$B$14="Beastfolk",2*Construction!DC17/Construction!E17,0)*(1 + Production!O17/100*prestige_pop_multiplier)</f>
        <v>0</v>
      </c>
      <c r="AB17" s="454">
        <f ca="1">walls_forges_cap*(1-EXP(-AK17/(walls_forges_param*($A18-Explore!$S18*20)+15000)))*(1+(mason_bonus*Construction!BB17/Construction!BS17))+IF(Overview!$B$14="Beastfolk",0.2*Construction!CY17/Construction!E17,0)</f>
        <v>0</v>
      </c>
      <c r="AC17" s="454">
        <f ca="1">walls_forges_cap*(1-EXP(-AL17/(walls_forges_param*($A18-Explore!$S18*20)+15000)))*(1+(mason_bonus*Construction!BB17/Construction!BS17))+IF(Overview!$B$14="Beastfolk",5*Construction!DB17/Construction!E17,0)</f>
        <v>0</v>
      </c>
      <c r="AD17" s="171">
        <f ca="1">harbor_towers_cap*(1-EXP(-AM17/(harbor_towers_param*($A18-Explore!$S18*20)+15000)))*(1+(mason_bonus*Construction!BB17/Construction!BS17))+IF(Overview!$B$14="Beastfolk",Construction!DE17/Construction!E17)*(1 + Production!O17/100*prestige_pop_multiplier)</f>
        <v>0</v>
      </c>
      <c r="AE17" s="171">
        <f ca="1">armory_cap*(1-EXP(-AN17/(armory_param*($A18-Explore!$S18*20)+15000)))*(1+(mason_bonus*Construction!$BB17/Construction!$BS17))</f>
        <v>0</v>
      </c>
      <c r="AF17" s="171">
        <f ca="1">infirmary_cap*(1-EXP(-AO17/(infirmary_param*($A18-Explore!$S18*20)+15000)))*(1+(mason_bonus*Construction!$BB17/Construction!$BS17))</f>
        <v>0</v>
      </c>
      <c r="AH17" s="56">
        <f ca="1">(1+Overview!$O$28+IF(Magic!BA17&gt;0,0.1,0))*SUM(AV17:AY17) + AH16</f>
        <v>0</v>
      </c>
      <c r="AI17" s="26">
        <f ca="1">(1+Overview!$O$28+IF(Magic!BA17&gt;0,0.1,0))*SUM(BA17:BD17) + AI16</f>
        <v>0</v>
      </c>
      <c r="AJ17" s="164">
        <f ca="1">(1+Overview!$O$28+IF(Magic!BA17&gt;0,0.1,0))*SUM(BF17:BI17) + AJ16</f>
        <v>0</v>
      </c>
      <c r="AK17" s="164">
        <f ca="1">(1+Overview!$O$28+IF(Magic!BA17&gt;0,0.1,0))*SUM(BK17:BN17) + AK16</f>
        <v>0</v>
      </c>
      <c r="AL17" s="164">
        <f ca="1">(1+Overview!$O$28+IF(Magic!BA17&gt;0,0.1,0))*SUM(BP17:BS17) + AL16</f>
        <v>0</v>
      </c>
      <c r="AM17" s="166">
        <f ca="1">(1+Overview!$O$28+IF(Magic!BA17&gt;0,0.1,0))*SUM(BU17:BX17) + AM16</f>
        <v>0</v>
      </c>
      <c r="AN17" s="166">
        <f ca="1">(1+Overview!$O$28+IF(Magic!BA17&gt;0,0.1,0))*SUM(BZ17:CC17)+AN16</f>
        <v>0</v>
      </c>
      <c r="AO17" s="164">
        <f ca="1">(1+Overview!$O$28+IF(Magic!BA17&gt;0,0.1,0))*SUM(CE17:CH17)+AO16</f>
        <v>0</v>
      </c>
      <c r="AQ17" s="156">
        <f t="shared" si="24"/>
        <v>0</v>
      </c>
      <c r="AR17" s="170">
        <f t="shared" si="24"/>
        <v>0</v>
      </c>
      <c r="AS17" s="170">
        <f t="shared" si="24"/>
        <v>0</v>
      </c>
      <c r="AT17" s="157">
        <f t="shared" si="24"/>
        <v>0</v>
      </c>
      <c r="AV17" s="152">
        <f t="shared" si="25"/>
        <v>0</v>
      </c>
      <c r="AW17" s="164">
        <f t="shared" si="26"/>
        <v>0</v>
      </c>
      <c r="AX17" s="164">
        <f t="shared" si="26"/>
        <v>0</v>
      </c>
      <c r="AY17" s="166">
        <f t="shared" si="27"/>
        <v>0</v>
      </c>
      <c r="BA17" s="152">
        <f t="shared" si="28"/>
        <v>0</v>
      </c>
      <c r="BB17" s="164">
        <f t="shared" si="29"/>
        <v>0</v>
      </c>
      <c r="BC17" s="164">
        <f t="shared" si="29"/>
        <v>0</v>
      </c>
      <c r="BD17" s="166">
        <f t="shared" si="30"/>
        <v>0</v>
      </c>
      <c r="BF17" s="152">
        <f t="shared" si="31"/>
        <v>0</v>
      </c>
      <c r="BG17" s="164">
        <f t="shared" si="32"/>
        <v>0</v>
      </c>
      <c r="BH17" s="164">
        <f t="shared" si="40"/>
        <v>0</v>
      </c>
      <c r="BI17" s="166">
        <f t="shared" si="33"/>
        <v>0</v>
      </c>
      <c r="BK17" s="152">
        <f t="shared" si="34"/>
        <v>0</v>
      </c>
      <c r="BL17" s="164">
        <f t="shared" si="35"/>
        <v>0</v>
      </c>
      <c r="BM17" s="164">
        <f t="shared" si="35"/>
        <v>0</v>
      </c>
      <c r="BN17" s="166">
        <f t="shared" si="36"/>
        <v>0</v>
      </c>
      <c r="BP17" s="152">
        <f t="shared" si="37"/>
        <v>0</v>
      </c>
      <c r="BQ17" s="164">
        <f t="shared" si="38"/>
        <v>0</v>
      </c>
      <c r="BR17" s="164">
        <f t="shared" si="38"/>
        <v>0</v>
      </c>
      <c r="BS17" s="166">
        <f t="shared" si="39"/>
        <v>0</v>
      </c>
      <c r="BU17" s="152">
        <f>IF($O17=BU$2,IF($Q17=$AD$2,$P17)) + IF($R17=BU$2,IF($T17=$AD$2,$S17)) + IF($U17=BU$2,IF($W17=$AD$2,$V17))</f>
        <v>0</v>
      </c>
      <c r="BV17" s="164">
        <f>IF($O17=BV$2,IF($Q17=$AD$2,2*$P17)) + IF($R17=BV$2,IF($T17=$AD$2,2*$S17)) + IF($U17=BV$2,IF($W17=$AD$2,2*$V17))</f>
        <v>0</v>
      </c>
      <c r="BW17" s="164">
        <f>IF($O17=BW$2,IF($Q17=$AD$2,2*$P17)) + IF($R17=BW$2,IF($T17=$AD$2,2*$S17)) + IF($U17=BW$2,IF($W17=$AD$2,2*$V17))</f>
        <v>0</v>
      </c>
      <c r="BX17" s="166">
        <f>IF($O17=BX$2,IF($Q17=$AD$2,12*$P17)) + IF($R17=BX$2,IF($T17=$AD$2,12*$S17)) + IF($U17=BX$2,IF($W17=$AD$2,12*$V17))</f>
        <v>0</v>
      </c>
      <c r="BZ17" s="152">
        <f>IF($O17=BZ$2,IF($Q17=Armory,$P17)) + IF($R17=BZ$2,IF($T17=Armory,$S17)) + IF($U17=BZ$2,IF($W17=Armory,$V17))</f>
        <v>0</v>
      </c>
      <c r="CA17" s="164">
        <f>IF($O17=CA$2,IF($Q17=Armory,2*$P17)) + IF($R17=CA$2,IF($T17=Armory,2*$S17)) + IF($U17=CA$2,IF($W17=Armory,2*$V17))</f>
        <v>0</v>
      </c>
      <c r="CB17" s="164">
        <f>IF($O17=CB$2,IF($Q17=Armory,2*$P17)) + IF($R17=CB$2,IF($T17=Armory,2*$S17)) + IF($U17=CB$2,IF($W17=Armory,2*$V17))</f>
        <v>0</v>
      </c>
      <c r="CC17" s="166">
        <f>IF($O17=CC$2,IF($Q17=Armory,12*$P17)) + IF($R17=CC$2,IF($T17=Armory,12*$S17)) + IF($U17=CC$2,IF($W17=Armory,12*$V17))</f>
        <v>0</v>
      </c>
      <c r="CE17" s="152">
        <f>IF($O17=CE$2,IF($Q17=Infirmary,$P17)) + IF($R17=CE$2,IF($T17=Infirmary,$S17)) + IF($U17=CE$2,IF($W17=Infirmary,$V17))</f>
        <v>0</v>
      </c>
      <c r="CF17" s="164">
        <f>IF($O17=CF$2,IF($Q17=Infirmary,2*$P17)) + IF($R17=CF$2,IF($T17=Infirmary,2*$S17)) + IF($U17=CF$2,IF($W17=Infirmary,2*$V17))</f>
        <v>0</v>
      </c>
      <c r="CG17" s="164">
        <f>IF($O17=CG$2,IF($Q17=Infirmary,2*$P17)) + IF($R17=CG$2,IF($T17=Infirmary,2*$S17)) + IF($U17=CG$2,IF($W17=Infirmary,2*$V17))</f>
        <v>0</v>
      </c>
      <c r="CH17" s="166">
        <f>IF($O17=CH$2,IF($Q17=Infirmary,12*$P17)) + IF($R17=CH$2,IF($T17=Infirmary,12*$S17)) + IF($U17=CH$2,IF($W17=Infirmary,12*$V17))</f>
        <v>0</v>
      </c>
      <c r="CJ17" s="156" t="e">
        <f>OR(Production!C17,Construction!N17:'Construction'!AF17,Construction!BV17:CN17,Explore!S17:Z17,Military!AF17:AL17,Military!X17,Military!BE17:BL17,Rezone!L17:R17,Magic!G17:Q17)</f>
        <v>#VALUE!</v>
      </c>
      <c r="CK17" s="546">
        <f>M17</f>
        <v>0</v>
      </c>
      <c r="CL17" s="546"/>
      <c r="CM17" s="552">
        <f t="shared" si="20"/>
        <v>43768.145833333299</v>
      </c>
      <c r="CN17" s="560">
        <f t="shared" si="21"/>
        <v>43767.979166666635</v>
      </c>
      <c r="CO17" s="802"/>
      <c r="CP17" s="803"/>
      <c r="CQ17" s="770"/>
      <c r="CT17" s="670"/>
    </row>
    <row r="18" spans="1:98" s="16" customFormat="1" x14ac:dyDescent="0.25">
      <c r="A18" s="511">
        <f>Construction!E18</f>
        <v>1000</v>
      </c>
      <c r="C18" s="56">
        <f ca="1">Production!H18</f>
        <v>4495800</v>
      </c>
      <c r="D18" s="26">
        <f ca="1">Production!J18</f>
        <v>340304</v>
      </c>
      <c r="E18" s="26">
        <f ca="1">Production!L18</f>
        <v>300000</v>
      </c>
      <c r="F18" s="57">
        <f ca="1">Production!M18</f>
        <v>20000</v>
      </c>
      <c r="G18" s="26"/>
      <c r="H18" s="56">
        <f ca="1">Military!Z18</f>
        <v>5295</v>
      </c>
      <c r="I18" s="538">
        <f ca="1">Population!I18</f>
        <v>0.75102203581752769</v>
      </c>
      <c r="J18" s="165">
        <f ca="1">Population!F18/Population!U18</f>
        <v>1.4129506823799161</v>
      </c>
      <c r="K18" s="1000">
        <f>Rezone!J18</f>
        <v>16</v>
      </c>
      <c r="L18" s="582">
        <f t="shared" si="19"/>
        <v>43768.156249999964</v>
      </c>
      <c r="M18" s="316">
        <f t="shared" si="22"/>
        <v>0</v>
      </c>
      <c r="N18" s="638">
        <f t="shared" si="23"/>
        <v>1000</v>
      </c>
      <c r="O18" s="423" t="s">
        <v>4</v>
      </c>
      <c r="P18" s="370"/>
      <c r="Q18" s="424" t="s">
        <v>223</v>
      </c>
      <c r="R18" s="423" t="s">
        <v>7</v>
      </c>
      <c r="S18" s="370"/>
      <c r="T18" s="424" t="s">
        <v>223</v>
      </c>
      <c r="U18" s="406" t="s">
        <v>3</v>
      </c>
      <c r="V18" s="407"/>
      <c r="W18" s="409" t="s">
        <v>223</v>
      </c>
      <c r="Y18" s="501">
        <f ca="1">science_cap*(1-EXP(-AH18/(science_param*($A19-Explore!$S19*20)+15000)))*(1+(mason_bonus*Construction!BB18/Construction!BS18))+IF(Overview!$B$14="Beastfolk",Construction!DA18/Construction!E18,0)*(1 + Production!O18/100*prestige_pop_multiplier)</f>
        <v>0</v>
      </c>
      <c r="Z18" s="454">
        <f ca="1">keep_cap*(1-EXP(-AI18/(keep_param*($A19-Explore!$S19*20)+15000)))*(1+(mason_bonus*Construction!BB18/Construction!BS18))+IF(Overview!$B$14="Beastfolk",Construction!DF18/Construction!E18,0)*(1 + Production!O18/100*prestige_pop_multiplier)</f>
        <v>0</v>
      </c>
      <c r="AA18" s="454">
        <f ca="1">harbor_towers_cap*(1-EXP(-AJ18/(harbor_towers_param*($A19-Explore!$S19*20)+15000)))*(1+(mason_bonus*Construction!BB18/Construction!BS18))+IF(Overview!$B$14="Beastfolk",2*Construction!DC18/Construction!E18,0)*(1 + Production!O18/100*prestige_pop_multiplier)</f>
        <v>0</v>
      </c>
      <c r="AB18" s="454">
        <f ca="1">walls_forges_cap*(1-EXP(-AK18/(walls_forges_param*($A19-Explore!$S19*20)+15000)))*(1+(mason_bonus*Construction!BB18/Construction!BS18))+IF(Overview!$B$14="Beastfolk",0.2*Construction!CY18/Construction!E18,0)</f>
        <v>0</v>
      </c>
      <c r="AC18" s="454">
        <f ca="1">walls_forges_cap*(1-EXP(-AL18/(walls_forges_param*($A19-Explore!$S19*20)+15000)))*(1+(mason_bonus*Construction!BB18/Construction!BS18))+IF(Overview!$B$14="Beastfolk",5*Construction!DB18/Construction!E18,0)</f>
        <v>0</v>
      </c>
      <c r="AD18" s="171">
        <f ca="1">harbor_towers_cap*(1-EXP(-AM18/(harbor_towers_param*($A19-Explore!$S19*20)+15000)))*(1+(mason_bonus*Construction!BB18/Construction!BS18))+IF(Overview!$B$14="Beastfolk",Construction!DE18/Construction!E18)*(1 + Production!O18/100*prestige_pop_multiplier)</f>
        <v>0</v>
      </c>
      <c r="AE18" s="171">
        <f ca="1">armory_cap*(1-EXP(-AN18/(armory_param*($A19-Explore!$S19*20)+15000)))*(1+(mason_bonus*Construction!$BB18/Construction!$BS18))</f>
        <v>0</v>
      </c>
      <c r="AF18" s="171">
        <f ca="1">infirmary_cap*(1-EXP(-AO18/(infirmary_param*($A19-Explore!$S19*20)+15000)))*(1+(mason_bonus*Construction!$BB18/Construction!$BS18))</f>
        <v>0</v>
      </c>
      <c r="AH18" s="56">
        <f ca="1">(1+Overview!$O$28+IF(Magic!BA18&gt;0,0.1,0))*SUM(AV18:AY18) + AH17</f>
        <v>0</v>
      </c>
      <c r="AI18" s="26">
        <f ca="1">(1+Overview!$O$28+IF(Magic!BA18&gt;0,0.1,0))*SUM(BA18:BD18) + AI17</f>
        <v>0</v>
      </c>
      <c r="AJ18" s="164">
        <f ca="1">(1+Overview!$O$28+IF(Magic!BA18&gt;0,0.1,0))*SUM(BF18:BI18) + AJ17</f>
        <v>0</v>
      </c>
      <c r="AK18" s="164">
        <f ca="1">(1+Overview!$O$28+IF(Magic!BA18&gt;0,0.1,0))*SUM(BK18:BN18) + AK17</f>
        <v>0</v>
      </c>
      <c r="AL18" s="164">
        <f ca="1">(1+Overview!$O$28+IF(Magic!BA18&gt;0,0.1,0))*SUM(BP18:BS18) + AL17</f>
        <v>0</v>
      </c>
      <c r="AM18" s="166">
        <f ca="1">(1+Overview!$O$28+IF(Magic!BA18&gt;0,0.1,0))*SUM(BU18:BX18) + AM17</f>
        <v>0</v>
      </c>
      <c r="AN18" s="166">
        <f ca="1">(1+Overview!$O$28+IF(Magic!BA18&gt;0,0.1,0))*SUM(BZ18:CC18)+AN17</f>
        <v>0</v>
      </c>
      <c r="AO18" s="164">
        <f ca="1">(1+Overview!$O$28+IF(Magic!BA18&gt;0,0.1,0))*SUM(CE18:CH18)+AO17</f>
        <v>0</v>
      </c>
      <c r="AQ18" s="52">
        <f t="shared" si="24"/>
        <v>0</v>
      </c>
      <c r="AR18" s="16">
        <f t="shared" si="24"/>
        <v>0</v>
      </c>
      <c r="AS18" s="16">
        <f t="shared" si="24"/>
        <v>0</v>
      </c>
      <c r="AT18" s="53">
        <f t="shared" si="24"/>
        <v>0</v>
      </c>
      <c r="AV18" s="56">
        <f t="shared" si="25"/>
        <v>0</v>
      </c>
      <c r="AW18" s="26">
        <f t="shared" si="26"/>
        <v>0</v>
      </c>
      <c r="AX18" s="26">
        <f t="shared" si="26"/>
        <v>0</v>
      </c>
      <c r="AY18" s="57">
        <f t="shared" si="27"/>
        <v>0</v>
      </c>
      <c r="BA18" s="56">
        <f t="shared" si="28"/>
        <v>0</v>
      </c>
      <c r="BB18" s="26">
        <f t="shared" si="29"/>
        <v>0</v>
      </c>
      <c r="BC18" s="26">
        <f t="shared" si="29"/>
        <v>0</v>
      </c>
      <c r="BD18" s="57">
        <f t="shared" si="30"/>
        <v>0</v>
      </c>
      <c r="BF18" s="56">
        <f t="shared" si="31"/>
        <v>0</v>
      </c>
      <c r="BG18" s="26">
        <f t="shared" si="32"/>
        <v>0</v>
      </c>
      <c r="BH18" s="26">
        <f t="shared" si="40"/>
        <v>0</v>
      </c>
      <c r="BI18" s="57">
        <f t="shared" si="33"/>
        <v>0</v>
      </c>
      <c r="BK18" s="56">
        <f t="shared" si="34"/>
        <v>0</v>
      </c>
      <c r="BL18" s="26">
        <f t="shared" si="35"/>
        <v>0</v>
      </c>
      <c r="BM18" s="26">
        <f t="shared" si="35"/>
        <v>0</v>
      </c>
      <c r="BN18" s="57">
        <f t="shared" si="36"/>
        <v>0</v>
      </c>
      <c r="BP18" s="56">
        <f t="shared" si="37"/>
        <v>0</v>
      </c>
      <c r="BQ18" s="26">
        <f t="shared" si="38"/>
        <v>0</v>
      </c>
      <c r="BR18" s="26">
        <f t="shared" si="38"/>
        <v>0</v>
      </c>
      <c r="BS18" s="57">
        <f t="shared" si="39"/>
        <v>0</v>
      </c>
      <c r="BU18" s="56">
        <f>IF($O18=BU$2,IF($Q18=$AD$2,$P18)) + IF($R18=BU$2,IF($T18=$AD$2,$S18)) + IF($U18=BU$2,IF($W18=$AD$2,$V18))</f>
        <v>0</v>
      </c>
      <c r="BV18" s="26">
        <f>IF($O18=BV$2,IF($Q18=$AD$2,2*$P18)) + IF($R18=BV$2,IF($T18=$AD$2,2*$S18)) + IF($U18=BV$2,IF($W18=$AD$2,2*$V18))</f>
        <v>0</v>
      </c>
      <c r="BW18" s="26">
        <f>IF($O18=BW$2,IF($Q18=$AD$2,2*$P18)) + IF($R18=BW$2,IF($T18=$AD$2,2*$S18)) + IF($U18=BW$2,IF($W18=$AD$2,2*$V18))</f>
        <v>0</v>
      </c>
      <c r="BX18" s="57">
        <f>IF($O18=BX$2,IF($Q18=$AD$2,12*$P18)) + IF($R18=BX$2,IF($T18=$AD$2,12*$S18)) + IF($U18=BX$2,IF($W18=$AD$2,12*$V18))</f>
        <v>0</v>
      </c>
      <c r="BZ18" s="56">
        <f>IF($O18=BZ$2,IF($Q18=Armory,$P18)) + IF($R18=BZ$2,IF($T18=Armory,$S18)) + IF($U18=BZ$2,IF($W18=Armory,$V18))</f>
        <v>0</v>
      </c>
      <c r="CA18" s="26">
        <f>IF($O18=CA$2,IF($Q18=Armory,2*$P18)) + IF($R18=CA$2,IF($T18=Armory,2*$S18)) + IF($U18=CA$2,IF($W18=Armory,2*$V18))</f>
        <v>0</v>
      </c>
      <c r="CB18" s="26">
        <f>IF($O18=CB$2,IF($Q18=Armory,2*$P18)) + IF($R18=CB$2,IF($T18=Armory,2*$S18)) + IF($U18=CB$2,IF($W18=Armory,2*$V18))</f>
        <v>0</v>
      </c>
      <c r="CC18" s="57">
        <f>IF($O18=CC$2,IF($Q18=Armory,12*$P18)) + IF($R18=CC$2,IF($T18=Armory,12*$S18)) + IF($U18=CC$2,IF($W18=Armory,12*$V18))</f>
        <v>0</v>
      </c>
      <c r="CE18" s="56">
        <f>IF($O18=CE$2,IF($Q18=Infirmary,$P18)) + IF($R18=CE$2,IF($T18=Infirmary,$S18)) + IF($U18=CE$2,IF($W18=Infirmary,$V18))</f>
        <v>0</v>
      </c>
      <c r="CF18" s="26">
        <f>IF($O18=CF$2,IF($Q18=Infirmary,2*$P18)) + IF($R18=CF$2,IF($T18=Infirmary,2*$S18)) + IF($U18=CF$2,IF($W18=Infirmary,2*$V18))</f>
        <v>0</v>
      </c>
      <c r="CG18" s="26">
        <f>IF($O18=CG$2,IF($Q18=Infirmary,2*$P18)) + IF($R18=CG$2,IF($T18=Infirmary,2*$S18)) + IF($U18=CG$2,IF($W18=Infirmary,2*$V18))</f>
        <v>0</v>
      </c>
      <c r="CH18" s="57">
        <f>IF($O18=CH$2,IF($Q18=Infirmary,12*$P18)) + IF($R18=CH$2,IF($T18=Infirmary,12*$S18)) + IF($U18=CH$2,IF($W18=Infirmary,12*$V18))</f>
        <v>0</v>
      </c>
      <c r="CJ18" s="52" t="e">
        <f>OR(Production!C18,Construction!N18:'Construction'!AF18,Construction!BV18:CN18,Explore!S18:Z18,Military!AF18:AL18,Military!X18,Military!BE18:BL18,Rezone!L18:R18,Magic!G18:Q18)</f>
        <v>#VALUE!</v>
      </c>
      <c r="CK18" s="525">
        <f>M18</f>
        <v>0</v>
      </c>
      <c r="CL18" s="525"/>
      <c r="CM18" s="555">
        <f t="shared" si="20"/>
        <v>43768.156249999964</v>
      </c>
      <c r="CN18" s="563">
        <f t="shared" si="21"/>
        <v>43767.989583333299</v>
      </c>
      <c r="CO18" s="527"/>
      <c r="CP18" s="803"/>
      <c r="CQ18" s="808"/>
      <c r="CR18" s="170"/>
      <c r="CT18" s="671"/>
    </row>
    <row r="19" spans="1:98" s="163" customFormat="1" x14ac:dyDescent="0.25">
      <c r="A19" s="507">
        <f>Construction!E19</f>
        <v>1000</v>
      </c>
      <c r="C19" s="151">
        <f ca="1">Production!H19</f>
        <v>4505520</v>
      </c>
      <c r="D19" s="153">
        <f ca="1">Production!J19</f>
        <v>339401</v>
      </c>
      <c r="E19" s="153">
        <f ca="1">Production!L19</f>
        <v>300000</v>
      </c>
      <c r="F19" s="158">
        <f ca="1">Production!M19</f>
        <v>20000</v>
      </c>
      <c r="G19" s="153"/>
      <c r="H19" s="151">
        <f ca="1">Military!Z19</f>
        <v>5295</v>
      </c>
      <c r="I19" s="155">
        <f ca="1">Population!I19</f>
        <v>0.79054951138687124</v>
      </c>
      <c r="J19" s="154">
        <f ca="1">Population!F19/Population!U19</f>
        <v>1.3793829801936934</v>
      </c>
      <c r="K19" s="1001">
        <f>Rezone!J19</f>
        <v>17</v>
      </c>
      <c r="L19" s="581">
        <f t="shared" si="19"/>
        <v>43768.166666666628</v>
      </c>
      <c r="M19" s="644">
        <f t="shared" si="22"/>
        <v>0</v>
      </c>
      <c r="N19" s="637">
        <f t="shared" si="23"/>
        <v>1000</v>
      </c>
      <c r="O19" s="706" t="s">
        <v>4</v>
      </c>
      <c r="P19" s="428"/>
      <c r="Q19" s="411" t="s">
        <v>223</v>
      </c>
      <c r="R19" s="427" t="s">
        <v>7</v>
      </c>
      <c r="S19" s="428"/>
      <c r="T19" s="412" t="s">
        <v>223</v>
      </c>
      <c r="U19" s="706" t="s">
        <v>3</v>
      </c>
      <c r="V19" s="410"/>
      <c r="W19" s="412" t="s">
        <v>223</v>
      </c>
      <c r="Y19" s="500">
        <f ca="1">science_cap*(1-EXP(-AH19/(science_param*($A20-Explore!$S20*20)+15000)))*(1+(mason_bonus*Construction!BB19/Construction!BS19))+IF(Overview!$B$14="Beastfolk",Construction!DA19/Construction!E19,0)*(1 + Production!O19/100*prestige_pop_multiplier)</f>
        <v>0</v>
      </c>
      <c r="Z19" s="446">
        <f ca="1">keep_cap*(1-EXP(-AI19/(keep_param*($A20-Explore!$S20*20)+15000)))*(1+(mason_bonus*Construction!BB19/Construction!BS19))+IF(Overview!$B$14="Beastfolk",Construction!DF19/Construction!E19,0)*(1 + Production!O19/100*prestige_pop_multiplier)</f>
        <v>0</v>
      </c>
      <c r="AA19" s="446">
        <f ca="1">harbor_towers_cap*(1-EXP(-AJ19/(harbor_towers_param*($A20-Explore!$S20*20)+15000)))*(1+(mason_bonus*Construction!BB19/Construction!BS19))+IF(Overview!$B$14="Beastfolk",2*Construction!DC19/Construction!E19,0)*(1 + Production!O19/100*prestige_pop_multiplier)</f>
        <v>0</v>
      </c>
      <c r="AB19" s="446">
        <f ca="1">walls_forges_cap*(1-EXP(-AK19/(walls_forges_param*($A20-Explore!$S20*20)+15000)))*(1+(mason_bonus*Construction!BB19/Construction!BS19))+IF(Overview!$B$14="Beastfolk",0.2*Construction!CY19/Construction!E19,0)</f>
        <v>0</v>
      </c>
      <c r="AC19" s="446">
        <f ca="1">walls_forges_cap*(1-EXP(-AL19/(walls_forges_param*($A20-Explore!$S20*20)+15000)))*(1+(mason_bonus*Construction!BB19/Construction!BS19))+IF(Overview!$B$14="Beastfolk",5*Construction!DB19/Construction!E19,0)</f>
        <v>0</v>
      </c>
      <c r="AD19" s="162">
        <f ca="1">harbor_towers_cap*(1-EXP(-AM19/(harbor_towers_param*($A20-Explore!$S20*20)+15000)))*(1+(mason_bonus*Construction!BB19/Construction!BS19))+IF(Overview!$B$14="Beastfolk",Construction!DE19/Construction!E19)*(1 + Production!O19/100*prestige_pop_multiplier)</f>
        <v>0</v>
      </c>
      <c r="AE19" s="162">
        <f ca="1">armory_cap*(1-EXP(-AN19/(armory_param*($A20-Explore!$S20*20)+15000)))*(1+(mason_bonus*Construction!$BB19/Construction!$BS19))</f>
        <v>0</v>
      </c>
      <c r="AF19" s="162">
        <f ca="1">infirmary_cap*(1-EXP(-AO19/(infirmary_param*($A20-Explore!$S20*20)+15000)))*(1+(mason_bonus*Construction!$BB19/Construction!$BS19))</f>
        <v>0</v>
      </c>
      <c r="AH19" s="54">
        <f ca="1">(1+Overview!$O$28+IF(Magic!BA19&gt;0,0.1,0))*SUM(AV19:AY19) + AH18</f>
        <v>0</v>
      </c>
      <c r="AI19" s="13">
        <f ca="1">(1+Overview!$O$28+IF(Magic!BA19&gt;0,0.1,0))*SUM(BA19:BD19) + AI18</f>
        <v>0</v>
      </c>
      <c r="AJ19" s="153">
        <f ca="1">(1+Overview!$O$28+IF(Magic!BA19&gt;0,0.1,0))*SUM(BF19:BI19) + AJ18</f>
        <v>0</v>
      </c>
      <c r="AK19" s="153">
        <f ca="1">(1+Overview!$O$28+IF(Magic!BA19&gt;0,0.1,0))*SUM(BK19:BN19) + AK18</f>
        <v>0</v>
      </c>
      <c r="AL19" s="153">
        <f ca="1">(1+Overview!$O$28+IF(Magic!BA19&gt;0,0.1,0))*SUM(BP19:BS19) + AL18</f>
        <v>0</v>
      </c>
      <c r="AM19" s="158">
        <f ca="1">(1+Overview!$O$28+IF(Magic!BA19&gt;0,0.1,0))*SUM(BU19:BX19) + AM18</f>
        <v>0</v>
      </c>
      <c r="AN19" s="158">
        <f ca="1">(1+Overview!$O$28+IF(Magic!BA19&gt;0,0.1,0))*SUM(BZ19:CC19)+AN18</f>
        <v>0</v>
      </c>
      <c r="AO19" s="153">
        <f ca="1">(1+Overview!$O$28+IF(Magic!BA19&gt;0,0.1,0))*SUM(CE19:CH19)+AO18</f>
        <v>0</v>
      </c>
      <c r="AQ19" s="184">
        <f t="shared" si="24"/>
        <v>0</v>
      </c>
      <c r="AR19" s="163">
        <f t="shared" si="24"/>
        <v>0</v>
      </c>
      <c r="AS19" s="163">
        <f t="shared" si="24"/>
        <v>0</v>
      </c>
      <c r="AT19" s="185">
        <f t="shared" si="24"/>
        <v>0</v>
      </c>
      <c r="AV19" s="151">
        <f t="shared" si="25"/>
        <v>0</v>
      </c>
      <c r="AW19" s="153">
        <f t="shared" si="26"/>
        <v>0</v>
      </c>
      <c r="AX19" s="153">
        <f t="shared" si="26"/>
        <v>0</v>
      </c>
      <c r="AY19" s="158">
        <f t="shared" si="27"/>
        <v>0</v>
      </c>
      <c r="BA19" s="151">
        <f t="shared" si="28"/>
        <v>0</v>
      </c>
      <c r="BB19" s="153">
        <f t="shared" si="29"/>
        <v>0</v>
      </c>
      <c r="BC19" s="153">
        <f t="shared" si="29"/>
        <v>0</v>
      </c>
      <c r="BD19" s="158">
        <f t="shared" si="30"/>
        <v>0</v>
      </c>
      <c r="BF19" s="151">
        <f t="shared" si="31"/>
        <v>0</v>
      </c>
      <c r="BG19" s="153">
        <f t="shared" si="32"/>
        <v>0</v>
      </c>
      <c r="BH19" s="153">
        <f t="shared" si="40"/>
        <v>0</v>
      </c>
      <c r="BI19" s="158">
        <f t="shared" si="33"/>
        <v>0</v>
      </c>
      <c r="BK19" s="151">
        <f t="shared" si="34"/>
        <v>0</v>
      </c>
      <c r="BL19" s="153">
        <f t="shared" si="35"/>
        <v>0</v>
      </c>
      <c r="BM19" s="153">
        <f t="shared" si="35"/>
        <v>0</v>
      </c>
      <c r="BN19" s="158">
        <f t="shared" si="36"/>
        <v>0</v>
      </c>
      <c r="BP19" s="151">
        <f t="shared" si="37"/>
        <v>0</v>
      </c>
      <c r="BQ19" s="153">
        <f t="shared" si="38"/>
        <v>0</v>
      </c>
      <c r="BR19" s="153">
        <f t="shared" si="38"/>
        <v>0</v>
      </c>
      <c r="BS19" s="158">
        <f t="shared" si="39"/>
        <v>0</v>
      </c>
      <c r="BU19" s="151">
        <f>IF($O19=BU$2,IF($Q19=$AD$2,$P19)) + IF($R19=BU$2,IF($T19=$AD$2,$S19)) + IF($U19=BU$2,IF($W19=$AD$2,$V19))</f>
        <v>0</v>
      </c>
      <c r="BV19" s="153">
        <f>IF($O19=BV$2,IF($Q19=$AD$2,2*$P19)) + IF($R19=BV$2,IF($T19=$AD$2,2*$S19)) + IF($U19=BV$2,IF($W19=$AD$2,2*$V19))</f>
        <v>0</v>
      </c>
      <c r="BW19" s="153">
        <f>IF($O19=BW$2,IF($Q19=$AD$2,2*$P19)) + IF($R19=BW$2,IF($T19=$AD$2,2*$S19)) + IF($U19=BW$2,IF($W19=$AD$2,2*$V19))</f>
        <v>0</v>
      </c>
      <c r="BX19" s="158">
        <f>IF($O19=BX$2,IF($Q19=$AD$2,12*$P19)) + IF($R19=BX$2,IF($T19=$AD$2,12*$S19)) + IF($U19=BX$2,IF($W19=$AD$2,12*$V19))</f>
        <v>0</v>
      </c>
      <c r="BZ19" s="151">
        <f>IF($O19=BZ$2,IF($Q19=Armory,$P19)) + IF($R19=BZ$2,IF($T19=Armory,$S19)) + IF($U19=BZ$2,IF($W19=Armory,$V19))</f>
        <v>0</v>
      </c>
      <c r="CA19" s="153">
        <f>IF($O19=CA$2,IF($Q19=Armory,2*$P19)) + IF($R19=CA$2,IF($T19=Armory,2*$S19)) + IF($U19=CA$2,IF($W19=Armory,2*$V19))</f>
        <v>0</v>
      </c>
      <c r="CB19" s="153">
        <f>IF($O19=CB$2,IF($Q19=Armory,2*$P19)) + IF($R19=CB$2,IF($T19=Armory,2*$S19)) + IF($U19=CB$2,IF($W19=Armory,2*$V19))</f>
        <v>0</v>
      </c>
      <c r="CC19" s="158">
        <f>IF($O19=CC$2,IF($Q19=Armory,12*$P19)) + IF($R19=CC$2,IF($T19=Armory,12*$S19)) + IF($U19=CC$2,IF($W19=Armory,12*$V19))</f>
        <v>0</v>
      </c>
      <c r="CE19" s="151">
        <f>IF($O19=CE$2,IF($Q19=Infirmary,$P19)) + IF($R19=CE$2,IF($T19=Infirmary,$S19)) + IF($U19=CE$2,IF($W19=Infirmary,$V19))</f>
        <v>0</v>
      </c>
      <c r="CF19" s="153">
        <f>IF($O19=CF$2,IF($Q19=Infirmary,2*$P19)) + IF($R19=CF$2,IF($T19=Infirmary,2*$S19)) + IF($U19=CF$2,IF($W19=Infirmary,2*$V19))</f>
        <v>0</v>
      </c>
      <c r="CG19" s="153">
        <f>IF($O19=CG$2,IF($Q19=Infirmary,2*$P19)) + IF($R19=CG$2,IF($T19=Infirmary,2*$S19)) + IF($U19=CG$2,IF($W19=Infirmary,2*$V19))</f>
        <v>0</v>
      </c>
      <c r="CH19" s="158">
        <f>IF($O19=CH$2,IF($Q19=Infirmary,12*$P19)) + IF($R19=CH$2,IF($T19=Infirmary,12*$S19)) + IF($U19=CH$2,IF($W19=Infirmary,12*$V19))</f>
        <v>0</v>
      </c>
      <c r="CJ19" s="184" t="e">
        <f>OR(Production!C19,Construction!N19:'Construction'!AF19,Construction!BV19:CN19,Explore!S19:Z19,Military!AF19:AL19,Military!X19,Military!BE19:BL19,Rezone!L19:R19,Magic!G19:Q19)</f>
        <v>#VALUE!</v>
      </c>
      <c r="CK19" s="319">
        <f>M19</f>
        <v>0</v>
      </c>
      <c r="CL19" s="319"/>
      <c r="CM19" s="551">
        <f t="shared" si="20"/>
        <v>43768.166666666628</v>
      </c>
      <c r="CN19" s="559">
        <f t="shared" si="21"/>
        <v>43767.999999999964</v>
      </c>
      <c r="CO19" s="625"/>
      <c r="CP19" s="804"/>
      <c r="CQ19" s="769"/>
    </row>
    <row r="20" spans="1:98" s="16" customFormat="1" x14ac:dyDescent="0.25">
      <c r="A20" s="511">
        <f>Construction!E20</f>
        <v>1000</v>
      </c>
      <c r="C20" s="56">
        <f ca="1">Production!H20</f>
        <v>4515240</v>
      </c>
      <c r="D20" s="26">
        <f ca="1">Production!J20</f>
        <v>338507</v>
      </c>
      <c r="E20" s="26">
        <f ca="1">Production!L20</f>
        <v>300000</v>
      </c>
      <c r="F20" s="57">
        <f ca="1">Production!M20</f>
        <v>20000</v>
      </c>
      <c r="G20" s="26"/>
      <c r="H20" s="56">
        <f ca="1">Military!Z20</f>
        <v>5295</v>
      </c>
      <c r="I20" s="538">
        <f ca="1">Population!I20</f>
        <v>0.83215738040723286</v>
      </c>
      <c r="J20" s="165">
        <f ca="1">Population!F20/Population!U20</f>
        <v>1.347493663116782</v>
      </c>
      <c r="K20" s="1000">
        <f>Rezone!J20</f>
        <v>18</v>
      </c>
      <c r="L20" s="582">
        <f t="shared" si="19"/>
        <v>43768.177083333292</v>
      </c>
      <c r="M20" s="316">
        <f t="shared" si="22"/>
        <v>0</v>
      </c>
      <c r="N20" s="638">
        <f t="shared" si="23"/>
        <v>1000</v>
      </c>
      <c r="O20" s="423" t="s">
        <v>4</v>
      </c>
      <c r="P20" s="370"/>
      <c r="Q20" s="424" t="s">
        <v>223</v>
      </c>
      <c r="R20" s="423" t="s">
        <v>7</v>
      </c>
      <c r="S20" s="370"/>
      <c r="T20" s="424" t="s">
        <v>223</v>
      </c>
      <c r="U20" s="406" t="s">
        <v>3</v>
      </c>
      <c r="V20" s="407"/>
      <c r="W20" s="409" t="s">
        <v>223</v>
      </c>
      <c r="Y20" s="501">
        <f ca="1">science_cap*(1-EXP(-AH20/(science_param*($A21-Explore!$S21*20)+15000)))*(1+(mason_bonus*Construction!BB20/Construction!BS20))+IF(Overview!$B$14="Beastfolk",Construction!DA20/Construction!E20,0)*(1 + Production!O20/100*prestige_pop_multiplier)</f>
        <v>0</v>
      </c>
      <c r="Z20" s="454">
        <f ca="1">keep_cap*(1-EXP(-AI20/(keep_param*($A21-Explore!$S21*20)+15000)))*(1+(mason_bonus*Construction!BB20/Construction!BS20))+IF(Overview!$B$14="Beastfolk",Construction!DF20/Construction!E20,0)*(1 + Production!O20/100*prestige_pop_multiplier)</f>
        <v>0</v>
      </c>
      <c r="AA20" s="454">
        <f ca="1">harbor_towers_cap*(1-EXP(-AJ20/(harbor_towers_param*($A21-Explore!$S21*20)+15000)))*(1+(mason_bonus*Construction!BB20/Construction!BS20))+IF(Overview!$B$14="Beastfolk",2*Construction!DC20/Construction!E20,0)*(1 + Production!O20/100*prestige_pop_multiplier)</f>
        <v>0</v>
      </c>
      <c r="AB20" s="454">
        <f ca="1">walls_forges_cap*(1-EXP(-AK20/(walls_forges_param*($A21-Explore!$S21*20)+15000)))*(1+(mason_bonus*Construction!BB20/Construction!BS20))+IF(Overview!$B$14="Beastfolk",0.2*Construction!CY20/Construction!E20,0)</f>
        <v>0</v>
      </c>
      <c r="AC20" s="454">
        <f ca="1">walls_forges_cap*(1-EXP(-AL20/(walls_forges_param*($A21-Explore!$S21*20)+15000)))*(1+(mason_bonus*Construction!BB20/Construction!BS20))+IF(Overview!$B$14="Beastfolk",5*Construction!DB20/Construction!E20,0)</f>
        <v>0</v>
      </c>
      <c r="AD20" s="171">
        <f ca="1">harbor_towers_cap*(1-EXP(-AM20/(harbor_towers_param*($A21-Explore!$S21*20)+15000)))*(1+(mason_bonus*Construction!BB20/Construction!BS20))+IF(Overview!$B$14="Beastfolk",Construction!DE20/Construction!E20)*(1 + Production!O20/100*prestige_pop_multiplier)</f>
        <v>0</v>
      </c>
      <c r="AE20" s="171">
        <f ca="1">armory_cap*(1-EXP(-AN20/(armory_param*($A21-Explore!$S21*20)+15000)))*(1+(mason_bonus*Construction!$BB20/Construction!$BS20))</f>
        <v>0</v>
      </c>
      <c r="AF20" s="171">
        <f ca="1">infirmary_cap*(1-EXP(-AO20/(infirmary_param*($A21-Explore!$S21*20)+15000)))*(1+(mason_bonus*Construction!$BB20/Construction!$BS20))</f>
        <v>0</v>
      </c>
      <c r="AH20" s="56">
        <f ca="1">(1+Overview!$O$28+IF(Magic!BA20&gt;0,0.1,0))*SUM(AV20:AY20) + AH19</f>
        <v>0</v>
      </c>
      <c r="AI20" s="26">
        <f ca="1">(1+Overview!$O$28+IF(Magic!BA20&gt;0,0.1,0))*SUM(BA20:BD20) + AI19</f>
        <v>0</v>
      </c>
      <c r="AJ20" s="164">
        <f ca="1">(1+Overview!$O$28+IF(Magic!BA20&gt;0,0.1,0))*SUM(BF20:BI20) + AJ19</f>
        <v>0</v>
      </c>
      <c r="AK20" s="164">
        <f ca="1">(1+Overview!$O$28+IF(Magic!BA20&gt;0,0.1,0))*SUM(BK20:BN20) + AK19</f>
        <v>0</v>
      </c>
      <c r="AL20" s="164">
        <f ca="1">(1+Overview!$O$28+IF(Magic!BA20&gt;0,0.1,0))*SUM(BP20:BS20) + AL19</f>
        <v>0</v>
      </c>
      <c r="AM20" s="166">
        <f ca="1">(1+Overview!$O$28+IF(Magic!BA20&gt;0,0.1,0))*SUM(BU20:BX20) + AM19</f>
        <v>0</v>
      </c>
      <c r="AN20" s="166">
        <f ca="1">(1+Overview!$O$28+IF(Magic!BA20&gt;0,0.1,0))*SUM(BZ20:CC20)+AN19</f>
        <v>0</v>
      </c>
      <c r="AO20" s="164">
        <f ca="1">(1+Overview!$O$28+IF(Magic!BA20&gt;0,0.1,0))*SUM(CE20:CH20)+AO19</f>
        <v>0</v>
      </c>
      <c r="AQ20" s="52">
        <f t="shared" ref="AQ20:AT76" si="41">IF(AND($O20=AQ$2,$Q20&lt;&gt;""),$P20) + IF(AND($R20=AQ$2,$T20&lt;&gt;""),$S20) + IF(AND($U20=AQ$2,$W20&lt;&gt;""),$V20)</f>
        <v>0</v>
      </c>
      <c r="AR20" s="16">
        <f t="shared" si="41"/>
        <v>0</v>
      </c>
      <c r="AS20" s="16">
        <f t="shared" si="41"/>
        <v>0</v>
      </c>
      <c r="AT20" s="53">
        <f t="shared" si="41"/>
        <v>0</v>
      </c>
      <c r="AV20" s="56">
        <f t="shared" si="25"/>
        <v>0</v>
      </c>
      <c r="AW20" s="26">
        <f t="shared" ref="AW20:AX76" si="42">IF($O20=AW$2,IF($Q20=$Y$2,2*$P20)) + IF($R20=AW$2,IF($T20=$Y$2,2*$S20)) + IF($U20=AW$2,IF($W20=$Y$2,2*$V20))</f>
        <v>0</v>
      </c>
      <c r="AX20" s="26">
        <f t="shared" si="42"/>
        <v>0</v>
      </c>
      <c r="AY20" s="57">
        <f t="shared" si="27"/>
        <v>0</v>
      </c>
      <c r="BA20" s="56">
        <f t="shared" si="28"/>
        <v>0</v>
      </c>
      <c r="BB20" s="26">
        <f t="shared" ref="BB20:BC76" si="43">IF($O20=BB$2,IF($Q20=$Z$2,2*$P20)) + IF($R20=BB$2,IF($T20=$Z$2,2*$S20)) + IF($U20=BB$2,IF($W20=$Z$2,2*$V20))</f>
        <v>0</v>
      </c>
      <c r="BC20" s="26">
        <f t="shared" si="43"/>
        <v>0</v>
      </c>
      <c r="BD20" s="57">
        <f t="shared" si="30"/>
        <v>0</v>
      </c>
      <c r="BF20" s="56">
        <f t="shared" si="31"/>
        <v>0</v>
      </c>
      <c r="BG20" s="26">
        <f t="shared" si="32"/>
        <v>0</v>
      </c>
      <c r="BH20" s="26">
        <f t="shared" si="40"/>
        <v>0</v>
      </c>
      <c r="BI20" s="57">
        <f t="shared" si="33"/>
        <v>0</v>
      </c>
      <c r="BK20" s="56">
        <f t="shared" si="34"/>
        <v>0</v>
      </c>
      <c r="BL20" s="26">
        <f t="shared" ref="BL20:BM76" si="44">IF($O20=BL$2,IF($Q20=$AB$2,2*$P20)) + IF($R20=BL$2,IF($T20=$AB$2,2*$S20)) + IF($U20=BL$2,IF($W20=$AB$2,2*$V20))</f>
        <v>0</v>
      </c>
      <c r="BM20" s="26">
        <f t="shared" si="44"/>
        <v>0</v>
      </c>
      <c r="BN20" s="57">
        <f t="shared" si="36"/>
        <v>0</v>
      </c>
      <c r="BP20" s="56">
        <f t="shared" si="37"/>
        <v>0</v>
      </c>
      <c r="BQ20" s="26">
        <f t="shared" ref="BQ20:BR76" si="45">IF($O20=BQ$2,IF($Q20=$AC$2,2*$P20)) + IF($R20=BQ$2,IF($T20=$AC$2,2*$S20)) + IF($U20=BQ$2,IF($W20=$AC$2,2*$V20))</f>
        <v>0</v>
      </c>
      <c r="BR20" s="26">
        <f t="shared" si="45"/>
        <v>0</v>
      </c>
      <c r="BS20" s="57">
        <f t="shared" si="39"/>
        <v>0</v>
      </c>
      <c r="BU20" s="56">
        <f>IF($O20=BU$2,IF($Q20=$AD$2,$P20)) + IF($R20=BU$2,IF($T20=$AD$2,$S20)) + IF($U20=BU$2,IF($W20=$AD$2,$V20))</f>
        <v>0</v>
      </c>
      <c r="BV20" s="26">
        <f>IF($O20=BV$2,IF($Q20=$AD$2,2*$P20)) + IF($R20=BV$2,IF($T20=$AD$2,2*$S20)) + IF($U20=BV$2,IF($W20=$AD$2,2*$V20))</f>
        <v>0</v>
      </c>
      <c r="BW20" s="26">
        <f>IF($O20=BW$2,IF($Q20=$AD$2,2*$P20)) + IF($R20=BW$2,IF($T20=$AD$2,2*$S20)) + IF($U20=BW$2,IF($W20=$AD$2,2*$V20))</f>
        <v>0</v>
      </c>
      <c r="BX20" s="57">
        <f>IF($O20=BX$2,IF($Q20=$AD$2,12*$P20)) + IF($R20=BX$2,IF($T20=$AD$2,12*$S20)) + IF($U20=BX$2,IF($W20=$AD$2,12*$V20))</f>
        <v>0</v>
      </c>
      <c r="BZ20" s="56">
        <f>IF($O20=BZ$2,IF($Q20=Armory,$P20)) + IF($R20=BZ$2,IF($T20=Armory,$S20)) + IF($U20=BZ$2,IF($W20=Armory,$V20))</f>
        <v>0</v>
      </c>
      <c r="CA20" s="26">
        <f>IF($O20=CA$2,IF($Q20=Armory,2*$P20)) + IF($R20=CA$2,IF($T20=Armory,2*$S20)) + IF($U20=CA$2,IF($W20=Armory,2*$V20))</f>
        <v>0</v>
      </c>
      <c r="CB20" s="26">
        <f>IF($O20=CB$2,IF($Q20=Armory,2*$P20)) + IF($R20=CB$2,IF($T20=Armory,2*$S20)) + IF($U20=CB$2,IF($W20=Armory,2*$V20))</f>
        <v>0</v>
      </c>
      <c r="CC20" s="57">
        <f>IF($O20=CC$2,IF($Q20=Armory,12*$P20)) + IF($R20=CC$2,IF($T20=Armory,12*$S20)) + IF($U20=CC$2,IF($W20=Armory,12*$V20))</f>
        <v>0</v>
      </c>
      <c r="CE20" s="56">
        <f>IF($O20=CE$2,IF($Q20=Infirmary,$P20)) + IF($R20=CE$2,IF($T20=Infirmary,$S20)) + IF($U20=CE$2,IF($W20=Infirmary,$V20))</f>
        <v>0</v>
      </c>
      <c r="CF20" s="26">
        <f>IF($O20=CF$2,IF($Q20=Infirmary,2*$P20)) + IF($R20=CF$2,IF($T20=Infirmary,2*$S20)) + IF($U20=CF$2,IF($W20=Infirmary,2*$V20))</f>
        <v>0</v>
      </c>
      <c r="CG20" s="26">
        <f>IF($O20=CG$2,IF($Q20=Infirmary,2*$P20)) + IF($R20=CG$2,IF($T20=Infirmary,2*$S20)) + IF($U20=CG$2,IF($W20=Infirmary,2*$V20))</f>
        <v>0</v>
      </c>
      <c r="CH20" s="57">
        <f>IF($O20=CH$2,IF($Q20=Infirmary,12*$P20)) + IF($R20=CH$2,IF($T20=Infirmary,12*$S20)) + IF($U20=CH$2,IF($W20=Infirmary,12*$V20))</f>
        <v>0</v>
      </c>
      <c r="CJ20" s="52" t="e">
        <f>OR(Production!C20,Construction!N20:'Construction'!AF20,Construction!BV20:CN20,Explore!S20:Z20,Military!AF20:AL20,Military!X20,Military!BE20:BL20,Rezone!L20:R20,Magic!G20:Q20)</f>
        <v>#VALUE!</v>
      </c>
      <c r="CK20" s="525">
        <f>M20</f>
        <v>0</v>
      </c>
      <c r="CL20" s="525"/>
      <c r="CM20" s="555">
        <f t="shared" si="20"/>
        <v>43768.177083333292</v>
      </c>
      <c r="CN20" s="563">
        <f t="shared" si="21"/>
        <v>43768.010416666628</v>
      </c>
      <c r="CO20" s="527"/>
      <c r="CP20" s="803"/>
      <c r="CQ20" s="808"/>
      <c r="CR20" s="170"/>
      <c r="CT20" s="672"/>
    </row>
    <row r="21" spans="1:98" s="16" customFormat="1" x14ac:dyDescent="0.25">
      <c r="A21" s="511">
        <f>Construction!E21</f>
        <v>1000</v>
      </c>
      <c r="C21" s="56">
        <f ca="1">Production!H21</f>
        <v>4524960</v>
      </c>
      <c r="D21" s="26">
        <f ca="1">Production!J21</f>
        <v>337622</v>
      </c>
      <c r="E21" s="26">
        <f ca="1">Production!L21</f>
        <v>300000</v>
      </c>
      <c r="F21" s="57">
        <f ca="1">Production!M21</f>
        <v>20000</v>
      </c>
      <c r="G21" s="26"/>
      <c r="H21" s="56">
        <f ca="1">Military!Z21</f>
        <v>5295</v>
      </c>
      <c r="I21" s="538">
        <f ca="1">Population!I21</f>
        <v>0.87595513727077146</v>
      </c>
      <c r="J21" s="165">
        <f ca="1">Population!F21/Population!U21</f>
        <v>1.3171988118937159</v>
      </c>
      <c r="K21" s="1000">
        <f>Rezone!J21</f>
        <v>19</v>
      </c>
      <c r="L21" s="582">
        <f t="shared" si="19"/>
        <v>43768.187499999956</v>
      </c>
      <c r="M21" s="316">
        <f t="shared" si="22"/>
        <v>0</v>
      </c>
      <c r="N21" s="638">
        <f t="shared" si="23"/>
        <v>1000</v>
      </c>
      <c r="O21" s="423" t="s">
        <v>4</v>
      </c>
      <c r="P21" s="370"/>
      <c r="Q21" s="424" t="s">
        <v>223</v>
      </c>
      <c r="R21" s="423" t="s">
        <v>7</v>
      </c>
      <c r="S21" s="370"/>
      <c r="T21" s="424" t="s">
        <v>223</v>
      </c>
      <c r="U21" s="406" t="s">
        <v>3</v>
      </c>
      <c r="V21" s="407"/>
      <c r="W21" s="409" t="s">
        <v>223</v>
      </c>
      <c r="Y21" s="501">
        <f ca="1">science_cap*(1-EXP(-AH21/(science_param*($A22-Explore!$S22*20)+15000)))*(1+(mason_bonus*Construction!BB21/Construction!BS21))+IF(Overview!$B$14="Beastfolk",Construction!DA21/Construction!E21,0)*(1 + Production!O21/100*prestige_pop_multiplier)</f>
        <v>0</v>
      </c>
      <c r="Z21" s="454">
        <f ca="1">keep_cap*(1-EXP(-AI21/(keep_param*($A22-Explore!$S22*20)+15000)))*(1+(mason_bonus*Construction!BB21/Construction!BS21))+IF(Overview!$B$14="Beastfolk",Construction!DF21/Construction!E21,0)*(1 + Production!O21/100*prestige_pop_multiplier)</f>
        <v>0</v>
      </c>
      <c r="AA21" s="454">
        <f ca="1">harbor_towers_cap*(1-EXP(-AJ21/(harbor_towers_param*($A22-Explore!$S22*20)+15000)))*(1+(mason_bonus*Construction!BB21/Construction!BS21))+IF(Overview!$B$14="Beastfolk",2*Construction!DC21/Construction!E21,0)*(1 + Production!O21/100*prestige_pop_multiplier)</f>
        <v>0</v>
      </c>
      <c r="AB21" s="454">
        <f ca="1">walls_forges_cap*(1-EXP(-AK21/(walls_forges_param*($A22-Explore!$S22*20)+15000)))*(1+(mason_bonus*Construction!BB21/Construction!BS21))+IF(Overview!$B$14="Beastfolk",0.2*Construction!CY21/Construction!E21,0)</f>
        <v>0</v>
      </c>
      <c r="AC21" s="454">
        <f ca="1">walls_forges_cap*(1-EXP(-AL21/(walls_forges_param*($A22-Explore!$S22*20)+15000)))*(1+(mason_bonus*Construction!BB21/Construction!BS21))+IF(Overview!$B$14="Beastfolk",5*Construction!DB21/Construction!E21,0)</f>
        <v>0</v>
      </c>
      <c r="AD21" s="171">
        <f ca="1">harbor_towers_cap*(1-EXP(-AM21/(harbor_towers_param*($A22-Explore!$S22*20)+15000)))*(1+(mason_bonus*Construction!BB21/Construction!BS21))+IF(Overview!$B$14="Beastfolk",Construction!DE21/Construction!E21)*(1 + Production!O21/100*prestige_pop_multiplier)</f>
        <v>0</v>
      </c>
      <c r="AE21" s="171">
        <f ca="1">armory_cap*(1-EXP(-AN21/(armory_param*($A22-Explore!$S22*20)+15000)))*(1+(mason_bonus*Construction!$BB21/Construction!$BS21))</f>
        <v>0</v>
      </c>
      <c r="AF21" s="171">
        <f ca="1">infirmary_cap*(1-EXP(-AO21/(infirmary_param*($A22-Explore!$S22*20)+15000)))*(1+(mason_bonus*Construction!$BB21/Construction!$BS21))</f>
        <v>0</v>
      </c>
      <c r="AH21" s="56">
        <f ca="1">(1+Overview!$O$28+IF(Magic!BA21&gt;0,0.1,0))*SUM(AV21:AY21) + AH20</f>
        <v>0</v>
      </c>
      <c r="AI21" s="26">
        <f ca="1">(1+Overview!$O$28+IF(Magic!BA21&gt;0,0.1,0))*SUM(BA21:BD21) + AI20</f>
        <v>0</v>
      </c>
      <c r="AJ21" s="164">
        <f ca="1">(1+Overview!$O$28+IF(Magic!BA21&gt;0,0.1,0))*SUM(BF21:BI21) + AJ20</f>
        <v>0</v>
      </c>
      <c r="AK21" s="164">
        <f ca="1">(1+Overview!$O$28+IF(Magic!BA21&gt;0,0.1,0))*SUM(BK21:BN21) + AK20</f>
        <v>0</v>
      </c>
      <c r="AL21" s="164">
        <f ca="1">(1+Overview!$O$28+IF(Magic!BA21&gt;0,0.1,0))*SUM(BP21:BS21) + AL20</f>
        <v>0</v>
      </c>
      <c r="AM21" s="166">
        <f ca="1">(1+Overview!$O$28+IF(Magic!BA21&gt;0,0.1,0))*SUM(BU21:BX21) + AM20</f>
        <v>0</v>
      </c>
      <c r="AN21" s="166">
        <f ca="1">(1+Overview!$O$28+IF(Magic!BA21&gt;0,0.1,0))*SUM(BZ21:CC21)+AN20</f>
        <v>0</v>
      </c>
      <c r="AO21" s="164">
        <f ca="1">(1+Overview!$O$28+IF(Magic!BA21&gt;0,0.1,0))*SUM(CE21:CH21)+AO20</f>
        <v>0</v>
      </c>
      <c r="AQ21" s="52">
        <f t="shared" si="41"/>
        <v>0</v>
      </c>
      <c r="AR21" s="16">
        <f t="shared" si="41"/>
        <v>0</v>
      </c>
      <c r="AS21" s="16">
        <f t="shared" si="41"/>
        <v>0</v>
      </c>
      <c r="AT21" s="53">
        <f t="shared" si="41"/>
        <v>0</v>
      </c>
      <c r="AV21" s="56">
        <f t="shared" si="25"/>
        <v>0</v>
      </c>
      <c r="AW21" s="26">
        <f t="shared" si="42"/>
        <v>0</v>
      </c>
      <c r="AX21" s="26">
        <f t="shared" si="42"/>
        <v>0</v>
      </c>
      <c r="AY21" s="57">
        <f t="shared" si="27"/>
        <v>0</v>
      </c>
      <c r="BA21" s="56">
        <f t="shared" si="28"/>
        <v>0</v>
      </c>
      <c r="BB21" s="26">
        <f t="shared" si="43"/>
        <v>0</v>
      </c>
      <c r="BC21" s="26">
        <f t="shared" si="43"/>
        <v>0</v>
      </c>
      <c r="BD21" s="57">
        <f t="shared" si="30"/>
        <v>0</v>
      </c>
      <c r="BF21" s="56">
        <f t="shared" si="31"/>
        <v>0</v>
      </c>
      <c r="BG21" s="26">
        <f t="shared" si="32"/>
        <v>0</v>
      </c>
      <c r="BH21" s="26">
        <f t="shared" si="40"/>
        <v>0</v>
      </c>
      <c r="BI21" s="57">
        <f t="shared" si="33"/>
        <v>0</v>
      </c>
      <c r="BK21" s="56">
        <f t="shared" si="34"/>
        <v>0</v>
      </c>
      <c r="BL21" s="26">
        <f t="shared" si="44"/>
        <v>0</v>
      </c>
      <c r="BM21" s="26">
        <f t="shared" si="44"/>
        <v>0</v>
      </c>
      <c r="BN21" s="57">
        <f t="shared" si="36"/>
        <v>0</v>
      </c>
      <c r="BP21" s="56">
        <f t="shared" si="37"/>
        <v>0</v>
      </c>
      <c r="BQ21" s="26">
        <f t="shared" si="45"/>
        <v>0</v>
      </c>
      <c r="BR21" s="26">
        <f t="shared" si="45"/>
        <v>0</v>
      </c>
      <c r="BS21" s="57">
        <f t="shared" si="39"/>
        <v>0</v>
      </c>
      <c r="BU21" s="56">
        <f>IF($O21=BU$2,IF($Q21=$AD$2,$P21)) + IF($R21=BU$2,IF($T21=$AD$2,$S21)) + IF($U21=BU$2,IF($W21=$AD$2,$V21))</f>
        <v>0</v>
      </c>
      <c r="BV21" s="26">
        <f>IF($O21=BV$2,IF($Q21=$AD$2,2*$P21)) + IF($R21=BV$2,IF($T21=$AD$2,2*$S21)) + IF($U21=BV$2,IF($W21=$AD$2,2*$V21))</f>
        <v>0</v>
      </c>
      <c r="BW21" s="26">
        <f>IF($O21=BW$2,IF($Q21=$AD$2,2*$P21)) + IF($R21=BW$2,IF($T21=$AD$2,2*$S21)) + IF($U21=BW$2,IF($W21=$AD$2,2*$V21))</f>
        <v>0</v>
      </c>
      <c r="BX21" s="57">
        <f>IF($O21=BX$2,IF($Q21=$AD$2,12*$P21)) + IF($R21=BX$2,IF($T21=$AD$2,12*$S21)) + IF($U21=BX$2,IF($W21=$AD$2,12*$V21))</f>
        <v>0</v>
      </c>
      <c r="BZ21" s="56">
        <f>IF($O21=BZ$2,IF($Q21=Armory,$P21)) + IF($R21=BZ$2,IF($T21=Armory,$S21)) + IF($U21=BZ$2,IF($W21=Armory,$V21))</f>
        <v>0</v>
      </c>
      <c r="CA21" s="26">
        <f>IF($O21=CA$2,IF($Q21=Armory,2*$P21)) + IF($R21=CA$2,IF($T21=Armory,2*$S21)) + IF($U21=CA$2,IF($W21=Armory,2*$V21))</f>
        <v>0</v>
      </c>
      <c r="CB21" s="26">
        <f>IF($O21=CB$2,IF($Q21=Armory,2*$P21)) + IF($R21=CB$2,IF($T21=Armory,2*$S21)) + IF($U21=CB$2,IF($W21=Armory,2*$V21))</f>
        <v>0</v>
      </c>
      <c r="CC21" s="57">
        <f>IF($O21=CC$2,IF($Q21=Armory,12*$P21)) + IF($R21=CC$2,IF($T21=Armory,12*$S21)) + IF($U21=CC$2,IF($W21=Armory,12*$V21))</f>
        <v>0</v>
      </c>
      <c r="CE21" s="56">
        <f>IF($O21=CE$2,IF($Q21=Infirmary,$P21)) + IF($R21=CE$2,IF($T21=Infirmary,$S21)) + IF($U21=CE$2,IF($W21=Infirmary,$V21))</f>
        <v>0</v>
      </c>
      <c r="CF21" s="26">
        <f>IF($O21=CF$2,IF($Q21=Infirmary,2*$P21)) + IF($R21=CF$2,IF($T21=Infirmary,2*$S21)) + IF($U21=CF$2,IF($W21=Infirmary,2*$V21))</f>
        <v>0</v>
      </c>
      <c r="CG21" s="26">
        <f>IF($O21=CG$2,IF($Q21=Infirmary,2*$P21)) + IF($R21=CG$2,IF($T21=Infirmary,2*$S21)) + IF($U21=CG$2,IF($W21=Infirmary,2*$V21))</f>
        <v>0</v>
      </c>
      <c r="CH21" s="57">
        <f>IF($O21=CH$2,IF($Q21=Infirmary,12*$P21)) + IF($R21=CH$2,IF($T21=Infirmary,12*$S21)) + IF($U21=CH$2,IF($W21=Infirmary,12*$V21))</f>
        <v>0</v>
      </c>
      <c r="CJ21" s="52" t="e">
        <f>OR(Production!C21,Construction!N21:'Construction'!AF21,Construction!BV21:CN21,Explore!S21:Z21,Military!AF21:AL21,Military!X21,Military!BE21:BL21,Rezone!L21:R21,Magic!G21:Q21)</f>
        <v>#VALUE!</v>
      </c>
      <c r="CK21" s="525">
        <f>M21</f>
        <v>0</v>
      </c>
      <c r="CL21" s="525"/>
      <c r="CM21" s="555">
        <f t="shared" si="20"/>
        <v>43768.187499999956</v>
      </c>
      <c r="CN21" s="563">
        <f t="shared" si="21"/>
        <v>43768.020833333292</v>
      </c>
      <c r="CO21" s="527"/>
      <c r="CP21" s="803"/>
      <c r="CQ21" s="808"/>
      <c r="CR21" s="170"/>
    </row>
    <row r="22" spans="1:98" s="16" customFormat="1" x14ac:dyDescent="0.25">
      <c r="A22" s="511">
        <f>Construction!E22</f>
        <v>1000</v>
      </c>
      <c r="C22" s="56">
        <f ca="1">Production!H22</f>
        <v>4534680</v>
      </c>
      <c r="D22" s="26">
        <f ca="1">Production!J22</f>
        <v>336746</v>
      </c>
      <c r="E22" s="26">
        <f ca="1">Production!L22</f>
        <v>300000</v>
      </c>
      <c r="F22" s="57">
        <f ca="1">Production!M22</f>
        <v>20000</v>
      </c>
      <c r="G22" s="26"/>
      <c r="H22" s="56">
        <f ca="1">Military!Z22</f>
        <v>5295</v>
      </c>
      <c r="I22" s="538">
        <f ca="1">Population!I22</f>
        <v>0.92205803923239094</v>
      </c>
      <c r="J22" s="165">
        <f ca="1">Population!F22/Population!U22</f>
        <v>1.2884187032318033</v>
      </c>
      <c r="K22" s="1000">
        <f>Rezone!J22</f>
        <v>20</v>
      </c>
      <c r="L22" s="582">
        <f t="shared" si="19"/>
        <v>43768.197916666621</v>
      </c>
      <c r="M22" s="316">
        <f t="shared" si="22"/>
        <v>0</v>
      </c>
      <c r="N22" s="638">
        <f t="shared" si="23"/>
        <v>1000</v>
      </c>
      <c r="O22" s="423" t="s">
        <v>4</v>
      </c>
      <c r="P22" s="370"/>
      <c r="Q22" s="424" t="s">
        <v>223</v>
      </c>
      <c r="R22" s="423" t="s">
        <v>7</v>
      </c>
      <c r="S22" s="370"/>
      <c r="T22" s="424" t="s">
        <v>223</v>
      </c>
      <c r="U22" s="406" t="s">
        <v>3</v>
      </c>
      <c r="V22" s="407"/>
      <c r="W22" s="409" t="s">
        <v>223</v>
      </c>
      <c r="Y22" s="501">
        <f ca="1">science_cap*(1-EXP(-AH22/(science_param*($A23-Explore!$S23*20)+15000)))*(1+(mason_bonus*Construction!BB22/Construction!BS22))+IF(Overview!$B$14="Beastfolk",Construction!DA22/Construction!E22,0)*(1 + Production!O22/100*prestige_pop_multiplier)</f>
        <v>0</v>
      </c>
      <c r="Z22" s="454">
        <f ca="1">keep_cap*(1-EXP(-AI22/(keep_param*($A23-Explore!$S23*20)+15000)))*(1+(mason_bonus*Construction!BB22/Construction!BS22))+IF(Overview!$B$14="Beastfolk",Construction!DF22/Construction!E22,0)*(1 + Production!O22/100*prestige_pop_multiplier)</f>
        <v>0</v>
      </c>
      <c r="AA22" s="454">
        <f ca="1">harbor_towers_cap*(1-EXP(-AJ22/(harbor_towers_param*($A23-Explore!$S23*20)+15000)))*(1+(mason_bonus*Construction!BB22/Construction!BS22))+IF(Overview!$B$14="Beastfolk",2*Construction!DC22/Construction!E22,0)*(1 + Production!O22/100*prestige_pop_multiplier)</f>
        <v>0</v>
      </c>
      <c r="AB22" s="454">
        <f ca="1">walls_forges_cap*(1-EXP(-AK22/(walls_forges_param*($A23-Explore!$S23*20)+15000)))*(1+(mason_bonus*Construction!BB22/Construction!BS22))+IF(Overview!$B$14="Beastfolk",0.2*Construction!CY22/Construction!E22,0)</f>
        <v>0</v>
      </c>
      <c r="AC22" s="454">
        <f ca="1">walls_forges_cap*(1-EXP(-AL22/(walls_forges_param*($A23-Explore!$S23*20)+15000)))*(1+(mason_bonus*Construction!BB22/Construction!BS22))+IF(Overview!$B$14="Beastfolk",5*Construction!DB22/Construction!E22,0)</f>
        <v>0</v>
      </c>
      <c r="AD22" s="171">
        <f ca="1">harbor_towers_cap*(1-EXP(-AM22/(harbor_towers_param*($A23-Explore!$S23*20)+15000)))*(1+(mason_bonus*Construction!BB22/Construction!BS22))+IF(Overview!$B$14="Beastfolk",Construction!DE22/Construction!E22)*(1 + Production!O22/100*prestige_pop_multiplier)</f>
        <v>0</v>
      </c>
      <c r="AE22" s="171">
        <f ca="1">armory_cap*(1-EXP(-AN22/(armory_param*($A23-Explore!$S23*20)+15000)))*(1+(mason_bonus*Construction!$BB22/Construction!$BS22))</f>
        <v>0</v>
      </c>
      <c r="AF22" s="171">
        <f ca="1">infirmary_cap*(1-EXP(-AO22/(infirmary_param*($A23-Explore!$S23*20)+15000)))*(1+(mason_bonus*Construction!$BB22/Construction!$BS22))</f>
        <v>0</v>
      </c>
      <c r="AH22" s="56">
        <f ca="1">(1+Overview!$O$28+IF(Magic!BA22&gt;0,0.1,0))*SUM(AV22:AY22) + AH21</f>
        <v>0</v>
      </c>
      <c r="AI22" s="26">
        <f ca="1">(1+Overview!$O$28+IF(Magic!BA22&gt;0,0.1,0))*SUM(BA22:BD22) + AI21</f>
        <v>0</v>
      </c>
      <c r="AJ22" s="164">
        <f ca="1">(1+Overview!$O$28+IF(Magic!BA22&gt;0,0.1,0))*SUM(BF22:BI22) + AJ21</f>
        <v>0</v>
      </c>
      <c r="AK22" s="164">
        <f ca="1">(1+Overview!$O$28+IF(Magic!BA22&gt;0,0.1,0))*SUM(BK22:BN22) + AK21</f>
        <v>0</v>
      </c>
      <c r="AL22" s="164">
        <f ca="1">(1+Overview!$O$28+IF(Magic!BA22&gt;0,0.1,0))*SUM(BP22:BS22) + AL21</f>
        <v>0</v>
      </c>
      <c r="AM22" s="166">
        <f ca="1">(1+Overview!$O$28+IF(Magic!BA22&gt;0,0.1,0))*SUM(BU22:BX22) + AM21</f>
        <v>0</v>
      </c>
      <c r="AN22" s="166">
        <f ca="1">(1+Overview!$O$28+IF(Magic!BA22&gt;0,0.1,0))*SUM(BZ22:CC22)+AN21</f>
        <v>0</v>
      </c>
      <c r="AO22" s="164">
        <f ca="1">(1+Overview!$O$28+IF(Magic!BA22&gt;0,0.1,0))*SUM(CE22:CH22)+AO21</f>
        <v>0</v>
      </c>
      <c r="AQ22" s="52">
        <f t="shared" si="41"/>
        <v>0</v>
      </c>
      <c r="AR22" s="16">
        <f t="shared" si="41"/>
        <v>0</v>
      </c>
      <c r="AS22" s="16">
        <f t="shared" si="41"/>
        <v>0</v>
      </c>
      <c r="AT22" s="53">
        <f t="shared" si="41"/>
        <v>0</v>
      </c>
      <c r="AV22" s="56">
        <f t="shared" si="25"/>
        <v>0</v>
      </c>
      <c r="AW22" s="26">
        <f t="shared" si="42"/>
        <v>0</v>
      </c>
      <c r="AX22" s="26">
        <f t="shared" si="42"/>
        <v>0</v>
      </c>
      <c r="AY22" s="57">
        <f t="shared" si="27"/>
        <v>0</v>
      </c>
      <c r="BA22" s="56">
        <f t="shared" si="28"/>
        <v>0</v>
      </c>
      <c r="BB22" s="26">
        <f t="shared" si="43"/>
        <v>0</v>
      </c>
      <c r="BC22" s="26">
        <f t="shared" si="43"/>
        <v>0</v>
      </c>
      <c r="BD22" s="57">
        <f t="shared" si="30"/>
        <v>0</v>
      </c>
      <c r="BF22" s="56">
        <f t="shared" si="31"/>
        <v>0</v>
      </c>
      <c r="BG22" s="26">
        <f t="shared" si="32"/>
        <v>0</v>
      </c>
      <c r="BH22" s="26">
        <f t="shared" si="40"/>
        <v>0</v>
      </c>
      <c r="BI22" s="57">
        <f t="shared" si="33"/>
        <v>0</v>
      </c>
      <c r="BK22" s="56">
        <f t="shared" si="34"/>
        <v>0</v>
      </c>
      <c r="BL22" s="26">
        <f t="shared" si="44"/>
        <v>0</v>
      </c>
      <c r="BM22" s="26">
        <f t="shared" si="44"/>
        <v>0</v>
      </c>
      <c r="BN22" s="57">
        <f t="shared" si="36"/>
        <v>0</v>
      </c>
      <c r="BP22" s="56">
        <f t="shared" si="37"/>
        <v>0</v>
      </c>
      <c r="BQ22" s="26">
        <f t="shared" si="45"/>
        <v>0</v>
      </c>
      <c r="BR22" s="26">
        <f t="shared" si="45"/>
        <v>0</v>
      </c>
      <c r="BS22" s="57">
        <f t="shared" si="39"/>
        <v>0</v>
      </c>
      <c r="BU22" s="56">
        <f>IF($O22=BU$2,IF($Q22=$AD$2,$P22)) + IF($R22=BU$2,IF($T22=$AD$2,$S22)) + IF($U22=BU$2,IF($W22=$AD$2,$V22))</f>
        <v>0</v>
      </c>
      <c r="BV22" s="26">
        <f>IF($O22=BV$2,IF($Q22=$AD$2,2*$P22)) + IF($R22=BV$2,IF($T22=$AD$2,2*$S22)) + IF($U22=BV$2,IF($W22=$AD$2,2*$V22))</f>
        <v>0</v>
      </c>
      <c r="BW22" s="26">
        <f>IF($O22=BW$2,IF($Q22=$AD$2,2*$P22)) + IF($R22=BW$2,IF($T22=$AD$2,2*$S22)) + IF($U22=BW$2,IF($W22=$AD$2,2*$V22))</f>
        <v>0</v>
      </c>
      <c r="BX22" s="57">
        <f>IF($O22=BX$2,IF($Q22=$AD$2,12*$P22)) + IF($R22=BX$2,IF($T22=$AD$2,12*$S22)) + IF($U22=BX$2,IF($W22=$AD$2,12*$V22))</f>
        <v>0</v>
      </c>
      <c r="BZ22" s="56">
        <f>IF($O22=BZ$2,IF($Q22=Armory,$P22)) + IF($R22=BZ$2,IF($T22=Armory,$S22)) + IF($U22=BZ$2,IF($W22=Armory,$V22))</f>
        <v>0</v>
      </c>
      <c r="CA22" s="26">
        <f>IF($O22=CA$2,IF($Q22=Armory,2*$P22)) + IF($R22=CA$2,IF($T22=Armory,2*$S22)) + IF($U22=CA$2,IF($W22=Armory,2*$V22))</f>
        <v>0</v>
      </c>
      <c r="CB22" s="26">
        <f>IF($O22=CB$2,IF($Q22=Armory,2*$P22)) + IF($R22=CB$2,IF($T22=Armory,2*$S22)) + IF($U22=CB$2,IF($W22=Armory,2*$V22))</f>
        <v>0</v>
      </c>
      <c r="CC22" s="57">
        <f>IF($O22=CC$2,IF($Q22=Armory,12*$P22)) + IF($R22=CC$2,IF($T22=Armory,12*$S22)) + IF($U22=CC$2,IF($W22=Armory,12*$V22))</f>
        <v>0</v>
      </c>
      <c r="CE22" s="56">
        <f>IF($O22=CE$2,IF($Q22=Infirmary,$P22)) + IF($R22=CE$2,IF($T22=Infirmary,$S22)) + IF($U22=CE$2,IF($W22=Infirmary,$V22))</f>
        <v>0</v>
      </c>
      <c r="CF22" s="26">
        <f>IF($O22=CF$2,IF($Q22=Infirmary,2*$P22)) + IF($R22=CF$2,IF($T22=Infirmary,2*$S22)) + IF($U22=CF$2,IF($W22=Infirmary,2*$V22))</f>
        <v>0</v>
      </c>
      <c r="CG22" s="26">
        <f>IF($O22=CG$2,IF($Q22=Infirmary,2*$P22)) + IF($R22=CG$2,IF($T22=Infirmary,2*$S22)) + IF($U22=CG$2,IF($W22=Infirmary,2*$V22))</f>
        <v>0</v>
      </c>
      <c r="CH22" s="57">
        <f>IF($O22=CH$2,IF($Q22=Infirmary,12*$P22)) + IF($R22=CH$2,IF($T22=Infirmary,12*$S22)) + IF($U22=CH$2,IF($W22=Infirmary,12*$V22))</f>
        <v>0</v>
      </c>
      <c r="CJ22" s="52" t="e">
        <f>OR(Production!C22,Construction!N22:'Construction'!AF22,Construction!BV22:CN22,Explore!S22:Z22,Military!AF22:AL22,Military!X22,Military!BE22:BL22,Rezone!L22:R22,Magic!G22:Q22)</f>
        <v>#VALUE!</v>
      </c>
      <c r="CK22" s="525">
        <f>M22</f>
        <v>0</v>
      </c>
      <c r="CL22" s="525"/>
      <c r="CM22" s="555">
        <f t="shared" si="20"/>
        <v>43768.197916666621</v>
      </c>
      <c r="CN22" s="563">
        <f t="shared" si="21"/>
        <v>43768.031249999956</v>
      </c>
      <c r="CO22" s="527"/>
      <c r="CP22" s="803"/>
      <c r="CQ22" s="808"/>
      <c r="CR22" s="170"/>
    </row>
    <row r="23" spans="1:98" s="16" customFormat="1" x14ac:dyDescent="0.25">
      <c r="A23" s="511">
        <f>Construction!E23</f>
        <v>1000</v>
      </c>
      <c r="C23" s="56">
        <f ca="1">Production!H23</f>
        <v>4544400</v>
      </c>
      <c r="D23" s="26">
        <f ca="1">Production!J23</f>
        <v>335879</v>
      </c>
      <c r="E23" s="26">
        <f ca="1">Production!L23</f>
        <v>300000</v>
      </c>
      <c r="F23" s="57">
        <f ca="1">Production!M23</f>
        <v>20000</v>
      </c>
      <c r="G23" s="26"/>
      <c r="H23" s="56">
        <f ca="1">Military!Z23</f>
        <v>5295</v>
      </c>
      <c r="I23" s="538">
        <f ca="1">Population!I23</f>
        <v>0.97058740971830626</v>
      </c>
      <c r="J23" s="165">
        <f ca="1">Population!F23/Population!U23</f>
        <v>1.2610776000029862</v>
      </c>
      <c r="K23" s="1000">
        <f>Rezone!J23</f>
        <v>21</v>
      </c>
      <c r="L23" s="582">
        <f t="shared" si="19"/>
        <v>43768.208333333285</v>
      </c>
      <c r="M23" s="316">
        <f t="shared" si="22"/>
        <v>0</v>
      </c>
      <c r="N23" s="638">
        <f t="shared" si="23"/>
        <v>1000</v>
      </c>
      <c r="O23" s="423" t="s">
        <v>4</v>
      </c>
      <c r="P23" s="370"/>
      <c r="Q23" s="424" t="s">
        <v>223</v>
      </c>
      <c r="R23" s="423" t="s">
        <v>7</v>
      </c>
      <c r="S23" s="370"/>
      <c r="T23" s="424" t="s">
        <v>223</v>
      </c>
      <c r="U23" s="406" t="s">
        <v>3</v>
      </c>
      <c r="V23" s="407"/>
      <c r="W23" s="409" t="s">
        <v>223</v>
      </c>
      <c r="Y23" s="501">
        <f ca="1">science_cap*(1-EXP(-AH23/(science_param*($A24-Explore!$S24*20)+15000)))*(1+(mason_bonus*Construction!BB23/Construction!BS23))+IF(Overview!$B$14="Beastfolk",Construction!DA23/Construction!E23,0)*(1 + Production!O23/100*prestige_pop_multiplier)</f>
        <v>0</v>
      </c>
      <c r="Z23" s="454">
        <f ca="1">keep_cap*(1-EXP(-AI23/(keep_param*($A24-Explore!$S24*20)+15000)))*(1+(mason_bonus*Construction!BB23/Construction!BS23))+IF(Overview!$B$14="Beastfolk",Construction!DF23/Construction!E23,0)*(1 + Production!O23/100*prestige_pop_multiplier)</f>
        <v>0</v>
      </c>
      <c r="AA23" s="454">
        <f ca="1">harbor_towers_cap*(1-EXP(-AJ23/(harbor_towers_param*($A24-Explore!$S24*20)+15000)))*(1+(mason_bonus*Construction!BB23/Construction!BS23))+IF(Overview!$B$14="Beastfolk",2*Construction!DC23/Construction!E23,0)*(1 + Production!O23/100*prestige_pop_multiplier)</f>
        <v>0</v>
      </c>
      <c r="AB23" s="454">
        <f ca="1">walls_forges_cap*(1-EXP(-AK23/(walls_forges_param*($A24-Explore!$S24*20)+15000)))*(1+(mason_bonus*Construction!BB23/Construction!BS23))+IF(Overview!$B$14="Beastfolk",0.2*Construction!CY23/Construction!E23,0)</f>
        <v>0</v>
      </c>
      <c r="AC23" s="454">
        <f ca="1">walls_forges_cap*(1-EXP(-AL23/(walls_forges_param*($A24-Explore!$S24*20)+15000)))*(1+(mason_bonus*Construction!BB23/Construction!BS23))+IF(Overview!$B$14="Beastfolk",5*Construction!DB23/Construction!E23,0)</f>
        <v>0</v>
      </c>
      <c r="AD23" s="171">
        <f ca="1">harbor_towers_cap*(1-EXP(-AM23/(harbor_towers_param*($A24-Explore!$S24*20)+15000)))*(1+(mason_bonus*Construction!BB23/Construction!BS23))+IF(Overview!$B$14="Beastfolk",Construction!DE23/Construction!E23)*(1 + Production!O23/100*prestige_pop_multiplier)</f>
        <v>0</v>
      </c>
      <c r="AE23" s="171">
        <f ca="1">armory_cap*(1-EXP(-AN23/(armory_param*($A24-Explore!$S24*20)+15000)))*(1+(mason_bonus*Construction!$BB23/Construction!$BS23))</f>
        <v>0</v>
      </c>
      <c r="AF23" s="171">
        <f ca="1">infirmary_cap*(1-EXP(-AO23/(infirmary_param*($A24-Explore!$S24*20)+15000)))*(1+(mason_bonus*Construction!$BB23/Construction!$BS23))</f>
        <v>0</v>
      </c>
      <c r="AH23" s="56">
        <f ca="1">(1+Overview!$O$28+IF(Magic!BA23&gt;0,0.1,0))*SUM(AV23:AY23) + AH22</f>
        <v>0</v>
      </c>
      <c r="AI23" s="26">
        <f ca="1">(1+Overview!$O$28+IF(Magic!BA23&gt;0,0.1,0))*SUM(BA23:BD23) + AI22</f>
        <v>0</v>
      </c>
      <c r="AJ23" s="164">
        <f ca="1">(1+Overview!$O$28+IF(Magic!BA23&gt;0,0.1,0))*SUM(BF23:BI23) + AJ22</f>
        <v>0</v>
      </c>
      <c r="AK23" s="164">
        <f ca="1">(1+Overview!$O$28+IF(Magic!BA23&gt;0,0.1,0))*SUM(BK23:BN23) + AK22</f>
        <v>0</v>
      </c>
      <c r="AL23" s="164">
        <f ca="1">(1+Overview!$O$28+IF(Magic!BA23&gt;0,0.1,0))*SUM(BP23:BS23) + AL22</f>
        <v>0</v>
      </c>
      <c r="AM23" s="166">
        <f ca="1">(1+Overview!$O$28+IF(Magic!BA23&gt;0,0.1,0))*SUM(BU23:BX23) + AM22</f>
        <v>0</v>
      </c>
      <c r="AN23" s="166">
        <f ca="1">(1+Overview!$O$28+IF(Magic!BA23&gt;0,0.1,0))*SUM(BZ23:CC23)+AN22</f>
        <v>0</v>
      </c>
      <c r="AO23" s="164">
        <f ca="1">(1+Overview!$O$28+IF(Magic!BA23&gt;0,0.1,0))*SUM(CE23:CH23)+AO22</f>
        <v>0</v>
      </c>
      <c r="AQ23" s="52">
        <f t="shared" si="41"/>
        <v>0</v>
      </c>
      <c r="AR23" s="16">
        <f t="shared" si="41"/>
        <v>0</v>
      </c>
      <c r="AS23" s="16">
        <f t="shared" si="41"/>
        <v>0</v>
      </c>
      <c r="AT23" s="53">
        <f t="shared" si="41"/>
        <v>0</v>
      </c>
      <c r="AV23" s="56">
        <f t="shared" si="25"/>
        <v>0</v>
      </c>
      <c r="AW23" s="26">
        <f t="shared" si="42"/>
        <v>0</v>
      </c>
      <c r="AX23" s="26">
        <f t="shared" si="42"/>
        <v>0</v>
      </c>
      <c r="AY23" s="57">
        <f t="shared" si="27"/>
        <v>0</v>
      </c>
      <c r="BA23" s="56">
        <f t="shared" si="28"/>
        <v>0</v>
      </c>
      <c r="BB23" s="26">
        <f t="shared" si="43"/>
        <v>0</v>
      </c>
      <c r="BC23" s="26">
        <f t="shared" si="43"/>
        <v>0</v>
      </c>
      <c r="BD23" s="57">
        <f t="shared" si="30"/>
        <v>0</v>
      </c>
      <c r="BF23" s="56">
        <f t="shared" si="31"/>
        <v>0</v>
      </c>
      <c r="BG23" s="26">
        <f t="shared" si="32"/>
        <v>0</v>
      </c>
      <c r="BH23" s="26">
        <f t="shared" si="40"/>
        <v>0</v>
      </c>
      <c r="BI23" s="57">
        <f t="shared" si="33"/>
        <v>0</v>
      </c>
      <c r="BK23" s="56">
        <f t="shared" si="34"/>
        <v>0</v>
      </c>
      <c r="BL23" s="26">
        <f t="shared" si="44"/>
        <v>0</v>
      </c>
      <c r="BM23" s="26">
        <f t="shared" si="44"/>
        <v>0</v>
      </c>
      <c r="BN23" s="57">
        <f t="shared" si="36"/>
        <v>0</v>
      </c>
      <c r="BP23" s="56">
        <f t="shared" si="37"/>
        <v>0</v>
      </c>
      <c r="BQ23" s="26">
        <f t="shared" si="45"/>
        <v>0</v>
      </c>
      <c r="BR23" s="26">
        <f t="shared" si="45"/>
        <v>0</v>
      </c>
      <c r="BS23" s="57">
        <f t="shared" si="39"/>
        <v>0</v>
      </c>
      <c r="BU23" s="56">
        <f>IF($O23=BU$2,IF($Q23=$AD$2,$P23)) + IF($R23=BU$2,IF($T23=$AD$2,$S23)) + IF($U23=BU$2,IF($W23=$AD$2,$V23))</f>
        <v>0</v>
      </c>
      <c r="BV23" s="26">
        <f>IF($O23=BV$2,IF($Q23=$AD$2,2*$P23)) + IF($R23=BV$2,IF($T23=$AD$2,2*$S23)) + IF($U23=BV$2,IF($W23=$AD$2,2*$V23))</f>
        <v>0</v>
      </c>
      <c r="BW23" s="26">
        <f>IF($O23=BW$2,IF($Q23=$AD$2,2*$P23)) + IF($R23=BW$2,IF($T23=$AD$2,2*$S23)) + IF($U23=BW$2,IF($W23=$AD$2,2*$V23))</f>
        <v>0</v>
      </c>
      <c r="BX23" s="57">
        <f>IF($O23=BX$2,IF($Q23=$AD$2,12*$P23)) + IF($R23=BX$2,IF($T23=$AD$2,12*$S23)) + IF($U23=BX$2,IF($W23=$AD$2,12*$V23))</f>
        <v>0</v>
      </c>
      <c r="BZ23" s="56">
        <f>IF($O23=BZ$2,IF($Q23=Armory,$P23)) + IF($R23=BZ$2,IF($T23=Armory,$S23)) + IF($U23=BZ$2,IF($W23=Armory,$V23))</f>
        <v>0</v>
      </c>
      <c r="CA23" s="26">
        <f>IF($O23=CA$2,IF($Q23=Armory,2*$P23)) + IF($R23=CA$2,IF($T23=Armory,2*$S23)) + IF($U23=CA$2,IF($W23=Armory,2*$V23))</f>
        <v>0</v>
      </c>
      <c r="CB23" s="26">
        <f>IF($O23=CB$2,IF($Q23=Armory,2*$P23)) + IF($R23=CB$2,IF($T23=Armory,2*$S23)) + IF($U23=CB$2,IF($W23=Armory,2*$V23))</f>
        <v>0</v>
      </c>
      <c r="CC23" s="57">
        <f>IF($O23=CC$2,IF($Q23=Armory,12*$P23)) + IF($R23=CC$2,IF($T23=Armory,12*$S23)) + IF($U23=CC$2,IF($W23=Armory,12*$V23))</f>
        <v>0</v>
      </c>
      <c r="CE23" s="56">
        <f>IF($O23=CE$2,IF($Q23=Infirmary,$P23)) + IF($R23=CE$2,IF($T23=Infirmary,$S23)) + IF($U23=CE$2,IF($W23=Infirmary,$V23))</f>
        <v>0</v>
      </c>
      <c r="CF23" s="26">
        <f>IF($O23=CF$2,IF($Q23=Infirmary,2*$P23)) + IF($R23=CF$2,IF($T23=Infirmary,2*$S23)) + IF($U23=CF$2,IF($W23=Infirmary,2*$V23))</f>
        <v>0</v>
      </c>
      <c r="CG23" s="26">
        <f>IF($O23=CG$2,IF($Q23=Infirmary,2*$P23)) + IF($R23=CG$2,IF($T23=Infirmary,2*$S23)) + IF($U23=CG$2,IF($W23=Infirmary,2*$V23))</f>
        <v>0</v>
      </c>
      <c r="CH23" s="57">
        <f>IF($O23=CH$2,IF($Q23=Infirmary,12*$P23)) + IF($R23=CH$2,IF($T23=Infirmary,12*$S23)) + IF($U23=CH$2,IF($W23=Infirmary,12*$V23))</f>
        <v>0</v>
      </c>
      <c r="CJ23" s="52" t="e">
        <f>OR(Production!C23,Construction!N23:'Construction'!AF23,Construction!BV23:CN23,Explore!S23:Z23,Military!AF23:AL23,Military!X23,Military!BE23:BL23,Rezone!L23:R23,Magic!G23:Q23)</f>
        <v>#VALUE!</v>
      </c>
      <c r="CK23" s="525">
        <f>M23</f>
        <v>0</v>
      </c>
      <c r="CL23" s="525"/>
      <c r="CM23" s="555">
        <f t="shared" si="20"/>
        <v>43768.208333333285</v>
      </c>
      <c r="CN23" s="563">
        <f t="shared" si="21"/>
        <v>43768.041666666621</v>
      </c>
      <c r="CO23" s="527"/>
      <c r="CP23" s="803"/>
      <c r="CQ23" s="808"/>
      <c r="CR23" s="170"/>
    </row>
    <row r="24" spans="1:98" s="16" customFormat="1" x14ac:dyDescent="0.25">
      <c r="A24" s="511">
        <f>Construction!E24</f>
        <v>1000</v>
      </c>
      <c r="C24" s="56">
        <f ca="1">Production!H24</f>
        <v>4554120</v>
      </c>
      <c r="D24" s="26">
        <f ca="1">Production!J24</f>
        <v>335020</v>
      </c>
      <c r="E24" s="26">
        <f ca="1">Production!L24</f>
        <v>300000</v>
      </c>
      <c r="F24" s="57">
        <f ca="1">Production!M24</f>
        <v>20000</v>
      </c>
      <c r="G24" s="26"/>
      <c r="H24" s="56">
        <f ca="1">Military!Z24</f>
        <v>5295</v>
      </c>
      <c r="I24" s="538">
        <f ca="1">Population!I24</f>
        <v>1</v>
      </c>
      <c r="J24" s="165">
        <f ca="1">Population!F24/Population!U24</f>
        <v>1.2351035519356102</v>
      </c>
      <c r="K24" s="1000">
        <f>Rezone!J24</f>
        <v>22</v>
      </c>
      <c r="L24" s="582">
        <f t="shared" si="19"/>
        <v>43768.218749999949</v>
      </c>
      <c r="M24" s="316">
        <f t="shared" si="22"/>
        <v>0</v>
      </c>
      <c r="N24" s="638">
        <f t="shared" si="23"/>
        <v>1000</v>
      </c>
      <c r="O24" s="423" t="s">
        <v>4</v>
      </c>
      <c r="P24" s="370"/>
      <c r="Q24" s="424" t="s">
        <v>223</v>
      </c>
      <c r="R24" s="423" t="s">
        <v>7</v>
      </c>
      <c r="S24" s="370"/>
      <c r="T24" s="425" t="s">
        <v>223</v>
      </c>
      <c r="U24" s="408" t="s">
        <v>3</v>
      </c>
      <c r="V24" s="407"/>
      <c r="W24" s="409" t="s">
        <v>223</v>
      </c>
      <c r="Y24" s="501">
        <f ca="1">science_cap*(1-EXP(-AH24/(science_param*($A25-Explore!$S25*20)+15000)))*(1+(mason_bonus*Construction!BB24/Construction!BS24))+IF(Overview!$B$14="Beastfolk",Construction!DA24/Construction!E24,0)*(1 + Production!O24/100*prestige_pop_multiplier)</f>
        <v>0</v>
      </c>
      <c r="Z24" s="454">
        <f ca="1">keep_cap*(1-EXP(-AI24/(keep_param*($A25-Explore!$S25*20)+15000)))*(1+(mason_bonus*Construction!BB24/Construction!BS24))+IF(Overview!$B$14="Beastfolk",Construction!DF24/Construction!E24,0)*(1 + Production!O24/100*prestige_pop_multiplier)</f>
        <v>0</v>
      </c>
      <c r="AA24" s="454">
        <f ca="1">harbor_towers_cap*(1-EXP(-AJ24/(harbor_towers_param*($A25-Explore!$S25*20)+15000)))*(1+(mason_bonus*Construction!BB24/Construction!BS24))+IF(Overview!$B$14="Beastfolk",2*Construction!DC24/Construction!E24,0)*(1 + Production!O24/100*prestige_pop_multiplier)</f>
        <v>0</v>
      </c>
      <c r="AB24" s="454">
        <f ca="1">walls_forges_cap*(1-EXP(-AK24/(walls_forges_param*($A25-Explore!$S25*20)+15000)))*(1+(mason_bonus*Construction!BB24/Construction!BS24))+IF(Overview!$B$14="Beastfolk",0.2*Construction!CY24/Construction!E24,0)</f>
        <v>0</v>
      </c>
      <c r="AC24" s="454">
        <f ca="1">walls_forges_cap*(1-EXP(-AL24/(walls_forges_param*($A25-Explore!$S25*20)+15000)))*(1+(mason_bonus*Construction!BB24/Construction!BS24))+IF(Overview!$B$14="Beastfolk",5*Construction!DB24/Construction!E24,0)</f>
        <v>0</v>
      </c>
      <c r="AD24" s="171">
        <f ca="1">harbor_towers_cap*(1-EXP(-AM24/(harbor_towers_param*($A25-Explore!$S25*20)+15000)))*(1+(mason_bonus*Construction!BB24/Construction!BS24))+IF(Overview!$B$14="Beastfolk",Construction!DE24/Construction!E24)*(1 + Production!O24/100*prestige_pop_multiplier)</f>
        <v>0</v>
      </c>
      <c r="AE24" s="171">
        <f ca="1">armory_cap*(1-EXP(-AN24/(armory_param*($A25-Explore!$S25*20)+15000)))*(1+(mason_bonus*Construction!$BB24/Construction!$BS24))</f>
        <v>0</v>
      </c>
      <c r="AF24" s="171">
        <f ca="1">infirmary_cap*(1-EXP(-AO24/(infirmary_param*($A25-Explore!$S25*20)+15000)))*(1+(mason_bonus*Construction!$BB24/Construction!$BS24))</f>
        <v>0</v>
      </c>
      <c r="AH24" s="56">
        <f ca="1">(1+Overview!$O$28+IF(Magic!BA24&gt;0,0.1,0))*SUM(AV24:AY24) + AH23</f>
        <v>0</v>
      </c>
      <c r="AI24" s="26">
        <f ca="1">(1+Overview!$O$28+IF(Magic!BA24&gt;0,0.1,0))*SUM(BA24:BD24) + AI23</f>
        <v>0</v>
      </c>
      <c r="AJ24" s="164">
        <f ca="1">(1+Overview!$O$28+IF(Magic!BA24&gt;0,0.1,0))*SUM(BF24:BI24) + AJ23</f>
        <v>0</v>
      </c>
      <c r="AK24" s="164">
        <f ca="1">(1+Overview!$O$28+IF(Magic!BA24&gt;0,0.1,0))*SUM(BK24:BN24) + AK23</f>
        <v>0</v>
      </c>
      <c r="AL24" s="164">
        <f ca="1">(1+Overview!$O$28+IF(Magic!BA24&gt;0,0.1,0))*SUM(BP24:BS24) + AL23</f>
        <v>0</v>
      </c>
      <c r="AM24" s="166">
        <f ca="1">(1+Overview!$O$28+IF(Magic!BA24&gt;0,0.1,0))*SUM(BU24:BX24) + AM23</f>
        <v>0</v>
      </c>
      <c r="AN24" s="166">
        <f ca="1">(1+Overview!$O$28+IF(Magic!BA24&gt;0,0.1,0))*SUM(BZ24:CC24)+AN23</f>
        <v>0</v>
      </c>
      <c r="AO24" s="164">
        <f ca="1">(1+Overview!$O$28+IF(Magic!BA24&gt;0,0.1,0))*SUM(CE24:CH24)+AO23</f>
        <v>0</v>
      </c>
      <c r="AQ24" s="52">
        <f t="shared" si="41"/>
        <v>0</v>
      </c>
      <c r="AR24" s="16">
        <f t="shared" si="41"/>
        <v>0</v>
      </c>
      <c r="AS24" s="16">
        <f t="shared" si="41"/>
        <v>0</v>
      </c>
      <c r="AT24" s="53">
        <f t="shared" si="41"/>
        <v>0</v>
      </c>
      <c r="AV24" s="56">
        <f t="shared" si="25"/>
        <v>0</v>
      </c>
      <c r="AW24" s="26">
        <f t="shared" si="42"/>
        <v>0</v>
      </c>
      <c r="AX24" s="26">
        <f t="shared" si="42"/>
        <v>0</v>
      </c>
      <c r="AY24" s="57">
        <f t="shared" si="27"/>
        <v>0</v>
      </c>
      <c r="BA24" s="56">
        <f t="shared" si="28"/>
        <v>0</v>
      </c>
      <c r="BB24" s="26">
        <f t="shared" si="43"/>
        <v>0</v>
      </c>
      <c r="BC24" s="26">
        <f t="shared" si="43"/>
        <v>0</v>
      </c>
      <c r="BD24" s="57">
        <f t="shared" si="30"/>
        <v>0</v>
      </c>
      <c r="BF24" s="56">
        <f t="shared" si="31"/>
        <v>0</v>
      </c>
      <c r="BG24" s="26">
        <f t="shared" si="32"/>
        <v>0</v>
      </c>
      <c r="BH24" s="26">
        <f t="shared" si="40"/>
        <v>0</v>
      </c>
      <c r="BI24" s="57">
        <f t="shared" si="33"/>
        <v>0</v>
      </c>
      <c r="BK24" s="56">
        <f t="shared" si="34"/>
        <v>0</v>
      </c>
      <c r="BL24" s="26">
        <f t="shared" si="44"/>
        <v>0</v>
      </c>
      <c r="BM24" s="26">
        <f t="shared" si="44"/>
        <v>0</v>
      </c>
      <c r="BN24" s="57">
        <f t="shared" si="36"/>
        <v>0</v>
      </c>
      <c r="BP24" s="56">
        <f t="shared" si="37"/>
        <v>0</v>
      </c>
      <c r="BQ24" s="26">
        <f t="shared" si="45"/>
        <v>0</v>
      </c>
      <c r="BR24" s="26">
        <f t="shared" si="45"/>
        <v>0</v>
      </c>
      <c r="BS24" s="57">
        <f t="shared" si="39"/>
        <v>0</v>
      </c>
      <c r="BU24" s="56">
        <f>IF($O24=BU$2,IF($Q24=$AD$2,$P24)) + IF($R24=BU$2,IF($T24=$AD$2,$S24)) + IF($U24=BU$2,IF($W24=$AD$2,$V24))</f>
        <v>0</v>
      </c>
      <c r="BV24" s="26">
        <f>IF($O24=BV$2,IF($Q24=$AD$2,2*$P24)) + IF($R24=BV$2,IF($T24=$AD$2,2*$S24)) + IF($U24=BV$2,IF($W24=$AD$2,2*$V24))</f>
        <v>0</v>
      </c>
      <c r="BW24" s="26">
        <f>IF($O24=BW$2,IF($Q24=$AD$2,2*$P24)) + IF($R24=BW$2,IF($T24=$AD$2,2*$S24)) + IF($U24=BW$2,IF($W24=$AD$2,2*$V24))</f>
        <v>0</v>
      </c>
      <c r="BX24" s="57">
        <f>IF($O24=BX$2,IF($Q24=$AD$2,12*$P24)) + IF($R24=BX$2,IF($T24=$AD$2,12*$S24)) + IF($U24=BX$2,IF($W24=$AD$2,12*$V24))</f>
        <v>0</v>
      </c>
      <c r="BZ24" s="56">
        <f>IF($O24=BZ$2,IF($Q24=Armory,$P24)) + IF($R24=BZ$2,IF($T24=Armory,$S24)) + IF($U24=BZ$2,IF($W24=Armory,$V24))</f>
        <v>0</v>
      </c>
      <c r="CA24" s="26">
        <f>IF($O24=CA$2,IF($Q24=Armory,2*$P24)) + IF($R24=CA$2,IF($T24=Armory,2*$S24)) + IF($U24=CA$2,IF($W24=Armory,2*$V24))</f>
        <v>0</v>
      </c>
      <c r="CB24" s="26">
        <f>IF($O24=CB$2,IF($Q24=Armory,2*$P24)) + IF($R24=CB$2,IF($T24=Armory,2*$S24)) + IF($U24=CB$2,IF($W24=Armory,2*$V24))</f>
        <v>0</v>
      </c>
      <c r="CC24" s="57">
        <f>IF($O24=CC$2,IF($Q24=Armory,12*$P24)) + IF($R24=CC$2,IF($T24=Armory,12*$S24)) + IF($U24=CC$2,IF($W24=Armory,12*$V24))</f>
        <v>0</v>
      </c>
      <c r="CE24" s="56">
        <f>IF($O24=CE$2,IF($Q24=Infirmary,$P24)) + IF($R24=CE$2,IF($T24=Infirmary,$S24)) + IF($U24=CE$2,IF($W24=Infirmary,$V24))</f>
        <v>0</v>
      </c>
      <c r="CF24" s="26">
        <f>IF($O24=CF$2,IF($Q24=Infirmary,2*$P24)) + IF($R24=CF$2,IF($T24=Infirmary,2*$S24)) + IF($U24=CF$2,IF($W24=Infirmary,2*$V24))</f>
        <v>0</v>
      </c>
      <c r="CG24" s="26">
        <f>IF($O24=CG$2,IF($Q24=Infirmary,2*$P24)) + IF($R24=CG$2,IF($T24=Infirmary,2*$S24)) + IF($U24=CG$2,IF($W24=Infirmary,2*$V24))</f>
        <v>0</v>
      </c>
      <c r="CH24" s="57">
        <f>IF($O24=CH$2,IF($Q24=Infirmary,12*$P24)) + IF($R24=CH$2,IF($T24=Infirmary,12*$S24)) + IF($U24=CH$2,IF($W24=Infirmary,12*$V24))</f>
        <v>0</v>
      </c>
      <c r="CJ24" s="52" t="e">
        <f>OR(Production!C24,Construction!N24:'Construction'!AF24,Construction!BV24:CN24,Explore!S24:Z24,Military!AF24:AL24,Military!X24,Military!BE24:BL24,Rezone!L24:R24,Magic!G24:Q24)</f>
        <v>#VALUE!</v>
      </c>
      <c r="CK24" s="525">
        <f>M24</f>
        <v>0</v>
      </c>
      <c r="CL24" s="525"/>
      <c r="CM24" s="555">
        <f t="shared" si="20"/>
        <v>43768.218749999949</v>
      </c>
      <c r="CN24" s="563">
        <f t="shared" si="21"/>
        <v>43768.052083333285</v>
      </c>
      <c r="CO24" s="527"/>
      <c r="CP24" s="803"/>
      <c r="CQ24" s="808"/>
      <c r="CR24" s="170"/>
    </row>
    <row r="25" spans="1:98" s="16" customFormat="1" x14ac:dyDescent="0.25">
      <c r="A25" s="511">
        <f>Construction!E25</f>
        <v>1000</v>
      </c>
      <c r="C25" s="56">
        <f ca="1">Production!H25</f>
        <v>4563633</v>
      </c>
      <c r="D25" s="26">
        <f ca="1">Production!J25</f>
        <v>334170</v>
      </c>
      <c r="E25" s="26">
        <f ca="1">Production!L25</f>
        <v>300000</v>
      </c>
      <c r="F25" s="57">
        <f ca="1">Production!M25</f>
        <v>20000</v>
      </c>
      <c r="G25" s="26"/>
      <c r="H25" s="56">
        <f ca="1">Military!Z25</f>
        <v>5295</v>
      </c>
      <c r="I25" s="538">
        <f ca="1">Population!I25</f>
        <v>1</v>
      </c>
      <c r="J25" s="165">
        <f ca="1">Population!F25/Population!U25</f>
        <v>1.2104282062716025</v>
      </c>
      <c r="K25" s="1000">
        <f>Rezone!J25</f>
        <v>23</v>
      </c>
      <c r="L25" s="582">
        <f t="shared" si="19"/>
        <v>43768.229166666613</v>
      </c>
      <c r="M25" s="316">
        <f t="shared" si="22"/>
        <v>0</v>
      </c>
      <c r="N25" s="638">
        <f t="shared" si="23"/>
        <v>1000</v>
      </c>
      <c r="O25" s="423" t="s">
        <v>4</v>
      </c>
      <c r="P25" s="370"/>
      <c r="Q25" s="424" t="s">
        <v>223</v>
      </c>
      <c r="R25" s="423" t="s">
        <v>7</v>
      </c>
      <c r="S25" s="370"/>
      <c r="T25" s="425" t="s">
        <v>223</v>
      </c>
      <c r="U25" s="408" t="s">
        <v>3</v>
      </c>
      <c r="V25" s="407"/>
      <c r="W25" s="409" t="s">
        <v>223</v>
      </c>
      <c r="Y25" s="501">
        <f ca="1">science_cap*(1-EXP(-AH25/(science_param*($A26-Explore!$S26*20)+15000)))*(1+(mason_bonus*Construction!BB25/Construction!BS25))+IF(Overview!$B$14="Beastfolk",Construction!DA25/Construction!E25,0)*(1 + Production!O25/100*prestige_pop_multiplier)</f>
        <v>0</v>
      </c>
      <c r="Z25" s="454">
        <f ca="1">keep_cap*(1-EXP(-AI25/(keep_param*($A26-Explore!$S26*20)+15000)))*(1+(mason_bonus*Construction!BB25/Construction!BS25))+IF(Overview!$B$14="Beastfolk",Construction!DF25/Construction!E25,0)*(1 + Production!O25/100*prestige_pop_multiplier)</f>
        <v>0</v>
      </c>
      <c r="AA25" s="454">
        <f ca="1">harbor_towers_cap*(1-EXP(-AJ25/(harbor_towers_param*($A26-Explore!$S26*20)+15000)))*(1+(mason_bonus*Construction!BB25/Construction!BS25))+IF(Overview!$B$14="Beastfolk",2*Construction!DC25/Construction!E25,0)*(1 + Production!O25/100*prestige_pop_multiplier)</f>
        <v>0</v>
      </c>
      <c r="AB25" s="454">
        <f ca="1">walls_forges_cap*(1-EXP(-AK25/(walls_forges_param*($A26-Explore!$S26*20)+15000)))*(1+(mason_bonus*Construction!BB25/Construction!BS25))+IF(Overview!$B$14="Beastfolk",0.2*Construction!CY25/Construction!E25,0)</f>
        <v>0</v>
      </c>
      <c r="AC25" s="454">
        <f ca="1">walls_forges_cap*(1-EXP(-AL25/(walls_forges_param*($A26-Explore!$S26*20)+15000)))*(1+(mason_bonus*Construction!BB25/Construction!BS25))+IF(Overview!$B$14="Beastfolk",5*Construction!DB25/Construction!E25,0)</f>
        <v>0</v>
      </c>
      <c r="AD25" s="171">
        <f ca="1">harbor_towers_cap*(1-EXP(-AM25/(harbor_towers_param*($A26-Explore!$S26*20)+15000)))*(1+(mason_bonus*Construction!BB25/Construction!BS25))+IF(Overview!$B$14="Beastfolk",Construction!DE25/Construction!E25)*(1 + Production!O25/100*prestige_pop_multiplier)</f>
        <v>0</v>
      </c>
      <c r="AE25" s="171">
        <f ca="1">armory_cap*(1-EXP(-AN25/(armory_param*($A26-Explore!$S26*20)+15000)))*(1+(mason_bonus*Construction!$BB25/Construction!$BS25))</f>
        <v>0</v>
      </c>
      <c r="AF25" s="171">
        <f ca="1">infirmary_cap*(1-EXP(-AO25/(infirmary_param*($A26-Explore!$S26*20)+15000)))*(1+(mason_bonus*Construction!$BB25/Construction!$BS25))</f>
        <v>0</v>
      </c>
      <c r="AH25" s="56">
        <f ca="1">(1+Overview!$O$28+IF(Magic!BA25&gt;0,0.1,0))*SUM(AV25:AY25) + AH24</f>
        <v>0</v>
      </c>
      <c r="AI25" s="26">
        <f ca="1">(1+Overview!$O$28+IF(Magic!BA25&gt;0,0.1,0))*SUM(BA25:BD25) + AI24</f>
        <v>0</v>
      </c>
      <c r="AJ25" s="164">
        <f ca="1">(1+Overview!$O$28+IF(Magic!BA25&gt;0,0.1,0))*SUM(BF25:BI25) + AJ24</f>
        <v>0</v>
      </c>
      <c r="AK25" s="164">
        <f ca="1">(1+Overview!$O$28+IF(Magic!BA25&gt;0,0.1,0))*SUM(BK25:BN25) + AK24</f>
        <v>0</v>
      </c>
      <c r="AL25" s="164">
        <f ca="1">(1+Overview!$O$28+IF(Magic!BA25&gt;0,0.1,0))*SUM(BP25:BS25) + AL24</f>
        <v>0</v>
      </c>
      <c r="AM25" s="166">
        <f ca="1">(1+Overview!$O$28+IF(Magic!BA25&gt;0,0.1,0))*SUM(BU25:BX25) + AM24</f>
        <v>0</v>
      </c>
      <c r="AN25" s="166">
        <f ca="1">(1+Overview!$O$28+IF(Magic!BA25&gt;0,0.1,0))*SUM(BZ25:CC25)+AN24</f>
        <v>0</v>
      </c>
      <c r="AO25" s="164">
        <f ca="1">(1+Overview!$O$28+IF(Magic!BA25&gt;0,0.1,0))*SUM(CE25:CH25)+AO24</f>
        <v>0</v>
      </c>
      <c r="AQ25" s="52">
        <f t="shared" si="41"/>
        <v>0</v>
      </c>
      <c r="AR25" s="16">
        <f t="shared" si="41"/>
        <v>0</v>
      </c>
      <c r="AS25" s="16">
        <f t="shared" si="41"/>
        <v>0</v>
      </c>
      <c r="AT25" s="53">
        <f t="shared" si="41"/>
        <v>0</v>
      </c>
      <c r="AV25" s="56">
        <f t="shared" si="25"/>
        <v>0</v>
      </c>
      <c r="AW25" s="26">
        <f t="shared" si="42"/>
        <v>0</v>
      </c>
      <c r="AX25" s="26">
        <f t="shared" si="42"/>
        <v>0</v>
      </c>
      <c r="AY25" s="57">
        <f t="shared" si="27"/>
        <v>0</v>
      </c>
      <c r="BA25" s="56">
        <f t="shared" si="28"/>
        <v>0</v>
      </c>
      <c r="BB25" s="26">
        <f t="shared" si="43"/>
        <v>0</v>
      </c>
      <c r="BC25" s="26">
        <f t="shared" si="43"/>
        <v>0</v>
      </c>
      <c r="BD25" s="57">
        <f t="shared" si="30"/>
        <v>0</v>
      </c>
      <c r="BF25" s="56">
        <f t="shared" si="31"/>
        <v>0</v>
      </c>
      <c r="BG25" s="26">
        <f t="shared" si="32"/>
        <v>0</v>
      </c>
      <c r="BH25" s="26">
        <f t="shared" si="40"/>
        <v>0</v>
      </c>
      <c r="BI25" s="57">
        <f t="shared" si="33"/>
        <v>0</v>
      </c>
      <c r="BK25" s="56">
        <f t="shared" si="34"/>
        <v>0</v>
      </c>
      <c r="BL25" s="26">
        <f t="shared" si="44"/>
        <v>0</v>
      </c>
      <c r="BM25" s="26">
        <f t="shared" si="44"/>
        <v>0</v>
      </c>
      <c r="BN25" s="57">
        <f t="shared" si="36"/>
        <v>0</v>
      </c>
      <c r="BP25" s="56">
        <f t="shared" si="37"/>
        <v>0</v>
      </c>
      <c r="BQ25" s="26">
        <f t="shared" si="45"/>
        <v>0</v>
      </c>
      <c r="BR25" s="26">
        <f t="shared" si="45"/>
        <v>0</v>
      </c>
      <c r="BS25" s="57">
        <f t="shared" si="39"/>
        <v>0</v>
      </c>
      <c r="BU25" s="56">
        <f>IF($O25=BU$2,IF($Q25=$AD$2,$P25)) + IF($R25=BU$2,IF($T25=$AD$2,$S25)) + IF($U25=BU$2,IF($W25=$AD$2,$V25))</f>
        <v>0</v>
      </c>
      <c r="BV25" s="26">
        <f>IF($O25=BV$2,IF($Q25=$AD$2,2*$P25)) + IF($R25=BV$2,IF($T25=$AD$2,2*$S25)) + IF($U25=BV$2,IF($W25=$AD$2,2*$V25))</f>
        <v>0</v>
      </c>
      <c r="BW25" s="26">
        <f>IF($O25=BW$2,IF($Q25=$AD$2,2*$P25)) + IF($R25=BW$2,IF($T25=$AD$2,2*$S25)) + IF($U25=BW$2,IF($W25=$AD$2,2*$V25))</f>
        <v>0</v>
      </c>
      <c r="BX25" s="57">
        <f>IF($O25=BX$2,IF($Q25=$AD$2,12*$P25)) + IF($R25=BX$2,IF($T25=$AD$2,12*$S25)) + IF($U25=BX$2,IF($W25=$AD$2,12*$V25))</f>
        <v>0</v>
      </c>
      <c r="BZ25" s="56">
        <f>IF($O25=BZ$2,IF($Q25=Armory,$P25)) + IF($R25=BZ$2,IF($T25=Armory,$S25)) + IF($U25=BZ$2,IF($W25=Armory,$V25))</f>
        <v>0</v>
      </c>
      <c r="CA25" s="26">
        <f>IF($O25=CA$2,IF($Q25=Armory,2*$P25)) + IF($R25=CA$2,IF($T25=Armory,2*$S25)) + IF($U25=CA$2,IF($W25=Armory,2*$V25))</f>
        <v>0</v>
      </c>
      <c r="CB25" s="26">
        <f>IF($O25=CB$2,IF($Q25=Armory,2*$P25)) + IF($R25=CB$2,IF($T25=Armory,2*$S25)) + IF($U25=CB$2,IF($W25=Armory,2*$V25))</f>
        <v>0</v>
      </c>
      <c r="CC25" s="57">
        <f>IF($O25=CC$2,IF($Q25=Armory,12*$P25)) + IF($R25=CC$2,IF($T25=Armory,12*$S25)) + IF($U25=CC$2,IF($W25=Armory,12*$V25))</f>
        <v>0</v>
      </c>
      <c r="CE25" s="56">
        <f>IF($O25=CE$2,IF($Q25=Infirmary,$P25)) + IF($R25=CE$2,IF($T25=Infirmary,$S25)) + IF($U25=CE$2,IF($W25=Infirmary,$V25))</f>
        <v>0</v>
      </c>
      <c r="CF25" s="26">
        <f>IF($O25=CF$2,IF($Q25=Infirmary,2*$P25)) + IF($R25=CF$2,IF($T25=Infirmary,2*$S25)) + IF($U25=CF$2,IF($W25=Infirmary,2*$V25))</f>
        <v>0</v>
      </c>
      <c r="CG25" s="26">
        <f>IF($O25=CG$2,IF($Q25=Infirmary,2*$P25)) + IF($R25=CG$2,IF($T25=Infirmary,2*$S25)) + IF($U25=CG$2,IF($W25=Infirmary,2*$V25))</f>
        <v>0</v>
      </c>
      <c r="CH25" s="57">
        <f>IF($O25=CH$2,IF($Q25=Infirmary,12*$P25)) + IF($R25=CH$2,IF($T25=Infirmary,12*$S25)) + IF($U25=CH$2,IF($W25=Infirmary,12*$V25))</f>
        <v>0</v>
      </c>
      <c r="CJ25" s="52" t="e">
        <f>OR(Production!C25,Construction!N25:'Construction'!AF25,Construction!BV25:CN25,Explore!S25:Z25,Military!AF25:AL25,Military!X25,Military!BE25:BL25,Rezone!L25:R25,Magic!G25:Q25)</f>
        <v>#VALUE!</v>
      </c>
      <c r="CK25" s="525">
        <f>M25</f>
        <v>0</v>
      </c>
      <c r="CL25" s="525"/>
      <c r="CM25" s="555">
        <f t="shared" si="20"/>
        <v>43768.229166666613</v>
      </c>
      <c r="CN25" s="563">
        <f t="shared" si="21"/>
        <v>43768.062499999949</v>
      </c>
      <c r="CO25" s="527"/>
      <c r="CP25" s="803"/>
      <c r="CQ25" s="808"/>
      <c r="CR25" s="170"/>
    </row>
    <row r="26" spans="1:98" s="170" customFormat="1" x14ac:dyDescent="0.25">
      <c r="A26" s="508">
        <f>Construction!E26</f>
        <v>1000</v>
      </c>
      <c r="C26" s="152">
        <f ca="1">Production!H26</f>
        <v>4572671</v>
      </c>
      <c r="D26" s="164">
        <f ca="1">Production!J26</f>
        <v>333328</v>
      </c>
      <c r="E26" s="164">
        <f ca="1">Production!L26</f>
        <v>300000</v>
      </c>
      <c r="F26" s="166">
        <f ca="1">Production!M26</f>
        <v>20000</v>
      </c>
      <c r="G26" s="164"/>
      <c r="H26" s="152">
        <f ca="1">Military!Z26</f>
        <v>5295</v>
      </c>
      <c r="I26" s="538">
        <f ca="1">Population!I26</f>
        <v>1</v>
      </c>
      <c r="J26" s="165">
        <f ca="1">Population!F26/Population!U26</f>
        <v>1.1869866278907957</v>
      </c>
      <c r="K26" s="1000">
        <f>Rezone!J26</f>
        <v>24</v>
      </c>
      <c r="L26" s="582">
        <f t="shared" si="19"/>
        <v>43768.239583333278</v>
      </c>
      <c r="M26" s="646">
        <f t="shared" si="22"/>
        <v>0</v>
      </c>
      <c r="N26" s="529">
        <f t="shared" si="23"/>
        <v>1000</v>
      </c>
      <c r="O26" s="406" t="s">
        <v>4</v>
      </c>
      <c r="P26" s="370"/>
      <c r="Q26" s="408" t="s">
        <v>223</v>
      </c>
      <c r="R26" s="423" t="s">
        <v>7</v>
      </c>
      <c r="S26" s="370"/>
      <c r="T26" s="408" t="s">
        <v>223</v>
      </c>
      <c r="U26" s="406" t="s">
        <v>3</v>
      </c>
      <c r="V26" s="407"/>
      <c r="W26" s="409" t="s">
        <v>223</v>
      </c>
      <c r="Y26" s="501">
        <f ca="1">science_cap*(1-EXP(-AH26/(science_param*($A27-Explore!$S27*20)+15000)))*(1+(mason_bonus*Construction!BB26/Construction!BS26))+IF(Overview!$B$14="Beastfolk",Construction!DA26/Construction!E26,0)*(1 + Production!O26/100*prestige_pop_multiplier)</f>
        <v>0</v>
      </c>
      <c r="Z26" s="454">
        <f ca="1">keep_cap*(1-EXP(-AI26/(keep_param*($A27-Explore!$S27*20)+15000)))*(1+(mason_bonus*Construction!BB26/Construction!BS26))+IF(Overview!$B$14="Beastfolk",Construction!DF26/Construction!E26,0)*(1 + Production!O26/100*prestige_pop_multiplier)</f>
        <v>0</v>
      </c>
      <c r="AA26" s="454">
        <f ca="1">harbor_towers_cap*(1-EXP(-AJ26/(harbor_towers_param*($A27-Explore!$S27*20)+15000)))*(1+(mason_bonus*Construction!BB26/Construction!BS26))+IF(Overview!$B$14="Beastfolk",2*Construction!DC26/Construction!E26,0)*(1 + Production!O26/100*prestige_pop_multiplier)</f>
        <v>0</v>
      </c>
      <c r="AB26" s="454">
        <f ca="1">walls_forges_cap*(1-EXP(-AK26/(walls_forges_param*($A27-Explore!$S27*20)+15000)))*(1+(mason_bonus*Construction!BB26/Construction!BS26))+IF(Overview!$B$14="Beastfolk",0.2*Construction!CY26/Construction!E26,0)</f>
        <v>0</v>
      </c>
      <c r="AC26" s="454">
        <f ca="1">walls_forges_cap*(1-EXP(-AL26/(walls_forges_param*($A27-Explore!$S27*20)+15000)))*(1+(mason_bonus*Construction!BB26/Construction!BS26))+IF(Overview!$B$14="Beastfolk",5*Construction!DB26/Construction!E26,0)</f>
        <v>0</v>
      </c>
      <c r="AD26" s="171">
        <f ca="1">harbor_towers_cap*(1-EXP(-AM26/(harbor_towers_param*($A27-Explore!$S27*20)+15000)))*(1+(mason_bonus*Construction!BB26/Construction!BS26))+IF(Overview!$B$14="Beastfolk",Construction!DE26/Construction!E26)*(1 + Production!O26/100*prestige_pop_multiplier)</f>
        <v>0</v>
      </c>
      <c r="AE26" s="171">
        <f ca="1">armory_cap*(1-EXP(-AN26/(armory_param*($A27-Explore!$S27*20)+15000)))*(1+(mason_bonus*Construction!$BB26/Construction!$BS26))</f>
        <v>0</v>
      </c>
      <c r="AF26" s="171">
        <f ca="1">infirmary_cap*(1-EXP(-AO26/(infirmary_param*($A27-Explore!$S27*20)+15000)))*(1+(mason_bonus*Construction!$BB26/Construction!$BS26))</f>
        <v>0</v>
      </c>
      <c r="AH26" s="56">
        <f ca="1">(1+Overview!$O$28+IF(Magic!BA26&gt;0,0.1,0))*SUM(AV26:AY26) + AH25</f>
        <v>0</v>
      </c>
      <c r="AI26" s="26">
        <f ca="1">(1+Overview!$O$28+IF(Magic!BA26&gt;0,0.1,0))*SUM(BA26:BD26) + AI25</f>
        <v>0</v>
      </c>
      <c r="AJ26" s="164">
        <f ca="1">(1+Overview!$O$28+IF(Magic!BA26&gt;0,0.1,0))*SUM(BF26:BI26) + AJ25</f>
        <v>0</v>
      </c>
      <c r="AK26" s="164">
        <f ca="1">(1+Overview!$O$28+IF(Magic!BA26&gt;0,0.1,0))*SUM(BK26:BN26) + AK25</f>
        <v>0</v>
      </c>
      <c r="AL26" s="164">
        <f ca="1">(1+Overview!$O$28+IF(Magic!BA26&gt;0,0.1,0))*SUM(BP26:BS26) + AL25</f>
        <v>0</v>
      </c>
      <c r="AM26" s="166">
        <f ca="1">(1+Overview!$O$28+IF(Magic!BA26&gt;0,0.1,0))*SUM(BU26:BX26) + AM25</f>
        <v>0</v>
      </c>
      <c r="AN26" s="166">
        <f ca="1">(1+Overview!$O$28+IF(Magic!BA26&gt;0,0.1,0))*SUM(BZ26:CC26)+AN25</f>
        <v>0</v>
      </c>
      <c r="AO26" s="164">
        <f ca="1">(1+Overview!$O$28+IF(Magic!BA26&gt;0,0.1,0))*SUM(CE26:CH26)+AO25</f>
        <v>0</v>
      </c>
      <c r="AQ26" s="156">
        <f t="shared" si="41"/>
        <v>0</v>
      </c>
      <c r="AR26" s="170">
        <f t="shared" si="41"/>
        <v>0</v>
      </c>
      <c r="AS26" s="170">
        <f t="shared" si="41"/>
        <v>0</v>
      </c>
      <c r="AT26" s="157">
        <f t="shared" si="41"/>
        <v>0</v>
      </c>
      <c r="AV26" s="152">
        <f t="shared" si="25"/>
        <v>0</v>
      </c>
      <c r="AW26" s="164">
        <f t="shared" si="42"/>
        <v>0</v>
      </c>
      <c r="AX26" s="164">
        <f t="shared" si="42"/>
        <v>0</v>
      </c>
      <c r="AY26" s="166">
        <f t="shared" si="27"/>
        <v>0</v>
      </c>
      <c r="BA26" s="152">
        <f t="shared" si="28"/>
        <v>0</v>
      </c>
      <c r="BB26" s="164">
        <f t="shared" si="43"/>
        <v>0</v>
      </c>
      <c r="BC26" s="164">
        <f t="shared" si="43"/>
        <v>0</v>
      </c>
      <c r="BD26" s="166">
        <f t="shared" si="30"/>
        <v>0</v>
      </c>
      <c r="BF26" s="152">
        <f t="shared" si="31"/>
        <v>0</v>
      </c>
      <c r="BG26" s="164">
        <f t="shared" si="32"/>
        <v>0</v>
      </c>
      <c r="BH26" s="164">
        <f t="shared" si="40"/>
        <v>0</v>
      </c>
      <c r="BI26" s="166">
        <f t="shared" si="33"/>
        <v>0</v>
      </c>
      <c r="BK26" s="152">
        <f t="shared" si="34"/>
        <v>0</v>
      </c>
      <c r="BL26" s="164">
        <f t="shared" si="44"/>
        <v>0</v>
      </c>
      <c r="BM26" s="164">
        <f t="shared" si="44"/>
        <v>0</v>
      </c>
      <c r="BN26" s="166">
        <f t="shared" si="36"/>
        <v>0</v>
      </c>
      <c r="BP26" s="152">
        <f t="shared" si="37"/>
        <v>0</v>
      </c>
      <c r="BQ26" s="164">
        <f t="shared" si="45"/>
        <v>0</v>
      </c>
      <c r="BR26" s="164">
        <f t="shared" si="45"/>
        <v>0</v>
      </c>
      <c r="BS26" s="166">
        <f t="shared" si="39"/>
        <v>0</v>
      </c>
      <c r="BU26" s="152">
        <f>IF($O26=BU$2,IF($Q26=$AD$2,$P26)) + IF($R26=BU$2,IF($T26=$AD$2,$S26)) + IF($U26=BU$2,IF($W26=$AD$2,$V26))</f>
        <v>0</v>
      </c>
      <c r="BV26" s="164">
        <f>IF($O26=BV$2,IF($Q26=$AD$2,2*$P26)) + IF($R26=BV$2,IF($T26=$AD$2,2*$S26)) + IF($U26=BV$2,IF($W26=$AD$2,2*$V26))</f>
        <v>0</v>
      </c>
      <c r="BW26" s="164">
        <f>IF($O26=BW$2,IF($Q26=$AD$2,2*$P26)) + IF($R26=BW$2,IF($T26=$AD$2,2*$S26)) + IF($U26=BW$2,IF($W26=$AD$2,2*$V26))</f>
        <v>0</v>
      </c>
      <c r="BX26" s="166">
        <f>IF($O26=BX$2,IF($Q26=$AD$2,12*$P26)) + IF($R26=BX$2,IF($T26=$AD$2,12*$S26)) + IF($U26=BX$2,IF($W26=$AD$2,12*$V26))</f>
        <v>0</v>
      </c>
      <c r="BZ26" s="152">
        <f>IF($O26=BZ$2,IF($Q26=Armory,$P26)) + IF($R26=BZ$2,IF($T26=Armory,$S26)) + IF($U26=BZ$2,IF($W26=Armory,$V26))</f>
        <v>0</v>
      </c>
      <c r="CA26" s="164">
        <f>IF($O26=CA$2,IF($Q26=Armory,2*$P26)) + IF($R26=CA$2,IF($T26=Armory,2*$S26)) + IF($U26=CA$2,IF($W26=Armory,2*$V26))</f>
        <v>0</v>
      </c>
      <c r="CB26" s="164">
        <f>IF($O26=CB$2,IF($Q26=Armory,2*$P26)) + IF($R26=CB$2,IF($T26=Armory,2*$S26)) + IF($U26=CB$2,IF($W26=Armory,2*$V26))</f>
        <v>0</v>
      </c>
      <c r="CC26" s="166">
        <f>IF($O26=CC$2,IF($Q26=Armory,12*$P26)) + IF($R26=CC$2,IF($T26=Armory,12*$S26)) + IF($U26=CC$2,IF($W26=Armory,12*$V26))</f>
        <v>0</v>
      </c>
      <c r="CE26" s="152">
        <f>IF($O26=CE$2,IF($Q26=Infirmary,$P26)) + IF($R26=CE$2,IF($T26=Infirmary,$S26)) + IF($U26=CE$2,IF($W26=Infirmary,$V26))</f>
        <v>0</v>
      </c>
      <c r="CF26" s="164">
        <f>IF($O26=CF$2,IF($Q26=Infirmary,2*$P26)) + IF($R26=CF$2,IF($T26=Infirmary,2*$S26)) + IF($U26=CF$2,IF($W26=Infirmary,2*$V26))</f>
        <v>0</v>
      </c>
      <c r="CG26" s="164">
        <f>IF($O26=CG$2,IF($Q26=Infirmary,2*$P26)) + IF($R26=CG$2,IF($T26=Infirmary,2*$S26)) + IF($U26=CG$2,IF($W26=Infirmary,2*$V26))</f>
        <v>0</v>
      </c>
      <c r="CH26" s="166">
        <f>IF($O26=CH$2,IF($Q26=Infirmary,12*$P26)) + IF($R26=CH$2,IF($T26=Infirmary,12*$S26)) + IF($U26=CH$2,IF($W26=Infirmary,12*$V26))</f>
        <v>0</v>
      </c>
      <c r="CJ26" s="156" t="e">
        <f>OR(Production!C26,Construction!N26:'Construction'!AF26,Construction!BV26:CN26,Explore!S26:Z26,Military!AF26:AL26,Military!X26,Military!BE26:BL26,Rezone!L26:R26,Magic!G26:Q26)</f>
        <v>#VALUE!</v>
      </c>
      <c r="CK26" s="546">
        <f>M26</f>
        <v>0</v>
      </c>
      <c r="CL26" s="546"/>
      <c r="CM26" s="552">
        <f t="shared" si="20"/>
        <v>43768.239583333278</v>
      </c>
      <c r="CN26" s="560">
        <f t="shared" si="21"/>
        <v>43768.072916666613</v>
      </c>
      <c r="CO26" s="627"/>
      <c r="CP26" s="803"/>
      <c r="CQ26" s="770"/>
    </row>
    <row r="27" spans="1:98" s="16" customFormat="1" x14ac:dyDescent="0.25">
      <c r="A27" s="511">
        <f>Construction!E27</f>
        <v>1000</v>
      </c>
      <c r="C27" s="56">
        <f ca="1">Production!H27</f>
        <v>4581257</v>
      </c>
      <c r="D27" s="26">
        <f ca="1">Production!J27</f>
        <v>332495</v>
      </c>
      <c r="E27" s="26">
        <f ca="1">Production!L27</f>
        <v>300000</v>
      </c>
      <c r="F27" s="57">
        <f ca="1">Production!M27</f>
        <v>20000</v>
      </c>
      <c r="G27" s="26"/>
      <c r="H27" s="56">
        <f ca="1">Military!Z27</f>
        <v>5295</v>
      </c>
      <c r="I27" s="538">
        <f ca="1">Population!I27</f>
        <v>1</v>
      </c>
      <c r="J27" s="165">
        <f ca="1">Population!F27/Population!U27</f>
        <v>1.1647171284290287</v>
      </c>
      <c r="K27" s="1000">
        <f>Rezone!J27</f>
        <v>25</v>
      </c>
      <c r="L27" s="582">
        <f t="shared" si="19"/>
        <v>43768.249999999942</v>
      </c>
      <c r="M27" s="316">
        <f t="shared" si="22"/>
        <v>0</v>
      </c>
      <c r="N27" s="638">
        <f t="shared" si="23"/>
        <v>1000</v>
      </c>
      <c r="O27" s="423" t="s">
        <v>4</v>
      </c>
      <c r="P27" s="370"/>
      <c r="Q27" s="424" t="s">
        <v>223</v>
      </c>
      <c r="R27" s="423" t="s">
        <v>7</v>
      </c>
      <c r="S27" s="370"/>
      <c r="T27" s="424" t="s">
        <v>223</v>
      </c>
      <c r="U27" s="406" t="s">
        <v>3</v>
      </c>
      <c r="V27" s="407"/>
      <c r="W27" s="409" t="s">
        <v>223</v>
      </c>
      <c r="Y27" s="501">
        <f ca="1">science_cap*(1-EXP(-AH27/(science_param*($A28-Explore!$S28*20)+15000)))*(1+(mason_bonus*Construction!BB27/Construction!BS27))+IF(Overview!$B$14="Beastfolk",Construction!DA27/Construction!E27,0)*(1 + Production!O27/100*prestige_pop_multiplier)</f>
        <v>0</v>
      </c>
      <c r="Z27" s="454">
        <f ca="1">keep_cap*(1-EXP(-AI27/(keep_param*($A28-Explore!$S28*20)+15000)))*(1+(mason_bonus*Construction!BB27/Construction!BS27))+IF(Overview!$B$14="Beastfolk",Construction!DF27/Construction!E27,0)*(1 + Production!O27/100*prestige_pop_multiplier)</f>
        <v>0</v>
      </c>
      <c r="AA27" s="454">
        <f ca="1">harbor_towers_cap*(1-EXP(-AJ27/(harbor_towers_param*($A28-Explore!$S28*20)+15000)))*(1+(mason_bonus*Construction!BB27/Construction!BS27))+IF(Overview!$B$14="Beastfolk",2*Construction!DC27/Construction!E27,0)*(1 + Production!O27/100*prestige_pop_multiplier)</f>
        <v>0</v>
      </c>
      <c r="AB27" s="454">
        <f ca="1">walls_forges_cap*(1-EXP(-AK27/(walls_forges_param*($A28-Explore!$S28*20)+15000)))*(1+(mason_bonus*Construction!BB27/Construction!BS27))+IF(Overview!$B$14="Beastfolk",0.2*Construction!CY27/Construction!E27,0)</f>
        <v>0</v>
      </c>
      <c r="AC27" s="454">
        <f ca="1">walls_forges_cap*(1-EXP(-AL27/(walls_forges_param*($A28-Explore!$S28*20)+15000)))*(1+(mason_bonus*Construction!BB27/Construction!BS27))+IF(Overview!$B$14="Beastfolk",5*Construction!DB27/Construction!E27,0)</f>
        <v>0</v>
      </c>
      <c r="AD27" s="171">
        <f ca="1">harbor_towers_cap*(1-EXP(-AM27/(harbor_towers_param*($A28-Explore!$S28*20)+15000)))*(1+(mason_bonus*Construction!BB27/Construction!BS27))+IF(Overview!$B$14="Beastfolk",Construction!DE27/Construction!E27)*(1 + Production!O27/100*prestige_pop_multiplier)</f>
        <v>0</v>
      </c>
      <c r="AE27" s="171">
        <f ca="1">armory_cap*(1-EXP(-AN27/(armory_param*($A28-Explore!$S28*20)+15000)))*(1+(mason_bonus*Construction!$BB27/Construction!$BS27))</f>
        <v>0</v>
      </c>
      <c r="AF27" s="171">
        <f ca="1">infirmary_cap*(1-EXP(-AO27/(infirmary_param*($A28-Explore!$S28*20)+15000)))*(1+(mason_bonus*Construction!$BB27/Construction!$BS27))</f>
        <v>0</v>
      </c>
      <c r="AH27" s="56">
        <f ca="1">(1+Overview!$O$28+IF(Magic!BA27&gt;0,0.1,0))*SUM(AV27:AY27) + AH26</f>
        <v>0</v>
      </c>
      <c r="AI27" s="26">
        <f ca="1">(1+Overview!$O$28+IF(Magic!BA27&gt;0,0.1,0))*SUM(BA27:BD27) + AI26</f>
        <v>0</v>
      </c>
      <c r="AJ27" s="164">
        <f ca="1">(1+Overview!$O$28+IF(Magic!BA27&gt;0,0.1,0))*SUM(BF27:BI27) + AJ26</f>
        <v>0</v>
      </c>
      <c r="AK27" s="164">
        <f ca="1">(1+Overview!$O$28+IF(Magic!BA27&gt;0,0.1,0))*SUM(BK27:BN27) + AK26</f>
        <v>0</v>
      </c>
      <c r="AL27" s="164">
        <f ca="1">(1+Overview!$O$28+IF(Magic!BA27&gt;0,0.1,0))*SUM(BP27:BS27) + AL26</f>
        <v>0</v>
      </c>
      <c r="AM27" s="166">
        <f ca="1">(1+Overview!$O$28+IF(Magic!BA27&gt;0,0.1,0))*SUM(BU27:BX27) + AM26</f>
        <v>0</v>
      </c>
      <c r="AN27" s="166">
        <f ca="1">(1+Overview!$O$28+IF(Magic!BA27&gt;0,0.1,0))*SUM(BZ27:CC27)+AN26</f>
        <v>0</v>
      </c>
      <c r="AO27" s="164">
        <f ca="1">(1+Overview!$O$28+IF(Magic!BA27&gt;0,0.1,0))*SUM(CE27:CH27)+AO26</f>
        <v>0</v>
      </c>
      <c r="AQ27" s="52">
        <f t="shared" si="41"/>
        <v>0</v>
      </c>
      <c r="AR27" s="16">
        <f t="shared" si="41"/>
        <v>0</v>
      </c>
      <c r="AS27" s="16">
        <f t="shared" si="41"/>
        <v>0</v>
      </c>
      <c r="AT27" s="53">
        <f t="shared" si="41"/>
        <v>0</v>
      </c>
      <c r="AV27" s="56">
        <f t="shared" si="25"/>
        <v>0</v>
      </c>
      <c r="AW27" s="26">
        <f t="shared" si="42"/>
        <v>0</v>
      </c>
      <c r="AX27" s="26">
        <f t="shared" si="42"/>
        <v>0</v>
      </c>
      <c r="AY27" s="57">
        <f t="shared" si="27"/>
        <v>0</v>
      </c>
      <c r="BA27" s="56">
        <f t="shared" si="28"/>
        <v>0</v>
      </c>
      <c r="BB27" s="26">
        <f t="shared" si="43"/>
        <v>0</v>
      </c>
      <c r="BC27" s="26">
        <f t="shared" si="43"/>
        <v>0</v>
      </c>
      <c r="BD27" s="57">
        <f t="shared" si="30"/>
        <v>0</v>
      </c>
      <c r="BF27" s="56">
        <f t="shared" si="31"/>
        <v>0</v>
      </c>
      <c r="BG27" s="26">
        <f t="shared" si="32"/>
        <v>0</v>
      </c>
      <c r="BH27" s="26">
        <f t="shared" si="40"/>
        <v>0</v>
      </c>
      <c r="BI27" s="57">
        <f t="shared" si="33"/>
        <v>0</v>
      </c>
      <c r="BK27" s="56">
        <f t="shared" si="34"/>
        <v>0</v>
      </c>
      <c r="BL27" s="26">
        <f t="shared" si="44"/>
        <v>0</v>
      </c>
      <c r="BM27" s="26">
        <f t="shared" si="44"/>
        <v>0</v>
      </c>
      <c r="BN27" s="57">
        <f t="shared" si="36"/>
        <v>0</v>
      </c>
      <c r="BP27" s="56">
        <f t="shared" si="37"/>
        <v>0</v>
      </c>
      <c r="BQ27" s="26">
        <f t="shared" si="45"/>
        <v>0</v>
      </c>
      <c r="BR27" s="26">
        <f t="shared" si="45"/>
        <v>0</v>
      </c>
      <c r="BS27" s="57">
        <f t="shared" si="39"/>
        <v>0</v>
      </c>
      <c r="BU27" s="56">
        <f>IF($O27=BU$2,IF($Q27=$AD$2,$P27)) + IF($R27=BU$2,IF($T27=$AD$2,$S27)) + IF($U27=BU$2,IF($W27=$AD$2,$V27))</f>
        <v>0</v>
      </c>
      <c r="BV27" s="26">
        <f>IF($O27=BV$2,IF($Q27=$AD$2,2*$P27)) + IF($R27=BV$2,IF($T27=$AD$2,2*$S27)) + IF($U27=BV$2,IF($W27=$AD$2,2*$V27))</f>
        <v>0</v>
      </c>
      <c r="BW27" s="26">
        <f>IF($O27=BW$2,IF($Q27=$AD$2,2*$P27)) + IF($R27=BW$2,IF($T27=$AD$2,2*$S27)) + IF($U27=BW$2,IF($W27=$AD$2,2*$V27))</f>
        <v>0</v>
      </c>
      <c r="BX27" s="57">
        <f>IF($O27=BX$2,IF($Q27=$AD$2,12*$P27)) + IF($R27=BX$2,IF($T27=$AD$2,12*$S27)) + IF($U27=BX$2,IF($W27=$AD$2,12*$V27))</f>
        <v>0</v>
      </c>
      <c r="BZ27" s="56">
        <f>IF($O27=BZ$2,IF($Q27=Armory,$P27)) + IF($R27=BZ$2,IF($T27=Armory,$S27)) + IF($U27=BZ$2,IF($W27=Armory,$V27))</f>
        <v>0</v>
      </c>
      <c r="CA27" s="26">
        <f>IF($O27=CA$2,IF($Q27=Armory,2*$P27)) + IF($R27=CA$2,IF($T27=Armory,2*$S27)) + IF($U27=CA$2,IF($W27=Armory,2*$V27))</f>
        <v>0</v>
      </c>
      <c r="CB27" s="26">
        <f>IF($O27=CB$2,IF($Q27=Armory,2*$P27)) + IF($R27=CB$2,IF($T27=Armory,2*$S27)) + IF($U27=CB$2,IF($W27=Armory,2*$V27))</f>
        <v>0</v>
      </c>
      <c r="CC27" s="57">
        <f>IF($O27=CC$2,IF($Q27=Armory,12*$P27)) + IF($R27=CC$2,IF($T27=Armory,12*$S27)) + IF($U27=CC$2,IF($W27=Armory,12*$V27))</f>
        <v>0</v>
      </c>
      <c r="CE27" s="56">
        <f>IF($O27=CE$2,IF($Q27=Infirmary,$P27)) + IF($R27=CE$2,IF($T27=Infirmary,$S27)) + IF($U27=CE$2,IF($W27=Infirmary,$V27))</f>
        <v>0</v>
      </c>
      <c r="CF27" s="26">
        <f>IF($O27=CF$2,IF($Q27=Infirmary,2*$P27)) + IF($R27=CF$2,IF($T27=Infirmary,2*$S27)) + IF($U27=CF$2,IF($W27=Infirmary,2*$V27))</f>
        <v>0</v>
      </c>
      <c r="CG27" s="26">
        <f>IF($O27=CG$2,IF($Q27=Infirmary,2*$P27)) + IF($R27=CG$2,IF($T27=Infirmary,2*$S27)) + IF($U27=CG$2,IF($W27=Infirmary,2*$V27))</f>
        <v>0</v>
      </c>
      <c r="CH27" s="57">
        <f>IF($O27=CH$2,IF($Q27=Infirmary,12*$P27)) + IF($R27=CH$2,IF($T27=Infirmary,12*$S27)) + IF($U27=CH$2,IF($W27=Infirmary,12*$V27))</f>
        <v>0</v>
      </c>
      <c r="CJ27" s="52" t="e">
        <f>OR(Production!C27,Construction!N27:'Construction'!AF27,Construction!BV27:CN27,Explore!S27:Z27,Military!AF27:AL27,Military!X27,Military!BE27:BL27,Rezone!L27:R27,Magic!G27:Q27)</f>
        <v>#VALUE!</v>
      </c>
      <c r="CK27" s="1398">
        <f>M27</f>
        <v>0</v>
      </c>
      <c r="CL27" s="1398"/>
      <c r="CM27" s="555">
        <f t="shared" si="20"/>
        <v>43768.249999999942</v>
      </c>
      <c r="CN27" s="563">
        <f t="shared" si="21"/>
        <v>43768.083333333278</v>
      </c>
      <c r="CO27" s="527"/>
      <c r="CP27" s="803"/>
      <c r="CQ27" s="808"/>
      <c r="CR27" s="170"/>
    </row>
    <row r="28" spans="1:98" s="170" customFormat="1" x14ac:dyDescent="0.25">
      <c r="A28" s="508">
        <f>Construction!E28</f>
        <v>1000</v>
      </c>
      <c r="C28" s="152">
        <f ca="1">Production!H28</f>
        <v>4589413</v>
      </c>
      <c r="D28" s="164">
        <f ca="1">Production!J28</f>
        <v>331670</v>
      </c>
      <c r="E28" s="164">
        <f ca="1">Production!L28</f>
        <v>300000</v>
      </c>
      <c r="F28" s="166">
        <f ca="1">Production!M28</f>
        <v>20000</v>
      </c>
      <c r="G28" s="164"/>
      <c r="H28" s="152">
        <f ca="1">Military!Z28</f>
        <v>5295</v>
      </c>
      <c r="I28" s="538">
        <f ca="1">Population!I28</f>
        <v>1</v>
      </c>
      <c r="J28" s="165">
        <f ca="1">Population!F28/Population!U28</f>
        <v>1.1435611039403506</v>
      </c>
      <c r="K28" s="1000">
        <f>Rezone!J28</f>
        <v>26</v>
      </c>
      <c r="L28" s="582">
        <f t="shared" si="19"/>
        <v>43768.260416666606</v>
      </c>
      <c r="M28" s="646">
        <f t="shared" si="22"/>
        <v>0</v>
      </c>
      <c r="N28" s="529">
        <f t="shared" si="23"/>
        <v>1000</v>
      </c>
      <c r="O28" s="406" t="s">
        <v>4</v>
      </c>
      <c r="P28" s="370"/>
      <c r="Q28" s="408" t="s">
        <v>223</v>
      </c>
      <c r="R28" s="423" t="s">
        <v>7</v>
      </c>
      <c r="S28" s="370"/>
      <c r="T28" s="408" t="s">
        <v>223</v>
      </c>
      <c r="U28" s="406" t="s">
        <v>3</v>
      </c>
      <c r="V28" s="407"/>
      <c r="W28" s="409" t="s">
        <v>223</v>
      </c>
      <c r="Y28" s="501">
        <f ca="1">science_cap*(1-EXP(-AH28/(science_param*($A29-Explore!$S29*20)+15000)))*(1+(mason_bonus*Construction!BB28/Construction!BS28))+IF(Overview!$B$14="Beastfolk",Construction!DA28/Construction!E28,0)*(1 + Production!O28/100*prestige_pop_multiplier)</f>
        <v>0</v>
      </c>
      <c r="Z28" s="454">
        <f ca="1">keep_cap*(1-EXP(-AI28/(keep_param*($A29-Explore!$S29*20)+15000)))*(1+(mason_bonus*Construction!BB28/Construction!BS28))+IF(Overview!$B$14="Beastfolk",Construction!DF28/Construction!E28,0)*(1 + Production!O28/100*prestige_pop_multiplier)</f>
        <v>0</v>
      </c>
      <c r="AA28" s="454">
        <f ca="1">harbor_towers_cap*(1-EXP(-AJ28/(harbor_towers_param*($A29-Explore!$S29*20)+15000)))*(1+(mason_bonus*Construction!BB28/Construction!BS28))+IF(Overview!$B$14="Beastfolk",2*Construction!DC28/Construction!E28,0)*(1 + Production!O28/100*prestige_pop_multiplier)</f>
        <v>0</v>
      </c>
      <c r="AB28" s="454">
        <f ca="1">walls_forges_cap*(1-EXP(-AK28/(walls_forges_param*($A29-Explore!$S29*20)+15000)))*(1+(mason_bonus*Construction!BB28/Construction!BS28))+IF(Overview!$B$14="Beastfolk",0.2*Construction!CY28/Construction!E28,0)</f>
        <v>0</v>
      </c>
      <c r="AC28" s="454">
        <f ca="1">walls_forges_cap*(1-EXP(-AL28/(walls_forges_param*($A29-Explore!$S29*20)+15000)))*(1+(mason_bonus*Construction!BB28/Construction!BS28))+IF(Overview!$B$14="Beastfolk",5*Construction!DB28/Construction!E28,0)</f>
        <v>0</v>
      </c>
      <c r="AD28" s="171">
        <f ca="1">harbor_towers_cap*(1-EXP(-AM28/(harbor_towers_param*($A29-Explore!$S29*20)+15000)))*(1+(mason_bonus*Construction!BB28/Construction!BS28))+IF(Overview!$B$14="Beastfolk",Construction!DE28/Construction!E28)*(1 + Production!O28/100*prestige_pop_multiplier)</f>
        <v>0</v>
      </c>
      <c r="AE28" s="171">
        <f ca="1">armory_cap*(1-EXP(-AN28/(armory_param*($A29-Explore!$S29*20)+15000)))*(1+(mason_bonus*Construction!$BB28/Construction!$BS28))</f>
        <v>0</v>
      </c>
      <c r="AF28" s="171">
        <f ca="1">infirmary_cap*(1-EXP(-AO28/(infirmary_param*($A29-Explore!$S29*20)+15000)))*(1+(mason_bonus*Construction!$BB28/Construction!$BS28))</f>
        <v>0</v>
      </c>
      <c r="AH28" s="56">
        <f ca="1">(1+Overview!$O$28+IF(Magic!BA28&gt;0,0.1,0))*SUM(AV28:AY28) + AH27</f>
        <v>0</v>
      </c>
      <c r="AI28" s="26">
        <f ca="1">(1+Overview!$O$28+IF(Magic!BA28&gt;0,0.1,0))*SUM(BA28:BD28) + AI27</f>
        <v>0</v>
      </c>
      <c r="AJ28" s="164">
        <f ca="1">(1+Overview!$O$28+IF(Magic!BA28&gt;0,0.1,0))*SUM(BF28:BI28) + AJ27</f>
        <v>0</v>
      </c>
      <c r="AK28" s="164">
        <f ca="1">(1+Overview!$O$28+IF(Magic!BA28&gt;0,0.1,0))*SUM(BK28:BN28) + AK27</f>
        <v>0</v>
      </c>
      <c r="AL28" s="164">
        <f ca="1">(1+Overview!$O$28+IF(Magic!BA28&gt;0,0.1,0))*SUM(BP28:BS28) + AL27</f>
        <v>0</v>
      </c>
      <c r="AM28" s="166">
        <f ca="1">(1+Overview!$O$28+IF(Magic!BA28&gt;0,0.1,0))*SUM(BU28:BX28) + AM27</f>
        <v>0</v>
      </c>
      <c r="AN28" s="166">
        <f ca="1">(1+Overview!$O$28+IF(Magic!BA28&gt;0,0.1,0))*SUM(BZ28:CC28)+AN27</f>
        <v>0</v>
      </c>
      <c r="AO28" s="164">
        <f ca="1">(1+Overview!$O$28+IF(Magic!BA28&gt;0,0.1,0))*SUM(CE28:CH28)+AO27</f>
        <v>0</v>
      </c>
      <c r="AQ28" s="156">
        <f t="shared" si="41"/>
        <v>0</v>
      </c>
      <c r="AR28" s="170">
        <f t="shared" si="41"/>
        <v>0</v>
      </c>
      <c r="AS28" s="170">
        <f t="shared" si="41"/>
        <v>0</v>
      </c>
      <c r="AT28" s="157">
        <f t="shared" si="41"/>
        <v>0</v>
      </c>
      <c r="AV28" s="152">
        <f t="shared" si="25"/>
        <v>0</v>
      </c>
      <c r="AW28" s="164">
        <f t="shared" si="42"/>
        <v>0</v>
      </c>
      <c r="AX28" s="164">
        <f t="shared" si="42"/>
        <v>0</v>
      </c>
      <c r="AY28" s="166">
        <f t="shared" si="27"/>
        <v>0</v>
      </c>
      <c r="BA28" s="152">
        <f t="shared" si="28"/>
        <v>0</v>
      </c>
      <c r="BB28" s="164">
        <f t="shared" si="43"/>
        <v>0</v>
      </c>
      <c r="BC28" s="164">
        <f t="shared" si="43"/>
        <v>0</v>
      </c>
      <c r="BD28" s="166">
        <f t="shared" si="30"/>
        <v>0</v>
      </c>
      <c r="BF28" s="152">
        <f t="shared" si="31"/>
        <v>0</v>
      </c>
      <c r="BG28" s="164">
        <f t="shared" si="32"/>
        <v>0</v>
      </c>
      <c r="BH28" s="164">
        <f t="shared" si="40"/>
        <v>0</v>
      </c>
      <c r="BI28" s="166">
        <f t="shared" si="33"/>
        <v>0</v>
      </c>
      <c r="BK28" s="152">
        <f t="shared" si="34"/>
        <v>0</v>
      </c>
      <c r="BL28" s="164">
        <f t="shared" si="44"/>
        <v>0</v>
      </c>
      <c r="BM28" s="164">
        <f t="shared" si="44"/>
        <v>0</v>
      </c>
      <c r="BN28" s="166">
        <f t="shared" si="36"/>
        <v>0</v>
      </c>
      <c r="BP28" s="152">
        <f t="shared" si="37"/>
        <v>0</v>
      </c>
      <c r="BQ28" s="164">
        <f t="shared" si="45"/>
        <v>0</v>
      </c>
      <c r="BR28" s="164">
        <f t="shared" si="45"/>
        <v>0</v>
      </c>
      <c r="BS28" s="166">
        <f t="shared" si="39"/>
        <v>0</v>
      </c>
      <c r="BU28" s="152">
        <f>IF($O28=BU$2,IF($Q28=$AD$2,$P28)) + IF($R28=BU$2,IF($T28=$AD$2,$S28)) + IF($U28=BU$2,IF($W28=$AD$2,$V28))</f>
        <v>0</v>
      </c>
      <c r="BV28" s="164">
        <f>IF($O28=BV$2,IF($Q28=$AD$2,2*$P28)) + IF($R28=BV$2,IF($T28=$AD$2,2*$S28)) + IF($U28=BV$2,IF($W28=$AD$2,2*$V28))</f>
        <v>0</v>
      </c>
      <c r="BW28" s="164">
        <f>IF($O28=BW$2,IF($Q28=$AD$2,2*$P28)) + IF($R28=BW$2,IF($T28=$AD$2,2*$S28)) + IF($U28=BW$2,IF($W28=$AD$2,2*$V28))</f>
        <v>0</v>
      </c>
      <c r="BX28" s="166">
        <f>IF($O28=BX$2,IF($Q28=$AD$2,12*$P28)) + IF($R28=BX$2,IF($T28=$AD$2,12*$S28)) + IF($U28=BX$2,IF($W28=$AD$2,12*$V28))</f>
        <v>0</v>
      </c>
      <c r="BZ28" s="152">
        <f>IF($O28=BZ$2,IF($Q28=Armory,$P28)) + IF($R28=BZ$2,IF($T28=Armory,$S28)) + IF($U28=BZ$2,IF($W28=Armory,$V28))</f>
        <v>0</v>
      </c>
      <c r="CA28" s="164">
        <f>IF($O28=CA$2,IF($Q28=Armory,2*$P28)) + IF($R28=CA$2,IF($T28=Armory,2*$S28)) + IF($U28=CA$2,IF($W28=Armory,2*$V28))</f>
        <v>0</v>
      </c>
      <c r="CB28" s="164">
        <f>IF($O28=CB$2,IF($Q28=Armory,2*$P28)) + IF($R28=CB$2,IF($T28=Armory,2*$S28)) + IF($U28=CB$2,IF($W28=Armory,2*$V28))</f>
        <v>0</v>
      </c>
      <c r="CC28" s="166">
        <f>IF($O28=CC$2,IF($Q28=Armory,12*$P28)) + IF($R28=CC$2,IF($T28=Armory,12*$S28)) + IF($U28=CC$2,IF($W28=Armory,12*$V28))</f>
        <v>0</v>
      </c>
      <c r="CE28" s="152">
        <f>IF($O28=CE$2,IF($Q28=Infirmary,$P28)) + IF($R28=CE$2,IF($T28=Infirmary,$S28)) + IF($U28=CE$2,IF($W28=Infirmary,$V28))</f>
        <v>0</v>
      </c>
      <c r="CF28" s="164">
        <f>IF($O28=CF$2,IF($Q28=Infirmary,2*$P28)) + IF($R28=CF$2,IF($T28=Infirmary,2*$S28)) + IF($U28=CF$2,IF($W28=Infirmary,2*$V28))</f>
        <v>0</v>
      </c>
      <c r="CG28" s="164">
        <f>IF($O28=CG$2,IF($Q28=Infirmary,2*$P28)) + IF($R28=CG$2,IF($T28=Infirmary,2*$S28)) + IF($U28=CG$2,IF($W28=Infirmary,2*$V28))</f>
        <v>0</v>
      </c>
      <c r="CH28" s="166">
        <f>IF($O28=CH$2,IF($Q28=Infirmary,12*$P28)) + IF($R28=CH$2,IF($T28=Infirmary,12*$S28)) + IF($U28=CH$2,IF($W28=Infirmary,12*$V28))</f>
        <v>0</v>
      </c>
      <c r="CJ28" s="156" t="e">
        <f>OR(Production!C28,Construction!N28:'Construction'!AF28,Construction!BV28:CN28,Explore!S28:Z28,Military!AF28:AL28,Military!X28,Military!BE28:BL28,Rezone!L28:R28,Magic!G28:Q28)</f>
        <v>#VALUE!</v>
      </c>
      <c r="CK28" s="546">
        <f>M28</f>
        <v>0</v>
      </c>
      <c r="CL28" s="546"/>
      <c r="CM28" s="552">
        <f t="shared" si="20"/>
        <v>43768.260416666606</v>
      </c>
      <c r="CN28" s="560">
        <f t="shared" si="21"/>
        <v>43768.093749999942</v>
      </c>
      <c r="CO28" s="627"/>
      <c r="CP28" s="803"/>
      <c r="CQ28" s="770"/>
    </row>
    <row r="29" spans="1:98" s="170" customFormat="1" x14ac:dyDescent="0.25">
      <c r="A29" s="508">
        <f>Construction!E29</f>
        <v>1000</v>
      </c>
      <c r="C29" s="152">
        <f ca="1">Production!H29</f>
        <v>4597162</v>
      </c>
      <c r="D29" s="164">
        <f ca="1">Production!J29</f>
        <v>330853</v>
      </c>
      <c r="E29" s="164">
        <f ca="1">Production!L29</f>
        <v>300000</v>
      </c>
      <c r="F29" s="166">
        <f ca="1">Production!M29</f>
        <v>20000</v>
      </c>
      <c r="G29" s="164"/>
      <c r="H29" s="152">
        <f ca="1">Military!Z29</f>
        <v>5295</v>
      </c>
      <c r="I29" s="538">
        <f ca="1">Population!I29</f>
        <v>1</v>
      </c>
      <c r="J29" s="165">
        <f ca="1">Population!F29/Population!U29</f>
        <v>1.1234628806761062</v>
      </c>
      <c r="K29" s="1000">
        <f>Rezone!J29</f>
        <v>27</v>
      </c>
      <c r="L29" s="582">
        <f t="shared" si="19"/>
        <v>43768.27083333327</v>
      </c>
      <c r="M29" s="646">
        <f t="shared" si="22"/>
        <v>0</v>
      </c>
      <c r="N29" s="529">
        <f t="shared" si="23"/>
        <v>1000</v>
      </c>
      <c r="O29" s="406" t="s">
        <v>4</v>
      </c>
      <c r="P29" s="370"/>
      <c r="Q29" s="408" t="s">
        <v>223</v>
      </c>
      <c r="R29" s="423" t="s">
        <v>7</v>
      </c>
      <c r="S29" s="370"/>
      <c r="T29" s="408" t="s">
        <v>223</v>
      </c>
      <c r="U29" s="406" t="s">
        <v>3</v>
      </c>
      <c r="V29" s="407"/>
      <c r="W29" s="409" t="s">
        <v>223</v>
      </c>
      <c r="Y29" s="501">
        <f ca="1">science_cap*(1-EXP(-AH29/(science_param*($A30-Explore!$S30*20)+15000)))*(1+(mason_bonus*Construction!BB29/Construction!BS29))+IF(Overview!$B$14="Beastfolk",Construction!DA29/Construction!E29,0)*(1 + Production!O29/100*prestige_pop_multiplier)</f>
        <v>0</v>
      </c>
      <c r="Z29" s="454">
        <f ca="1">keep_cap*(1-EXP(-AI29/(keep_param*($A30-Explore!$S30*20)+15000)))*(1+(mason_bonus*Construction!BB29/Construction!BS29))+IF(Overview!$B$14="Beastfolk",Construction!DF29/Construction!E29,0)*(1 + Production!O29/100*prestige_pop_multiplier)</f>
        <v>0</v>
      </c>
      <c r="AA29" s="454">
        <f ca="1">harbor_towers_cap*(1-EXP(-AJ29/(harbor_towers_param*($A30-Explore!$S30*20)+15000)))*(1+(mason_bonus*Construction!BB29/Construction!BS29))+IF(Overview!$B$14="Beastfolk",2*Construction!DC29/Construction!E29,0)*(1 + Production!O29/100*prestige_pop_multiplier)</f>
        <v>0</v>
      </c>
      <c r="AB29" s="454">
        <f ca="1">walls_forges_cap*(1-EXP(-AK29/(walls_forges_param*($A30-Explore!$S30*20)+15000)))*(1+(mason_bonus*Construction!BB29/Construction!BS29))+IF(Overview!$B$14="Beastfolk",0.2*Construction!CY29/Construction!E29,0)</f>
        <v>0</v>
      </c>
      <c r="AC29" s="454">
        <f ca="1">walls_forges_cap*(1-EXP(-AL29/(walls_forges_param*($A30-Explore!$S30*20)+15000)))*(1+(mason_bonus*Construction!BB29/Construction!BS29))+IF(Overview!$B$14="Beastfolk",5*Construction!DB29/Construction!E29,0)</f>
        <v>0</v>
      </c>
      <c r="AD29" s="171">
        <f ca="1">harbor_towers_cap*(1-EXP(-AM29/(harbor_towers_param*($A30-Explore!$S30*20)+15000)))*(1+(mason_bonus*Construction!BB29/Construction!BS29))+IF(Overview!$B$14="Beastfolk",Construction!DE29/Construction!E29)*(1 + Production!O29/100*prestige_pop_multiplier)</f>
        <v>0</v>
      </c>
      <c r="AE29" s="171">
        <f ca="1">armory_cap*(1-EXP(-AN29/(armory_param*($A30-Explore!$S30*20)+15000)))*(1+(mason_bonus*Construction!$BB29/Construction!$BS29))</f>
        <v>0</v>
      </c>
      <c r="AF29" s="171">
        <f ca="1">infirmary_cap*(1-EXP(-AO29/(infirmary_param*($A30-Explore!$S30*20)+15000)))*(1+(mason_bonus*Construction!$BB29/Construction!$BS29))</f>
        <v>0</v>
      </c>
      <c r="AH29" s="56">
        <f ca="1">(1+Overview!$O$28+IF(Magic!BA29&gt;0,0.1,0))*SUM(AV29:AY29) + AH28</f>
        <v>0</v>
      </c>
      <c r="AI29" s="26">
        <f ca="1">(1+Overview!$O$28+IF(Magic!BA29&gt;0,0.1,0))*SUM(BA29:BD29) + AI28</f>
        <v>0</v>
      </c>
      <c r="AJ29" s="164">
        <f ca="1">(1+Overview!$O$28+IF(Magic!BA29&gt;0,0.1,0))*SUM(BF29:BI29) + AJ28</f>
        <v>0</v>
      </c>
      <c r="AK29" s="164">
        <f ca="1">(1+Overview!$O$28+IF(Magic!BA29&gt;0,0.1,0))*SUM(BK29:BN29) + AK28</f>
        <v>0</v>
      </c>
      <c r="AL29" s="164">
        <f ca="1">(1+Overview!$O$28+IF(Magic!BA29&gt;0,0.1,0))*SUM(BP29:BS29) + AL28</f>
        <v>0</v>
      </c>
      <c r="AM29" s="166">
        <f ca="1">(1+Overview!$O$28+IF(Magic!BA29&gt;0,0.1,0))*SUM(BU29:BX29) + AM28</f>
        <v>0</v>
      </c>
      <c r="AN29" s="166">
        <f ca="1">(1+Overview!$O$28+IF(Magic!BA29&gt;0,0.1,0))*SUM(BZ29:CC29)+AN28</f>
        <v>0</v>
      </c>
      <c r="AO29" s="164">
        <f ca="1">(1+Overview!$O$28+IF(Magic!BA29&gt;0,0.1,0))*SUM(CE29:CH29)+AO28</f>
        <v>0</v>
      </c>
      <c r="AQ29" s="156">
        <f t="shared" si="41"/>
        <v>0</v>
      </c>
      <c r="AR29" s="170">
        <f t="shared" si="41"/>
        <v>0</v>
      </c>
      <c r="AS29" s="170">
        <f t="shared" si="41"/>
        <v>0</v>
      </c>
      <c r="AT29" s="157">
        <f t="shared" si="41"/>
        <v>0</v>
      </c>
      <c r="AV29" s="152">
        <f t="shared" si="25"/>
        <v>0</v>
      </c>
      <c r="AW29" s="164">
        <f t="shared" si="42"/>
        <v>0</v>
      </c>
      <c r="AX29" s="164">
        <f t="shared" si="42"/>
        <v>0</v>
      </c>
      <c r="AY29" s="166">
        <f t="shared" si="27"/>
        <v>0</v>
      </c>
      <c r="BA29" s="152">
        <f t="shared" si="28"/>
        <v>0</v>
      </c>
      <c r="BB29" s="164">
        <f t="shared" si="43"/>
        <v>0</v>
      </c>
      <c r="BC29" s="164">
        <f t="shared" si="43"/>
        <v>0</v>
      </c>
      <c r="BD29" s="166">
        <f t="shared" si="30"/>
        <v>0</v>
      </c>
      <c r="BF29" s="152">
        <f t="shared" si="31"/>
        <v>0</v>
      </c>
      <c r="BG29" s="164">
        <f t="shared" si="32"/>
        <v>0</v>
      </c>
      <c r="BH29" s="164">
        <f t="shared" si="40"/>
        <v>0</v>
      </c>
      <c r="BI29" s="166">
        <f t="shared" si="33"/>
        <v>0</v>
      </c>
      <c r="BK29" s="152">
        <f t="shared" si="34"/>
        <v>0</v>
      </c>
      <c r="BL29" s="164">
        <f t="shared" si="44"/>
        <v>0</v>
      </c>
      <c r="BM29" s="164">
        <f t="shared" si="44"/>
        <v>0</v>
      </c>
      <c r="BN29" s="166">
        <f t="shared" si="36"/>
        <v>0</v>
      </c>
      <c r="BP29" s="152">
        <f t="shared" si="37"/>
        <v>0</v>
      </c>
      <c r="BQ29" s="164">
        <f t="shared" si="45"/>
        <v>0</v>
      </c>
      <c r="BR29" s="164">
        <f t="shared" si="45"/>
        <v>0</v>
      </c>
      <c r="BS29" s="166">
        <f t="shared" si="39"/>
        <v>0</v>
      </c>
      <c r="BU29" s="152">
        <f>IF($O29=BU$2,IF($Q29=$AD$2,$P29)) + IF($R29=BU$2,IF($T29=$AD$2,$S29)) + IF($U29=BU$2,IF($W29=$AD$2,$V29))</f>
        <v>0</v>
      </c>
      <c r="BV29" s="164">
        <f>IF($O29=BV$2,IF($Q29=$AD$2,2*$P29)) + IF($R29=BV$2,IF($T29=$AD$2,2*$S29)) + IF($U29=BV$2,IF($W29=$AD$2,2*$V29))</f>
        <v>0</v>
      </c>
      <c r="BW29" s="164">
        <f>IF($O29=BW$2,IF($Q29=$AD$2,2*$P29)) + IF($R29=BW$2,IF($T29=$AD$2,2*$S29)) + IF($U29=BW$2,IF($W29=$AD$2,2*$V29))</f>
        <v>0</v>
      </c>
      <c r="BX29" s="166">
        <f>IF($O29=BX$2,IF($Q29=$AD$2,12*$P29)) + IF($R29=BX$2,IF($T29=$AD$2,12*$S29)) + IF($U29=BX$2,IF($W29=$AD$2,12*$V29))</f>
        <v>0</v>
      </c>
      <c r="BZ29" s="152">
        <f>IF($O29=BZ$2,IF($Q29=Armory,$P29)) + IF($R29=BZ$2,IF($T29=Armory,$S29)) + IF($U29=BZ$2,IF($W29=Armory,$V29))</f>
        <v>0</v>
      </c>
      <c r="CA29" s="164">
        <f>IF($O29=CA$2,IF($Q29=Armory,2*$P29)) + IF($R29=CA$2,IF($T29=Armory,2*$S29)) + IF($U29=CA$2,IF($W29=Armory,2*$V29))</f>
        <v>0</v>
      </c>
      <c r="CB29" s="164">
        <f>IF($O29=CB$2,IF($Q29=Armory,2*$P29)) + IF($R29=CB$2,IF($T29=Armory,2*$S29)) + IF($U29=CB$2,IF($W29=Armory,2*$V29))</f>
        <v>0</v>
      </c>
      <c r="CC29" s="166">
        <f>IF($O29=CC$2,IF($Q29=Armory,12*$P29)) + IF($R29=CC$2,IF($T29=Armory,12*$S29)) + IF($U29=CC$2,IF($W29=Armory,12*$V29))</f>
        <v>0</v>
      </c>
      <c r="CE29" s="152">
        <f>IF($O29=CE$2,IF($Q29=Infirmary,$P29)) + IF($R29=CE$2,IF($T29=Infirmary,$S29)) + IF($U29=CE$2,IF($W29=Infirmary,$V29))</f>
        <v>0</v>
      </c>
      <c r="CF29" s="164">
        <f>IF($O29=CF$2,IF($Q29=Infirmary,2*$P29)) + IF($R29=CF$2,IF($T29=Infirmary,2*$S29)) + IF($U29=CF$2,IF($W29=Infirmary,2*$V29))</f>
        <v>0</v>
      </c>
      <c r="CG29" s="164">
        <f>IF($O29=CG$2,IF($Q29=Infirmary,2*$P29)) + IF($R29=CG$2,IF($T29=Infirmary,2*$S29)) + IF($U29=CG$2,IF($W29=Infirmary,2*$V29))</f>
        <v>0</v>
      </c>
      <c r="CH29" s="166">
        <f>IF($O29=CH$2,IF($Q29=Infirmary,12*$P29)) + IF($R29=CH$2,IF($T29=Infirmary,12*$S29)) + IF($U29=CH$2,IF($W29=Infirmary,12*$V29))</f>
        <v>0</v>
      </c>
      <c r="CJ29" s="156" t="e">
        <f>OR(Production!C29,Construction!N29:'Construction'!AF29,Construction!BV29:CN29,Explore!S29:Z29,Military!AF29:AL29,Military!X29,Military!BE29:BL29,Rezone!L29:R29,Magic!G29:Q29)</f>
        <v>#VALUE!</v>
      </c>
      <c r="CK29" s="546">
        <f>M29</f>
        <v>0</v>
      </c>
      <c r="CL29" s="546"/>
      <c r="CM29" s="552">
        <f t="shared" si="20"/>
        <v>43768.27083333327</v>
      </c>
      <c r="CN29" s="560">
        <f t="shared" si="21"/>
        <v>43768.104166666606</v>
      </c>
      <c r="CO29" s="627"/>
      <c r="CP29" s="803"/>
      <c r="CQ29" s="770"/>
      <c r="CR29" s="448" t="s">
        <v>4</v>
      </c>
    </row>
    <row r="30" spans="1:98" s="16" customFormat="1" ht="13.8" thickBot="1" x14ac:dyDescent="0.3">
      <c r="A30" s="511">
        <f>Construction!E30</f>
        <v>1000</v>
      </c>
      <c r="C30" s="56">
        <f ca="1">Production!H30</f>
        <v>4604523</v>
      </c>
      <c r="D30" s="26">
        <f ca="1">Production!J30</f>
        <v>330044</v>
      </c>
      <c r="E30" s="26">
        <f ca="1">Production!L30</f>
        <v>300000</v>
      </c>
      <c r="F30" s="57">
        <f ca="1">Production!M30</f>
        <v>20000</v>
      </c>
      <c r="G30" s="26"/>
      <c r="H30" s="56">
        <f ca="1">Military!Z30</f>
        <v>5295</v>
      </c>
      <c r="I30" s="538">
        <f ca="1">Population!I30</f>
        <v>1</v>
      </c>
      <c r="J30" s="165">
        <f ca="1">Population!F30/Population!U30</f>
        <v>1.1043695685750741</v>
      </c>
      <c r="K30" s="1000">
        <f>Rezone!J30</f>
        <v>28</v>
      </c>
      <c r="L30" s="582">
        <f t="shared" si="19"/>
        <v>43768.281249999935</v>
      </c>
      <c r="M30" s="316">
        <f t="shared" si="22"/>
        <v>0</v>
      </c>
      <c r="N30" s="638">
        <f t="shared" si="23"/>
        <v>1000</v>
      </c>
      <c r="O30" s="423" t="s">
        <v>4</v>
      </c>
      <c r="P30" s="370"/>
      <c r="Q30" s="424" t="s">
        <v>223</v>
      </c>
      <c r="R30" s="423" t="s">
        <v>7</v>
      </c>
      <c r="S30" s="370"/>
      <c r="T30" s="424" t="s">
        <v>223</v>
      </c>
      <c r="U30" s="406" t="s">
        <v>3</v>
      </c>
      <c r="V30" s="407"/>
      <c r="W30" s="409" t="s">
        <v>223</v>
      </c>
      <c r="Y30" s="501">
        <f ca="1">science_cap*(1-EXP(-AH30/(science_param*($A31-Explore!$S31*20)+15000)))*(1+(mason_bonus*Construction!BB30/Construction!BS30))+IF(Overview!$B$14="Beastfolk",Construction!DA30/Construction!E30,0)*(1 + Production!O30/100*prestige_pop_multiplier)</f>
        <v>0</v>
      </c>
      <c r="Z30" s="454">
        <f ca="1">keep_cap*(1-EXP(-AI30/(keep_param*($A31-Explore!$S31*20)+15000)))*(1+(mason_bonus*Construction!BB30/Construction!BS30))+IF(Overview!$B$14="Beastfolk",Construction!DF30/Construction!E30,0)*(1 + Production!O30/100*prestige_pop_multiplier)</f>
        <v>0</v>
      </c>
      <c r="AA30" s="454">
        <f ca="1">harbor_towers_cap*(1-EXP(-AJ30/(harbor_towers_param*($A31-Explore!$S31*20)+15000)))*(1+(mason_bonus*Construction!BB30/Construction!BS30))+IF(Overview!$B$14="Beastfolk",2*Construction!DC30/Construction!E30,0)*(1 + Production!O30/100*prestige_pop_multiplier)</f>
        <v>0</v>
      </c>
      <c r="AB30" s="454">
        <f ca="1">walls_forges_cap*(1-EXP(-AK30/(walls_forges_param*($A31-Explore!$S31*20)+15000)))*(1+(mason_bonus*Construction!BB30/Construction!BS30))+IF(Overview!$B$14="Beastfolk",0.2*Construction!CY30/Construction!E30,0)</f>
        <v>0</v>
      </c>
      <c r="AC30" s="454">
        <f ca="1">walls_forges_cap*(1-EXP(-AL30/(walls_forges_param*($A31-Explore!$S31*20)+15000)))*(1+(mason_bonus*Construction!BB30/Construction!BS30))+IF(Overview!$B$14="Beastfolk",5*Construction!DB30/Construction!E30,0)</f>
        <v>0</v>
      </c>
      <c r="AD30" s="171">
        <f ca="1">harbor_towers_cap*(1-EXP(-AM30/(harbor_towers_param*($A31-Explore!$S31*20)+15000)))*(1+(mason_bonus*Construction!BB30/Construction!BS30))+IF(Overview!$B$14="Beastfolk",Construction!DE30/Construction!E30)*(1 + Production!O30/100*prestige_pop_multiplier)</f>
        <v>0</v>
      </c>
      <c r="AE30" s="171">
        <f ca="1">armory_cap*(1-EXP(-AN30/(armory_param*($A31-Explore!$S31*20)+15000)))*(1+(mason_bonus*Construction!$BB30/Construction!$BS30))</f>
        <v>0</v>
      </c>
      <c r="AF30" s="171">
        <f ca="1">infirmary_cap*(1-EXP(-AO30/(infirmary_param*($A31-Explore!$S31*20)+15000)))*(1+(mason_bonus*Construction!$BB30/Construction!$BS30))</f>
        <v>0</v>
      </c>
      <c r="AH30" s="56">
        <f ca="1">(1+Overview!$O$28+IF(Magic!BA30&gt;0,0.1,0))*SUM(AV30:AY30) + AH29</f>
        <v>0</v>
      </c>
      <c r="AI30" s="26">
        <f ca="1">(1+Overview!$O$28+IF(Magic!BA30&gt;0,0.1,0))*SUM(BA30:BD30) + AI29</f>
        <v>0</v>
      </c>
      <c r="AJ30" s="164">
        <f ca="1">(1+Overview!$O$28+IF(Magic!BA30&gt;0,0.1,0))*SUM(BF30:BI30) + AJ29</f>
        <v>0</v>
      </c>
      <c r="AK30" s="164">
        <f ca="1">(1+Overview!$O$28+IF(Magic!BA30&gt;0,0.1,0))*SUM(BK30:BN30) + AK29</f>
        <v>0</v>
      </c>
      <c r="AL30" s="164">
        <f ca="1">(1+Overview!$O$28+IF(Magic!BA30&gt;0,0.1,0))*SUM(BP30:BS30) + AL29</f>
        <v>0</v>
      </c>
      <c r="AM30" s="166">
        <f ca="1">(1+Overview!$O$28+IF(Magic!BA30&gt;0,0.1,0))*SUM(BU30:BX30) + AM29</f>
        <v>0</v>
      </c>
      <c r="AN30" s="166">
        <f ca="1">(1+Overview!$O$28+IF(Magic!BA30&gt;0,0.1,0))*SUM(BZ30:CC30)+AN29</f>
        <v>0</v>
      </c>
      <c r="AO30" s="164">
        <f ca="1">(1+Overview!$O$28+IF(Magic!BA30&gt;0,0.1,0))*SUM(CE30:CH30)+AO29</f>
        <v>0</v>
      </c>
      <c r="AQ30" s="52">
        <f t="shared" si="41"/>
        <v>0</v>
      </c>
      <c r="AR30" s="16">
        <f t="shared" si="41"/>
        <v>0</v>
      </c>
      <c r="AS30" s="16">
        <f t="shared" si="41"/>
        <v>0</v>
      </c>
      <c r="AT30" s="53">
        <f t="shared" si="41"/>
        <v>0</v>
      </c>
      <c r="AV30" s="56">
        <f t="shared" si="25"/>
        <v>0</v>
      </c>
      <c r="AW30" s="26">
        <f t="shared" si="42"/>
        <v>0</v>
      </c>
      <c r="AX30" s="26">
        <f t="shared" si="42"/>
        <v>0</v>
      </c>
      <c r="AY30" s="57">
        <f t="shared" si="27"/>
        <v>0</v>
      </c>
      <c r="BA30" s="56">
        <f t="shared" si="28"/>
        <v>0</v>
      </c>
      <c r="BB30" s="26">
        <f t="shared" si="43"/>
        <v>0</v>
      </c>
      <c r="BC30" s="26">
        <f t="shared" si="43"/>
        <v>0</v>
      </c>
      <c r="BD30" s="57">
        <f t="shared" si="30"/>
        <v>0</v>
      </c>
      <c r="BF30" s="56">
        <f t="shared" si="31"/>
        <v>0</v>
      </c>
      <c r="BG30" s="26">
        <f t="shared" si="32"/>
        <v>0</v>
      </c>
      <c r="BH30" s="26">
        <f t="shared" si="40"/>
        <v>0</v>
      </c>
      <c r="BI30" s="57">
        <f t="shared" si="33"/>
        <v>0</v>
      </c>
      <c r="BK30" s="56">
        <f t="shared" si="34"/>
        <v>0</v>
      </c>
      <c r="BL30" s="26">
        <f t="shared" si="44"/>
        <v>0</v>
      </c>
      <c r="BM30" s="26">
        <f t="shared" si="44"/>
        <v>0</v>
      </c>
      <c r="BN30" s="57">
        <f t="shared" si="36"/>
        <v>0</v>
      </c>
      <c r="BP30" s="56">
        <f t="shared" si="37"/>
        <v>0</v>
      </c>
      <c r="BQ30" s="26">
        <f t="shared" si="45"/>
        <v>0</v>
      </c>
      <c r="BR30" s="26">
        <f t="shared" si="45"/>
        <v>0</v>
      </c>
      <c r="BS30" s="57">
        <f t="shared" si="39"/>
        <v>0</v>
      </c>
      <c r="BU30" s="56">
        <f>IF($O30=BU$2,IF($Q30=$AD$2,$P30)) + IF($R30=BU$2,IF($T30=$AD$2,$S30)) + IF($U30=BU$2,IF($W30=$AD$2,$V30))</f>
        <v>0</v>
      </c>
      <c r="BV30" s="26">
        <f>IF($O30=BV$2,IF($Q30=$AD$2,2*$P30)) + IF($R30=BV$2,IF($T30=$AD$2,2*$S30)) + IF($U30=BV$2,IF($W30=$AD$2,2*$V30))</f>
        <v>0</v>
      </c>
      <c r="BW30" s="26">
        <f>IF($O30=BW$2,IF($Q30=$AD$2,2*$P30)) + IF($R30=BW$2,IF($T30=$AD$2,2*$S30)) + IF($U30=BW$2,IF($W30=$AD$2,2*$V30))</f>
        <v>0</v>
      </c>
      <c r="BX30" s="57">
        <f>IF($O30=BX$2,IF($Q30=$AD$2,12*$P30)) + IF($R30=BX$2,IF($T30=$AD$2,12*$S30)) + IF($U30=BX$2,IF($W30=$AD$2,12*$V30))</f>
        <v>0</v>
      </c>
      <c r="BZ30" s="56">
        <f>IF($O30=BZ$2,IF($Q30=Armory,$P30)) + IF($R30=BZ$2,IF($T30=Armory,$S30)) + IF($U30=BZ$2,IF($W30=Armory,$V30))</f>
        <v>0</v>
      </c>
      <c r="CA30" s="26">
        <f>IF($O30=CA$2,IF($Q30=Armory,2*$P30)) + IF($R30=CA$2,IF($T30=Armory,2*$S30)) + IF($U30=CA$2,IF($W30=Armory,2*$V30))</f>
        <v>0</v>
      </c>
      <c r="CB30" s="26">
        <f>IF($O30=CB$2,IF($Q30=Armory,2*$P30)) + IF($R30=CB$2,IF($T30=Armory,2*$S30)) + IF($U30=CB$2,IF($W30=Armory,2*$V30))</f>
        <v>0</v>
      </c>
      <c r="CC30" s="57">
        <f>IF($O30=CC$2,IF($Q30=Armory,12*$P30)) + IF($R30=CC$2,IF($T30=Armory,12*$S30)) + IF($U30=CC$2,IF($W30=Armory,12*$V30))</f>
        <v>0</v>
      </c>
      <c r="CE30" s="56">
        <f>IF($O30=CE$2,IF($Q30=Infirmary,$P30)) + IF($R30=CE$2,IF($T30=Infirmary,$S30)) + IF($U30=CE$2,IF($W30=Infirmary,$V30))</f>
        <v>0</v>
      </c>
      <c r="CF30" s="26">
        <f>IF($O30=CF$2,IF($Q30=Infirmary,2*$P30)) + IF($R30=CF$2,IF($T30=Infirmary,2*$S30)) + IF($U30=CF$2,IF($W30=Infirmary,2*$V30))</f>
        <v>0</v>
      </c>
      <c r="CG30" s="26">
        <f>IF($O30=CG$2,IF($Q30=Infirmary,2*$P30)) + IF($R30=CG$2,IF($T30=Infirmary,2*$S30)) + IF($U30=CG$2,IF($W30=Infirmary,2*$V30))</f>
        <v>0</v>
      </c>
      <c r="CH30" s="57">
        <f>IF($O30=CH$2,IF($Q30=Infirmary,12*$P30)) + IF($R30=CH$2,IF($T30=Infirmary,12*$S30)) + IF($U30=CH$2,IF($W30=Infirmary,12*$V30))</f>
        <v>0</v>
      </c>
      <c r="CJ30" s="52" t="e">
        <f>OR(Production!C30,Construction!N30:'Construction'!AF30,Construction!BV30:CN30,Explore!S30:Z30,Military!AF30:AL30,Military!X30,Military!BE30:BL30,Rezone!L30:R30,Magic!G30:Q30)</f>
        <v>#VALUE!</v>
      </c>
      <c r="CK30" s="525">
        <f>M30</f>
        <v>0</v>
      </c>
      <c r="CL30" s="525"/>
      <c r="CM30" s="555">
        <f t="shared" si="20"/>
        <v>43768.281249999935</v>
      </c>
      <c r="CN30" s="563">
        <f t="shared" si="21"/>
        <v>43768.11458333327</v>
      </c>
      <c r="CO30" s="527"/>
      <c r="CP30" s="803"/>
      <c r="CQ30" s="808"/>
      <c r="CR30" s="448" t="s">
        <v>7</v>
      </c>
    </row>
    <row r="31" spans="1:98" s="1203" customFormat="1" ht="14.4" thickTop="1" thickBot="1" x14ac:dyDescent="0.3">
      <c r="A31" s="1224">
        <f>Construction!E31</f>
        <v>1000</v>
      </c>
      <c r="C31" s="1192">
        <f ca="1">Production!H31</f>
        <v>4611516</v>
      </c>
      <c r="D31" s="1193">
        <f ca="1">Production!J31</f>
        <v>329244</v>
      </c>
      <c r="E31" s="1193">
        <f ca="1">Production!L31</f>
        <v>300000</v>
      </c>
      <c r="F31" s="1198">
        <f ca="1">Production!M31</f>
        <v>20000</v>
      </c>
      <c r="G31" s="1193"/>
      <c r="H31" s="1192">
        <f ca="1">Military!Z31</f>
        <v>5295</v>
      </c>
      <c r="I31" s="1202">
        <f ca="1">Population!I31</f>
        <v>1</v>
      </c>
      <c r="J31" s="1194">
        <f ca="1">Population!F31/Population!U31</f>
        <v>1.0862309220790933</v>
      </c>
      <c r="K31" s="1256">
        <f>Rezone!J31</f>
        <v>29</v>
      </c>
      <c r="L31" s="1257">
        <f t="shared" si="19"/>
        <v>43768.291666666599</v>
      </c>
      <c r="M31" s="1258">
        <f t="shared" si="22"/>
        <v>0</v>
      </c>
      <c r="N31" s="1223">
        <f t="shared" si="23"/>
        <v>1000</v>
      </c>
      <c r="O31" s="1259" t="s">
        <v>4</v>
      </c>
      <c r="P31" s="1211"/>
      <c r="Q31" s="1260" t="s">
        <v>223</v>
      </c>
      <c r="R31" s="1261" t="s">
        <v>7</v>
      </c>
      <c r="S31" s="1211"/>
      <c r="T31" s="1260" t="s">
        <v>223</v>
      </c>
      <c r="U31" s="1259" t="s">
        <v>3</v>
      </c>
      <c r="V31" s="1193"/>
      <c r="W31" s="1262" t="s">
        <v>223</v>
      </c>
      <c r="Y31" s="1241">
        <f ca="1">science_cap*(1-EXP(-AH31/(science_param*($A32-Explore!$S32*20)+15000)))*(1+(mason_bonus*Construction!BB31/Construction!BS31))+IF(Overview!$B$14="Beastfolk",Construction!DA31/Construction!E31,0)*(1 + Production!O31/100*prestige_pop_multiplier)</f>
        <v>0</v>
      </c>
      <c r="Z31" s="1208">
        <f ca="1">keep_cap*(1-EXP(-AI31/(keep_param*($A32-Explore!$S32*20)+15000)))*(1+(mason_bonus*Construction!BB31/Construction!BS31))+IF(Overview!$B$14="Beastfolk",Construction!DF31/Construction!E31,0)*(1 + Production!O31/100*prestige_pop_multiplier)</f>
        <v>0</v>
      </c>
      <c r="AA31" s="1208">
        <f ca="1">harbor_towers_cap*(1-EXP(-AJ31/(harbor_towers_param*($A32-Explore!$S32*20)+15000)))*(1+(mason_bonus*Construction!BB31/Construction!BS31))+IF(Overview!$B$14="Beastfolk",2*Construction!DC31/Construction!E31,0)*(1 + Production!O31/100*prestige_pop_multiplier)</f>
        <v>0</v>
      </c>
      <c r="AB31" s="1208">
        <f ca="1">walls_forges_cap*(1-EXP(-AK31/(walls_forges_param*($A32-Explore!$S32*20)+15000)))*(1+(mason_bonus*Construction!BB31/Construction!BS31))+IF(Overview!$B$14="Beastfolk",0.2*Construction!CY31/Construction!E31,0)</f>
        <v>0</v>
      </c>
      <c r="AC31" s="1208">
        <f ca="1">walls_forges_cap*(1-EXP(-AL31/(walls_forges_param*($A32-Explore!$S32*20)+15000)))*(1+(mason_bonus*Construction!BB31/Construction!BS31))+IF(Overview!$B$14="Beastfolk",5*Construction!DB31/Construction!E31,0)</f>
        <v>0</v>
      </c>
      <c r="AD31" s="1229">
        <f ca="1">harbor_towers_cap*(1-EXP(-AM31/(harbor_towers_param*($A32-Explore!$S32*20)+15000)))*(1+(mason_bonus*Construction!BB31/Construction!BS31))+IF(Overview!$B$14="Beastfolk",Construction!DE31/Construction!E31)*(1 + Production!O31/100*prestige_pop_multiplier)</f>
        <v>0</v>
      </c>
      <c r="AE31" s="1229">
        <f ca="1">armory_cap*(1-EXP(-AN31/(armory_param*($A32-Explore!$S32*20)+15000)))*(1+(mason_bonus*Construction!$BB31/Construction!$BS31))</f>
        <v>0</v>
      </c>
      <c r="AF31" s="1229">
        <f ca="1">infirmary_cap*(1-EXP(-AO31/(infirmary_param*($A32-Explore!$S32*20)+15000)))*(1+(mason_bonus*Construction!$BB31/Construction!$BS31))</f>
        <v>0</v>
      </c>
      <c r="AH31" s="1263">
        <f ca="1">(1+Overview!$O$28+IF(Magic!BA31&gt;0,0.1,0))*SUM(AV31:AY31) + AH30</f>
        <v>0</v>
      </c>
      <c r="AI31" s="1211">
        <f ca="1">(1+Overview!$O$28+IF(Magic!BA31&gt;0,0.1,0))*SUM(BA31:BD31) + AI30</f>
        <v>0</v>
      </c>
      <c r="AJ31" s="1193">
        <f ca="1">(1+Overview!$O$28+IF(Magic!BA31&gt;0,0.1,0))*SUM(BF31:BI31) + AJ30</f>
        <v>0</v>
      </c>
      <c r="AK31" s="1193">
        <f ca="1">(1+Overview!$O$28+IF(Magic!BA31&gt;0,0.1,0))*SUM(BK31:BN31) + AK30</f>
        <v>0</v>
      </c>
      <c r="AL31" s="1193">
        <f ca="1">(1+Overview!$O$28+IF(Magic!BA31&gt;0,0.1,0))*SUM(BP31:BS31) + AL30</f>
        <v>0</v>
      </c>
      <c r="AM31" s="1198">
        <f ca="1">(1+Overview!$O$28+IF(Magic!BA31&gt;0,0.1,0))*SUM(BU31:BX31) + AM30</f>
        <v>0</v>
      </c>
      <c r="AN31" s="1198">
        <f ca="1">(1+Overview!$O$28+IF(Magic!BA31&gt;0,0.1,0))*SUM(BZ31:CC31)+AN30</f>
        <v>0</v>
      </c>
      <c r="AO31" s="1193">
        <f ca="1">(1+Overview!$O$28+IF(Magic!BA31&gt;0,0.1,0))*SUM(CE31:CH31)+AO30</f>
        <v>0</v>
      </c>
      <c r="AQ31" s="1199">
        <f t="shared" si="41"/>
        <v>0</v>
      </c>
      <c r="AR31" s="1203">
        <f t="shared" si="41"/>
        <v>0</v>
      </c>
      <c r="AS31" s="1203">
        <f t="shared" si="41"/>
        <v>0</v>
      </c>
      <c r="AT31" s="1222">
        <f t="shared" si="41"/>
        <v>0</v>
      </c>
      <c r="AV31" s="1192">
        <f t="shared" si="25"/>
        <v>0</v>
      </c>
      <c r="AW31" s="1193">
        <f t="shared" si="42"/>
        <v>0</v>
      </c>
      <c r="AX31" s="1193">
        <f t="shared" si="42"/>
        <v>0</v>
      </c>
      <c r="AY31" s="1198">
        <f t="shared" si="27"/>
        <v>0</v>
      </c>
      <c r="BA31" s="1192">
        <f t="shared" si="28"/>
        <v>0</v>
      </c>
      <c r="BB31" s="1193">
        <f t="shared" si="43"/>
        <v>0</v>
      </c>
      <c r="BC31" s="1193">
        <f t="shared" si="43"/>
        <v>0</v>
      </c>
      <c r="BD31" s="1198">
        <f t="shared" si="30"/>
        <v>0</v>
      </c>
      <c r="BF31" s="1192">
        <f t="shared" si="31"/>
        <v>0</v>
      </c>
      <c r="BG31" s="1193">
        <f t="shared" si="32"/>
        <v>0</v>
      </c>
      <c r="BH31" s="1193">
        <f t="shared" si="40"/>
        <v>0</v>
      </c>
      <c r="BI31" s="1198">
        <f t="shared" si="33"/>
        <v>0</v>
      </c>
      <c r="BK31" s="1192">
        <f t="shared" si="34"/>
        <v>0</v>
      </c>
      <c r="BL31" s="1193">
        <f t="shared" si="44"/>
        <v>0</v>
      </c>
      <c r="BM31" s="1193">
        <f t="shared" si="44"/>
        <v>0</v>
      </c>
      <c r="BN31" s="1198">
        <f t="shared" si="36"/>
        <v>0</v>
      </c>
      <c r="BP31" s="1192">
        <f t="shared" si="37"/>
        <v>0</v>
      </c>
      <c r="BQ31" s="1193">
        <f t="shared" si="45"/>
        <v>0</v>
      </c>
      <c r="BR31" s="1193">
        <f t="shared" si="45"/>
        <v>0</v>
      </c>
      <c r="BS31" s="1198">
        <f t="shared" si="39"/>
        <v>0</v>
      </c>
      <c r="BU31" s="1192">
        <f>IF($O31=BU$2,IF($Q31=$AD$2,$P31)) + IF($R31=BU$2,IF($T31=$AD$2,$S31)) + IF($U31=BU$2,IF($W31=$AD$2,$V31))</f>
        <v>0</v>
      </c>
      <c r="BV31" s="1193">
        <f>IF($O31=BV$2,IF($Q31=$AD$2,2*$P31)) + IF($R31=BV$2,IF($T31=$AD$2,2*$S31)) + IF($U31=BV$2,IF($W31=$AD$2,2*$V31))</f>
        <v>0</v>
      </c>
      <c r="BW31" s="1193">
        <f>IF($O31=BW$2,IF($Q31=$AD$2,2*$P31)) + IF($R31=BW$2,IF($T31=$AD$2,2*$S31)) + IF($U31=BW$2,IF($W31=$AD$2,2*$V31))</f>
        <v>0</v>
      </c>
      <c r="BX31" s="1198">
        <f>IF($O31=BX$2,IF($Q31=$AD$2,12*$P31)) + IF($R31=BX$2,IF($T31=$AD$2,12*$S31)) + IF($U31=BX$2,IF($W31=$AD$2,12*$V31))</f>
        <v>0</v>
      </c>
      <c r="BZ31" s="1192">
        <f>IF($O31=BZ$2,IF($Q31=Armory,$P31)) + IF($R31=BZ$2,IF($T31=Armory,$S31)) + IF($U31=BZ$2,IF($W31=Armory,$V31))</f>
        <v>0</v>
      </c>
      <c r="CA31" s="1193">
        <f>IF($O31=CA$2,IF($Q31=Armory,2*$P31)) + IF($R31=CA$2,IF($T31=Armory,2*$S31)) + IF($U31=CA$2,IF($W31=Armory,2*$V31))</f>
        <v>0</v>
      </c>
      <c r="CB31" s="1193">
        <f>IF($O31=CB$2,IF($Q31=Armory,2*$P31)) + IF($R31=CB$2,IF($T31=Armory,2*$S31)) + IF($U31=CB$2,IF($W31=Armory,2*$V31))</f>
        <v>0</v>
      </c>
      <c r="CC31" s="1198">
        <f>IF($O31=CC$2,IF($Q31=Armory,12*$P31)) + IF($R31=CC$2,IF($T31=Armory,12*$S31)) + IF($U31=CC$2,IF($W31=Armory,12*$V31))</f>
        <v>0</v>
      </c>
      <c r="CE31" s="1192">
        <f>IF($O31=CE$2,IF($Q31=Infirmary,$P31)) + IF($R31=CE$2,IF($T31=Infirmary,$S31)) + IF($U31=CE$2,IF($W31=Infirmary,$V31))</f>
        <v>0</v>
      </c>
      <c r="CF31" s="1193">
        <f>IF($O31=CF$2,IF($Q31=Infirmary,2*$P31)) + IF($R31=CF$2,IF($T31=Infirmary,2*$S31)) + IF($U31=CF$2,IF($W31=Infirmary,2*$V31))</f>
        <v>0</v>
      </c>
      <c r="CG31" s="1193">
        <f>IF($O31=CG$2,IF($Q31=Infirmary,2*$P31)) + IF($R31=CG$2,IF($T31=Infirmary,2*$S31)) + IF($U31=CG$2,IF($W31=Infirmary,2*$V31))</f>
        <v>0</v>
      </c>
      <c r="CH31" s="1198">
        <f>IF($O31=CH$2,IF($Q31=Infirmary,12*$P31)) + IF($R31=CH$2,IF($T31=Infirmary,12*$S31)) + IF($U31=CH$2,IF($W31=Infirmary,12*$V31))</f>
        <v>0</v>
      </c>
      <c r="CJ31" s="1199" t="e">
        <f>OR(Production!C31,Construction!N31:'Construction'!AF31,Construction!BV31:CN31,Explore!S31:Z31,Military!AF31:AL31,Military!X31,Military!BE31:BL31,Rezone!L31:R31,Magic!G31:Q31)</f>
        <v>#VALUE!</v>
      </c>
      <c r="CK31" s="1228">
        <f>M31</f>
        <v>0</v>
      </c>
      <c r="CL31" s="1228"/>
      <c r="CM31" s="1264">
        <f t="shared" si="20"/>
        <v>43768.291666666599</v>
      </c>
      <c r="CN31" s="1265">
        <f t="shared" si="21"/>
        <v>43768.124999999935</v>
      </c>
      <c r="CO31" s="1238"/>
      <c r="CP31" s="1266"/>
      <c r="CQ31" s="1267"/>
      <c r="CR31" s="1203" t="s">
        <v>3</v>
      </c>
    </row>
    <row r="32" spans="1:98" s="16" customFormat="1" ht="13.8" thickTop="1" x14ac:dyDescent="0.25">
      <c r="A32" s="511">
        <f>Construction!E32</f>
        <v>1000</v>
      </c>
      <c r="C32" s="56">
        <f ca="1">Production!H32</f>
        <v>4618159</v>
      </c>
      <c r="D32" s="26">
        <f ca="1">Production!J32</f>
        <v>328452</v>
      </c>
      <c r="E32" s="26">
        <f ca="1">Production!L32</f>
        <v>300000</v>
      </c>
      <c r="F32" s="57">
        <f ca="1">Production!M32</f>
        <v>20000</v>
      </c>
      <c r="G32" s="26"/>
      <c r="H32" s="56">
        <f ca="1">Military!Z32</f>
        <v>5295</v>
      </c>
      <c r="I32" s="538">
        <f ca="1">Population!I32</f>
        <v>1</v>
      </c>
      <c r="J32" s="165">
        <f ca="1">Population!F32/Population!U32</f>
        <v>1.0689992079079118</v>
      </c>
      <c r="K32" s="1000">
        <f>Rezone!J32</f>
        <v>30</v>
      </c>
      <c r="L32" s="582">
        <f t="shared" si="19"/>
        <v>43768.302083333263</v>
      </c>
      <c r="M32" s="316">
        <f t="shared" si="22"/>
        <v>0</v>
      </c>
      <c r="N32" s="638">
        <f t="shared" si="23"/>
        <v>1000</v>
      </c>
      <c r="O32" s="423" t="s">
        <v>4</v>
      </c>
      <c r="P32" s="370"/>
      <c r="Q32" s="424" t="s">
        <v>223</v>
      </c>
      <c r="R32" s="423" t="s">
        <v>7</v>
      </c>
      <c r="S32" s="370"/>
      <c r="T32" s="424" t="s">
        <v>223</v>
      </c>
      <c r="U32" s="406" t="s">
        <v>3</v>
      </c>
      <c r="V32" s="407"/>
      <c r="W32" s="409" t="s">
        <v>223</v>
      </c>
      <c r="Y32" s="501">
        <f ca="1">science_cap*(1-EXP(-AH32/(science_param*($A33-Explore!$S33*20)+15000)))*(1+(mason_bonus*Construction!BB32/Construction!BS32))+IF(Overview!$B$14="Beastfolk",Construction!DA32/Construction!E32,0)*(1 + Production!O32/100*prestige_pop_multiplier)</f>
        <v>0</v>
      </c>
      <c r="Z32" s="454">
        <f ca="1">keep_cap*(1-EXP(-AI32/(keep_param*($A33-Explore!$S33*20)+15000)))*(1+(mason_bonus*Construction!BB32/Construction!BS32))+IF(Overview!$B$14="Beastfolk",Construction!DF32/Construction!E32,0)*(1 + Production!O32/100*prestige_pop_multiplier)</f>
        <v>0</v>
      </c>
      <c r="AA32" s="454">
        <f ca="1">harbor_towers_cap*(1-EXP(-AJ32/(harbor_towers_param*($A33-Explore!$S33*20)+15000)))*(1+(mason_bonus*Construction!BB32/Construction!BS32))+IF(Overview!$B$14="Beastfolk",2*Construction!DC32/Construction!E32,0)*(1 + Production!O32/100*prestige_pop_multiplier)</f>
        <v>0</v>
      </c>
      <c r="AB32" s="454">
        <f ca="1">walls_forges_cap*(1-EXP(-AK32/(walls_forges_param*($A33-Explore!$S33*20)+15000)))*(1+(mason_bonus*Construction!BB32/Construction!BS32))+IF(Overview!$B$14="Beastfolk",0.2*Construction!CY32/Construction!E32,0)</f>
        <v>0</v>
      </c>
      <c r="AC32" s="454">
        <f ca="1">walls_forges_cap*(1-EXP(-AL32/(walls_forges_param*($A33-Explore!$S33*20)+15000)))*(1+(mason_bonus*Construction!BB32/Construction!BS32))+IF(Overview!$B$14="Beastfolk",5*Construction!DB32/Construction!E32,0)</f>
        <v>0</v>
      </c>
      <c r="AD32" s="171">
        <f ca="1">harbor_towers_cap*(1-EXP(-AM32/(harbor_towers_param*($A33-Explore!$S33*20)+15000)))*(1+(mason_bonus*Construction!BB32/Construction!BS32))+IF(Overview!$B$14="Beastfolk",Construction!DE32/Construction!E32)*(1 + Production!O32/100*prestige_pop_multiplier)</f>
        <v>0</v>
      </c>
      <c r="AE32" s="171">
        <f ca="1">armory_cap*(1-EXP(-AN32/(armory_param*($A33-Explore!$S33*20)+15000)))*(1+(mason_bonus*Construction!$BB32/Construction!$BS32))</f>
        <v>0</v>
      </c>
      <c r="AF32" s="171">
        <f ca="1">infirmary_cap*(1-EXP(-AO32/(infirmary_param*($A33-Explore!$S33*20)+15000)))*(1+(mason_bonus*Construction!$BB32/Construction!$BS32))</f>
        <v>0</v>
      </c>
      <c r="AH32" s="56">
        <f ca="1">(1+Overview!$O$28+IF(Magic!BA32&gt;0,0.1,0))*SUM(AV32:AY32) + AH31</f>
        <v>0</v>
      </c>
      <c r="AI32" s="26">
        <f ca="1">(1+Overview!$O$28+IF(Magic!BA32&gt;0,0.1,0))*SUM(BA32:BD32) + AI31</f>
        <v>0</v>
      </c>
      <c r="AJ32" s="164">
        <f ca="1">(1+Overview!$O$28+IF(Magic!BA32&gt;0,0.1,0))*SUM(BF32:BI32) + AJ31</f>
        <v>0</v>
      </c>
      <c r="AK32" s="164">
        <f ca="1">(1+Overview!$O$28+IF(Magic!BA32&gt;0,0.1,0))*SUM(BK32:BN32) + AK31</f>
        <v>0</v>
      </c>
      <c r="AL32" s="164">
        <f ca="1">(1+Overview!$O$28+IF(Magic!BA32&gt;0,0.1,0))*SUM(BP32:BS32) + AL31</f>
        <v>0</v>
      </c>
      <c r="AM32" s="166">
        <f ca="1">(1+Overview!$O$28+IF(Magic!BA32&gt;0,0.1,0))*SUM(BU32:BX32) + AM31</f>
        <v>0</v>
      </c>
      <c r="AN32" s="166">
        <f ca="1">(1+Overview!$O$28+IF(Magic!BA32&gt;0,0.1,0))*SUM(BZ32:CC32)+AN31</f>
        <v>0</v>
      </c>
      <c r="AO32" s="164">
        <f ca="1">(1+Overview!$O$28+IF(Magic!BA32&gt;0,0.1,0))*SUM(CE32:CH32)+AO31</f>
        <v>0</v>
      </c>
      <c r="AQ32" s="52">
        <f t="shared" si="41"/>
        <v>0</v>
      </c>
      <c r="AR32" s="16">
        <f t="shared" si="41"/>
        <v>0</v>
      </c>
      <c r="AS32" s="16">
        <f t="shared" si="41"/>
        <v>0</v>
      </c>
      <c r="AT32" s="53">
        <f t="shared" si="41"/>
        <v>0</v>
      </c>
      <c r="AV32" s="56">
        <f t="shared" si="25"/>
        <v>0</v>
      </c>
      <c r="AW32" s="26">
        <f t="shared" si="42"/>
        <v>0</v>
      </c>
      <c r="AX32" s="26">
        <f t="shared" si="42"/>
        <v>0</v>
      </c>
      <c r="AY32" s="57">
        <f t="shared" si="27"/>
        <v>0</v>
      </c>
      <c r="BA32" s="56">
        <f t="shared" si="28"/>
        <v>0</v>
      </c>
      <c r="BB32" s="26">
        <f t="shared" si="43"/>
        <v>0</v>
      </c>
      <c r="BC32" s="26">
        <f t="shared" si="43"/>
        <v>0</v>
      </c>
      <c r="BD32" s="57">
        <f t="shared" si="30"/>
        <v>0</v>
      </c>
      <c r="BF32" s="56">
        <f t="shared" si="31"/>
        <v>0</v>
      </c>
      <c r="BG32" s="26">
        <f t="shared" si="32"/>
        <v>0</v>
      </c>
      <c r="BH32" s="26">
        <f t="shared" si="40"/>
        <v>0</v>
      </c>
      <c r="BI32" s="57">
        <f t="shared" si="33"/>
        <v>0</v>
      </c>
      <c r="BK32" s="56">
        <f t="shared" si="34"/>
        <v>0</v>
      </c>
      <c r="BL32" s="26">
        <f t="shared" si="44"/>
        <v>0</v>
      </c>
      <c r="BM32" s="26">
        <f t="shared" si="44"/>
        <v>0</v>
      </c>
      <c r="BN32" s="57">
        <f t="shared" si="36"/>
        <v>0</v>
      </c>
      <c r="BP32" s="56">
        <f t="shared" si="37"/>
        <v>0</v>
      </c>
      <c r="BQ32" s="26">
        <f t="shared" si="45"/>
        <v>0</v>
      </c>
      <c r="BR32" s="26">
        <f t="shared" si="45"/>
        <v>0</v>
      </c>
      <c r="BS32" s="57">
        <f t="shared" si="39"/>
        <v>0</v>
      </c>
      <c r="BU32" s="56">
        <f>IF($O32=BU$2,IF($Q32=$AD$2,$P32)) + IF($R32=BU$2,IF($T32=$AD$2,$S32)) + IF($U32=BU$2,IF($W32=$AD$2,$V32))</f>
        <v>0</v>
      </c>
      <c r="BV32" s="26">
        <f>IF($O32=BV$2,IF($Q32=$AD$2,2*$P32)) + IF($R32=BV$2,IF($T32=$AD$2,2*$S32)) + IF($U32=BV$2,IF($W32=$AD$2,2*$V32))</f>
        <v>0</v>
      </c>
      <c r="BW32" s="26">
        <f>IF($O32=BW$2,IF($Q32=$AD$2,2*$P32)) + IF($R32=BW$2,IF($T32=$AD$2,2*$S32)) + IF($U32=BW$2,IF($W32=$AD$2,2*$V32))</f>
        <v>0</v>
      </c>
      <c r="BX32" s="57">
        <f>IF($O32=BX$2,IF($Q32=$AD$2,12*$P32)) + IF($R32=BX$2,IF($T32=$AD$2,12*$S32)) + IF($U32=BX$2,IF($W32=$AD$2,12*$V32))</f>
        <v>0</v>
      </c>
      <c r="BZ32" s="56">
        <f>IF($O32=BZ$2,IF($Q32=Armory,$P32)) + IF($R32=BZ$2,IF($T32=Armory,$S32)) + IF($U32=BZ$2,IF($W32=Armory,$V32))</f>
        <v>0</v>
      </c>
      <c r="CA32" s="26">
        <f>IF($O32=CA$2,IF($Q32=Armory,2*$P32)) + IF($R32=CA$2,IF($T32=Armory,2*$S32)) + IF($U32=CA$2,IF($W32=Armory,2*$V32))</f>
        <v>0</v>
      </c>
      <c r="CB32" s="26">
        <f>IF($O32=CB$2,IF($Q32=Armory,2*$P32)) + IF($R32=CB$2,IF($T32=Armory,2*$S32)) + IF($U32=CB$2,IF($W32=Armory,2*$V32))</f>
        <v>0</v>
      </c>
      <c r="CC32" s="57">
        <f>IF($O32=CC$2,IF($Q32=Armory,12*$P32)) + IF($R32=CC$2,IF($T32=Armory,12*$S32)) + IF($U32=CC$2,IF($W32=Armory,12*$V32))</f>
        <v>0</v>
      </c>
      <c r="CE32" s="56">
        <f>IF($O32=CE$2,IF($Q32=Infirmary,$P32)) + IF($R32=CE$2,IF($T32=Infirmary,$S32)) + IF($U32=CE$2,IF($W32=Infirmary,$V32))</f>
        <v>0</v>
      </c>
      <c r="CF32" s="26">
        <f>IF($O32=CF$2,IF($Q32=Infirmary,2*$P32)) + IF($R32=CF$2,IF($T32=Infirmary,2*$S32)) + IF($U32=CF$2,IF($W32=Infirmary,2*$V32))</f>
        <v>0</v>
      </c>
      <c r="CG32" s="26">
        <f>IF($O32=CG$2,IF($Q32=Infirmary,2*$P32)) + IF($R32=CG$2,IF($T32=Infirmary,2*$S32)) + IF($U32=CG$2,IF($W32=Infirmary,2*$V32))</f>
        <v>0</v>
      </c>
      <c r="CH32" s="57">
        <f>IF($O32=CH$2,IF($Q32=Infirmary,12*$P32)) + IF($R32=CH$2,IF($T32=Infirmary,12*$S32)) + IF($U32=CH$2,IF($W32=Infirmary,12*$V32))</f>
        <v>0</v>
      </c>
      <c r="CJ32" s="52" t="e">
        <f>OR(Production!C32,Construction!N32:'Construction'!AF32,Construction!BV32:CN32,Explore!S32:Z32,Military!AF32:AL32,Military!X32,Military!BE32:BL32,Rezone!L32:R32,Magic!G32:Q32)</f>
        <v>#VALUE!</v>
      </c>
      <c r="CK32" s="525">
        <f>M32</f>
        <v>0</v>
      </c>
      <c r="CL32" s="525"/>
      <c r="CM32" s="555">
        <f t="shared" si="20"/>
        <v>43768.302083333263</v>
      </c>
      <c r="CN32" s="563">
        <f t="shared" si="21"/>
        <v>43768.135416666599</v>
      </c>
      <c r="CO32" s="527"/>
      <c r="CP32" s="803"/>
      <c r="CQ32" s="808"/>
      <c r="CR32" s="448" t="s">
        <v>2</v>
      </c>
    </row>
    <row r="33" spans="1:96" s="16" customFormat="1" x14ac:dyDescent="0.25">
      <c r="A33" s="511">
        <f>Construction!E33</f>
        <v>1000</v>
      </c>
      <c r="C33" s="56">
        <f ca="1">Production!H33</f>
        <v>4624470</v>
      </c>
      <c r="D33" s="26">
        <f ca="1">Production!J33</f>
        <v>327667</v>
      </c>
      <c r="E33" s="26">
        <f ca="1">Production!L33</f>
        <v>300000</v>
      </c>
      <c r="F33" s="57">
        <f ca="1">Production!M33</f>
        <v>20000</v>
      </c>
      <c r="G33" s="26"/>
      <c r="H33" s="56">
        <f ca="1">Military!Z33</f>
        <v>5295</v>
      </c>
      <c r="I33" s="538">
        <f ca="1">Population!I33</f>
        <v>1</v>
      </c>
      <c r="J33" s="165">
        <f ca="1">Population!F33/Population!U33</f>
        <v>1.0526290794452895</v>
      </c>
      <c r="K33" s="1000">
        <f>Rezone!J33</f>
        <v>31</v>
      </c>
      <c r="L33" s="582">
        <f t="shared" si="19"/>
        <v>43768.312499999927</v>
      </c>
      <c r="M33" s="316">
        <f t="shared" si="22"/>
        <v>0</v>
      </c>
      <c r="N33" s="638">
        <f t="shared" si="23"/>
        <v>1000</v>
      </c>
      <c r="O33" s="423" t="s">
        <v>4</v>
      </c>
      <c r="P33" s="370"/>
      <c r="Q33" s="424" t="s">
        <v>223</v>
      </c>
      <c r="R33" s="406" t="s">
        <v>7</v>
      </c>
      <c r="S33" s="370"/>
      <c r="T33" s="424" t="s">
        <v>223</v>
      </c>
      <c r="U33" s="406" t="s">
        <v>3</v>
      </c>
      <c r="V33" s="407"/>
      <c r="W33" s="409" t="s">
        <v>223</v>
      </c>
      <c r="Y33" s="501">
        <f ca="1">science_cap*(1-EXP(-AH33/(science_param*($A34-Explore!$S34*20)+15000)))*(1+(mason_bonus*Construction!BB33/Construction!BS33))+IF(Overview!$B$14="Beastfolk",Construction!DA33/Construction!E33,0)*(1 + Production!O33/100*prestige_pop_multiplier)</f>
        <v>0</v>
      </c>
      <c r="Z33" s="454">
        <f ca="1">keep_cap*(1-EXP(-AI33/(keep_param*($A34-Explore!$S34*20)+15000)))*(1+(mason_bonus*Construction!BB33/Construction!BS33))+IF(Overview!$B$14="Beastfolk",Construction!DF33/Construction!E33,0)*(1 + Production!O33/100*prestige_pop_multiplier)</f>
        <v>0</v>
      </c>
      <c r="AA33" s="454">
        <f ca="1">harbor_towers_cap*(1-EXP(-AJ33/(harbor_towers_param*($A34-Explore!$S34*20)+15000)))*(1+(mason_bonus*Construction!BB33/Construction!BS33))+IF(Overview!$B$14="Beastfolk",2*Construction!DC33/Construction!E33,0)*(1 + Production!O33/100*prestige_pop_multiplier)</f>
        <v>0</v>
      </c>
      <c r="AB33" s="454">
        <f ca="1">walls_forges_cap*(1-EXP(-AK33/(walls_forges_param*($A34-Explore!$S34*20)+15000)))*(1+(mason_bonus*Construction!BB33/Construction!BS33))+IF(Overview!$B$14="Beastfolk",0.2*Construction!CY33/Construction!E33,0)</f>
        <v>0</v>
      </c>
      <c r="AC33" s="454">
        <f ca="1">walls_forges_cap*(1-EXP(-AL33/(walls_forges_param*($A34-Explore!$S34*20)+15000)))*(1+(mason_bonus*Construction!BB33/Construction!BS33))+IF(Overview!$B$14="Beastfolk",5*Construction!DB33/Construction!E33,0)</f>
        <v>0</v>
      </c>
      <c r="AD33" s="171">
        <f ca="1">harbor_towers_cap*(1-EXP(-AM33/(harbor_towers_param*($A34-Explore!$S34*20)+15000)))*(1+(mason_bonus*Construction!BB33/Construction!BS33))+IF(Overview!$B$14="Beastfolk",Construction!DE33/Construction!E33)*(1 + Production!O33/100*prestige_pop_multiplier)</f>
        <v>0</v>
      </c>
      <c r="AE33" s="171">
        <f ca="1">armory_cap*(1-EXP(-AN33/(armory_param*($A34-Explore!$S34*20)+15000)))*(1+(mason_bonus*Construction!$BB33/Construction!$BS33))</f>
        <v>0</v>
      </c>
      <c r="AF33" s="171">
        <f ca="1">infirmary_cap*(1-EXP(-AO33/(infirmary_param*($A34-Explore!$S34*20)+15000)))*(1+(mason_bonus*Construction!$BB33/Construction!$BS33))</f>
        <v>0</v>
      </c>
      <c r="AH33" s="56">
        <f ca="1">(1+Overview!$O$28+IF(Magic!BA33&gt;0,0.1,0))*SUM(AV33:AY33) + AH32</f>
        <v>0</v>
      </c>
      <c r="AI33" s="26">
        <f ca="1">(1+Overview!$O$28+IF(Magic!BA33&gt;0,0.1,0))*SUM(BA33:BD33) + AI32</f>
        <v>0</v>
      </c>
      <c r="AJ33" s="164">
        <f ca="1">(1+Overview!$O$28+IF(Magic!BA33&gt;0,0.1,0))*SUM(BF33:BI33) + AJ32</f>
        <v>0</v>
      </c>
      <c r="AK33" s="164">
        <f ca="1">(1+Overview!$O$28+IF(Magic!BA33&gt;0,0.1,0))*SUM(BK33:BN33) + AK32</f>
        <v>0</v>
      </c>
      <c r="AL33" s="164">
        <f ca="1">(1+Overview!$O$28+IF(Magic!BA33&gt;0,0.1,0))*SUM(BP33:BS33) + AL32</f>
        <v>0</v>
      </c>
      <c r="AM33" s="166">
        <f ca="1">(1+Overview!$O$28+IF(Magic!BA33&gt;0,0.1,0))*SUM(BU33:BX33) + AM32</f>
        <v>0</v>
      </c>
      <c r="AN33" s="166">
        <f ca="1">(1+Overview!$O$28+IF(Magic!BA33&gt;0,0.1,0))*SUM(BZ33:CC33)+AN32</f>
        <v>0</v>
      </c>
      <c r="AO33" s="164">
        <f ca="1">(1+Overview!$O$28+IF(Magic!BA33&gt;0,0.1,0))*SUM(CE33:CH33)+AO32</f>
        <v>0</v>
      </c>
      <c r="AQ33" s="52">
        <f t="shared" si="41"/>
        <v>0</v>
      </c>
      <c r="AR33" s="16">
        <f t="shared" si="41"/>
        <v>0</v>
      </c>
      <c r="AS33" s="16">
        <f t="shared" si="41"/>
        <v>0</v>
      </c>
      <c r="AT33" s="53">
        <f t="shared" si="41"/>
        <v>0</v>
      </c>
      <c r="AV33" s="56">
        <f t="shared" si="25"/>
        <v>0</v>
      </c>
      <c r="AW33" s="26">
        <f t="shared" si="42"/>
        <v>0</v>
      </c>
      <c r="AX33" s="26">
        <f t="shared" si="42"/>
        <v>0</v>
      </c>
      <c r="AY33" s="57">
        <f t="shared" si="27"/>
        <v>0</v>
      </c>
      <c r="BA33" s="56">
        <f t="shared" si="28"/>
        <v>0</v>
      </c>
      <c r="BB33" s="26">
        <f t="shared" si="43"/>
        <v>0</v>
      </c>
      <c r="BC33" s="26">
        <f t="shared" si="43"/>
        <v>0</v>
      </c>
      <c r="BD33" s="57">
        <f t="shared" si="30"/>
        <v>0</v>
      </c>
      <c r="BF33" s="56">
        <f t="shared" si="31"/>
        <v>0</v>
      </c>
      <c r="BG33" s="26">
        <f t="shared" si="32"/>
        <v>0</v>
      </c>
      <c r="BH33" s="26">
        <f t="shared" si="40"/>
        <v>0</v>
      </c>
      <c r="BI33" s="57">
        <f t="shared" si="33"/>
        <v>0</v>
      </c>
      <c r="BK33" s="56">
        <f t="shared" si="34"/>
        <v>0</v>
      </c>
      <c r="BL33" s="26">
        <f t="shared" si="44"/>
        <v>0</v>
      </c>
      <c r="BM33" s="26">
        <f t="shared" si="44"/>
        <v>0</v>
      </c>
      <c r="BN33" s="57">
        <f t="shared" si="36"/>
        <v>0</v>
      </c>
      <c r="BP33" s="56">
        <f t="shared" si="37"/>
        <v>0</v>
      </c>
      <c r="BQ33" s="26">
        <f t="shared" si="45"/>
        <v>0</v>
      </c>
      <c r="BR33" s="26">
        <f t="shared" si="45"/>
        <v>0</v>
      </c>
      <c r="BS33" s="57">
        <f t="shared" si="39"/>
        <v>0</v>
      </c>
      <c r="BU33" s="56">
        <f>IF($O33=BU$2,IF($Q33=$AD$2,$P33)) + IF($R33=BU$2,IF($T33=$AD$2,$S33)) + IF($U33=BU$2,IF($W33=$AD$2,$V33))</f>
        <v>0</v>
      </c>
      <c r="BV33" s="26">
        <f>IF($O33=BV$2,IF($Q33=$AD$2,2*$P33)) + IF($R33=BV$2,IF($T33=$AD$2,2*$S33)) + IF($U33=BV$2,IF($W33=$AD$2,2*$V33))</f>
        <v>0</v>
      </c>
      <c r="BW33" s="26">
        <f>IF($O33=BW$2,IF($Q33=$AD$2,2*$P33)) + IF($R33=BW$2,IF($T33=$AD$2,2*$S33)) + IF($U33=BW$2,IF($W33=$AD$2,2*$V33))</f>
        <v>0</v>
      </c>
      <c r="BX33" s="57">
        <f>IF($O33=BX$2,IF($Q33=$AD$2,12*$P33)) + IF($R33=BX$2,IF($T33=$AD$2,12*$S33)) + IF($U33=BX$2,IF($W33=$AD$2,12*$V33))</f>
        <v>0</v>
      </c>
      <c r="BZ33" s="56">
        <f>IF($O33=BZ$2,IF($Q33=Armory,$P33)) + IF($R33=BZ$2,IF($T33=Armory,$S33)) + IF($U33=BZ$2,IF($W33=Armory,$V33))</f>
        <v>0</v>
      </c>
      <c r="CA33" s="26">
        <f>IF($O33=CA$2,IF($Q33=Armory,2*$P33)) + IF($R33=CA$2,IF($T33=Armory,2*$S33)) + IF($U33=CA$2,IF($W33=Armory,2*$V33))</f>
        <v>0</v>
      </c>
      <c r="CB33" s="26">
        <f>IF($O33=CB$2,IF($Q33=Armory,2*$P33)) + IF($R33=CB$2,IF($T33=Armory,2*$S33)) + IF($U33=CB$2,IF($W33=Armory,2*$V33))</f>
        <v>0</v>
      </c>
      <c r="CC33" s="57">
        <f>IF($O33=CC$2,IF($Q33=Armory,12*$P33)) + IF($R33=CC$2,IF($T33=Armory,12*$S33)) + IF($U33=CC$2,IF($W33=Armory,12*$V33))</f>
        <v>0</v>
      </c>
      <c r="CE33" s="56">
        <f>IF($O33=CE$2,IF($Q33=Infirmary,$P33)) + IF($R33=CE$2,IF($T33=Infirmary,$S33)) + IF($U33=CE$2,IF($W33=Infirmary,$V33))</f>
        <v>0</v>
      </c>
      <c r="CF33" s="26">
        <f>IF($O33=CF$2,IF($Q33=Infirmary,2*$P33)) + IF($R33=CF$2,IF($T33=Infirmary,2*$S33)) + IF($U33=CF$2,IF($W33=Infirmary,2*$V33))</f>
        <v>0</v>
      </c>
      <c r="CG33" s="26">
        <f>IF($O33=CG$2,IF($Q33=Infirmary,2*$P33)) + IF($R33=CG$2,IF($T33=Infirmary,2*$S33)) + IF($U33=CG$2,IF($W33=Infirmary,2*$V33))</f>
        <v>0</v>
      </c>
      <c r="CH33" s="57">
        <f>IF($O33=CH$2,IF($Q33=Infirmary,12*$P33)) + IF($R33=CH$2,IF($T33=Infirmary,12*$S33)) + IF($U33=CH$2,IF($W33=Infirmary,12*$V33))</f>
        <v>0</v>
      </c>
      <c r="CJ33" s="52" t="e">
        <f>OR(Production!C33,Construction!N33:'Construction'!AF33,Construction!BV33:CN33,Explore!S33:Z33,Military!AF33:AL33,Military!X33,Military!BE33:BL33,Rezone!L33:R33,Magic!G33:Q33)</f>
        <v>#VALUE!</v>
      </c>
      <c r="CK33" s="525">
        <f>M33</f>
        <v>0</v>
      </c>
      <c r="CL33" s="525"/>
      <c r="CM33" s="555">
        <f t="shared" si="20"/>
        <v>43768.312499999927</v>
      </c>
      <c r="CN33" s="563">
        <f t="shared" si="21"/>
        <v>43768.145833333263</v>
      </c>
      <c r="CO33" s="527"/>
      <c r="CP33" s="803"/>
      <c r="CQ33" s="808"/>
    </row>
    <row r="34" spans="1:96" s="16" customFormat="1" x14ac:dyDescent="0.25">
      <c r="A34" s="511">
        <f>Construction!E34</f>
        <v>1000</v>
      </c>
      <c r="C34" s="56">
        <f ca="1">Production!H34</f>
        <v>4630466</v>
      </c>
      <c r="D34" s="26">
        <f ca="1">Production!J34</f>
        <v>326890</v>
      </c>
      <c r="E34" s="26">
        <f ca="1">Production!L34</f>
        <v>300000</v>
      </c>
      <c r="F34" s="57">
        <f ca="1">Production!M34</f>
        <v>20000</v>
      </c>
      <c r="G34" s="26"/>
      <c r="H34" s="56">
        <f ca="1">Military!Z34</f>
        <v>5295</v>
      </c>
      <c r="I34" s="538">
        <f ca="1">Population!I34</f>
        <v>1</v>
      </c>
      <c r="J34" s="165">
        <f ca="1">Population!F34/Population!U34</f>
        <v>1.0370774574057979</v>
      </c>
      <c r="K34" s="1000">
        <f>Rezone!J34</f>
        <v>32</v>
      </c>
      <c r="L34" s="582">
        <f t="shared" si="19"/>
        <v>43768.322916666591</v>
      </c>
      <c r="M34" s="316">
        <f t="shared" si="22"/>
        <v>0</v>
      </c>
      <c r="N34" s="638">
        <f t="shared" si="23"/>
        <v>1000</v>
      </c>
      <c r="O34" s="423" t="s">
        <v>4</v>
      </c>
      <c r="P34" s="370"/>
      <c r="Q34" s="424" t="s">
        <v>223</v>
      </c>
      <c r="R34" s="406" t="s">
        <v>7</v>
      </c>
      <c r="S34" s="370"/>
      <c r="T34" s="424" t="s">
        <v>223</v>
      </c>
      <c r="U34" s="406" t="s">
        <v>3</v>
      </c>
      <c r="V34" s="407"/>
      <c r="W34" s="409" t="s">
        <v>223</v>
      </c>
      <c r="Y34" s="501">
        <f ca="1">science_cap*(1-EXP(-AH34/(science_param*($A35-Explore!$S35*20)+15000)))*(1+(mason_bonus*Construction!BB34/Construction!BS34))+IF(Overview!$B$14="Beastfolk",Construction!DA34/Construction!E34,0)*(1 + Production!O34/100*prestige_pop_multiplier)</f>
        <v>0</v>
      </c>
      <c r="Z34" s="454">
        <f ca="1">keep_cap*(1-EXP(-AI34/(keep_param*($A35-Explore!$S35*20)+15000)))*(1+(mason_bonus*Construction!BB34/Construction!BS34))+IF(Overview!$B$14="Beastfolk",Construction!DF34/Construction!E34,0)*(1 + Production!O34/100*prestige_pop_multiplier)</f>
        <v>0</v>
      </c>
      <c r="AA34" s="454">
        <f ca="1">harbor_towers_cap*(1-EXP(-AJ34/(harbor_towers_param*($A35-Explore!$S35*20)+15000)))*(1+(mason_bonus*Construction!BB34/Construction!BS34))+IF(Overview!$B$14="Beastfolk",2*Construction!DC34/Construction!E34,0)*(1 + Production!O34/100*prestige_pop_multiplier)</f>
        <v>0</v>
      </c>
      <c r="AB34" s="454">
        <f ca="1">walls_forges_cap*(1-EXP(-AK34/(walls_forges_param*($A35-Explore!$S35*20)+15000)))*(1+(mason_bonus*Construction!BB34/Construction!BS34))+IF(Overview!$B$14="Beastfolk",0.2*Construction!CY34/Construction!E34,0)</f>
        <v>0</v>
      </c>
      <c r="AC34" s="454">
        <f ca="1">walls_forges_cap*(1-EXP(-AL34/(walls_forges_param*($A35-Explore!$S35*20)+15000)))*(1+(mason_bonus*Construction!BB34/Construction!BS34))+IF(Overview!$B$14="Beastfolk",5*Construction!DB34/Construction!E34,0)</f>
        <v>0</v>
      </c>
      <c r="AD34" s="171">
        <f ca="1">harbor_towers_cap*(1-EXP(-AM34/(harbor_towers_param*($A35-Explore!$S35*20)+15000)))*(1+(mason_bonus*Construction!BB34/Construction!BS34))+IF(Overview!$B$14="Beastfolk",Construction!DE34/Construction!E34)*(1 + Production!O34/100*prestige_pop_multiplier)</f>
        <v>0</v>
      </c>
      <c r="AE34" s="171">
        <f ca="1">armory_cap*(1-EXP(-AN34/(armory_param*($A35-Explore!$S35*20)+15000)))*(1+(mason_bonus*Construction!$BB34/Construction!$BS34))</f>
        <v>0</v>
      </c>
      <c r="AF34" s="171">
        <f ca="1">infirmary_cap*(1-EXP(-AO34/(infirmary_param*($A35-Explore!$S35*20)+15000)))*(1+(mason_bonus*Construction!$BB34/Construction!$BS34))</f>
        <v>0</v>
      </c>
      <c r="AH34" s="56">
        <f ca="1">(1+Overview!$O$28+IF(Magic!BA34&gt;0,0.1,0))*SUM(AV34:AY34) + AH33</f>
        <v>0</v>
      </c>
      <c r="AI34" s="26">
        <f ca="1">(1+Overview!$O$28+IF(Magic!BA34&gt;0,0.1,0))*SUM(BA34:BD34) + AI33</f>
        <v>0</v>
      </c>
      <c r="AJ34" s="164">
        <f ca="1">(1+Overview!$O$28+IF(Magic!BA34&gt;0,0.1,0))*SUM(BF34:BI34) + AJ33</f>
        <v>0</v>
      </c>
      <c r="AK34" s="164">
        <f ca="1">(1+Overview!$O$28+IF(Magic!BA34&gt;0,0.1,0))*SUM(BK34:BN34) + AK33</f>
        <v>0</v>
      </c>
      <c r="AL34" s="164">
        <f ca="1">(1+Overview!$O$28+IF(Magic!BA34&gt;0,0.1,0))*SUM(BP34:BS34) + AL33</f>
        <v>0</v>
      </c>
      <c r="AM34" s="166">
        <f ca="1">(1+Overview!$O$28+IF(Magic!BA34&gt;0,0.1,0))*SUM(BU34:BX34) + AM33</f>
        <v>0</v>
      </c>
      <c r="AN34" s="166">
        <f ca="1">(1+Overview!$O$28+IF(Magic!BA34&gt;0,0.1,0))*SUM(BZ34:CC34)+AN33</f>
        <v>0</v>
      </c>
      <c r="AO34" s="164">
        <f ca="1">(1+Overview!$O$28+IF(Magic!BA34&gt;0,0.1,0))*SUM(CE34:CH34)+AO33</f>
        <v>0</v>
      </c>
      <c r="AQ34" s="52">
        <f t="shared" si="41"/>
        <v>0</v>
      </c>
      <c r="AR34" s="16">
        <f t="shared" si="41"/>
        <v>0</v>
      </c>
      <c r="AS34" s="16">
        <f t="shared" si="41"/>
        <v>0</v>
      </c>
      <c r="AT34" s="53">
        <f t="shared" si="41"/>
        <v>0</v>
      </c>
      <c r="AV34" s="56">
        <f t="shared" si="25"/>
        <v>0</v>
      </c>
      <c r="AW34" s="26">
        <f t="shared" si="42"/>
        <v>0</v>
      </c>
      <c r="AX34" s="26">
        <f t="shared" si="42"/>
        <v>0</v>
      </c>
      <c r="AY34" s="57">
        <f t="shared" si="27"/>
        <v>0</v>
      </c>
      <c r="BA34" s="56">
        <f t="shared" si="28"/>
        <v>0</v>
      </c>
      <c r="BB34" s="26">
        <f t="shared" si="43"/>
        <v>0</v>
      </c>
      <c r="BC34" s="26">
        <f t="shared" si="43"/>
        <v>0</v>
      </c>
      <c r="BD34" s="57">
        <f t="shared" si="30"/>
        <v>0</v>
      </c>
      <c r="BF34" s="56">
        <f t="shared" si="31"/>
        <v>0</v>
      </c>
      <c r="BG34" s="26">
        <f t="shared" si="32"/>
        <v>0</v>
      </c>
      <c r="BH34" s="26">
        <f t="shared" si="40"/>
        <v>0</v>
      </c>
      <c r="BI34" s="57">
        <f t="shared" si="33"/>
        <v>0</v>
      </c>
      <c r="BK34" s="56">
        <f t="shared" si="34"/>
        <v>0</v>
      </c>
      <c r="BL34" s="26">
        <f t="shared" si="44"/>
        <v>0</v>
      </c>
      <c r="BM34" s="26">
        <f t="shared" si="44"/>
        <v>0</v>
      </c>
      <c r="BN34" s="57">
        <f t="shared" si="36"/>
        <v>0</v>
      </c>
      <c r="BP34" s="56">
        <f t="shared" si="37"/>
        <v>0</v>
      </c>
      <c r="BQ34" s="26">
        <f t="shared" si="45"/>
        <v>0</v>
      </c>
      <c r="BR34" s="26">
        <f t="shared" si="45"/>
        <v>0</v>
      </c>
      <c r="BS34" s="57">
        <f t="shared" si="39"/>
        <v>0</v>
      </c>
      <c r="BU34" s="56">
        <f>IF($O34=BU$2,IF($Q34=$AD$2,$P34)) + IF($R34=BU$2,IF($T34=$AD$2,$S34)) + IF($U34=BU$2,IF($W34=$AD$2,$V34))</f>
        <v>0</v>
      </c>
      <c r="BV34" s="26">
        <f>IF($O34=BV$2,IF($Q34=$AD$2,2*$P34)) + IF($R34=BV$2,IF($T34=$AD$2,2*$S34)) + IF($U34=BV$2,IF($W34=$AD$2,2*$V34))</f>
        <v>0</v>
      </c>
      <c r="BW34" s="26">
        <f>IF($O34=BW$2,IF($Q34=$AD$2,2*$P34)) + IF($R34=BW$2,IF($T34=$AD$2,2*$S34)) + IF($U34=BW$2,IF($W34=$AD$2,2*$V34))</f>
        <v>0</v>
      </c>
      <c r="BX34" s="57">
        <f>IF($O34=BX$2,IF($Q34=$AD$2,12*$P34)) + IF($R34=BX$2,IF($T34=$AD$2,12*$S34)) + IF($U34=BX$2,IF($W34=$AD$2,12*$V34))</f>
        <v>0</v>
      </c>
      <c r="BZ34" s="56">
        <f>IF($O34=BZ$2,IF($Q34=Armory,$P34)) + IF($R34=BZ$2,IF($T34=Armory,$S34)) + IF($U34=BZ$2,IF($W34=Armory,$V34))</f>
        <v>0</v>
      </c>
      <c r="CA34" s="26">
        <f>IF($O34=CA$2,IF($Q34=Armory,2*$P34)) + IF($R34=CA$2,IF($T34=Armory,2*$S34)) + IF($U34=CA$2,IF($W34=Armory,2*$V34))</f>
        <v>0</v>
      </c>
      <c r="CB34" s="26">
        <f>IF($O34=CB$2,IF($Q34=Armory,2*$P34)) + IF($R34=CB$2,IF($T34=Armory,2*$S34)) + IF($U34=CB$2,IF($W34=Armory,2*$V34))</f>
        <v>0</v>
      </c>
      <c r="CC34" s="57">
        <f>IF($O34=CC$2,IF($Q34=Armory,12*$P34)) + IF($R34=CC$2,IF($T34=Armory,12*$S34)) + IF($U34=CC$2,IF($W34=Armory,12*$V34))</f>
        <v>0</v>
      </c>
      <c r="CE34" s="56">
        <f>IF($O34=CE$2,IF($Q34=Infirmary,$P34)) + IF($R34=CE$2,IF($T34=Infirmary,$S34)) + IF($U34=CE$2,IF($W34=Infirmary,$V34))</f>
        <v>0</v>
      </c>
      <c r="CF34" s="26">
        <f>IF($O34=CF$2,IF($Q34=Infirmary,2*$P34)) + IF($R34=CF$2,IF($T34=Infirmary,2*$S34)) + IF($U34=CF$2,IF($W34=Infirmary,2*$V34))</f>
        <v>0</v>
      </c>
      <c r="CG34" s="26">
        <f>IF($O34=CG$2,IF($Q34=Infirmary,2*$P34)) + IF($R34=CG$2,IF($T34=Infirmary,2*$S34)) + IF($U34=CG$2,IF($W34=Infirmary,2*$V34))</f>
        <v>0</v>
      </c>
      <c r="CH34" s="57">
        <f>IF($O34=CH$2,IF($Q34=Infirmary,12*$P34)) + IF($R34=CH$2,IF($T34=Infirmary,12*$S34)) + IF($U34=CH$2,IF($W34=Infirmary,12*$V34))</f>
        <v>0</v>
      </c>
      <c r="CJ34" s="52" t="e">
        <f>OR(Production!C34,Construction!N34:'Construction'!AF34,Construction!BV34:CN34,Explore!S34:Z34,Military!AF34:AL34,Military!X34,Military!BE34:BL34,Rezone!L34:R34,Magic!G34:Q34)</f>
        <v>#VALUE!</v>
      </c>
      <c r="CK34" s="525">
        <f>M34</f>
        <v>0</v>
      </c>
      <c r="CL34" s="525"/>
      <c r="CM34" s="555">
        <f t="shared" si="20"/>
        <v>43768.322916666591</v>
      </c>
      <c r="CN34" s="563">
        <f t="shared" si="21"/>
        <v>43768.156249999927</v>
      </c>
      <c r="CO34" s="527"/>
      <c r="CP34" s="803"/>
      <c r="CQ34" s="808"/>
      <c r="CR34" s="107" t="s">
        <v>221</v>
      </c>
    </row>
    <row r="35" spans="1:96" s="16" customFormat="1" x14ac:dyDescent="0.25">
      <c r="A35" s="511">
        <f>Construction!E35</f>
        <v>1000</v>
      </c>
      <c r="C35" s="56">
        <f ca="1">Production!H35</f>
        <v>4636162</v>
      </c>
      <c r="D35" s="26">
        <f ca="1">Production!J35</f>
        <v>326121</v>
      </c>
      <c r="E35" s="26">
        <f ca="1">Production!L35</f>
        <v>300000</v>
      </c>
      <c r="F35" s="57">
        <f ca="1">Production!M35</f>
        <v>20000</v>
      </c>
      <c r="G35" s="26"/>
      <c r="H35" s="56">
        <f ca="1">Military!Z35</f>
        <v>5295</v>
      </c>
      <c r="I35" s="538">
        <f ca="1">Population!I35</f>
        <v>1</v>
      </c>
      <c r="J35" s="165">
        <f ca="1">Population!F35/Population!U35</f>
        <v>1.0223034164682812</v>
      </c>
      <c r="K35" s="1000">
        <f>Rezone!J35</f>
        <v>33</v>
      </c>
      <c r="L35" s="582">
        <f t="shared" si="19"/>
        <v>43768.333333333256</v>
      </c>
      <c r="M35" s="316">
        <f t="shared" si="22"/>
        <v>0</v>
      </c>
      <c r="N35" s="638">
        <f t="shared" si="23"/>
        <v>1000</v>
      </c>
      <c r="O35" s="423" t="s">
        <v>4</v>
      </c>
      <c r="P35" s="370"/>
      <c r="Q35" s="424" t="s">
        <v>223</v>
      </c>
      <c r="R35" s="423" t="s">
        <v>7</v>
      </c>
      <c r="S35" s="370"/>
      <c r="T35" s="424" t="s">
        <v>223</v>
      </c>
      <c r="U35" s="406" t="s">
        <v>3</v>
      </c>
      <c r="V35" s="407"/>
      <c r="W35" s="409" t="s">
        <v>223</v>
      </c>
      <c r="Y35" s="501">
        <f ca="1">science_cap*(1-EXP(-AH35/(science_param*($A36-Explore!$S36*20)+15000)))*(1+(mason_bonus*Construction!BB35/Construction!BS35))+IF(Overview!$B$14="Beastfolk",Construction!DA35/Construction!E35,0)*(1 + Production!O35/100*prestige_pop_multiplier)</f>
        <v>0</v>
      </c>
      <c r="Z35" s="454">
        <f ca="1">keep_cap*(1-EXP(-AI35/(keep_param*($A36-Explore!$S36*20)+15000)))*(1+(mason_bonus*Construction!BB35/Construction!BS35))+IF(Overview!$B$14="Beastfolk",Construction!DF35/Construction!E35,0)*(1 + Production!O35/100*prestige_pop_multiplier)</f>
        <v>0</v>
      </c>
      <c r="AA35" s="454">
        <f ca="1">harbor_towers_cap*(1-EXP(-AJ35/(harbor_towers_param*($A36-Explore!$S36*20)+15000)))*(1+(mason_bonus*Construction!BB35/Construction!BS35))+IF(Overview!$B$14="Beastfolk",2*Construction!DC35/Construction!E35,0)*(1 + Production!O35/100*prestige_pop_multiplier)</f>
        <v>0</v>
      </c>
      <c r="AB35" s="454">
        <f ca="1">walls_forges_cap*(1-EXP(-AK35/(walls_forges_param*($A36-Explore!$S36*20)+15000)))*(1+(mason_bonus*Construction!BB35/Construction!BS35))+IF(Overview!$B$14="Beastfolk",0.2*Construction!CY35/Construction!E35,0)</f>
        <v>0</v>
      </c>
      <c r="AC35" s="454">
        <f ca="1">walls_forges_cap*(1-EXP(-AL35/(walls_forges_param*($A36-Explore!$S36*20)+15000)))*(1+(mason_bonus*Construction!BB35/Construction!BS35))+IF(Overview!$B$14="Beastfolk",5*Construction!DB35/Construction!E35,0)</f>
        <v>0</v>
      </c>
      <c r="AD35" s="171">
        <f ca="1">harbor_towers_cap*(1-EXP(-AM35/(harbor_towers_param*($A36-Explore!$S36*20)+15000)))*(1+(mason_bonus*Construction!BB35/Construction!BS35))+IF(Overview!$B$14="Beastfolk",Construction!DE35/Construction!E35)*(1 + Production!O35/100*prestige_pop_multiplier)</f>
        <v>0</v>
      </c>
      <c r="AE35" s="171">
        <f ca="1">armory_cap*(1-EXP(-AN35/(armory_param*($A36-Explore!$S36*20)+15000)))*(1+(mason_bonus*Construction!$BB35/Construction!$BS35))</f>
        <v>0</v>
      </c>
      <c r="AF35" s="171">
        <f ca="1">infirmary_cap*(1-EXP(-AO35/(infirmary_param*($A36-Explore!$S36*20)+15000)))*(1+(mason_bonus*Construction!$BB35/Construction!$BS35))</f>
        <v>0</v>
      </c>
      <c r="AH35" s="56">
        <f ca="1">(1+Overview!$O$28+IF(Magic!BA35&gt;0,0.1,0))*SUM(AV35:AY35) + AH34</f>
        <v>0</v>
      </c>
      <c r="AI35" s="26">
        <f ca="1">(1+Overview!$O$28+IF(Magic!BA35&gt;0,0.1,0))*SUM(BA35:BD35) + AI34</f>
        <v>0</v>
      </c>
      <c r="AJ35" s="164">
        <f ca="1">(1+Overview!$O$28+IF(Magic!BA35&gt;0,0.1,0))*SUM(BF35:BI35) + AJ34</f>
        <v>0</v>
      </c>
      <c r="AK35" s="164">
        <f ca="1">(1+Overview!$O$28+IF(Magic!BA35&gt;0,0.1,0))*SUM(BK35:BN35) + AK34</f>
        <v>0</v>
      </c>
      <c r="AL35" s="164">
        <f ca="1">(1+Overview!$O$28+IF(Magic!BA35&gt;0,0.1,0))*SUM(BP35:BS35) + AL34</f>
        <v>0</v>
      </c>
      <c r="AM35" s="166">
        <f ca="1">(1+Overview!$O$28+IF(Magic!BA35&gt;0,0.1,0))*SUM(BU35:BX35) + AM34</f>
        <v>0</v>
      </c>
      <c r="AN35" s="166">
        <f ca="1">(1+Overview!$O$28+IF(Magic!BA35&gt;0,0.1,0))*SUM(BZ35:CC35)+AN34</f>
        <v>0</v>
      </c>
      <c r="AO35" s="164">
        <f ca="1">(1+Overview!$O$28+IF(Magic!BA35&gt;0,0.1,0))*SUM(CE35:CH35)+AO34</f>
        <v>0</v>
      </c>
      <c r="AQ35" s="52">
        <f t="shared" si="41"/>
        <v>0</v>
      </c>
      <c r="AR35" s="16">
        <f t="shared" si="41"/>
        <v>0</v>
      </c>
      <c r="AS35" s="16">
        <f t="shared" si="41"/>
        <v>0</v>
      </c>
      <c r="AT35" s="53">
        <f t="shared" si="41"/>
        <v>0</v>
      </c>
      <c r="AV35" s="56">
        <f t="shared" si="25"/>
        <v>0</v>
      </c>
      <c r="AW35" s="26">
        <f t="shared" si="42"/>
        <v>0</v>
      </c>
      <c r="AX35" s="26">
        <f t="shared" si="42"/>
        <v>0</v>
      </c>
      <c r="AY35" s="57">
        <f t="shared" si="27"/>
        <v>0</v>
      </c>
      <c r="BA35" s="56">
        <f t="shared" si="28"/>
        <v>0</v>
      </c>
      <c r="BB35" s="26">
        <f t="shared" si="43"/>
        <v>0</v>
      </c>
      <c r="BC35" s="26">
        <f t="shared" si="43"/>
        <v>0</v>
      </c>
      <c r="BD35" s="57">
        <f t="shared" si="30"/>
        <v>0</v>
      </c>
      <c r="BF35" s="56">
        <f t="shared" si="31"/>
        <v>0</v>
      </c>
      <c r="BG35" s="26">
        <f t="shared" si="32"/>
        <v>0</v>
      </c>
      <c r="BH35" s="26">
        <f t="shared" si="40"/>
        <v>0</v>
      </c>
      <c r="BI35" s="57">
        <f t="shared" si="33"/>
        <v>0</v>
      </c>
      <c r="BK35" s="56">
        <f t="shared" si="34"/>
        <v>0</v>
      </c>
      <c r="BL35" s="26">
        <f t="shared" si="44"/>
        <v>0</v>
      </c>
      <c r="BM35" s="26">
        <f t="shared" si="44"/>
        <v>0</v>
      </c>
      <c r="BN35" s="57">
        <f t="shared" si="36"/>
        <v>0</v>
      </c>
      <c r="BP35" s="56">
        <f t="shared" si="37"/>
        <v>0</v>
      </c>
      <c r="BQ35" s="26">
        <f t="shared" si="45"/>
        <v>0</v>
      </c>
      <c r="BR35" s="26">
        <f t="shared" si="45"/>
        <v>0</v>
      </c>
      <c r="BS35" s="57">
        <f t="shared" si="39"/>
        <v>0</v>
      </c>
      <c r="BU35" s="56">
        <f>IF($O35=BU$2,IF($Q35=$AD$2,$P35)) + IF($R35=BU$2,IF($T35=$AD$2,$S35)) + IF($U35=BU$2,IF($W35=$AD$2,$V35))</f>
        <v>0</v>
      </c>
      <c r="BV35" s="26">
        <f>IF($O35=BV$2,IF($Q35=$AD$2,2*$P35)) + IF($R35=BV$2,IF($T35=$AD$2,2*$S35)) + IF($U35=BV$2,IF($W35=$AD$2,2*$V35))</f>
        <v>0</v>
      </c>
      <c r="BW35" s="26">
        <f>IF($O35=BW$2,IF($Q35=$AD$2,2*$P35)) + IF($R35=BW$2,IF($T35=$AD$2,2*$S35)) + IF($U35=BW$2,IF($W35=$AD$2,2*$V35))</f>
        <v>0</v>
      </c>
      <c r="BX35" s="57">
        <f>IF($O35=BX$2,IF($Q35=$AD$2,12*$P35)) + IF($R35=BX$2,IF($T35=$AD$2,12*$S35)) + IF($U35=BX$2,IF($W35=$AD$2,12*$V35))</f>
        <v>0</v>
      </c>
      <c r="BZ35" s="56">
        <f>IF($O35=BZ$2,IF($Q35=Armory,$P35)) + IF($R35=BZ$2,IF($T35=Armory,$S35)) + IF($U35=BZ$2,IF($W35=Armory,$V35))</f>
        <v>0</v>
      </c>
      <c r="CA35" s="26">
        <f>IF($O35=CA$2,IF($Q35=Armory,2*$P35)) + IF($R35=CA$2,IF($T35=Armory,2*$S35)) + IF($U35=CA$2,IF($W35=Armory,2*$V35))</f>
        <v>0</v>
      </c>
      <c r="CB35" s="26">
        <f>IF($O35=CB$2,IF($Q35=Armory,2*$P35)) + IF($R35=CB$2,IF($T35=Armory,2*$S35)) + IF($U35=CB$2,IF($W35=Armory,2*$V35))</f>
        <v>0</v>
      </c>
      <c r="CC35" s="57">
        <f>IF($O35=CC$2,IF($Q35=Armory,12*$P35)) + IF($R35=CC$2,IF($T35=Armory,12*$S35)) + IF($U35=CC$2,IF($W35=Armory,12*$V35))</f>
        <v>0</v>
      </c>
      <c r="CE35" s="56">
        <f>IF($O35=CE$2,IF($Q35=Infirmary,$P35)) + IF($R35=CE$2,IF($T35=Infirmary,$S35)) + IF($U35=CE$2,IF($W35=Infirmary,$V35))</f>
        <v>0</v>
      </c>
      <c r="CF35" s="26">
        <f>IF($O35=CF$2,IF($Q35=Infirmary,2*$P35)) + IF($R35=CF$2,IF($T35=Infirmary,2*$S35)) + IF($U35=CF$2,IF($W35=Infirmary,2*$V35))</f>
        <v>0</v>
      </c>
      <c r="CG35" s="26">
        <f>IF($O35=CG$2,IF($Q35=Infirmary,2*$P35)) + IF($R35=CG$2,IF($T35=Infirmary,2*$S35)) + IF($U35=CG$2,IF($W35=Infirmary,2*$V35))</f>
        <v>0</v>
      </c>
      <c r="CH35" s="57">
        <f>IF($O35=CH$2,IF($Q35=Infirmary,12*$P35)) + IF($R35=CH$2,IF($T35=Infirmary,12*$S35)) + IF($U35=CH$2,IF($W35=Infirmary,12*$V35))</f>
        <v>0</v>
      </c>
      <c r="CJ35" s="52" t="e">
        <f>OR(Production!C35,Construction!N35:'Construction'!AF35,Construction!BV35:CN35,Explore!S35:Z35,Military!AF35:AL35,Military!X35,Military!BE35:BL35,Rezone!L35:R35,Magic!G35:Q35)</f>
        <v>#VALUE!</v>
      </c>
      <c r="CK35" s="525">
        <f>M35</f>
        <v>0</v>
      </c>
      <c r="CL35" s="525"/>
      <c r="CM35" s="555">
        <f t="shared" si="20"/>
        <v>43768.333333333256</v>
      </c>
      <c r="CN35" s="563">
        <f t="shared" si="21"/>
        <v>43768.166666666591</v>
      </c>
      <c r="CO35" s="527"/>
      <c r="CP35" s="803"/>
      <c r="CQ35" s="808"/>
      <c r="CR35" s="107" t="s">
        <v>223</v>
      </c>
    </row>
    <row r="36" spans="1:96" s="16" customFormat="1" x14ac:dyDescent="0.25">
      <c r="A36" s="511">
        <f>Construction!E36</f>
        <v>1000</v>
      </c>
      <c r="C36" s="56">
        <f ca="1">Production!H36</f>
        <v>4641573</v>
      </c>
      <c r="D36" s="26">
        <f ca="1">Production!J36</f>
        <v>325360</v>
      </c>
      <c r="E36" s="26">
        <f ca="1">Production!L36</f>
        <v>300000</v>
      </c>
      <c r="F36" s="57">
        <f ca="1">Production!M36</f>
        <v>20000</v>
      </c>
      <c r="G36" s="26"/>
      <c r="H36" s="56">
        <f ca="1">Military!Z36</f>
        <v>5295</v>
      </c>
      <c r="I36" s="538">
        <f ca="1">Population!I36</f>
        <v>1</v>
      </c>
      <c r="J36" s="165">
        <f ca="1">Population!F36/Population!U36</f>
        <v>1.0082680775776403</v>
      </c>
      <c r="K36" s="1000">
        <f>Rezone!J36</f>
        <v>34</v>
      </c>
      <c r="L36" s="582">
        <f t="shared" si="19"/>
        <v>43768.34374999992</v>
      </c>
      <c r="M36" s="316">
        <f t="shared" si="22"/>
        <v>0</v>
      </c>
      <c r="N36" s="638">
        <f t="shared" si="23"/>
        <v>1000</v>
      </c>
      <c r="O36" s="423" t="s">
        <v>4</v>
      </c>
      <c r="P36" s="370"/>
      <c r="Q36" s="424" t="s">
        <v>223</v>
      </c>
      <c r="R36" s="423" t="s">
        <v>7</v>
      </c>
      <c r="S36" s="370"/>
      <c r="T36" s="425" t="s">
        <v>223</v>
      </c>
      <c r="U36" s="408" t="s">
        <v>3</v>
      </c>
      <c r="V36" s="407"/>
      <c r="W36" s="409" t="s">
        <v>223</v>
      </c>
      <c r="Y36" s="501">
        <f ca="1">science_cap*(1-EXP(-AH36/(science_param*($A37-Explore!$S37*20)+15000)))*(1+(mason_bonus*Construction!BB36/Construction!BS36))+IF(Overview!$B$14="Beastfolk",Construction!DA36/Construction!E36,0)*(1 + Production!O36/100*prestige_pop_multiplier)</f>
        <v>0</v>
      </c>
      <c r="Z36" s="454">
        <f ca="1">keep_cap*(1-EXP(-AI36/(keep_param*($A37-Explore!$S37*20)+15000)))*(1+(mason_bonus*Construction!BB36/Construction!BS36))+IF(Overview!$B$14="Beastfolk",Construction!DF36/Construction!E36,0)*(1 + Production!O36/100*prestige_pop_multiplier)</f>
        <v>0</v>
      </c>
      <c r="AA36" s="454">
        <f ca="1">harbor_towers_cap*(1-EXP(-AJ36/(harbor_towers_param*($A37-Explore!$S37*20)+15000)))*(1+(mason_bonus*Construction!BB36/Construction!BS36))+IF(Overview!$B$14="Beastfolk",2*Construction!DC36/Construction!E36,0)*(1 + Production!O36/100*prestige_pop_multiplier)</f>
        <v>0</v>
      </c>
      <c r="AB36" s="454">
        <f ca="1">walls_forges_cap*(1-EXP(-AK36/(walls_forges_param*($A37-Explore!$S37*20)+15000)))*(1+(mason_bonus*Construction!BB36/Construction!BS36))+IF(Overview!$B$14="Beastfolk",0.2*Construction!CY36/Construction!E36,0)</f>
        <v>0</v>
      </c>
      <c r="AC36" s="454">
        <f ca="1">walls_forges_cap*(1-EXP(-AL36/(walls_forges_param*($A37-Explore!$S37*20)+15000)))*(1+(mason_bonus*Construction!BB36/Construction!BS36))+IF(Overview!$B$14="Beastfolk",5*Construction!DB36/Construction!E36,0)</f>
        <v>0</v>
      </c>
      <c r="AD36" s="171">
        <f ca="1">harbor_towers_cap*(1-EXP(-AM36/(harbor_towers_param*($A37-Explore!$S37*20)+15000)))*(1+(mason_bonus*Construction!BB36/Construction!BS36))+IF(Overview!$B$14="Beastfolk",Construction!DE36/Construction!E36)*(1 + Production!O36/100*prestige_pop_multiplier)</f>
        <v>0</v>
      </c>
      <c r="AE36" s="171">
        <f ca="1">armory_cap*(1-EXP(-AN36/(armory_param*($A37-Explore!$S37*20)+15000)))*(1+(mason_bonus*Construction!$BB36/Construction!$BS36))</f>
        <v>0</v>
      </c>
      <c r="AF36" s="171">
        <f ca="1">infirmary_cap*(1-EXP(-AO36/(infirmary_param*($A37-Explore!$S37*20)+15000)))*(1+(mason_bonus*Construction!$BB36/Construction!$BS36))</f>
        <v>0</v>
      </c>
      <c r="AH36" s="56">
        <f ca="1">(1+Overview!$O$28+IF(Magic!BA36&gt;0,0.1,0))*SUM(AV36:AY36) + AH35</f>
        <v>0</v>
      </c>
      <c r="AI36" s="26">
        <f ca="1">(1+Overview!$O$28+IF(Magic!BA36&gt;0,0.1,0))*SUM(BA36:BD36) + AI35</f>
        <v>0</v>
      </c>
      <c r="AJ36" s="164">
        <f ca="1">(1+Overview!$O$28+IF(Magic!BA36&gt;0,0.1,0))*SUM(BF36:BI36) + AJ35</f>
        <v>0</v>
      </c>
      <c r="AK36" s="164">
        <f ca="1">(1+Overview!$O$28+IF(Magic!BA36&gt;0,0.1,0))*SUM(BK36:BN36) + AK35</f>
        <v>0</v>
      </c>
      <c r="AL36" s="164">
        <f ca="1">(1+Overview!$O$28+IF(Magic!BA36&gt;0,0.1,0))*SUM(BP36:BS36) + AL35</f>
        <v>0</v>
      </c>
      <c r="AM36" s="166">
        <f ca="1">(1+Overview!$O$28+IF(Magic!BA36&gt;0,0.1,0))*SUM(BU36:BX36) + AM35</f>
        <v>0</v>
      </c>
      <c r="AN36" s="166">
        <f ca="1">(1+Overview!$O$28+IF(Magic!BA36&gt;0,0.1,0))*SUM(BZ36:CC36)+AN35</f>
        <v>0</v>
      </c>
      <c r="AO36" s="164">
        <f ca="1">(1+Overview!$O$28+IF(Magic!BA36&gt;0,0.1,0))*SUM(CE36:CH36)+AO35</f>
        <v>0</v>
      </c>
      <c r="AQ36" s="52">
        <f t="shared" si="41"/>
        <v>0</v>
      </c>
      <c r="AR36" s="16">
        <f t="shared" si="41"/>
        <v>0</v>
      </c>
      <c r="AS36" s="16">
        <f t="shared" si="41"/>
        <v>0</v>
      </c>
      <c r="AT36" s="53">
        <f t="shared" si="41"/>
        <v>0</v>
      </c>
      <c r="AV36" s="56">
        <f t="shared" si="25"/>
        <v>0</v>
      </c>
      <c r="AW36" s="26">
        <f t="shared" si="42"/>
        <v>0</v>
      </c>
      <c r="AX36" s="26">
        <f t="shared" si="42"/>
        <v>0</v>
      </c>
      <c r="AY36" s="57">
        <f t="shared" si="27"/>
        <v>0</v>
      </c>
      <c r="BA36" s="56">
        <f t="shared" si="28"/>
        <v>0</v>
      </c>
      <c r="BB36" s="26">
        <f t="shared" si="43"/>
        <v>0</v>
      </c>
      <c r="BC36" s="26">
        <f t="shared" si="43"/>
        <v>0</v>
      </c>
      <c r="BD36" s="57">
        <f t="shared" si="30"/>
        <v>0</v>
      </c>
      <c r="BF36" s="56">
        <f t="shared" si="31"/>
        <v>0</v>
      </c>
      <c r="BG36" s="26">
        <f t="shared" si="32"/>
        <v>0</v>
      </c>
      <c r="BH36" s="26">
        <f t="shared" si="40"/>
        <v>0</v>
      </c>
      <c r="BI36" s="57">
        <f t="shared" si="33"/>
        <v>0</v>
      </c>
      <c r="BK36" s="56">
        <f t="shared" si="34"/>
        <v>0</v>
      </c>
      <c r="BL36" s="26">
        <f t="shared" si="44"/>
        <v>0</v>
      </c>
      <c r="BM36" s="26">
        <f t="shared" si="44"/>
        <v>0</v>
      </c>
      <c r="BN36" s="57">
        <f t="shared" si="36"/>
        <v>0</v>
      </c>
      <c r="BP36" s="56">
        <f t="shared" si="37"/>
        <v>0</v>
      </c>
      <c r="BQ36" s="26">
        <f t="shared" si="45"/>
        <v>0</v>
      </c>
      <c r="BR36" s="26">
        <f t="shared" si="45"/>
        <v>0</v>
      </c>
      <c r="BS36" s="57">
        <f t="shared" si="39"/>
        <v>0</v>
      </c>
      <c r="BU36" s="56">
        <f>IF($O36=BU$2,IF($Q36=$AD$2,$P36)) + IF($R36=BU$2,IF($T36=$AD$2,$S36)) + IF($U36=BU$2,IF($W36=$AD$2,$V36))</f>
        <v>0</v>
      </c>
      <c r="BV36" s="26">
        <f>IF($O36=BV$2,IF($Q36=$AD$2,2*$P36)) + IF($R36=BV$2,IF($T36=$AD$2,2*$S36)) + IF($U36=BV$2,IF($W36=$AD$2,2*$V36))</f>
        <v>0</v>
      </c>
      <c r="BW36" s="26">
        <f>IF($O36=BW$2,IF($Q36=$AD$2,2*$P36)) + IF($R36=BW$2,IF($T36=$AD$2,2*$S36)) + IF($U36=BW$2,IF($W36=$AD$2,2*$V36))</f>
        <v>0</v>
      </c>
      <c r="BX36" s="57">
        <f>IF($O36=BX$2,IF($Q36=$AD$2,12*$P36)) + IF($R36=BX$2,IF($T36=$AD$2,12*$S36)) + IF($U36=BX$2,IF($W36=$AD$2,12*$V36))</f>
        <v>0</v>
      </c>
      <c r="BZ36" s="56">
        <f>IF($O36=BZ$2,IF($Q36=Armory,$P36)) + IF($R36=BZ$2,IF($T36=Armory,$S36)) + IF($U36=BZ$2,IF($W36=Armory,$V36))</f>
        <v>0</v>
      </c>
      <c r="CA36" s="26">
        <f>IF($O36=CA$2,IF($Q36=Armory,2*$P36)) + IF($R36=CA$2,IF($T36=Armory,2*$S36)) + IF($U36=CA$2,IF($W36=Armory,2*$V36))</f>
        <v>0</v>
      </c>
      <c r="CB36" s="26">
        <f>IF($O36=CB$2,IF($Q36=Armory,2*$P36)) + IF($R36=CB$2,IF($T36=Armory,2*$S36)) + IF($U36=CB$2,IF($W36=Armory,2*$V36))</f>
        <v>0</v>
      </c>
      <c r="CC36" s="57">
        <f>IF($O36=CC$2,IF($Q36=Armory,12*$P36)) + IF($R36=CC$2,IF($T36=Armory,12*$S36)) + IF($U36=CC$2,IF($W36=Armory,12*$V36))</f>
        <v>0</v>
      </c>
      <c r="CE36" s="56">
        <f>IF($O36=CE$2,IF($Q36=Infirmary,$P36)) + IF($R36=CE$2,IF($T36=Infirmary,$S36)) + IF($U36=CE$2,IF($W36=Infirmary,$V36))</f>
        <v>0</v>
      </c>
      <c r="CF36" s="26">
        <f>IF($O36=CF$2,IF($Q36=Infirmary,2*$P36)) + IF($R36=CF$2,IF($T36=Infirmary,2*$S36)) + IF($U36=CF$2,IF($W36=Infirmary,2*$V36))</f>
        <v>0</v>
      </c>
      <c r="CG36" s="26">
        <f>IF($O36=CG$2,IF($Q36=Infirmary,2*$P36)) + IF($R36=CG$2,IF($T36=Infirmary,2*$S36)) + IF($U36=CG$2,IF($W36=Infirmary,2*$V36))</f>
        <v>0</v>
      </c>
      <c r="CH36" s="57">
        <f>IF($O36=CH$2,IF($Q36=Infirmary,12*$P36)) + IF($R36=CH$2,IF($T36=Infirmary,12*$S36)) + IF($U36=CH$2,IF($W36=Infirmary,12*$V36))</f>
        <v>0</v>
      </c>
      <c r="CJ36" s="52" t="e">
        <f>OR(Production!C36,Construction!N36:'Construction'!AF36,Construction!BV36:CN36,Explore!S36:Z36,Military!AF36:AL36,Military!X36,Military!BE36:BL36,Rezone!L36:R36,Magic!G36:Q36)</f>
        <v>#VALUE!</v>
      </c>
      <c r="CK36" s="525">
        <f>M36</f>
        <v>0</v>
      </c>
      <c r="CL36" s="525"/>
      <c r="CM36" s="555">
        <f t="shared" si="20"/>
        <v>43768.34374999992</v>
      </c>
      <c r="CN36" s="563">
        <f t="shared" si="21"/>
        <v>43768.177083333256</v>
      </c>
      <c r="CO36" s="527"/>
      <c r="CP36" s="803"/>
      <c r="CQ36" s="808"/>
      <c r="CR36" s="107" t="s">
        <v>224</v>
      </c>
    </row>
    <row r="37" spans="1:96" s="16" customFormat="1" x14ac:dyDescent="0.25">
      <c r="A37" s="511">
        <f>Construction!E37</f>
        <v>1000</v>
      </c>
      <c r="C37" s="56">
        <f ca="1">Production!H37</f>
        <v>4646713</v>
      </c>
      <c r="D37" s="26">
        <f ca="1">Production!J37</f>
        <v>324606</v>
      </c>
      <c r="E37" s="26">
        <f ca="1">Production!L37</f>
        <v>300000</v>
      </c>
      <c r="F37" s="57">
        <f ca="1">Production!M37</f>
        <v>20000</v>
      </c>
      <c r="G37" s="26"/>
      <c r="H37" s="56">
        <f ca="1">Military!Z37</f>
        <v>5295</v>
      </c>
      <c r="I37" s="538">
        <f ca="1">Population!I37</f>
        <v>1</v>
      </c>
      <c r="J37" s="165">
        <f ca="1">Population!F37/Population!U37</f>
        <v>1</v>
      </c>
      <c r="K37" s="1000">
        <f>Rezone!J37</f>
        <v>35</v>
      </c>
      <c r="L37" s="582">
        <f t="shared" si="19"/>
        <v>43768.354166666584</v>
      </c>
      <c r="M37" s="316">
        <f t="shared" si="22"/>
        <v>0</v>
      </c>
      <c r="N37" s="638">
        <f t="shared" si="23"/>
        <v>1000</v>
      </c>
      <c r="O37" s="423" t="s">
        <v>4</v>
      </c>
      <c r="P37" s="370"/>
      <c r="Q37" s="424" t="s">
        <v>223</v>
      </c>
      <c r="R37" s="423" t="s">
        <v>7</v>
      </c>
      <c r="S37" s="370"/>
      <c r="T37" s="425" t="s">
        <v>223</v>
      </c>
      <c r="U37" s="408" t="s">
        <v>3</v>
      </c>
      <c r="V37" s="407"/>
      <c r="W37" s="409" t="s">
        <v>223</v>
      </c>
      <c r="Y37" s="501">
        <f ca="1">science_cap*(1-EXP(-AH37/(science_param*($A38-Explore!$S38*20)+15000)))*(1+(mason_bonus*Construction!BB37/Construction!BS37))+IF(Overview!$B$14="Beastfolk",Construction!DA37/Construction!E37,0)*(1 + Production!O37/100*prestige_pop_multiplier)</f>
        <v>0</v>
      </c>
      <c r="Z37" s="454">
        <f ca="1">keep_cap*(1-EXP(-AI37/(keep_param*($A38-Explore!$S38*20)+15000)))*(1+(mason_bonus*Construction!BB37/Construction!BS37))+IF(Overview!$B$14="Beastfolk",Construction!DF37/Construction!E37,0)*(1 + Production!O37/100*prestige_pop_multiplier)</f>
        <v>0</v>
      </c>
      <c r="AA37" s="454">
        <f ca="1">harbor_towers_cap*(1-EXP(-AJ37/(harbor_towers_param*($A38-Explore!$S38*20)+15000)))*(1+(mason_bonus*Construction!BB37/Construction!BS37))+IF(Overview!$B$14="Beastfolk",2*Construction!DC37/Construction!E37,0)*(1 + Production!O37/100*prestige_pop_multiplier)</f>
        <v>0</v>
      </c>
      <c r="AB37" s="454">
        <f ca="1">walls_forges_cap*(1-EXP(-AK37/(walls_forges_param*($A38-Explore!$S38*20)+15000)))*(1+(mason_bonus*Construction!BB37/Construction!BS37))+IF(Overview!$B$14="Beastfolk",0.2*Construction!CY37/Construction!E37,0)</f>
        <v>0</v>
      </c>
      <c r="AC37" s="454">
        <f ca="1">walls_forges_cap*(1-EXP(-AL37/(walls_forges_param*($A38-Explore!$S38*20)+15000)))*(1+(mason_bonus*Construction!BB37/Construction!BS37))+IF(Overview!$B$14="Beastfolk",5*Construction!DB37/Construction!E37,0)</f>
        <v>0</v>
      </c>
      <c r="AD37" s="171">
        <f ca="1">harbor_towers_cap*(1-EXP(-AM37/(harbor_towers_param*($A38-Explore!$S38*20)+15000)))*(1+(mason_bonus*Construction!BB37/Construction!BS37))+IF(Overview!$B$14="Beastfolk",Construction!DE37/Construction!E37)*(1 + Production!O37/100*prestige_pop_multiplier)</f>
        <v>0</v>
      </c>
      <c r="AE37" s="171">
        <f ca="1">armory_cap*(1-EXP(-AN37/(armory_param*($A38-Explore!$S38*20)+15000)))*(1+(mason_bonus*Construction!$BB37/Construction!$BS37))</f>
        <v>0</v>
      </c>
      <c r="AF37" s="171">
        <f ca="1">infirmary_cap*(1-EXP(-AO37/(infirmary_param*($A38-Explore!$S38*20)+15000)))*(1+(mason_bonus*Construction!$BB37/Construction!$BS37))</f>
        <v>0</v>
      </c>
      <c r="AH37" s="56">
        <f ca="1">(1+Overview!$O$28+IF(Magic!BA37&gt;0,0.1,0))*SUM(AV37:AY37) + AH36</f>
        <v>0</v>
      </c>
      <c r="AI37" s="26">
        <f ca="1">(1+Overview!$O$28+IF(Magic!BA37&gt;0,0.1,0))*SUM(BA37:BD37) + AI36</f>
        <v>0</v>
      </c>
      <c r="AJ37" s="164">
        <f ca="1">(1+Overview!$O$28+IF(Magic!BA37&gt;0,0.1,0))*SUM(BF37:BI37) + AJ36</f>
        <v>0</v>
      </c>
      <c r="AK37" s="164">
        <f ca="1">(1+Overview!$O$28+IF(Magic!BA37&gt;0,0.1,0))*SUM(BK37:BN37) + AK36</f>
        <v>0</v>
      </c>
      <c r="AL37" s="164">
        <f ca="1">(1+Overview!$O$28+IF(Magic!BA37&gt;0,0.1,0))*SUM(BP37:BS37) + AL36</f>
        <v>0</v>
      </c>
      <c r="AM37" s="166">
        <f ca="1">(1+Overview!$O$28+IF(Magic!BA37&gt;0,0.1,0))*SUM(BU37:BX37) + AM36</f>
        <v>0</v>
      </c>
      <c r="AN37" s="166">
        <f ca="1">(1+Overview!$O$28+IF(Magic!BA37&gt;0,0.1,0))*SUM(BZ37:CC37)+AN36</f>
        <v>0</v>
      </c>
      <c r="AO37" s="164">
        <f ca="1">(1+Overview!$O$28+IF(Magic!BA37&gt;0,0.1,0))*SUM(CE37:CH37)+AO36</f>
        <v>0</v>
      </c>
      <c r="AQ37" s="52">
        <f t="shared" si="41"/>
        <v>0</v>
      </c>
      <c r="AR37" s="16">
        <f t="shared" si="41"/>
        <v>0</v>
      </c>
      <c r="AS37" s="16">
        <f t="shared" si="41"/>
        <v>0</v>
      </c>
      <c r="AT37" s="53">
        <f t="shared" si="41"/>
        <v>0</v>
      </c>
      <c r="AV37" s="56">
        <f t="shared" si="25"/>
        <v>0</v>
      </c>
      <c r="AW37" s="26">
        <f t="shared" si="42"/>
        <v>0</v>
      </c>
      <c r="AX37" s="26">
        <f t="shared" si="42"/>
        <v>0</v>
      </c>
      <c r="AY37" s="57">
        <f t="shared" si="27"/>
        <v>0</v>
      </c>
      <c r="BA37" s="56">
        <f t="shared" si="28"/>
        <v>0</v>
      </c>
      <c r="BB37" s="26">
        <f t="shared" si="43"/>
        <v>0</v>
      </c>
      <c r="BC37" s="26">
        <f t="shared" si="43"/>
        <v>0</v>
      </c>
      <c r="BD37" s="57">
        <f t="shared" si="30"/>
        <v>0</v>
      </c>
      <c r="BF37" s="56">
        <f t="shared" si="31"/>
        <v>0</v>
      </c>
      <c r="BG37" s="26">
        <f t="shared" si="32"/>
        <v>0</v>
      </c>
      <c r="BH37" s="26">
        <f t="shared" si="40"/>
        <v>0</v>
      </c>
      <c r="BI37" s="57">
        <f t="shared" si="33"/>
        <v>0</v>
      </c>
      <c r="BK37" s="56">
        <f t="shared" si="34"/>
        <v>0</v>
      </c>
      <c r="BL37" s="26">
        <f t="shared" si="44"/>
        <v>0</v>
      </c>
      <c r="BM37" s="26">
        <f t="shared" si="44"/>
        <v>0</v>
      </c>
      <c r="BN37" s="57">
        <f t="shared" si="36"/>
        <v>0</v>
      </c>
      <c r="BP37" s="56">
        <f t="shared" si="37"/>
        <v>0</v>
      </c>
      <c r="BQ37" s="26">
        <f t="shared" si="45"/>
        <v>0</v>
      </c>
      <c r="BR37" s="26">
        <f t="shared" si="45"/>
        <v>0</v>
      </c>
      <c r="BS37" s="57">
        <f t="shared" si="39"/>
        <v>0</v>
      </c>
      <c r="BU37" s="56">
        <f>IF($O37=BU$2,IF($Q37=$AD$2,$P37)) + IF($R37=BU$2,IF($T37=$AD$2,$S37)) + IF($U37=BU$2,IF($W37=$AD$2,$V37))</f>
        <v>0</v>
      </c>
      <c r="BV37" s="26">
        <f>IF($O37=BV$2,IF($Q37=$AD$2,2*$P37)) + IF($R37=BV$2,IF($T37=$AD$2,2*$S37)) + IF($U37=BV$2,IF($W37=$AD$2,2*$V37))</f>
        <v>0</v>
      </c>
      <c r="BW37" s="26">
        <f>IF($O37=BW$2,IF($Q37=$AD$2,2*$P37)) + IF($R37=BW$2,IF($T37=$AD$2,2*$S37)) + IF($U37=BW$2,IF($W37=$AD$2,2*$V37))</f>
        <v>0</v>
      </c>
      <c r="BX37" s="57">
        <f>IF($O37=BX$2,IF($Q37=$AD$2,12*$P37)) + IF($R37=BX$2,IF($T37=$AD$2,12*$S37)) + IF($U37=BX$2,IF($W37=$AD$2,12*$V37))</f>
        <v>0</v>
      </c>
      <c r="BZ37" s="56">
        <f>IF($O37=BZ$2,IF($Q37=Armory,$P37)) + IF($R37=BZ$2,IF($T37=Armory,$S37)) + IF($U37=BZ$2,IF($W37=Armory,$V37))</f>
        <v>0</v>
      </c>
      <c r="CA37" s="26">
        <f>IF($O37=CA$2,IF($Q37=Armory,2*$P37)) + IF($R37=CA$2,IF($T37=Armory,2*$S37)) + IF($U37=CA$2,IF($W37=Armory,2*$V37))</f>
        <v>0</v>
      </c>
      <c r="CB37" s="26">
        <f>IF($O37=CB$2,IF($Q37=Armory,2*$P37)) + IF($R37=CB$2,IF($T37=Armory,2*$S37)) + IF($U37=CB$2,IF($W37=Armory,2*$V37))</f>
        <v>0</v>
      </c>
      <c r="CC37" s="57">
        <f>IF($O37=CC$2,IF($Q37=Armory,12*$P37)) + IF($R37=CC$2,IF($T37=Armory,12*$S37)) + IF($U37=CC$2,IF($W37=Armory,12*$V37))</f>
        <v>0</v>
      </c>
      <c r="CE37" s="56">
        <f>IF($O37=CE$2,IF($Q37=Infirmary,$P37)) + IF($R37=CE$2,IF($T37=Infirmary,$S37)) + IF($U37=CE$2,IF($W37=Infirmary,$V37))</f>
        <v>0</v>
      </c>
      <c r="CF37" s="26">
        <f>IF($O37=CF$2,IF($Q37=Infirmary,2*$P37)) + IF($R37=CF$2,IF($T37=Infirmary,2*$S37)) + IF($U37=CF$2,IF($W37=Infirmary,2*$V37))</f>
        <v>0</v>
      </c>
      <c r="CG37" s="26">
        <f>IF($O37=CG$2,IF($Q37=Infirmary,2*$P37)) + IF($R37=CG$2,IF($T37=Infirmary,2*$S37)) + IF($U37=CG$2,IF($W37=Infirmary,2*$V37))</f>
        <v>0</v>
      </c>
      <c r="CH37" s="57">
        <f>IF($O37=CH$2,IF($Q37=Infirmary,12*$P37)) + IF($R37=CH$2,IF($T37=Infirmary,12*$S37)) + IF($U37=CH$2,IF($W37=Infirmary,12*$V37))</f>
        <v>0</v>
      </c>
      <c r="CJ37" s="52" t="e">
        <f>OR(Production!C37,Construction!N37:'Construction'!AF37,Construction!BV37:CN37,Explore!S37:Z37,Military!AF37:AL37,Military!X37,Military!BE37:BL37,Rezone!L37:R37,Magic!G37:Q37)</f>
        <v>#VALUE!</v>
      </c>
      <c r="CK37" s="525">
        <f>M37</f>
        <v>0</v>
      </c>
      <c r="CL37" s="525"/>
      <c r="CM37" s="555">
        <f t="shared" si="20"/>
        <v>43768.354166666584</v>
      </c>
      <c r="CN37" s="563">
        <f t="shared" si="21"/>
        <v>43768.18749999992</v>
      </c>
      <c r="CO37" s="527"/>
      <c r="CP37" s="803"/>
      <c r="CQ37" s="808"/>
      <c r="CR37" s="107" t="s">
        <v>225</v>
      </c>
    </row>
    <row r="38" spans="1:96" s="16" customFormat="1" x14ac:dyDescent="0.25">
      <c r="A38" s="511">
        <f>Construction!E38</f>
        <v>1000</v>
      </c>
      <c r="C38" s="56">
        <f ca="1">Production!H38</f>
        <v>4651694</v>
      </c>
      <c r="D38" s="26">
        <f ca="1">Production!J38</f>
        <v>323860</v>
      </c>
      <c r="E38" s="26">
        <f ca="1">Production!L38</f>
        <v>300000</v>
      </c>
      <c r="F38" s="57">
        <f ca="1">Production!M38</f>
        <v>20000</v>
      </c>
      <c r="G38" s="26"/>
      <c r="H38" s="56">
        <f ca="1">Military!Z38</f>
        <v>5295</v>
      </c>
      <c r="I38" s="538">
        <f ca="1">Population!I38</f>
        <v>1</v>
      </c>
      <c r="J38" s="165">
        <f ca="1">Population!F38/Population!U38</f>
        <v>1</v>
      </c>
      <c r="K38" s="1000">
        <f>Rezone!J38</f>
        <v>36</v>
      </c>
      <c r="L38" s="582">
        <f t="shared" si="19"/>
        <v>43768.364583333248</v>
      </c>
      <c r="M38" s="316">
        <f t="shared" si="22"/>
        <v>0</v>
      </c>
      <c r="N38" s="638">
        <f t="shared" si="23"/>
        <v>1000</v>
      </c>
      <c r="O38" s="423" t="s">
        <v>4</v>
      </c>
      <c r="P38" s="370"/>
      <c r="Q38" s="424" t="s">
        <v>223</v>
      </c>
      <c r="R38" s="423" t="s">
        <v>7</v>
      </c>
      <c r="S38" s="370"/>
      <c r="T38" s="425" t="s">
        <v>223</v>
      </c>
      <c r="U38" s="408" t="s">
        <v>3</v>
      </c>
      <c r="V38" s="407"/>
      <c r="W38" s="409" t="s">
        <v>223</v>
      </c>
      <c r="Y38" s="501">
        <f ca="1">science_cap*(1-EXP(-AH38/(science_param*($A39-Explore!$S39*20)+15000)))*(1+(mason_bonus*Construction!BB38/Construction!BS38))+IF(Overview!$B$14="Beastfolk",Construction!DA38/Construction!E38,0)*(1 + Production!O38/100*prestige_pop_multiplier)</f>
        <v>0</v>
      </c>
      <c r="Z38" s="454">
        <f ca="1">keep_cap*(1-EXP(-AI38/(keep_param*($A39-Explore!$S39*20)+15000)))*(1+(mason_bonus*Construction!BB38/Construction!BS38))+IF(Overview!$B$14="Beastfolk",Construction!DF38/Construction!E38,0)*(1 + Production!O38/100*prestige_pop_multiplier)</f>
        <v>0</v>
      </c>
      <c r="AA38" s="454">
        <f ca="1">harbor_towers_cap*(1-EXP(-AJ38/(harbor_towers_param*($A39-Explore!$S39*20)+15000)))*(1+(mason_bonus*Construction!BB38/Construction!BS38))+IF(Overview!$B$14="Beastfolk",2*Construction!DC38/Construction!E38,0)*(1 + Production!O38/100*prestige_pop_multiplier)</f>
        <v>0</v>
      </c>
      <c r="AB38" s="454">
        <f ca="1">walls_forges_cap*(1-EXP(-AK38/(walls_forges_param*($A39-Explore!$S39*20)+15000)))*(1+(mason_bonus*Construction!BB38/Construction!BS38))+IF(Overview!$B$14="Beastfolk",0.2*Construction!CY38/Construction!E38,0)</f>
        <v>0</v>
      </c>
      <c r="AC38" s="454">
        <f ca="1">walls_forges_cap*(1-EXP(-AL38/(walls_forges_param*($A39-Explore!$S39*20)+15000)))*(1+(mason_bonus*Construction!BB38/Construction!BS38))+IF(Overview!$B$14="Beastfolk",5*Construction!DB38/Construction!E38,0)</f>
        <v>0</v>
      </c>
      <c r="AD38" s="171">
        <f ca="1">harbor_towers_cap*(1-EXP(-AM38/(harbor_towers_param*($A39-Explore!$S39*20)+15000)))*(1+(mason_bonus*Construction!BB38/Construction!BS38))+IF(Overview!$B$14="Beastfolk",Construction!DE38/Construction!E38)*(1 + Production!O38/100*prestige_pop_multiplier)</f>
        <v>0</v>
      </c>
      <c r="AE38" s="171">
        <f ca="1">armory_cap*(1-EXP(-AN38/(armory_param*($A39-Explore!$S39*20)+15000)))*(1+(mason_bonus*Construction!$BB38/Construction!$BS38))</f>
        <v>0</v>
      </c>
      <c r="AF38" s="171">
        <f ca="1">infirmary_cap*(1-EXP(-AO38/(infirmary_param*($A39-Explore!$S39*20)+15000)))*(1+(mason_bonus*Construction!$BB38/Construction!$BS38))</f>
        <v>0</v>
      </c>
      <c r="AH38" s="56">
        <f ca="1">(1+Overview!$O$28+IF(Magic!BA38&gt;0,0.1,0))*SUM(AV38:AY38) + AH37</f>
        <v>0</v>
      </c>
      <c r="AI38" s="26">
        <f ca="1">(1+Overview!$O$28+IF(Magic!BA38&gt;0,0.1,0))*SUM(BA38:BD38) + AI37</f>
        <v>0</v>
      </c>
      <c r="AJ38" s="164">
        <f ca="1">(1+Overview!$O$28+IF(Magic!BA38&gt;0,0.1,0))*SUM(BF38:BI38) + AJ37</f>
        <v>0</v>
      </c>
      <c r="AK38" s="164">
        <f ca="1">(1+Overview!$O$28+IF(Magic!BA38&gt;0,0.1,0))*SUM(BK38:BN38) + AK37</f>
        <v>0</v>
      </c>
      <c r="AL38" s="164">
        <f ca="1">(1+Overview!$O$28+IF(Magic!BA38&gt;0,0.1,0))*SUM(BP38:BS38) + AL37</f>
        <v>0</v>
      </c>
      <c r="AM38" s="166">
        <f ca="1">(1+Overview!$O$28+IF(Magic!BA38&gt;0,0.1,0))*SUM(BU38:BX38) + AM37</f>
        <v>0</v>
      </c>
      <c r="AN38" s="166">
        <f ca="1">(1+Overview!$O$28+IF(Magic!BA38&gt;0,0.1,0))*SUM(BZ38:CC38)+AN37</f>
        <v>0</v>
      </c>
      <c r="AO38" s="164">
        <f ca="1">(1+Overview!$O$28+IF(Magic!BA38&gt;0,0.1,0))*SUM(CE38:CH38)+AO37</f>
        <v>0</v>
      </c>
      <c r="AQ38" s="52">
        <f t="shared" si="41"/>
        <v>0</v>
      </c>
      <c r="AR38" s="16">
        <f t="shared" si="41"/>
        <v>0</v>
      </c>
      <c r="AS38" s="16">
        <f t="shared" si="41"/>
        <v>0</v>
      </c>
      <c r="AT38" s="53">
        <f t="shared" si="41"/>
        <v>0</v>
      </c>
      <c r="AV38" s="56">
        <f t="shared" si="25"/>
        <v>0</v>
      </c>
      <c r="AW38" s="26">
        <f t="shared" si="42"/>
        <v>0</v>
      </c>
      <c r="AX38" s="26">
        <f t="shared" si="42"/>
        <v>0</v>
      </c>
      <c r="AY38" s="57">
        <f t="shared" si="27"/>
        <v>0</v>
      </c>
      <c r="BA38" s="56">
        <f t="shared" si="28"/>
        <v>0</v>
      </c>
      <c r="BB38" s="26">
        <f t="shared" si="43"/>
        <v>0</v>
      </c>
      <c r="BC38" s="26">
        <f t="shared" si="43"/>
        <v>0</v>
      </c>
      <c r="BD38" s="57">
        <f t="shared" si="30"/>
        <v>0</v>
      </c>
      <c r="BF38" s="56">
        <f t="shared" si="31"/>
        <v>0</v>
      </c>
      <c r="BG38" s="26">
        <f t="shared" si="32"/>
        <v>0</v>
      </c>
      <c r="BH38" s="26">
        <f t="shared" si="40"/>
        <v>0</v>
      </c>
      <c r="BI38" s="57">
        <f t="shared" si="33"/>
        <v>0</v>
      </c>
      <c r="BK38" s="56">
        <f t="shared" si="34"/>
        <v>0</v>
      </c>
      <c r="BL38" s="26">
        <f t="shared" si="44"/>
        <v>0</v>
      </c>
      <c r="BM38" s="26">
        <f t="shared" si="44"/>
        <v>0</v>
      </c>
      <c r="BN38" s="57">
        <f t="shared" si="36"/>
        <v>0</v>
      </c>
      <c r="BP38" s="56">
        <f t="shared" si="37"/>
        <v>0</v>
      </c>
      <c r="BQ38" s="26">
        <f t="shared" si="45"/>
        <v>0</v>
      </c>
      <c r="BR38" s="26">
        <f t="shared" si="45"/>
        <v>0</v>
      </c>
      <c r="BS38" s="57">
        <f t="shared" si="39"/>
        <v>0</v>
      </c>
      <c r="BU38" s="56">
        <f>IF($O38=BU$2,IF($Q38=$AD$2,$P38)) + IF($R38=BU$2,IF($T38=$AD$2,$S38)) + IF($U38=BU$2,IF($W38=$AD$2,$V38))</f>
        <v>0</v>
      </c>
      <c r="BV38" s="26">
        <f>IF($O38=BV$2,IF($Q38=$AD$2,2*$P38)) + IF($R38=BV$2,IF($T38=$AD$2,2*$S38)) + IF($U38=BV$2,IF($W38=$AD$2,2*$V38))</f>
        <v>0</v>
      </c>
      <c r="BW38" s="26">
        <f>IF($O38=BW$2,IF($Q38=$AD$2,2*$P38)) + IF($R38=BW$2,IF($T38=$AD$2,2*$S38)) + IF($U38=BW$2,IF($W38=$AD$2,2*$V38))</f>
        <v>0</v>
      </c>
      <c r="BX38" s="57">
        <f>IF($O38=BX$2,IF($Q38=$AD$2,12*$P38)) + IF($R38=BX$2,IF($T38=$AD$2,12*$S38)) + IF($U38=BX$2,IF($W38=$AD$2,12*$V38))</f>
        <v>0</v>
      </c>
      <c r="BZ38" s="56">
        <f>IF($O38=BZ$2,IF($Q38=Armory,$P38)) + IF($R38=BZ$2,IF($T38=Armory,$S38)) + IF($U38=BZ$2,IF($W38=Armory,$V38))</f>
        <v>0</v>
      </c>
      <c r="CA38" s="26">
        <f>IF($O38=CA$2,IF($Q38=Armory,2*$P38)) + IF($R38=CA$2,IF($T38=Armory,2*$S38)) + IF($U38=CA$2,IF($W38=Armory,2*$V38))</f>
        <v>0</v>
      </c>
      <c r="CB38" s="26">
        <f>IF($O38=CB$2,IF($Q38=Armory,2*$P38)) + IF($R38=CB$2,IF($T38=Armory,2*$S38)) + IF($U38=CB$2,IF($W38=Armory,2*$V38))</f>
        <v>0</v>
      </c>
      <c r="CC38" s="57">
        <f>IF($O38=CC$2,IF($Q38=Armory,12*$P38)) + IF($R38=CC$2,IF($T38=Armory,12*$S38)) + IF($U38=CC$2,IF($W38=Armory,12*$V38))</f>
        <v>0</v>
      </c>
      <c r="CE38" s="56">
        <f>IF($O38=CE$2,IF($Q38=Infirmary,$P38)) + IF($R38=CE$2,IF($T38=Infirmary,$S38)) + IF($U38=CE$2,IF($W38=Infirmary,$V38))</f>
        <v>0</v>
      </c>
      <c r="CF38" s="26">
        <f>IF($O38=CF$2,IF($Q38=Infirmary,2*$P38)) + IF($R38=CF$2,IF($T38=Infirmary,2*$S38)) + IF($U38=CF$2,IF($W38=Infirmary,2*$V38))</f>
        <v>0</v>
      </c>
      <c r="CG38" s="26">
        <f>IF($O38=CG$2,IF($Q38=Infirmary,2*$P38)) + IF($R38=CG$2,IF($T38=Infirmary,2*$S38)) + IF($U38=CG$2,IF($W38=Infirmary,2*$V38))</f>
        <v>0</v>
      </c>
      <c r="CH38" s="57">
        <f>IF($O38=CH$2,IF($Q38=Infirmary,12*$P38)) + IF($R38=CH$2,IF($T38=Infirmary,12*$S38)) + IF($U38=CH$2,IF($W38=Infirmary,12*$V38))</f>
        <v>0</v>
      </c>
      <c r="CJ38" s="52" t="e">
        <f>OR(Production!C38,Construction!N38:'Construction'!AF38,Construction!BV38:CN38,Explore!S38:Z38,Military!AF38:AL38,Military!X38,Military!BE38:BL38,Rezone!L38:R38,Magic!G38:Q38)</f>
        <v>#VALUE!</v>
      </c>
      <c r="CK38" s="525">
        <f>M38</f>
        <v>0</v>
      </c>
      <c r="CL38" s="525"/>
      <c r="CM38" s="555">
        <f t="shared" si="20"/>
        <v>43768.364583333248</v>
      </c>
      <c r="CN38" s="563">
        <f t="shared" si="21"/>
        <v>43768.197916666584</v>
      </c>
      <c r="CO38" s="527"/>
      <c r="CP38" s="803"/>
      <c r="CQ38" s="808"/>
      <c r="CR38" s="16" t="s">
        <v>226</v>
      </c>
    </row>
    <row r="39" spans="1:96" s="12" customFormat="1" x14ac:dyDescent="0.25">
      <c r="A39" s="513">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1">
        <f>Rezone!J39</f>
        <v>37</v>
      </c>
      <c r="L39" s="581">
        <f t="shared" si="19"/>
        <v>43768.374999999913</v>
      </c>
      <c r="M39" s="648">
        <f t="shared" si="22"/>
        <v>0</v>
      </c>
      <c r="N39" s="641">
        <f t="shared" si="23"/>
        <v>1000</v>
      </c>
      <c r="O39" s="427" t="s">
        <v>4</v>
      </c>
      <c r="P39" s="428"/>
      <c r="Q39" s="429" t="s">
        <v>223</v>
      </c>
      <c r="R39" s="427" t="s">
        <v>7</v>
      </c>
      <c r="S39" s="428"/>
      <c r="T39" s="430" t="s">
        <v>223</v>
      </c>
      <c r="U39" s="411" t="s">
        <v>3</v>
      </c>
      <c r="V39" s="410"/>
      <c r="W39" s="412" t="s">
        <v>223</v>
      </c>
      <c r="Y39" s="523">
        <f ca="1">science_cap*(1-EXP(-AH39/(science_param*($A40-Explore!$S40*20)+15000)))*(1+(mason_bonus*Construction!BB39/Construction!BS39))+IF(Overview!$B$14="Beastfolk",Construction!DA39/Construction!E39,0)*(1 + Production!O39/100*prestige_pop_multiplier)</f>
        <v>0</v>
      </c>
      <c r="Z39" s="467">
        <f ca="1">keep_cap*(1-EXP(-AI39/(keep_param*($A40-Explore!$S40*20)+15000)))*(1+(mason_bonus*Construction!BB39/Construction!BS39))+IF(Overview!$B$14="Beastfolk",Construction!DF39/Construction!E39,0)*(1 + Production!O39/100*prestige_pop_multiplier)</f>
        <v>0</v>
      </c>
      <c r="AA39" s="456">
        <f ca="1">harbor_towers_cap*(1-EXP(-AJ39/(harbor_towers_param*($A40-Explore!$S40*20)+15000)))*(1+(mason_bonus*Construction!BB39/Construction!BS39))+IF(Overview!$B$14="Beastfolk",2*Construction!DC39/Construction!E39,0)*(1 + Production!O39/100*prestige_pop_multiplier)</f>
        <v>0</v>
      </c>
      <c r="AB39" s="456">
        <f ca="1">walls_forges_cap*(1-EXP(-AK39/(walls_forges_param*($A40-Explore!$S40*20)+15000)))*(1+(mason_bonus*Construction!BB39/Construction!BS39))+IF(Overview!$B$14="Beastfolk",0.2*Construction!CY39/Construction!E39,0)</f>
        <v>0</v>
      </c>
      <c r="AC39" s="456">
        <f ca="1">walls_forges_cap*(1-EXP(-AL39/(walls_forges_param*($A40-Explore!$S40*20)+15000)))*(1+(mason_bonus*Construction!BB39/Construction!BS39))+IF(Overview!$B$14="Beastfolk",5*Construction!DB39/Construction!E39,0)</f>
        <v>0</v>
      </c>
      <c r="AD39" s="96">
        <f ca="1">harbor_towers_cap*(1-EXP(-AM39/(harbor_towers_param*($A40-Explore!$S40*20)+15000)))*(1+(mason_bonus*Construction!BB39/Construction!BS39))+IF(Overview!$B$14="Beastfolk",Construction!DE39/Construction!E39)*(1 + Production!O39/100*prestige_pop_multiplier)</f>
        <v>0</v>
      </c>
      <c r="AE39" s="96">
        <f ca="1">armory_cap*(1-EXP(-AN39/(armory_param*($A40-Explore!$S40*20)+15000)))*(1+(mason_bonus*Construction!$BB39/Construction!$BS39))</f>
        <v>0</v>
      </c>
      <c r="AF39" s="96">
        <f ca="1">infirmary_cap*(1-EXP(-AO39/(infirmary_param*($A40-Explore!$S40*20)+15000)))*(1+(mason_bonus*Construction!$BB39/Construction!$BS39))</f>
        <v>0</v>
      </c>
      <c r="AH39" s="54">
        <f ca="1">(1+Overview!$O$28+IF(Magic!BA39&gt;0,0.1,0))*SUM(AV39:AY39) + AH38</f>
        <v>0</v>
      </c>
      <c r="AI39" s="13">
        <f ca="1">(1+Overview!$O$28+IF(Magic!BA39&gt;0,0.1,0))*SUM(BA39:BD39) + AI38</f>
        <v>0</v>
      </c>
      <c r="AJ39" s="153">
        <f ca="1">(1+Overview!$O$28+IF(Magic!BA39&gt;0,0.1,0))*SUM(BF39:BI39) + AJ38</f>
        <v>0</v>
      </c>
      <c r="AK39" s="153">
        <f ca="1">(1+Overview!$O$28+IF(Magic!BA39&gt;0,0.1,0))*SUM(BK39:BN39) + AK38</f>
        <v>0</v>
      </c>
      <c r="AL39" s="153">
        <f ca="1">(1+Overview!$O$28+IF(Magic!BA39&gt;0,0.1,0))*SUM(BP39:BS39) + AL38</f>
        <v>0</v>
      </c>
      <c r="AM39" s="158">
        <f ca="1">(1+Overview!$O$28+IF(Magic!BA39&gt;0,0.1,0))*SUM(BU39:BX39) + AM38</f>
        <v>0</v>
      </c>
      <c r="AN39" s="158">
        <f ca="1">(1+Overview!$O$28+IF(Magic!BA39&gt;0,0.1,0))*SUM(BZ39:CC39)+AN38</f>
        <v>0</v>
      </c>
      <c r="AO39" s="153">
        <f ca="1">(1+Overview!$O$28+IF(Magic!BA39&gt;0,0.1,0))*SUM(CE39:CH39)+AO38</f>
        <v>0</v>
      </c>
      <c r="AQ39" s="50">
        <f t="shared" si="41"/>
        <v>0</v>
      </c>
      <c r="AR39" s="12">
        <f t="shared" si="41"/>
        <v>0</v>
      </c>
      <c r="AS39" s="12">
        <f t="shared" si="41"/>
        <v>0</v>
      </c>
      <c r="AT39" s="51">
        <f t="shared" si="41"/>
        <v>0</v>
      </c>
      <c r="AV39" s="54">
        <f t="shared" si="25"/>
        <v>0</v>
      </c>
      <c r="AW39" s="13">
        <f t="shared" si="42"/>
        <v>0</v>
      </c>
      <c r="AX39" s="13">
        <f t="shared" si="42"/>
        <v>0</v>
      </c>
      <c r="AY39" s="55">
        <f t="shared" si="27"/>
        <v>0</v>
      </c>
      <c r="BA39" s="54">
        <f t="shared" si="28"/>
        <v>0</v>
      </c>
      <c r="BB39" s="13">
        <f t="shared" si="43"/>
        <v>0</v>
      </c>
      <c r="BC39" s="13">
        <f t="shared" si="43"/>
        <v>0</v>
      </c>
      <c r="BD39" s="55">
        <f t="shared" si="30"/>
        <v>0</v>
      </c>
      <c r="BF39" s="54">
        <f t="shared" si="31"/>
        <v>0</v>
      </c>
      <c r="BG39" s="13">
        <f t="shared" si="32"/>
        <v>0</v>
      </c>
      <c r="BH39" s="13">
        <f t="shared" si="40"/>
        <v>0</v>
      </c>
      <c r="BI39" s="55">
        <f t="shared" si="33"/>
        <v>0</v>
      </c>
      <c r="BK39" s="54">
        <f t="shared" si="34"/>
        <v>0</v>
      </c>
      <c r="BL39" s="13">
        <f t="shared" si="44"/>
        <v>0</v>
      </c>
      <c r="BM39" s="13">
        <f t="shared" si="44"/>
        <v>0</v>
      </c>
      <c r="BN39" s="55">
        <f t="shared" si="36"/>
        <v>0</v>
      </c>
      <c r="BP39" s="54">
        <f t="shared" si="37"/>
        <v>0</v>
      </c>
      <c r="BQ39" s="13">
        <f t="shared" si="45"/>
        <v>0</v>
      </c>
      <c r="BR39" s="13">
        <f t="shared" si="45"/>
        <v>0</v>
      </c>
      <c r="BS39" s="55">
        <f t="shared" si="39"/>
        <v>0</v>
      </c>
      <c r="BU39" s="54">
        <f>IF($O39=BU$2,IF($Q39=$AD$2,$P39)) + IF($R39=BU$2,IF($T39=$AD$2,$S39)) + IF($U39=BU$2,IF($W39=$AD$2,$V39))</f>
        <v>0</v>
      </c>
      <c r="BV39" s="13">
        <f>IF($O39=BV$2,IF($Q39=$AD$2,2*$P39)) + IF($R39=BV$2,IF($T39=$AD$2,2*$S39)) + IF($U39=BV$2,IF($W39=$AD$2,2*$V39))</f>
        <v>0</v>
      </c>
      <c r="BW39" s="13">
        <f>IF($O39=BW$2,IF($Q39=$AD$2,2*$P39)) + IF($R39=BW$2,IF($T39=$AD$2,2*$S39)) + IF($U39=BW$2,IF($W39=$AD$2,2*$V39))</f>
        <v>0</v>
      </c>
      <c r="BX39" s="55">
        <f>IF($O39=BX$2,IF($Q39=$AD$2,12*$P39)) + IF($R39=BX$2,IF($T39=$AD$2,12*$S39)) + IF($U39=BX$2,IF($W39=$AD$2,12*$V39))</f>
        <v>0</v>
      </c>
      <c r="BZ39" s="54">
        <f>IF($O39=BZ$2,IF($Q39=Armory,$P39)) + IF($R39=BZ$2,IF($T39=Armory,$S39)) + IF($U39=BZ$2,IF($W39=Armory,$V39))</f>
        <v>0</v>
      </c>
      <c r="CA39" s="13">
        <f>IF($O39=CA$2,IF($Q39=Armory,2*$P39)) + IF($R39=CA$2,IF($T39=Armory,2*$S39)) + IF($U39=CA$2,IF($W39=Armory,2*$V39))</f>
        <v>0</v>
      </c>
      <c r="CB39" s="13">
        <f>IF($O39=CB$2,IF($Q39=Armory,2*$P39)) + IF($R39=CB$2,IF($T39=Armory,2*$S39)) + IF($U39=CB$2,IF($W39=Armory,2*$V39))</f>
        <v>0</v>
      </c>
      <c r="CC39" s="55">
        <f>IF($O39=CC$2,IF($Q39=Armory,12*$P39)) + IF($R39=CC$2,IF($T39=Armory,12*$S39)) + IF($U39=CC$2,IF($W39=Armory,12*$V39))</f>
        <v>0</v>
      </c>
      <c r="CE39" s="54">
        <f>IF($O39=CE$2,IF($Q39=Infirmary,$P39)) + IF($R39=CE$2,IF($T39=Infirmary,$S39)) + IF($U39=CE$2,IF($W39=Infirmary,$V39))</f>
        <v>0</v>
      </c>
      <c r="CF39" s="13">
        <f>IF($O39=CF$2,IF($Q39=Infirmary,2*$P39)) + IF($R39=CF$2,IF($T39=Infirmary,2*$S39)) + IF($U39=CF$2,IF($W39=Infirmary,2*$V39))</f>
        <v>0</v>
      </c>
      <c r="CG39" s="13">
        <f>IF($O39=CG$2,IF($Q39=Infirmary,2*$P39)) + IF($R39=CG$2,IF($T39=Infirmary,2*$S39)) + IF($U39=CG$2,IF($W39=Infirmary,2*$V39))</f>
        <v>0</v>
      </c>
      <c r="CH39" s="55">
        <f>IF($O39=CH$2,IF($Q39=Infirmary,12*$P39)) + IF($R39=CH$2,IF($T39=Infirmary,12*$S39)) + IF($U39=CH$2,IF($W39=Infirmary,12*$V39))</f>
        <v>0</v>
      </c>
      <c r="CJ39" s="50" t="e">
        <f>OR(Production!C39,Construction!N39:'Construction'!AF39,Construction!BV39:CN39,Explore!S39:Z39,Military!AF39:AL39,Military!X39,Military!BE39:BL39,Rezone!L39:R39,Magic!G39:Q39)</f>
        <v>#VALUE!</v>
      </c>
      <c r="CK39" s="549">
        <f>M39</f>
        <v>0</v>
      </c>
      <c r="CL39" s="549"/>
      <c r="CM39" s="556">
        <f t="shared" si="20"/>
        <v>43768.374999999913</v>
      </c>
      <c r="CN39" s="564">
        <f t="shared" si="21"/>
        <v>43768.208333333248</v>
      </c>
      <c r="CO39" s="629"/>
      <c r="CP39" s="804"/>
      <c r="CQ39" s="809"/>
      <c r="CR39" s="1509" t="s">
        <v>767</v>
      </c>
    </row>
    <row r="40" spans="1:96" s="15" customFormat="1" x14ac:dyDescent="0.25">
      <c r="A40" s="514">
        <f>Construction!E40</f>
        <v>1000</v>
      </c>
      <c r="B40" s="16"/>
      <c r="C40" s="89">
        <f ca="1">Production!H40</f>
        <v>4661656</v>
      </c>
      <c r="D40" s="23">
        <f ca="1">Production!J40</f>
        <v>322390</v>
      </c>
      <c r="E40" s="23">
        <f ca="1">Production!L40</f>
        <v>300000</v>
      </c>
      <c r="F40" s="57">
        <f ca="1">Production!M40</f>
        <v>20000</v>
      </c>
      <c r="G40" s="26"/>
      <c r="H40" s="89">
        <f ca="1">Military!Z40</f>
        <v>5295</v>
      </c>
      <c r="I40" s="538">
        <f ca="1">Population!I40</f>
        <v>1</v>
      </c>
      <c r="J40" s="165">
        <f ca="1">Population!F40/Population!U40</f>
        <v>1</v>
      </c>
      <c r="K40" s="1000">
        <f>Rezone!J40</f>
        <v>38</v>
      </c>
      <c r="L40" s="582">
        <f t="shared" si="19"/>
        <v>43768.385416666577</v>
      </c>
      <c r="M40" s="636">
        <f t="shared" si="22"/>
        <v>0</v>
      </c>
      <c r="N40" s="642">
        <f t="shared" si="23"/>
        <v>1000</v>
      </c>
      <c r="O40" s="423" t="s">
        <v>4</v>
      </c>
      <c r="P40" s="370"/>
      <c r="Q40" s="424" t="s">
        <v>223</v>
      </c>
      <c r="R40" s="423" t="s">
        <v>7</v>
      </c>
      <c r="S40" s="370"/>
      <c r="T40" s="425" t="s">
        <v>223</v>
      </c>
      <c r="U40" s="424" t="s">
        <v>3</v>
      </c>
      <c r="V40" s="370"/>
      <c r="W40" s="425" t="s">
        <v>223</v>
      </c>
      <c r="X40" s="16"/>
      <c r="Y40" s="522">
        <f ca="1">science_cap*(1-EXP(-AH40/(science_param*($A41-Explore!$S41*20)+15000)))*(1+(mason_bonus*Construction!BB40/Construction!BS40))+IF(Overview!$B$14="Beastfolk",Construction!DA40/Construction!E40,0)*(1 + Production!O40/100*prestige_pop_multiplier)</f>
        <v>0</v>
      </c>
      <c r="Z40" s="284">
        <f ca="1">keep_cap*(1-EXP(-AI40/(keep_param*($A41-Explore!$S41*20)+15000)))*(1+(mason_bonus*Construction!BB40/Construction!BS40))+IF(Overview!$B$14="Beastfolk",Construction!DF40/Construction!E40,0)*(1 + Production!O40/100*prestige_pop_multiplier)</f>
        <v>0</v>
      </c>
      <c r="AA40" s="284">
        <f ca="1">harbor_towers_cap*(1-EXP(-AJ40/(harbor_towers_param*($A41-Explore!$S41*20)+15000)))*(1+(mason_bonus*Construction!BB40/Construction!BS40))+IF(Overview!$B$14="Beastfolk",2*Construction!DC40/Construction!E40,0)*(1 + Production!O40/100*prestige_pop_multiplier)</f>
        <v>0</v>
      </c>
      <c r="AB40" s="284">
        <f ca="1">walls_forges_cap*(1-EXP(-AK40/(walls_forges_param*($A41-Explore!$S41*20)+15000)))*(1+(mason_bonus*Construction!BB40/Construction!BS40))+IF(Overview!$B$14="Beastfolk",0.2*Construction!CY40/Construction!E40,0)</f>
        <v>0</v>
      </c>
      <c r="AC40" s="284">
        <f ca="1">walls_forges_cap*(1-EXP(-AL40/(walls_forges_param*($A41-Explore!$S41*20)+15000)))*(1+(mason_bonus*Construction!BB40/Construction!BS40))+IF(Overview!$B$14="Beastfolk",5*Construction!DB40/Construction!E40,0)</f>
        <v>0</v>
      </c>
      <c r="AD40" s="97">
        <f ca="1">harbor_towers_cap*(1-EXP(-AM40/(harbor_towers_param*($A41-Explore!$S41*20)+15000)))*(1+(mason_bonus*Construction!BB40/Construction!BS40))+IF(Overview!$B$14="Beastfolk",Construction!DE40/Construction!E40)*(1 + Production!O40/100*prestige_pop_multiplier)</f>
        <v>0</v>
      </c>
      <c r="AE40" s="97">
        <f ca="1">armory_cap*(1-EXP(-AN40/(armory_param*($A41-Explore!$S41*20)+15000)))*(1+(mason_bonus*Construction!$BB40/Construction!$BS40))</f>
        <v>0</v>
      </c>
      <c r="AF40" s="97">
        <f ca="1">infirmary_cap*(1-EXP(-AO40/(infirmary_param*($A41-Explore!$S41*20)+15000)))*(1+(mason_bonus*Construction!$BB40/Construction!$BS40))</f>
        <v>0</v>
      </c>
      <c r="AG40" s="16"/>
      <c r="AH40" s="56">
        <f ca="1">(1+Overview!$O$28+IF(Magic!BA40&gt;0,0.1,0))*SUM(AV40:AY40) + AH39</f>
        <v>0</v>
      </c>
      <c r="AI40" s="26">
        <f ca="1">(1+Overview!$O$28+IF(Magic!BA40&gt;0,0.1,0))*SUM(BA40:BD40) + AI39</f>
        <v>0</v>
      </c>
      <c r="AJ40" s="164">
        <f ca="1">(1+Overview!$O$28+IF(Magic!BA40&gt;0,0.1,0))*SUM(BF40:BI40) + AJ39</f>
        <v>0</v>
      </c>
      <c r="AK40" s="164">
        <f ca="1">(1+Overview!$O$28+IF(Magic!BA40&gt;0,0.1,0))*SUM(BK40:BN40) + AK39</f>
        <v>0</v>
      </c>
      <c r="AL40" s="164">
        <f ca="1">(1+Overview!$O$28+IF(Magic!BA40&gt;0,0.1,0))*SUM(BP40:BS40) + AL39</f>
        <v>0</v>
      </c>
      <c r="AM40" s="166">
        <f ca="1">(1+Overview!$O$28+IF(Magic!BA40&gt;0,0.1,0))*SUM(BU40:BX40) + AM39</f>
        <v>0</v>
      </c>
      <c r="AN40" s="166">
        <f ca="1">(1+Overview!$O$28+IF(Magic!BA40&gt;0,0.1,0))*SUM(BZ40:CC40)+AN39</f>
        <v>0</v>
      </c>
      <c r="AO40" s="164">
        <f ca="1">(1+Overview!$O$28+IF(Magic!BA40&gt;0,0.1,0))*SUM(CE40:CH40)+AO39</f>
        <v>0</v>
      </c>
      <c r="AP40" s="16"/>
      <c r="AQ40" s="70">
        <f t="shared" si="41"/>
        <v>0</v>
      </c>
      <c r="AR40" s="15">
        <f t="shared" si="41"/>
        <v>0</v>
      </c>
      <c r="AS40" s="15">
        <f t="shared" si="41"/>
        <v>0</v>
      </c>
      <c r="AT40" s="74">
        <f t="shared" si="41"/>
        <v>0</v>
      </c>
      <c r="AU40" s="16"/>
      <c r="AV40" s="89">
        <f t="shared" si="25"/>
        <v>0</v>
      </c>
      <c r="AW40" s="23">
        <f t="shared" si="42"/>
        <v>0</v>
      </c>
      <c r="AX40" s="23">
        <f t="shared" si="42"/>
        <v>0</v>
      </c>
      <c r="AY40" s="71">
        <f t="shared" si="27"/>
        <v>0</v>
      </c>
      <c r="AZ40" s="16"/>
      <c r="BA40" s="89">
        <f t="shared" si="28"/>
        <v>0</v>
      </c>
      <c r="BB40" s="23">
        <f t="shared" si="43"/>
        <v>0</v>
      </c>
      <c r="BC40" s="23">
        <f t="shared" si="43"/>
        <v>0</v>
      </c>
      <c r="BD40" s="71">
        <f t="shared" si="30"/>
        <v>0</v>
      </c>
      <c r="BE40" s="16"/>
      <c r="BF40" s="89">
        <f t="shared" si="31"/>
        <v>0</v>
      </c>
      <c r="BG40" s="23">
        <f t="shared" si="32"/>
        <v>0</v>
      </c>
      <c r="BH40" s="23">
        <f t="shared" si="40"/>
        <v>0</v>
      </c>
      <c r="BI40" s="71">
        <f t="shared" si="33"/>
        <v>0</v>
      </c>
      <c r="BJ40" s="16"/>
      <c r="BK40" s="89">
        <f t="shared" si="34"/>
        <v>0</v>
      </c>
      <c r="BL40" s="23">
        <f t="shared" si="44"/>
        <v>0</v>
      </c>
      <c r="BM40" s="23">
        <f t="shared" si="44"/>
        <v>0</v>
      </c>
      <c r="BN40" s="71">
        <f t="shared" si="36"/>
        <v>0</v>
      </c>
      <c r="BO40" s="16"/>
      <c r="BP40" s="89">
        <f t="shared" si="37"/>
        <v>0</v>
      </c>
      <c r="BQ40" s="23">
        <f t="shared" si="45"/>
        <v>0</v>
      </c>
      <c r="BR40" s="23">
        <f t="shared" si="45"/>
        <v>0</v>
      </c>
      <c r="BS40" s="71">
        <f t="shared" si="39"/>
        <v>0</v>
      </c>
      <c r="BT40" s="16"/>
      <c r="BU40" s="89">
        <f>IF($O40=BU$2,IF($Q40=$AD$2,$P40)) + IF($R40=BU$2,IF($T40=$AD$2,$S40)) + IF($U40=BU$2,IF($W40=$AD$2,$V40))</f>
        <v>0</v>
      </c>
      <c r="BV40" s="23">
        <f>IF($O40=BV$2,IF($Q40=$AD$2,2*$P40)) + IF($R40=BV$2,IF($T40=$AD$2,2*$S40)) + IF($U40=BV$2,IF($W40=$AD$2,2*$V40))</f>
        <v>0</v>
      </c>
      <c r="BW40" s="23">
        <f>IF($O40=BW$2,IF($Q40=$AD$2,2*$P40)) + IF($R40=BW$2,IF($T40=$AD$2,2*$S40)) + IF($U40=BW$2,IF($W40=$AD$2,2*$V40))</f>
        <v>0</v>
      </c>
      <c r="BX40" s="71">
        <f>IF($O40=BX$2,IF($Q40=$AD$2,12*$P40)) + IF($R40=BX$2,IF($T40=$AD$2,12*$S40)) + IF($U40=BX$2,IF($W40=$AD$2,12*$V40))</f>
        <v>0</v>
      </c>
      <c r="BZ40" s="89">
        <f>IF($O40=BZ$2,IF($Q40=Armory,$P40)) + IF($R40=BZ$2,IF($T40=Armory,$S40)) + IF($U40=BZ$2,IF($W40=Armory,$V40))</f>
        <v>0</v>
      </c>
      <c r="CA40" s="23">
        <f>IF($O40=CA$2,IF($Q40=Armory,2*$P40)) + IF($R40=CA$2,IF($T40=Armory,2*$S40)) + IF($U40=CA$2,IF($W40=Armory,2*$V40))</f>
        <v>0</v>
      </c>
      <c r="CB40" s="23">
        <f>IF($O40=CB$2,IF($Q40=Armory,2*$P40)) + IF($R40=CB$2,IF($T40=Armory,2*$S40)) + IF($U40=CB$2,IF($W40=Armory,2*$V40))</f>
        <v>0</v>
      </c>
      <c r="CC40" s="71">
        <f>IF($O40=CC$2,IF($Q40=Armory,12*$P40)) + IF($R40=CC$2,IF($T40=Armory,12*$S40)) + IF($U40=CC$2,IF($W40=Armory,12*$V40))</f>
        <v>0</v>
      </c>
      <c r="CE40" s="89">
        <f>IF($O40=CE$2,IF($Q40=Infirmary,$P40)) + IF($R40=CE$2,IF($T40=Infirmary,$S40)) + IF($U40=CE$2,IF($W40=Infirmary,$V40))</f>
        <v>0</v>
      </c>
      <c r="CF40" s="23">
        <f>IF($O40=CF$2,IF($Q40=Infirmary,2*$P40)) + IF($R40=CF$2,IF($T40=Infirmary,2*$S40)) + IF($U40=CF$2,IF($W40=Infirmary,2*$V40))</f>
        <v>0</v>
      </c>
      <c r="CG40" s="23">
        <f>IF($O40=CG$2,IF($Q40=Infirmary,2*$P40)) + IF($R40=CG$2,IF($T40=Infirmary,2*$S40)) + IF($U40=CG$2,IF($W40=Infirmary,2*$V40))</f>
        <v>0</v>
      </c>
      <c r="CH40" s="71">
        <f>IF($O40=CH$2,IF($Q40=Infirmary,12*$P40)) + IF($R40=CH$2,IF($T40=Infirmary,12*$S40)) + IF($U40=CH$2,IF($W40=Infirmary,12*$V40))</f>
        <v>0</v>
      </c>
      <c r="CJ40" s="70" t="e">
        <f>OR(Production!C40,Construction!N40:'Construction'!AF40,Construction!BV40:CN40,Explore!S40:Z40,Military!AF40:AL40,Military!X40,Military!BE40:BL40,Rezone!L40:R40,Magic!G40:Q40)</f>
        <v>#VALUE!</v>
      </c>
      <c r="CK40" s="526">
        <f>M40</f>
        <v>0</v>
      </c>
      <c r="CL40" s="526"/>
      <c r="CM40" s="557">
        <f t="shared" si="20"/>
        <v>43768.385416666577</v>
      </c>
      <c r="CN40" s="565">
        <f t="shared" si="21"/>
        <v>43768.218749999913</v>
      </c>
      <c r="CO40" s="627"/>
      <c r="CP40" s="805"/>
      <c r="CQ40" s="810"/>
      <c r="CR40" s="1508" t="s">
        <v>764</v>
      </c>
    </row>
    <row r="41" spans="1:96" s="16" customFormat="1" x14ac:dyDescent="0.25">
      <c r="A41" s="511">
        <f>Construction!E41</f>
        <v>1000</v>
      </c>
      <c r="C41" s="56">
        <f ca="1">Production!H41</f>
        <v>4666637</v>
      </c>
      <c r="D41" s="26">
        <f ca="1">Production!J41</f>
        <v>321666</v>
      </c>
      <c r="E41" s="26">
        <f ca="1">Production!L41</f>
        <v>300000</v>
      </c>
      <c r="F41" s="57">
        <f ca="1">Production!M41</f>
        <v>20000</v>
      </c>
      <c r="G41" s="26"/>
      <c r="H41" s="56">
        <f ca="1">Military!Z41</f>
        <v>5295</v>
      </c>
      <c r="I41" s="538">
        <f ca="1">Population!I41</f>
        <v>1</v>
      </c>
      <c r="J41" s="165">
        <f ca="1">Population!F41/Population!U41</f>
        <v>1</v>
      </c>
      <c r="K41" s="1000">
        <f>Rezone!J41</f>
        <v>39</v>
      </c>
      <c r="L41" s="582">
        <f t="shared" si="19"/>
        <v>43768.395833333241</v>
      </c>
      <c r="M41" s="316">
        <f t="shared" si="22"/>
        <v>0</v>
      </c>
      <c r="N41" s="638">
        <f t="shared" si="23"/>
        <v>1000</v>
      </c>
      <c r="O41" s="423" t="s">
        <v>4</v>
      </c>
      <c r="P41" s="370"/>
      <c r="Q41" s="424" t="s">
        <v>223</v>
      </c>
      <c r="R41" s="423" t="s">
        <v>7</v>
      </c>
      <c r="S41" s="370"/>
      <c r="T41" s="425" t="s">
        <v>223</v>
      </c>
      <c r="U41" s="424" t="s">
        <v>3</v>
      </c>
      <c r="V41" s="370"/>
      <c r="W41" s="425" t="s">
        <v>223</v>
      </c>
      <c r="Y41" s="522">
        <f ca="1">science_cap*(1-EXP(-AH41/(science_param*($A42-Explore!$S42*20)+15000)))*(1+(mason_bonus*Construction!BB41/Construction!BS41))+IF(Overview!$B$14="Beastfolk",Construction!DA41/Construction!E41,0)*(1 + Production!O41/100*prestige_pop_multiplier)</f>
        <v>0</v>
      </c>
      <c r="Z41" s="284">
        <f ca="1">keep_cap*(1-EXP(-AI41/(keep_param*($A42-Explore!$S42*20)+15000)))*(1+(mason_bonus*Construction!BB41/Construction!BS41))+IF(Overview!$B$14="Beastfolk",Construction!DF41/Construction!E41,0)*(1 + Production!O41/100*prestige_pop_multiplier)</f>
        <v>0</v>
      </c>
      <c r="AA41" s="284">
        <f ca="1">harbor_towers_cap*(1-EXP(-AJ41/(harbor_towers_param*($A42-Explore!$S42*20)+15000)))*(1+(mason_bonus*Construction!BB41/Construction!BS41))+IF(Overview!$B$14="Beastfolk",2*Construction!DC41/Construction!E41,0)*(1 + Production!O41/100*prestige_pop_multiplier)</f>
        <v>0</v>
      </c>
      <c r="AB41" s="284">
        <f ca="1">walls_forges_cap*(1-EXP(-AK41/(walls_forges_param*($A42-Explore!$S42*20)+15000)))*(1+(mason_bonus*Construction!BB41/Construction!BS41))+IF(Overview!$B$14="Beastfolk",0.2*Construction!CY41/Construction!E41,0)</f>
        <v>0</v>
      </c>
      <c r="AC41" s="284">
        <f ca="1">walls_forges_cap*(1-EXP(-AL41/(walls_forges_param*($A42-Explore!$S42*20)+15000)))*(1+(mason_bonus*Construction!BB41/Construction!BS41))+IF(Overview!$B$14="Beastfolk",5*Construction!DB41/Construction!E41,0)</f>
        <v>0</v>
      </c>
      <c r="AD41" s="97">
        <f ca="1">harbor_towers_cap*(1-EXP(-AM41/(harbor_towers_param*($A42-Explore!$S42*20)+15000)))*(1+(mason_bonus*Construction!BB41/Construction!BS41))+IF(Overview!$B$14="Beastfolk",Construction!DE41/Construction!E41)*(1 + Production!O41/100*prestige_pop_multiplier)</f>
        <v>0</v>
      </c>
      <c r="AE41" s="97">
        <f ca="1">armory_cap*(1-EXP(-AN41/(armory_param*($A42-Explore!$S42*20)+15000)))*(1+(mason_bonus*Construction!$BB41/Construction!$BS41))</f>
        <v>0</v>
      </c>
      <c r="AF41" s="97">
        <f ca="1">infirmary_cap*(1-EXP(-AO41/(infirmary_param*($A42-Explore!$S42*20)+15000)))*(1+(mason_bonus*Construction!$BB41/Construction!$BS41))</f>
        <v>0</v>
      </c>
      <c r="AH41" s="56">
        <f ca="1">(1+Overview!$O$28+IF(Magic!BA41&gt;0,0.1,0))*SUM(AV41:AY41) + AH40</f>
        <v>0</v>
      </c>
      <c r="AI41" s="26">
        <f ca="1">(1+Overview!$O$28+IF(Magic!BA41&gt;0,0.1,0))*SUM(BA41:BD41) + AI40</f>
        <v>0</v>
      </c>
      <c r="AJ41" s="164">
        <f ca="1">(1+Overview!$O$28+IF(Magic!BA41&gt;0,0.1,0))*SUM(BF41:BI41) + AJ40</f>
        <v>0</v>
      </c>
      <c r="AK41" s="164">
        <f ca="1">(1+Overview!$O$28+IF(Magic!BA41&gt;0,0.1,0))*SUM(BK41:BN41) + AK40</f>
        <v>0</v>
      </c>
      <c r="AL41" s="164">
        <f ca="1">(1+Overview!$O$28+IF(Magic!BA41&gt;0,0.1,0))*SUM(BP41:BS41) + AL40</f>
        <v>0</v>
      </c>
      <c r="AM41" s="166">
        <f ca="1">(1+Overview!$O$28+IF(Magic!BA41&gt;0,0.1,0))*SUM(BU41:BX41) + AM40</f>
        <v>0</v>
      </c>
      <c r="AN41" s="166">
        <f ca="1">(1+Overview!$O$28+IF(Magic!BA41&gt;0,0.1,0))*SUM(BZ41:CC41)+AN40</f>
        <v>0</v>
      </c>
      <c r="AO41" s="164">
        <f ca="1">(1+Overview!$O$28+IF(Magic!BA41&gt;0,0.1,0))*SUM(CE41:CH41)+AO40</f>
        <v>0</v>
      </c>
      <c r="AQ41" s="52">
        <f t="shared" si="41"/>
        <v>0</v>
      </c>
      <c r="AR41" s="16">
        <f t="shared" si="41"/>
        <v>0</v>
      </c>
      <c r="AS41" s="16">
        <f t="shared" si="41"/>
        <v>0</v>
      </c>
      <c r="AT41" s="53">
        <f t="shared" si="41"/>
        <v>0</v>
      </c>
      <c r="AV41" s="56">
        <f t="shared" si="25"/>
        <v>0</v>
      </c>
      <c r="AW41" s="26">
        <f t="shared" si="42"/>
        <v>0</v>
      </c>
      <c r="AX41" s="26">
        <f t="shared" si="42"/>
        <v>0</v>
      </c>
      <c r="AY41" s="57">
        <f t="shared" si="27"/>
        <v>0</v>
      </c>
      <c r="BA41" s="56">
        <f t="shared" si="28"/>
        <v>0</v>
      </c>
      <c r="BB41" s="26">
        <f t="shared" si="43"/>
        <v>0</v>
      </c>
      <c r="BC41" s="26">
        <f t="shared" si="43"/>
        <v>0</v>
      </c>
      <c r="BD41" s="57">
        <f t="shared" si="30"/>
        <v>0</v>
      </c>
      <c r="BF41" s="56">
        <f t="shared" si="31"/>
        <v>0</v>
      </c>
      <c r="BG41" s="26">
        <f t="shared" si="32"/>
        <v>0</v>
      </c>
      <c r="BH41" s="26">
        <f t="shared" si="40"/>
        <v>0</v>
      </c>
      <c r="BI41" s="57">
        <f t="shared" si="33"/>
        <v>0</v>
      </c>
      <c r="BK41" s="56">
        <f t="shared" si="34"/>
        <v>0</v>
      </c>
      <c r="BL41" s="26">
        <f t="shared" si="44"/>
        <v>0</v>
      </c>
      <c r="BM41" s="26">
        <f t="shared" si="44"/>
        <v>0</v>
      </c>
      <c r="BN41" s="57">
        <f t="shared" si="36"/>
        <v>0</v>
      </c>
      <c r="BP41" s="56">
        <f t="shared" si="37"/>
        <v>0</v>
      </c>
      <c r="BQ41" s="26">
        <f t="shared" si="45"/>
        <v>0</v>
      </c>
      <c r="BR41" s="26">
        <f t="shared" si="45"/>
        <v>0</v>
      </c>
      <c r="BS41" s="57">
        <f t="shared" si="39"/>
        <v>0</v>
      </c>
      <c r="BU41" s="56">
        <f>IF($O41=BU$2,IF($Q41=$AD$2,$P41)) + IF($R41=BU$2,IF($T41=$AD$2,$S41)) + IF($U41=BU$2,IF($W41=$AD$2,$V41))</f>
        <v>0</v>
      </c>
      <c r="BV41" s="26">
        <f>IF($O41=BV$2,IF($Q41=$AD$2,2*$P41)) + IF($R41=BV$2,IF($T41=$AD$2,2*$S41)) + IF($U41=BV$2,IF($W41=$AD$2,2*$V41))</f>
        <v>0</v>
      </c>
      <c r="BW41" s="26">
        <f>IF($O41=BW$2,IF($Q41=$AD$2,2*$P41)) + IF($R41=BW$2,IF($T41=$AD$2,2*$S41)) + IF($U41=BW$2,IF($W41=$AD$2,2*$V41))</f>
        <v>0</v>
      </c>
      <c r="BX41" s="57">
        <f>IF($O41=BX$2,IF($Q41=$AD$2,12*$P41)) + IF($R41=BX$2,IF($T41=$AD$2,12*$S41)) + IF($U41=BX$2,IF($W41=$AD$2,12*$V41))</f>
        <v>0</v>
      </c>
      <c r="BZ41" s="56">
        <f>IF($O41=BZ$2,IF($Q41=Armory,$P41)) + IF($R41=BZ$2,IF($T41=Armory,$S41)) + IF($U41=BZ$2,IF($W41=Armory,$V41))</f>
        <v>0</v>
      </c>
      <c r="CA41" s="26">
        <f>IF($O41=CA$2,IF($Q41=Armory,2*$P41)) + IF($R41=CA$2,IF($T41=Armory,2*$S41)) + IF($U41=CA$2,IF($W41=Armory,2*$V41))</f>
        <v>0</v>
      </c>
      <c r="CB41" s="26">
        <f>IF($O41=CB$2,IF($Q41=Armory,2*$P41)) + IF($R41=CB$2,IF($T41=Armory,2*$S41)) + IF($U41=CB$2,IF($W41=Armory,2*$V41))</f>
        <v>0</v>
      </c>
      <c r="CC41" s="57">
        <f>IF($O41=CC$2,IF($Q41=Armory,12*$P41)) + IF($R41=CC$2,IF($T41=Armory,12*$S41)) + IF($U41=CC$2,IF($W41=Armory,12*$V41))</f>
        <v>0</v>
      </c>
      <c r="CE41" s="56">
        <f>IF($O41=CE$2,IF($Q41=Infirmary,$P41)) + IF($R41=CE$2,IF($T41=Infirmary,$S41)) + IF($U41=CE$2,IF($W41=Infirmary,$V41))</f>
        <v>0</v>
      </c>
      <c r="CF41" s="26">
        <f>IF($O41=CF$2,IF($Q41=Infirmary,2*$P41)) + IF($R41=CF$2,IF($T41=Infirmary,2*$S41)) + IF($U41=CF$2,IF($W41=Infirmary,2*$V41))</f>
        <v>0</v>
      </c>
      <c r="CG41" s="26">
        <f>IF($O41=CG$2,IF($Q41=Infirmary,2*$P41)) + IF($R41=CG$2,IF($T41=Infirmary,2*$S41)) + IF($U41=CG$2,IF($W41=Infirmary,2*$V41))</f>
        <v>0</v>
      </c>
      <c r="CH41" s="57">
        <f>IF($O41=CH$2,IF($Q41=Infirmary,12*$P41)) + IF($R41=CH$2,IF($T41=Infirmary,12*$S41)) + IF($U41=CH$2,IF($W41=Infirmary,12*$V41))</f>
        <v>0</v>
      </c>
      <c r="CJ41" s="52" t="e">
        <f>OR(Production!C41,Construction!N41:'Construction'!AF41,Construction!BV41:CN41,Explore!S41:Z41,Military!AF41:AL41,Military!X41,Military!BE41:BL41,Rezone!L41:R41,Magic!G41:Q41)</f>
        <v>#VALUE!</v>
      </c>
      <c r="CK41" s="525">
        <f>M41</f>
        <v>0</v>
      </c>
      <c r="CL41" s="525"/>
      <c r="CM41" s="555">
        <f t="shared" si="20"/>
        <v>43768.395833333241</v>
      </c>
      <c r="CN41" s="563">
        <f t="shared" si="21"/>
        <v>43768.229166666577</v>
      </c>
      <c r="CO41" s="802"/>
      <c r="CP41" s="803"/>
      <c r="CQ41" s="808"/>
      <c r="CR41" s="1381" t="s">
        <v>766</v>
      </c>
    </row>
    <row r="42" spans="1:96" s="16" customFormat="1" x14ac:dyDescent="0.25">
      <c r="A42" s="511">
        <f>Construction!E42</f>
        <v>1000</v>
      </c>
      <c r="C42" s="56">
        <f ca="1">Production!H42</f>
        <v>4671618</v>
      </c>
      <c r="D42" s="26">
        <f ca="1">Production!J42</f>
        <v>320949</v>
      </c>
      <c r="E42" s="26">
        <f ca="1">Production!L42</f>
        <v>300000</v>
      </c>
      <c r="F42" s="57">
        <f ca="1">Production!M42</f>
        <v>20000</v>
      </c>
      <c r="G42" s="26"/>
      <c r="H42" s="56">
        <f ca="1">Military!Z42</f>
        <v>5295</v>
      </c>
      <c r="I42" s="538">
        <f ca="1">Population!I42</f>
        <v>1</v>
      </c>
      <c r="J42" s="165">
        <f ca="1">Population!F42/Population!U42</f>
        <v>1</v>
      </c>
      <c r="K42" s="1000">
        <f>Rezone!J42</f>
        <v>40</v>
      </c>
      <c r="L42" s="582">
        <f t="shared" si="19"/>
        <v>43768.406249999905</v>
      </c>
      <c r="M42" s="316">
        <f t="shared" si="22"/>
        <v>0</v>
      </c>
      <c r="N42" s="638">
        <f t="shared" si="23"/>
        <v>1000</v>
      </c>
      <c r="O42" s="423" t="s">
        <v>4</v>
      </c>
      <c r="P42" s="370"/>
      <c r="Q42" s="424" t="s">
        <v>223</v>
      </c>
      <c r="R42" s="423" t="s">
        <v>7</v>
      </c>
      <c r="S42" s="370"/>
      <c r="T42" s="425" t="s">
        <v>223</v>
      </c>
      <c r="U42" s="424" t="s">
        <v>3</v>
      </c>
      <c r="V42" s="370"/>
      <c r="W42" s="425" t="s">
        <v>223</v>
      </c>
      <c r="Y42" s="522">
        <f ca="1">science_cap*(1-EXP(-AH42/(science_param*($A43-Explore!$S43*20)+15000)))*(1+(mason_bonus*Construction!BB42/Construction!BS42))+IF(Overview!$B$14="Beastfolk",Construction!DA42/Construction!E42,0)*(1 + Production!O42/100*prestige_pop_multiplier)</f>
        <v>0</v>
      </c>
      <c r="Z42" s="284">
        <f ca="1">keep_cap*(1-EXP(-AI42/(keep_param*($A43-Explore!$S43*20)+15000)))*(1+(mason_bonus*Construction!BB42/Construction!BS42))+IF(Overview!$B$14="Beastfolk",Construction!DF42/Construction!E42,0)*(1 + Production!O42/100*prestige_pop_multiplier)</f>
        <v>0</v>
      </c>
      <c r="AA42" s="284">
        <f ca="1">harbor_towers_cap*(1-EXP(-AJ42/(harbor_towers_param*($A43-Explore!$S43*20)+15000)))*(1+(mason_bonus*Construction!BB42/Construction!BS42))+IF(Overview!$B$14="Beastfolk",2*Construction!DC42/Construction!E42,0)*(1 + Production!O42/100*prestige_pop_multiplier)</f>
        <v>0</v>
      </c>
      <c r="AB42" s="284">
        <f ca="1">walls_forges_cap*(1-EXP(-AK42/(walls_forges_param*($A43-Explore!$S43*20)+15000)))*(1+(mason_bonus*Construction!BB42/Construction!BS42))+IF(Overview!$B$14="Beastfolk",0.2*Construction!CY42/Construction!E42,0)</f>
        <v>0</v>
      </c>
      <c r="AC42" s="284">
        <f ca="1">walls_forges_cap*(1-EXP(-AL42/(walls_forges_param*($A43-Explore!$S43*20)+15000)))*(1+(mason_bonus*Construction!BB42/Construction!BS42))+IF(Overview!$B$14="Beastfolk",5*Construction!DB42/Construction!E42,0)</f>
        <v>0</v>
      </c>
      <c r="AD42" s="97">
        <f ca="1">harbor_towers_cap*(1-EXP(-AM42/(harbor_towers_param*($A43-Explore!$S43*20)+15000)))*(1+(mason_bonus*Construction!BB42/Construction!BS42))+IF(Overview!$B$14="Beastfolk",Construction!DE42/Construction!E42)*(1 + Production!O42/100*prestige_pop_multiplier)</f>
        <v>0</v>
      </c>
      <c r="AE42" s="97">
        <f ca="1">armory_cap*(1-EXP(-AN42/(armory_param*($A43-Explore!$S43*20)+15000)))*(1+(mason_bonus*Construction!$BB42/Construction!$BS42))</f>
        <v>0</v>
      </c>
      <c r="AF42" s="97">
        <f ca="1">infirmary_cap*(1-EXP(-AO42/(infirmary_param*($A43-Explore!$S43*20)+15000)))*(1+(mason_bonus*Construction!$BB42/Construction!$BS42))</f>
        <v>0</v>
      </c>
      <c r="AH42" s="56">
        <f ca="1">(1+Overview!$O$28+IF(Magic!BA42&gt;0,0.1,0))*SUM(AV42:AY42) + AH41</f>
        <v>0</v>
      </c>
      <c r="AI42" s="26">
        <f ca="1">(1+Overview!$O$28+IF(Magic!BA42&gt;0,0.1,0))*SUM(BA42:BD42) + AI41</f>
        <v>0</v>
      </c>
      <c r="AJ42" s="164">
        <f ca="1">(1+Overview!$O$28+IF(Magic!BA42&gt;0,0.1,0))*SUM(BF42:BI42) + AJ41</f>
        <v>0</v>
      </c>
      <c r="AK42" s="164">
        <f ca="1">(1+Overview!$O$28+IF(Magic!BA42&gt;0,0.1,0))*SUM(BK42:BN42) + AK41</f>
        <v>0</v>
      </c>
      <c r="AL42" s="164">
        <f ca="1">(1+Overview!$O$28+IF(Magic!BA42&gt;0,0.1,0))*SUM(BP42:BS42) + AL41</f>
        <v>0</v>
      </c>
      <c r="AM42" s="166">
        <f ca="1">(1+Overview!$O$28+IF(Magic!BA42&gt;0,0.1,0))*SUM(BU42:BX42) + AM41</f>
        <v>0</v>
      </c>
      <c r="AN42" s="166">
        <f ca="1">(1+Overview!$O$28+IF(Magic!BA42&gt;0,0.1,0))*SUM(BZ42:CC42)+AN41</f>
        <v>0</v>
      </c>
      <c r="AO42" s="164">
        <f ca="1">(1+Overview!$O$28+IF(Magic!BA42&gt;0,0.1,0))*SUM(CE42:CH42)+AO41</f>
        <v>0</v>
      </c>
      <c r="AQ42" s="52">
        <f t="shared" si="41"/>
        <v>0</v>
      </c>
      <c r="AR42" s="16">
        <f t="shared" si="41"/>
        <v>0</v>
      </c>
      <c r="AS42" s="16">
        <f t="shared" si="41"/>
        <v>0</v>
      </c>
      <c r="AT42" s="53">
        <f t="shared" si="41"/>
        <v>0</v>
      </c>
      <c r="AV42" s="56">
        <f t="shared" si="25"/>
        <v>0</v>
      </c>
      <c r="AW42" s="26">
        <f t="shared" si="42"/>
        <v>0</v>
      </c>
      <c r="AX42" s="26">
        <f t="shared" si="42"/>
        <v>0</v>
      </c>
      <c r="AY42" s="57">
        <f t="shared" si="27"/>
        <v>0</v>
      </c>
      <c r="BA42" s="56">
        <f t="shared" si="28"/>
        <v>0</v>
      </c>
      <c r="BB42" s="26">
        <f t="shared" si="43"/>
        <v>0</v>
      </c>
      <c r="BC42" s="26">
        <f t="shared" si="43"/>
        <v>0</v>
      </c>
      <c r="BD42" s="57">
        <f t="shared" si="30"/>
        <v>0</v>
      </c>
      <c r="BF42" s="56">
        <f t="shared" si="31"/>
        <v>0</v>
      </c>
      <c r="BG42" s="26">
        <f t="shared" si="32"/>
        <v>0</v>
      </c>
      <c r="BH42" s="26">
        <f t="shared" si="40"/>
        <v>0</v>
      </c>
      <c r="BI42" s="57">
        <f t="shared" si="33"/>
        <v>0</v>
      </c>
      <c r="BK42" s="56">
        <f t="shared" si="34"/>
        <v>0</v>
      </c>
      <c r="BL42" s="26">
        <f t="shared" si="44"/>
        <v>0</v>
      </c>
      <c r="BM42" s="26">
        <f t="shared" si="44"/>
        <v>0</v>
      </c>
      <c r="BN42" s="57">
        <f t="shared" si="36"/>
        <v>0</v>
      </c>
      <c r="BP42" s="56">
        <f t="shared" si="37"/>
        <v>0</v>
      </c>
      <c r="BQ42" s="26">
        <f t="shared" si="45"/>
        <v>0</v>
      </c>
      <c r="BR42" s="26">
        <f t="shared" si="45"/>
        <v>0</v>
      </c>
      <c r="BS42" s="57">
        <f t="shared" si="39"/>
        <v>0</v>
      </c>
      <c r="BU42" s="56">
        <f>IF($O42=BU$2,IF($Q42=$AD$2,$P42)) + IF($R42=BU$2,IF($T42=$AD$2,$S42)) + IF($U42=BU$2,IF($W42=$AD$2,$V42))</f>
        <v>0</v>
      </c>
      <c r="BV42" s="26">
        <f>IF($O42=BV$2,IF($Q42=$AD$2,2*$P42)) + IF($R42=BV$2,IF($T42=$AD$2,2*$S42)) + IF($U42=BV$2,IF($W42=$AD$2,2*$V42))</f>
        <v>0</v>
      </c>
      <c r="BW42" s="26">
        <f>IF($O42=BW$2,IF($Q42=$AD$2,2*$P42)) + IF($R42=BW$2,IF($T42=$AD$2,2*$S42)) + IF($U42=BW$2,IF($W42=$AD$2,2*$V42))</f>
        <v>0</v>
      </c>
      <c r="BX42" s="57">
        <f>IF($O42=BX$2,IF($Q42=$AD$2,12*$P42)) + IF($R42=BX$2,IF($T42=$AD$2,12*$S42)) + IF($U42=BX$2,IF($W42=$AD$2,12*$V42))</f>
        <v>0</v>
      </c>
      <c r="BZ42" s="56">
        <f>IF($O42=BZ$2,IF($Q42=Armory,$P42)) + IF($R42=BZ$2,IF($T42=Armory,$S42)) + IF($U42=BZ$2,IF($W42=Armory,$V42))</f>
        <v>0</v>
      </c>
      <c r="CA42" s="26">
        <f>IF($O42=CA$2,IF($Q42=Armory,2*$P42)) + IF($R42=CA$2,IF($T42=Armory,2*$S42)) + IF($U42=CA$2,IF($W42=Armory,2*$V42))</f>
        <v>0</v>
      </c>
      <c r="CB42" s="26">
        <f>IF($O42=CB$2,IF($Q42=Armory,2*$P42)) + IF($R42=CB$2,IF($T42=Armory,2*$S42)) + IF($U42=CB$2,IF($W42=Armory,2*$V42))</f>
        <v>0</v>
      </c>
      <c r="CC42" s="57">
        <f>IF($O42=CC$2,IF($Q42=Armory,12*$P42)) + IF($R42=CC$2,IF($T42=Armory,12*$S42)) + IF($U42=CC$2,IF($W42=Armory,12*$V42))</f>
        <v>0</v>
      </c>
      <c r="CE42" s="56">
        <f>IF($O42=CE$2,IF($Q42=Infirmary,$P42)) + IF($R42=CE$2,IF($T42=Infirmary,$S42)) + IF($U42=CE$2,IF($W42=Infirmary,$V42))</f>
        <v>0</v>
      </c>
      <c r="CF42" s="26">
        <f>IF($O42=CF$2,IF($Q42=Infirmary,2*$P42)) + IF($R42=CF$2,IF($T42=Infirmary,2*$S42)) + IF($U42=CF$2,IF($W42=Infirmary,2*$V42))</f>
        <v>0</v>
      </c>
      <c r="CG42" s="26">
        <f>IF($O42=CG$2,IF($Q42=Infirmary,2*$P42)) + IF($R42=CG$2,IF($T42=Infirmary,2*$S42)) + IF($U42=CG$2,IF($W42=Infirmary,2*$V42))</f>
        <v>0</v>
      </c>
      <c r="CH42" s="57">
        <f>IF($O42=CH$2,IF($Q42=Infirmary,12*$P42)) + IF($R42=CH$2,IF($T42=Infirmary,12*$S42)) + IF($U42=CH$2,IF($W42=Infirmary,12*$V42))</f>
        <v>0</v>
      </c>
      <c r="CJ42" s="52" t="e">
        <f>OR(Production!C42,Construction!N42:'Construction'!AF42,Construction!BV42:CN42,Explore!S42:Z42,Military!AF42:AL42,Military!X42,Military!BE42:BL42,Rezone!L42:R42,Magic!G42:Q42)</f>
        <v>#VALUE!</v>
      </c>
      <c r="CK42" s="525">
        <f>M42</f>
        <v>0</v>
      </c>
      <c r="CL42" s="525"/>
      <c r="CM42" s="555">
        <f t="shared" si="20"/>
        <v>43768.406249999905</v>
      </c>
      <c r="CN42" s="563">
        <f t="shared" si="21"/>
        <v>43768.239583333241</v>
      </c>
      <c r="CO42" s="527"/>
      <c r="CP42" s="803"/>
      <c r="CQ42" s="808"/>
    </row>
    <row r="43" spans="1:96" s="16" customFormat="1" x14ac:dyDescent="0.25">
      <c r="A43" s="511">
        <f>Construction!E43</f>
        <v>1000</v>
      </c>
      <c r="C43" s="56">
        <f ca="1">Production!H43</f>
        <v>4676599</v>
      </c>
      <c r="D43" s="26">
        <f ca="1">Production!J43</f>
        <v>320240</v>
      </c>
      <c r="E43" s="26">
        <f ca="1">Production!L43</f>
        <v>300000</v>
      </c>
      <c r="F43" s="57">
        <f ca="1">Production!M43</f>
        <v>20000</v>
      </c>
      <c r="G43" s="26"/>
      <c r="H43" s="56">
        <f ca="1">Military!Z43</f>
        <v>5295</v>
      </c>
      <c r="I43" s="538">
        <f ca="1">Population!I43</f>
        <v>1</v>
      </c>
      <c r="J43" s="165">
        <f ca="1">Population!F43/Population!U43</f>
        <v>1</v>
      </c>
      <c r="K43" s="1000">
        <f>Rezone!J43</f>
        <v>41</v>
      </c>
      <c r="L43" s="582">
        <f t="shared" si="19"/>
        <v>43768.41666666657</v>
      </c>
      <c r="M43" s="316">
        <f t="shared" si="22"/>
        <v>0</v>
      </c>
      <c r="N43" s="638">
        <f t="shared" si="23"/>
        <v>1000</v>
      </c>
      <c r="O43" s="423" t="s">
        <v>4</v>
      </c>
      <c r="P43" s="370"/>
      <c r="Q43" s="424" t="s">
        <v>223</v>
      </c>
      <c r="R43" s="423" t="s">
        <v>7</v>
      </c>
      <c r="S43" s="370"/>
      <c r="T43" s="425" t="s">
        <v>223</v>
      </c>
      <c r="U43" s="424" t="s">
        <v>3</v>
      </c>
      <c r="V43" s="370"/>
      <c r="W43" s="425" t="s">
        <v>223</v>
      </c>
      <c r="Y43" s="522">
        <f ca="1">science_cap*(1-EXP(-AH43/(science_param*($A44-Explore!$S44*20)+15000)))*(1+(mason_bonus*Construction!BB43/Construction!BS43))+IF(Overview!$B$14="Beastfolk",Construction!DA43/Construction!E43,0)*(1 + Production!O43/100*prestige_pop_multiplier)</f>
        <v>0</v>
      </c>
      <c r="Z43" s="284">
        <f ca="1">keep_cap*(1-EXP(-AI43/(keep_param*($A44-Explore!$S44*20)+15000)))*(1+(mason_bonus*Construction!BB43/Construction!BS43))+IF(Overview!$B$14="Beastfolk",Construction!DF43/Construction!E43,0)*(1 + Production!O43/100*prestige_pop_multiplier)</f>
        <v>0</v>
      </c>
      <c r="AA43" s="284">
        <f ca="1">harbor_towers_cap*(1-EXP(-AJ43/(harbor_towers_param*($A44-Explore!$S44*20)+15000)))*(1+(mason_bonus*Construction!BB43/Construction!BS43))+IF(Overview!$B$14="Beastfolk",2*Construction!DC43/Construction!E43,0)*(1 + Production!O43/100*prestige_pop_multiplier)</f>
        <v>0</v>
      </c>
      <c r="AB43" s="284">
        <f ca="1">walls_forges_cap*(1-EXP(-AK43/(walls_forges_param*($A44-Explore!$S44*20)+15000)))*(1+(mason_bonus*Construction!BB43/Construction!BS43))+IF(Overview!$B$14="Beastfolk",0.2*Construction!CY43/Construction!E43,0)</f>
        <v>0</v>
      </c>
      <c r="AC43" s="284">
        <f ca="1">walls_forges_cap*(1-EXP(-AL43/(walls_forges_param*($A44-Explore!$S44*20)+15000)))*(1+(mason_bonus*Construction!BB43/Construction!BS43))+IF(Overview!$B$14="Beastfolk",5*Construction!DB43/Construction!E43,0)</f>
        <v>0</v>
      </c>
      <c r="AD43" s="97">
        <f ca="1">harbor_towers_cap*(1-EXP(-AM43/(harbor_towers_param*($A44-Explore!$S44*20)+15000)))*(1+(mason_bonus*Construction!BB43/Construction!BS43))+IF(Overview!$B$14="Beastfolk",Construction!DE43/Construction!E43)*(1 + Production!O43/100*prestige_pop_multiplier)</f>
        <v>0</v>
      </c>
      <c r="AE43" s="97">
        <f ca="1">armory_cap*(1-EXP(-AN43/(armory_param*($A44-Explore!$S44*20)+15000)))*(1+(mason_bonus*Construction!$BB43/Construction!$BS43))</f>
        <v>0</v>
      </c>
      <c r="AF43" s="97">
        <f ca="1">infirmary_cap*(1-EXP(-AO43/(infirmary_param*($A44-Explore!$S44*20)+15000)))*(1+(mason_bonus*Construction!$BB43/Construction!$BS43))</f>
        <v>0</v>
      </c>
      <c r="AH43" s="56">
        <f ca="1">(1+Overview!$O$28+IF(Magic!BA43&gt;0,0.1,0))*SUM(AV43:AY43) + AH42</f>
        <v>0</v>
      </c>
      <c r="AI43" s="26">
        <f ca="1">(1+Overview!$O$28+IF(Magic!BA43&gt;0,0.1,0))*SUM(BA43:BD43) + AI42</f>
        <v>0</v>
      </c>
      <c r="AJ43" s="164">
        <f ca="1">(1+Overview!$O$28+IF(Magic!BA43&gt;0,0.1,0))*SUM(BF43:BI43) + AJ42</f>
        <v>0</v>
      </c>
      <c r="AK43" s="164">
        <f ca="1">(1+Overview!$O$28+IF(Magic!BA43&gt;0,0.1,0))*SUM(BK43:BN43) + AK42</f>
        <v>0</v>
      </c>
      <c r="AL43" s="164">
        <f ca="1">(1+Overview!$O$28+IF(Magic!BA43&gt;0,0.1,0))*SUM(BP43:BS43) + AL42</f>
        <v>0</v>
      </c>
      <c r="AM43" s="166">
        <f ca="1">(1+Overview!$O$28+IF(Magic!BA43&gt;0,0.1,0))*SUM(BU43:BX43) + AM42</f>
        <v>0</v>
      </c>
      <c r="AN43" s="166">
        <f ca="1">(1+Overview!$O$28+IF(Magic!BA43&gt;0,0.1,0))*SUM(BZ43:CC43)+AN42</f>
        <v>0</v>
      </c>
      <c r="AO43" s="164">
        <f ca="1">(1+Overview!$O$28+IF(Magic!BA43&gt;0,0.1,0))*SUM(CE43:CH43)+AO42</f>
        <v>0</v>
      </c>
      <c r="AQ43" s="52">
        <f t="shared" si="41"/>
        <v>0</v>
      </c>
      <c r="AR43" s="16">
        <f t="shared" si="41"/>
        <v>0</v>
      </c>
      <c r="AS43" s="16">
        <f t="shared" si="41"/>
        <v>0</v>
      </c>
      <c r="AT43" s="53">
        <f t="shared" si="41"/>
        <v>0</v>
      </c>
      <c r="AV43" s="56">
        <f t="shared" si="25"/>
        <v>0</v>
      </c>
      <c r="AW43" s="26">
        <f t="shared" si="42"/>
        <v>0</v>
      </c>
      <c r="AX43" s="26">
        <f t="shared" si="42"/>
        <v>0</v>
      </c>
      <c r="AY43" s="57">
        <f t="shared" si="27"/>
        <v>0</v>
      </c>
      <c r="BA43" s="56">
        <f t="shared" si="28"/>
        <v>0</v>
      </c>
      <c r="BB43" s="26">
        <f t="shared" si="43"/>
        <v>0</v>
      </c>
      <c r="BC43" s="26">
        <f t="shared" si="43"/>
        <v>0</v>
      </c>
      <c r="BD43" s="57">
        <f t="shared" si="30"/>
        <v>0</v>
      </c>
      <c r="BF43" s="56">
        <f t="shared" si="31"/>
        <v>0</v>
      </c>
      <c r="BG43" s="26">
        <f t="shared" si="32"/>
        <v>0</v>
      </c>
      <c r="BH43" s="26">
        <f t="shared" si="40"/>
        <v>0</v>
      </c>
      <c r="BI43" s="57">
        <f t="shared" si="33"/>
        <v>0</v>
      </c>
      <c r="BK43" s="56">
        <f t="shared" si="34"/>
        <v>0</v>
      </c>
      <c r="BL43" s="26">
        <f t="shared" si="44"/>
        <v>0</v>
      </c>
      <c r="BM43" s="26">
        <f t="shared" si="44"/>
        <v>0</v>
      </c>
      <c r="BN43" s="57">
        <f t="shared" si="36"/>
        <v>0</v>
      </c>
      <c r="BP43" s="56">
        <f t="shared" si="37"/>
        <v>0</v>
      </c>
      <c r="BQ43" s="26">
        <f t="shared" si="45"/>
        <v>0</v>
      </c>
      <c r="BR43" s="26">
        <f t="shared" si="45"/>
        <v>0</v>
      </c>
      <c r="BS43" s="57">
        <f t="shared" si="39"/>
        <v>0</v>
      </c>
      <c r="BU43" s="56">
        <f>IF($O43=BU$2,IF($Q43=$AD$2,$P43)) + IF($R43=BU$2,IF($T43=$AD$2,$S43)) + IF($U43=BU$2,IF($W43=$AD$2,$V43))</f>
        <v>0</v>
      </c>
      <c r="BV43" s="26">
        <f>IF($O43=BV$2,IF($Q43=$AD$2,2*$P43)) + IF($R43=BV$2,IF($T43=$AD$2,2*$S43)) + IF($U43=BV$2,IF($W43=$AD$2,2*$V43))</f>
        <v>0</v>
      </c>
      <c r="BW43" s="26">
        <f>IF($O43=BW$2,IF($Q43=$AD$2,2*$P43)) + IF($R43=BW$2,IF($T43=$AD$2,2*$S43)) + IF($U43=BW$2,IF($W43=$AD$2,2*$V43))</f>
        <v>0</v>
      </c>
      <c r="BX43" s="57">
        <f>IF($O43=BX$2,IF($Q43=$AD$2,12*$P43)) + IF($R43=BX$2,IF($T43=$AD$2,12*$S43)) + IF($U43=BX$2,IF($W43=$AD$2,12*$V43))</f>
        <v>0</v>
      </c>
      <c r="BZ43" s="56">
        <f>IF($O43=BZ$2,IF($Q43=Armory,$P43)) + IF($R43=BZ$2,IF($T43=Armory,$S43)) + IF($U43=BZ$2,IF($W43=Armory,$V43))</f>
        <v>0</v>
      </c>
      <c r="CA43" s="26">
        <f>IF($O43=CA$2,IF($Q43=Armory,2*$P43)) + IF($R43=CA$2,IF($T43=Armory,2*$S43)) + IF($U43=CA$2,IF($W43=Armory,2*$V43))</f>
        <v>0</v>
      </c>
      <c r="CB43" s="26">
        <f>IF($O43=CB$2,IF($Q43=Armory,2*$P43)) + IF($R43=CB$2,IF($T43=Armory,2*$S43)) + IF($U43=CB$2,IF($W43=Armory,2*$V43))</f>
        <v>0</v>
      </c>
      <c r="CC43" s="57">
        <f>IF($O43=CC$2,IF($Q43=Armory,12*$P43)) + IF($R43=CC$2,IF($T43=Armory,12*$S43)) + IF($U43=CC$2,IF($W43=Armory,12*$V43))</f>
        <v>0</v>
      </c>
      <c r="CE43" s="56">
        <f>IF($O43=CE$2,IF($Q43=Infirmary,$P43)) + IF($R43=CE$2,IF($T43=Infirmary,$S43)) + IF($U43=CE$2,IF($W43=Infirmary,$V43))</f>
        <v>0</v>
      </c>
      <c r="CF43" s="26">
        <f>IF($O43=CF$2,IF($Q43=Infirmary,2*$P43)) + IF($R43=CF$2,IF($T43=Infirmary,2*$S43)) + IF($U43=CF$2,IF($W43=Infirmary,2*$V43))</f>
        <v>0</v>
      </c>
      <c r="CG43" s="26">
        <f>IF($O43=CG$2,IF($Q43=Infirmary,2*$P43)) + IF($R43=CG$2,IF($T43=Infirmary,2*$S43)) + IF($U43=CG$2,IF($W43=Infirmary,2*$V43))</f>
        <v>0</v>
      </c>
      <c r="CH43" s="57">
        <f>IF($O43=CH$2,IF($Q43=Infirmary,12*$P43)) + IF($R43=CH$2,IF($T43=Infirmary,12*$S43)) + IF($U43=CH$2,IF($W43=Infirmary,12*$V43))</f>
        <v>0</v>
      </c>
      <c r="CJ43" s="52" t="e">
        <f>OR(Production!C43,Construction!N43:'Construction'!AF43,Construction!BV43:CN43,Explore!S43:Z43,Military!AF43:AL43,Military!X43,Military!BE43:BL43,Rezone!L43:R43,Magic!G43:Q43)</f>
        <v>#VALUE!</v>
      </c>
      <c r="CK43" s="525">
        <f>M43</f>
        <v>0</v>
      </c>
      <c r="CL43" s="525"/>
      <c r="CM43" s="555">
        <f t="shared" si="20"/>
        <v>43768.41666666657</v>
      </c>
      <c r="CN43" s="563">
        <f t="shared" si="21"/>
        <v>43768.249999999905</v>
      </c>
      <c r="CO43" s="527"/>
      <c r="CP43" s="803"/>
      <c r="CQ43" s="808"/>
    </row>
    <row r="44" spans="1:96" s="16" customFormat="1" x14ac:dyDescent="0.25">
      <c r="A44" s="511">
        <f>Construction!E44</f>
        <v>1000</v>
      </c>
      <c r="C44" s="56">
        <f ca="1">Production!H44</f>
        <v>4681580</v>
      </c>
      <c r="D44" s="26">
        <f ca="1">Production!J44</f>
        <v>319538</v>
      </c>
      <c r="E44" s="26">
        <f ca="1">Production!L44</f>
        <v>300000</v>
      </c>
      <c r="F44" s="57">
        <f ca="1">Production!M44</f>
        <v>20000</v>
      </c>
      <c r="G44" s="26"/>
      <c r="H44" s="56">
        <f ca="1">Military!Z44</f>
        <v>5295</v>
      </c>
      <c r="I44" s="538">
        <f ca="1">Population!I44</f>
        <v>1</v>
      </c>
      <c r="J44" s="165">
        <f ca="1">Population!F44/Population!U44</f>
        <v>1</v>
      </c>
      <c r="K44" s="1000">
        <f>Rezone!J44</f>
        <v>42</v>
      </c>
      <c r="L44" s="582">
        <f t="shared" si="19"/>
        <v>43768.427083333234</v>
      </c>
      <c r="M44" s="316">
        <f t="shared" si="22"/>
        <v>0</v>
      </c>
      <c r="N44" s="638">
        <f t="shared" si="23"/>
        <v>1000</v>
      </c>
      <c r="O44" s="423" t="s">
        <v>4</v>
      </c>
      <c r="P44" s="370"/>
      <c r="Q44" s="424" t="s">
        <v>223</v>
      </c>
      <c r="R44" s="423" t="s">
        <v>7</v>
      </c>
      <c r="S44" s="370"/>
      <c r="T44" s="425" t="s">
        <v>223</v>
      </c>
      <c r="U44" s="424" t="s">
        <v>3</v>
      </c>
      <c r="V44" s="370"/>
      <c r="W44" s="425" t="s">
        <v>223</v>
      </c>
      <c r="Y44" s="522">
        <f ca="1">science_cap*(1-EXP(-AH44/(science_param*($A45-Explore!$S45*20)+15000)))*(1+(mason_bonus*Construction!BB44/Construction!BS44))+IF(Overview!$B$14="Beastfolk",Construction!DA44/Construction!E44,0)*(1 + Production!O44/100*prestige_pop_multiplier)</f>
        <v>0</v>
      </c>
      <c r="Z44" s="284">
        <f ca="1">keep_cap*(1-EXP(-AI44/(keep_param*($A45-Explore!$S45*20)+15000)))*(1+(mason_bonus*Construction!BB44/Construction!BS44))+IF(Overview!$B$14="Beastfolk",Construction!DF44/Construction!E44,0)*(1 + Production!O44/100*prestige_pop_multiplier)</f>
        <v>0</v>
      </c>
      <c r="AA44" s="284">
        <f ca="1">harbor_towers_cap*(1-EXP(-AJ44/(harbor_towers_param*($A45-Explore!$S45*20)+15000)))*(1+(mason_bonus*Construction!BB44/Construction!BS44))+IF(Overview!$B$14="Beastfolk",2*Construction!DC44/Construction!E44,0)*(1 + Production!O44/100*prestige_pop_multiplier)</f>
        <v>0</v>
      </c>
      <c r="AB44" s="284">
        <f ca="1">walls_forges_cap*(1-EXP(-AK44/(walls_forges_param*($A45-Explore!$S45*20)+15000)))*(1+(mason_bonus*Construction!BB44/Construction!BS44))+IF(Overview!$B$14="Beastfolk",0.2*Construction!CY44/Construction!E44,0)</f>
        <v>0</v>
      </c>
      <c r="AC44" s="284">
        <f ca="1">walls_forges_cap*(1-EXP(-AL44/(walls_forges_param*($A45-Explore!$S45*20)+15000)))*(1+(mason_bonus*Construction!BB44/Construction!BS44))+IF(Overview!$B$14="Beastfolk",5*Construction!DB44/Construction!E44,0)</f>
        <v>0</v>
      </c>
      <c r="AD44" s="97">
        <f ca="1">harbor_towers_cap*(1-EXP(-AM44/(harbor_towers_param*($A45-Explore!$S45*20)+15000)))*(1+(mason_bonus*Construction!BB44/Construction!BS44))+IF(Overview!$B$14="Beastfolk",Construction!DE44/Construction!E44)*(1 + Production!O44/100*prestige_pop_multiplier)</f>
        <v>0</v>
      </c>
      <c r="AE44" s="97">
        <f ca="1">armory_cap*(1-EXP(-AN44/(armory_param*($A45-Explore!$S45*20)+15000)))*(1+(mason_bonus*Construction!$BB44/Construction!$BS44))</f>
        <v>0</v>
      </c>
      <c r="AF44" s="97">
        <f ca="1">infirmary_cap*(1-EXP(-AO44/(infirmary_param*($A45-Explore!$S45*20)+15000)))*(1+(mason_bonus*Construction!$BB44/Construction!$BS44))</f>
        <v>0</v>
      </c>
      <c r="AH44" s="56">
        <f ca="1">(1+Overview!$O$28+IF(Magic!BA44&gt;0,0.1,0))*SUM(AV44:AY44) + AH43</f>
        <v>0</v>
      </c>
      <c r="AI44" s="26">
        <f ca="1">(1+Overview!$O$28+IF(Magic!BA44&gt;0,0.1,0))*SUM(BA44:BD44) + AI43</f>
        <v>0</v>
      </c>
      <c r="AJ44" s="164">
        <f ca="1">(1+Overview!$O$28+IF(Magic!BA44&gt;0,0.1,0))*SUM(BF44:BI44) + AJ43</f>
        <v>0</v>
      </c>
      <c r="AK44" s="164">
        <f ca="1">(1+Overview!$O$28+IF(Magic!BA44&gt;0,0.1,0))*SUM(BK44:BN44) + AK43</f>
        <v>0</v>
      </c>
      <c r="AL44" s="164">
        <f ca="1">(1+Overview!$O$28+IF(Magic!BA44&gt;0,0.1,0))*SUM(BP44:BS44) + AL43</f>
        <v>0</v>
      </c>
      <c r="AM44" s="166">
        <f ca="1">(1+Overview!$O$28+IF(Magic!BA44&gt;0,0.1,0))*SUM(BU44:BX44) + AM43</f>
        <v>0</v>
      </c>
      <c r="AN44" s="166">
        <f ca="1">(1+Overview!$O$28+IF(Magic!BA44&gt;0,0.1,0))*SUM(BZ44:CC44)+AN43</f>
        <v>0</v>
      </c>
      <c r="AO44" s="164">
        <f ca="1">(1+Overview!$O$28+IF(Magic!BA44&gt;0,0.1,0))*SUM(CE44:CH44)+AO43</f>
        <v>0</v>
      </c>
      <c r="AQ44" s="52">
        <f t="shared" si="41"/>
        <v>0</v>
      </c>
      <c r="AR44" s="16">
        <f t="shared" si="41"/>
        <v>0</v>
      </c>
      <c r="AS44" s="16">
        <f t="shared" si="41"/>
        <v>0</v>
      </c>
      <c r="AT44" s="53">
        <f t="shared" si="41"/>
        <v>0</v>
      </c>
      <c r="AV44" s="56">
        <f t="shared" si="25"/>
        <v>0</v>
      </c>
      <c r="AW44" s="26">
        <f t="shared" si="42"/>
        <v>0</v>
      </c>
      <c r="AX44" s="26">
        <f t="shared" si="42"/>
        <v>0</v>
      </c>
      <c r="AY44" s="57">
        <f t="shared" si="27"/>
        <v>0</v>
      </c>
      <c r="BA44" s="56">
        <f t="shared" si="28"/>
        <v>0</v>
      </c>
      <c r="BB44" s="26">
        <f t="shared" si="43"/>
        <v>0</v>
      </c>
      <c r="BC44" s="26">
        <f t="shared" si="43"/>
        <v>0</v>
      </c>
      <c r="BD44" s="57">
        <f t="shared" si="30"/>
        <v>0</v>
      </c>
      <c r="BF44" s="56">
        <f t="shared" si="31"/>
        <v>0</v>
      </c>
      <c r="BG44" s="26">
        <f t="shared" si="32"/>
        <v>0</v>
      </c>
      <c r="BH44" s="26">
        <f t="shared" si="40"/>
        <v>0</v>
      </c>
      <c r="BI44" s="57">
        <f t="shared" si="33"/>
        <v>0</v>
      </c>
      <c r="BK44" s="56">
        <f t="shared" si="34"/>
        <v>0</v>
      </c>
      <c r="BL44" s="26">
        <f t="shared" si="44"/>
        <v>0</v>
      </c>
      <c r="BM44" s="26">
        <f t="shared" si="44"/>
        <v>0</v>
      </c>
      <c r="BN44" s="57">
        <f t="shared" si="36"/>
        <v>0</v>
      </c>
      <c r="BP44" s="56">
        <f t="shared" si="37"/>
        <v>0</v>
      </c>
      <c r="BQ44" s="26">
        <f t="shared" si="45"/>
        <v>0</v>
      </c>
      <c r="BR44" s="26">
        <f t="shared" si="45"/>
        <v>0</v>
      </c>
      <c r="BS44" s="57">
        <f t="shared" si="39"/>
        <v>0</v>
      </c>
      <c r="BU44" s="56">
        <f>IF($O44=BU$2,IF($Q44=$AD$2,$P44)) + IF($R44=BU$2,IF($T44=$AD$2,$S44)) + IF($U44=BU$2,IF($W44=$AD$2,$V44))</f>
        <v>0</v>
      </c>
      <c r="BV44" s="26">
        <f>IF($O44=BV$2,IF($Q44=$AD$2,2*$P44)) + IF($R44=BV$2,IF($T44=$AD$2,2*$S44)) + IF($U44=BV$2,IF($W44=$AD$2,2*$V44))</f>
        <v>0</v>
      </c>
      <c r="BW44" s="26">
        <f>IF($O44=BW$2,IF($Q44=$AD$2,2*$P44)) + IF($R44=BW$2,IF($T44=$AD$2,2*$S44)) + IF($U44=BW$2,IF($W44=$AD$2,2*$V44))</f>
        <v>0</v>
      </c>
      <c r="BX44" s="57">
        <f>IF($O44=BX$2,IF($Q44=$AD$2,12*$P44)) + IF($R44=BX$2,IF($T44=$AD$2,12*$S44)) + IF($U44=BX$2,IF($W44=$AD$2,12*$V44))</f>
        <v>0</v>
      </c>
      <c r="BZ44" s="56">
        <f>IF($O44=BZ$2,IF($Q44=Armory,$P44)) + IF($R44=BZ$2,IF($T44=Armory,$S44)) + IF($U44=BZ$2,IF($W44=Armory,$V44))</f>
        <v>0</v>
      </c>
      <c r="CA44" s="26">
        <f>IF($O44=CA$2,IF($Q44=Armory,2*$P44)) + IF($R44=CA$2,IF($T44=Armory,2*$S44)) + IF($U44=CA$2,IF($W44=Armory,2*$V44))</f>
        <v>0</v>
      </c>
      <c r="CB44" s="26">
        <f>IF($O44=CB$2,IF($Q44=Armory,2*$P44)) + IF($R44=CB$2,IF($T44=Armory,2*$S44)) + IF($U44=CB$2,IF($W44=Armory,2*$V44))</f>
        <v>0</v>
      </c>
      <c r="CC44" s="57">
        <f>IF($O44=CC$2,IF($Q44=Armory,12*$P44)) + IF($R44=CC$2,IF($T44=Armory,12*$S44)) + IF($U44=CC$2,IF($W44=Armory,12*$V44))</f>
        <v>0</v>
      </c>
      <c r="CE44" s="56">
        <f>IF($O44=CE$2,IF($Q44=Infirmary,$P44)) + IF($R44=CE$2,IF($T44=Infirmary,$S44)) + IF($U44=CE$2,IF($W44=Infirmary,$V44))</f>
        <v>0</v>
      </c>
      <c r="CF44" s="26">
        <f>IF($O44=CF$2,IF($Q44=Infirmary,2*$P44)) + IF($R44=CF$2,IF($T44=Infirmary,2*$S44)) + IF($U44=CF$2,IF($W44=Infirmary,2*$V44))</f>
        <v>0</v>
      </c>
      <c r="CG44" s="26">
        <f>IF($O44=CG$2,IF($Q44=Infirmary,2*$P44)) + IF($R44=CG$2,IF($T44=Infirmary,2*$S44)) + IF($U44=CG$2,IF($W44=Infirmary,2*$V44))</f>
        <v>0</v>
      </c>
      <c r="CH44" s="57">
        <f>IF($O44=CH$2,IF($Q44=Infirmary,12*$P44)) + IF($R44=CH$2,IF($T44=Infirmary,12*$S44)) + IF($U44=CH$2,IF($W44=Infirmary,12*$V44))</f>
        <v>0</v>
      </c>
      <c r="CJ44" s="52" t="e">
        <f>OR(Production!C44,Construction!N44:'Construction'!AF44,Construction!BV44:CN44,Explore!S44:Z44,Military!AF44:AL44,Military!X44,Military!BE44:BL44,Rezone!L44:R44,Magic!G44:Q44)</f>
        <v>#VALUE!</v>
      </c>
      <c r="CK44" s="525">
        <f>M44</f>
        <v>0</v>
      </c>
      <c r="CL44" s="525"/>
      <c r="CM44" s="555">
        <f t="shared" si="20"/>
        <v>43768.427083333234</v>
      </c>
      <c r="CN44" s="563">
        <f t="shared" si="21"/>
        <v>43768.26041666657</v>
      </c>
      <c r="CO44" s="527"/>
      <c r="CP44" s="803"/>
      <c r="CQ44" s="808"/>
    </row>
    <row r="45" spans="1:96" s="16" customFormat="1" x14ac:dyDescent="0.25">
      <c r="A45" s="511">
        <f>Construction!E45</f>
        <v>1000</v>
      </c>
      <c r="C45" s="56">
        <f ca="1">Production!H45</f>
        <v>4686561</v>
      </c>
      <c r="D45" s="26">
        <f ca="1">Production!J45</f>
        <v>318843</v>
      </c>
      <c r="E45" s="26">
        <f ca="1">Production!L45</f>
        <v>300000</v>
      </c>
      <c r="F45" s="57">
        <f ca="1">Production!M45</f>
        <v>20000</v>
      </c>
      <c r="G45" s="26"/>
      <c r="H45" s="56">
        <f ca="1">Military!Z45</f>
        <v>5295</v>
      </c>
      <c r="I45" s="538">
        <f ca="1">Population!I45</f>
        <v>1</v>
      </c>
      <c r="J45" s="165">
        <f ca="1">Population!F45/Population!U45</f>
        <v>1</v>
      </c>
      <c r="K45" s="1000">
        <f>Rezone!J45</f>
        <v>43</v>
      </c>
      <c r="L45" s="582">
        <f t="shared" si="19"/>
        <v>43768.437499999898</v>
      </c>
      <c r="M45" s="316">
        <f t="shared" si="22"/>
        <v>0</v>
      </c>
      <c r="N45" s="638">
        <f t="shared" si="23"/>
        <v>1000</v>
      </c>
      <c r="O45" s="423" t="s">
        <v>4</v>
      </c>
      <c r="P45" s="370"/>
      <c r="Q45" s="424" t="s">
        <v>223</v>
      </c>
      <c r="R45" s="423" t="s">
        <v>7</v>
      </c>
      <c r="S45" s="370"/>
      <c r="T45" s="425" t="s">
        <v>223</v>
      </c>
      <c r="U45" s="424" t="s">
        <v>3</v>
      </c>
      <c r="V45" s="370"/>
      <c r="W45" s="425" t="s">
        <v>223</v>
      </c>
      <c r="Y45" s="522">
        <f ca="1">science_cap*(1-EXP(-AH45/(science_param*($A46-Explore!$S46*20)+15000)))*(1+(mason_bonus*Construction!BB45/Construction!BS45))+IF(Overview!$B$14="Beastfolk",Construction!DA45/Construction!E45,0)*(1 + Production!O45/100*prestige_pop_multiplier)</f>
        <v>0</v>
      </c>
      <c r="Z45" s="284">
        <f ca="1">keep_cap*(1-EXP(-AI45/(keep_param*($A46-Explore!$S46*20)+15000)))*(1+(mason_bonus*Construction!BB45/Construction!BS45))+IF(Overview!$B$14="Beastfolk",Construction!DF45/Construction!E45,0)*(1 + Production!O45/100*prestige_pop_multiplier)</f>
        <v>0</v>
      </c>
      <c r="AA45" s="284">
        <f ca="1">harbor_towers_cap*(1-EXP(-AJ45/(harbor_towers_param*($A46-Explore!$S46*20)+15000)))*(1+(mason_bonus*Construction!BB45/Construction!BS45))+IF(Overview!$B$14="Beastfolk",2*Construction!DC45/Construction!E45,0)*(1 + Production!O45/100*prestige_pop_multiplier)</f>
        <v>0</v>
      </c>
      <c r="AB45" s="284">
        <f ca="1">walls_forges_cap*(1-EXP(-AK45/(walls_forges_param*($A46-Explore!$S46*20)+15000)))*(1+(mason_bonus*Construction!BB45/Construction!BS45))+IF(Overview!$B$14="Beastfolk",0.2*Construction!CY45/Construction!E45,0)</f>
        <v>0</v>
      </c>
      <c r="AC45" s="284">
        <f ca="1">walls_forges_cap*(1-EXP(-AL45/(walls_forges_param*($A46-Explore!$S46*20)+15000)))*(1+(mason_bonus*Construction!BB45/Construction!BS45))+IF(Overview!$B$14="Beastfolk",5*Construction!DB45/Construction!E45,0)</f>
        <v>0</v>
      </c>
      <c r="AD45" s="97">
        <f ca="1">harbor_towers_cap*(1-EXP(-AM45/(harbor_towers_param*($A46-Explore!$S46*20)+15000)))*(1+(mason_bonus*Construction!BB45/Construction!BS45))+IF(Overview!$B$14="Beastfolk",Construction!DE45/Construction!E45)*(1 + Production!O45/100*prestige_pop_multiplier)</f>
        <v>0</v>
      </c>
      <c r="AE45" s="97">
        <f ca="1">armory_cap*(1-EXP(-AN45/(armory_param*($A46-Explore!$S46*20)+15000)))*(1+(mason_bonus*Construction!$BB45/Construction!$BS45))</f>
        <v>0</v>
      </c>
      <c r="AF45" s="97">
        <f ca="1">infirmary_cap*(1-EXP(-AO45/(infirmary_param*($A46-Explore!$S46*20)+15000)))*(1+(mason_bonus*Construction!$BB45/Construction!$BS45))</f>
        <v>0</v>
      </c>
      <c r="AH45" s="56">
        <f ca="1">(1+Overview!$O$28+IF(Magic!BA45&gt;0,0.1,0))*SUM(AV45:AY45) + AH44</f>
        <v>0</v>
      </c>
      <c r="AI45" s="26">
        <f ca="1">(1+Overview!$O$28+IF(Magic!BA45&gt;0,0.1,0))*SUM(BA45:BD45) + AI44</f>
        <v>0</v>
      </c>
      <c r="AJ45" s="164">
        <f ca="1">(1+Overview!$O$28+IF(Magic!BA45&gt;0,0.1,0))*SUM(BF45:BI45) + AJ44</f>
        <v>0</v>
      </c>
      <c r="AK45" s="164">
        <f ca="1">(1+Overview!$O$28+IF(Magic!BA45&gt;0,0.1,0))*SUM(BK45:BN45) + AK44</f>
        <v>0</v>
      </c>
      <c r="AL45" s="164">
        <f ca="1">(1+Overview!$O$28+IF(Magic!BA45&gt;0,0.1,0))*SUM(BP45:BS45) + AL44</f>
        <v>0</v>
      </c>
      <c r="AM45" s="166">
        <f ca="1">(1+Overview!$O$28+IF(Magic!BA45&gt;0,0.1,0))*SUM(BU45:BX45) + AM44</f>
        <v>0</v>
      </c>
      <c r="AN45" s="166">
        <f ca="1">(1+Overview!$O$28+IF(Magic!BA45&gt;0,0.1,0))*SUM(BZ45:CC45)+AN44</f>
        <v>0</v>
      </c>
      <c r="AO45" s="164">
        <f ca="1">(1+Overview!$O$28+IF(Magic!BA45&gt;0,0.1,0))*SUM(CE45:CH45)+AO44</f>
        <v>0</v>
      </c>
      <c r="AQ45" s="52">
        <f t="shared" si="41"/>
        <v>0</v>
      </c>
      <c r="AR45" s="16">
        <f t="shared" si="41"/>
        <v>0</v>
      </c>
      <c r="AS45" s="16">
        <f t="shared" si="41"/>
        <v>0</v>
      </c>
      <c r="AT45" s="53">
        <f t="shared" si="41"/>
        <v>0</v>
      </c>
      <c r="AV45" s="56">
        <f t="shared" si="25"/>
        <v>0</v>
      </c>
      <c r="AW45" s="26">
        <f t="shared" si="42"/>
        <v>0</v>
      </c>
      <c r="AX45" s="26">
        <f t="shared" si="42"/>
        <v>0</v>
      </c>
      <c r="AY45" s="57">
        <f t="shared" si="27"/>
        <v>0</v>
      </c>
      <c r="BA45" s="56">
        <f t="shared" si="28"/>
        <v>0</v>
      </c>
      <c r="BB45" s="26">
        <f t="shared" si="43"/>
        <v>0</v>
      </c>
      <c r="BC45" s="26">
        <f t="shared" si="43"/>
        <v>0</v>
      </c>
      <c r="BD45" s="57">
        <f t="shared" si="30"/>
        <v>0</v>
      </c>
      <c r="BF45" s="56">
        <f t="shared" si="31"/>
        <v>0</v>
      </c>
      <c r="BG45" s="26">
        <f t="shared" si="32"/>
        <v>0</v>
      </c>
      <c r="BH45" s="26">
        <f t="shared" si="40"/>
        <v>0</v>
      </c>
      <c r="BI45" s="57">
        <f t="shared" si="33"/>
        <v>0</v>
      </c>
      <c r="BK45" s="56">
        <f t="shared" si="34"/>
        <v>0</v>
      </c>
      <c r="BL45" s="26">
        <f t="shared" si="44"/>
        <v>0</v>
      </c>
      <c r="BM45" s="26">
        <f t="shared" si="44"/>
        <v>0</v>
      </c>
      <c r="BN45" s="57">
        <f t="shared" si="36"/>
        <v>0</v>
      </c>
      <c r="BP45" s="56">
        <f t="shared" si="37"/>
        <v>0</v>
      </c>
      <c r="BQ45" s="26">
        <f t="shared" si="45"/>
        <v>0</v>
      </c>
      <c r="BR45" s="26">
        <f t="shared" si="45"/>
        <v>0</v>
      </c>
      <c r="BS45" s="57">
        <f t="shared" si="39"/>
        <v>0</v>
      </c>
      <c r="BU45" s="56">
        <f>IF($O45=BU$2,IF($Q45=$AD$2,$P45)) + IF($R45=BU$2,IF($T45=$AD$2,$S45)) + IF($U45=BU$2,IF($W45=$AD$2,$V45))</f>
        <v>0</v>
      </c>
      <c r="BV45" s="26">
        <f>IF($O45=BV$2,IF($Q45=$AD$2,2*$P45)) + IF($R45=BV$2,IF($T45=$AD$2,2*$S45)) + IF($U45=BV$2,IF($W45=$AD$2,2*$V45))</f>
        <v>0</v>
      </c>
      <c r="BW45" s="26">
        <f>IF($O45=BW$2,IF($Q45=$AD$2,2*$P45)) + IF($R45=BW$2,IF($T45=$AD$2,2*$S45)) + IF($U45=BW$2,IF($W45=$AD$2,2*$V45))</f>
        <v>0</v>
      </c>
      <c r="BX45" s="57">
        <f>IF($O45=BX$2,IF($Q45=$AD$2,12*$P45)) + IF($R45=BX$2,IF($T45=$AD$2,12*$S45)) + IF($U45=BX$2,IF($W45=$AD$2,12*$V45))</f>
        <v>0</v>
      </c>
      <c r="BZ45" s="56">
        <f>IF($O45=BZ$2,IF($Q45=Armory,$P45)) + IF($R45=BZ$2,IF($T45=Armory,$S45)) + IF($U45=BZ$2,IF($W45=Armory,$V45))</f>
        <v>0</v>
      </c>
      <c r="CA45" s="26">
        <f>IF($O45=CA$2,IF($Q45=Armory,2*$P45)) + IF($R45=CA$2,IF($T45=Armory,2*$S45)) + IF($U45=CA$2,IF($W45=Armory,2*$V45))</f>
        <v>0</v>
      </c>
      <c r="CB45" s="26">
        <f>IF($O45=CB$2,IF($Q45=Armory,2*$P45)) + IF($R45=CB$2,IF($T45=Armory,2*$S45)) + IF($U45=CB$2,IF($W45=Armory,2*$V45))</f>
        <v>0</v>
      </c>
      <c r="CC45" s="57">
        <f>IF($O45=CC$2,IF($Q45=Armory,12*$P45)) + IF($R45=CC$2,IF($T45=Armory,12*$S45)) + IF($U45=CC$2,IF($W45=Armory,12*$V45))</f>
        <v>0</v>
      </c>
      <c r="CE45" s="56">
        <f>IF($O45=CE$2,IF($Q45=Infirmary,$P45)) + IF($R45=CE$2,IF($T45=Infirmary,$S45)) + IF($U45=CE$2,IF($W45=Infirmary,$V45))</f>
        <v>0</v>
      </c>
      <c r="CF45" s="26">
        <f>IF($O45=CF$2,IF($Q45=Infirmary,2*$P45)) + IF($R45=CF$2,IF($T45=Infirmary,2*$S45)) + IF($U45=CF$2,IF($W45=Infirmary,2*$V45))</f>
        <v>0</v>
      </c>
      <c r="CG45" s="26">
        <f>IF($O45=CG$2,IF($Q45=Infirmary,2*$P45)) + IF($R45=CG$2,IF($T45=Infirmary,2*$S45)) + IF($U45=CG$2,IF($W45=Infirmary,2*$V45))</f>
        <v>0</v>
      </c>
      <c r="CH45" s="57">
        <f>IF($O45=CH$2,IF($Q45=Infirmary,12*$P45)) + IF($R45=CH$2,IF($T45=Infirmary,12*$S45)) + IF($U45=CH$2,IF($W45=Infirmary,12*$V45))</f>
        <v>0</v>
      </c>
      <c r="CJ45" s="52" t="e">
        <f>OR(Production!C45,Construction!N45:'Construction'!AF45,Construction!BV45:CN45,Explore!S45:Z45,Military!AF45:AL45,Military!X45,Military!BE45:BL45,Rezone!L45:R45,Magic!G45:Q45)</f>
        <v>#VALUE!</v>
      </c>
      <c r="CK45" s="525">
        <f>M45</f>
        <v>0</v>
      </c>
      <c r="CL45" s="525"/>
      <c r="CM45" s="555">
        <f t="shared" si="20"/>
        <v>43768.437499999898</v>
      </c>
      <c r="CN45" s="563">
        <f t="shared" si="21"/>
        <v>43768.270833333234</v>
      </c>
      <c r="CO45" s="527"/>
      <c r="CP45" s="803"/>
      <c r="CQ45" s="808"/>
    </row>
    <row r="46" spans="1:96" s="16" customFormat="1" x14ac:dyDescent="0.25">
      <c r="A46" s="511">
        <f>Construction!E46</f>
        <v>1000</v>
      </c>
      <c r="C46" s="56">
        <f ca="1">Production!H46</f>
        <v>4691542</v>
      </c>
      <c r="D46" s="26">
        <f ca="1">Production!J46</f>
        <v>318155</v>
      </c>
      <c r="E46" s="26">
        <f ca="1">Production!L46</f>
        <v>300000</v>
      </c>
      <c r="F46" s="57">
        <f ca="1">Production!M46</f>
        <v>20000</v>
      </c>
      <c r="G46" s="26"/>
      <c r="H46" s="56">
        <f ca="1">Military!Z46</f>
        <v>5295</v>
      </c>
      <c r="I46" s="538">
        <f ca="1">Population!I46</f>
        <v>1</v>
      </c>
      <c r="J46" s="165">
        <f ca="1">Population!F46/Population!U46</f>
        <v>1</v>
      </c>
      <c r="K46" s="1000">
        <f>Rezone!J46</f>
        <v>44</v>
      </c>
      <c r="L46" s="582">
        <f t="shared" si="19"/>
        <v>43768.447916666562</v>
      </c>
      <c r="M46" s="316">
        <f t="shared" si="22"/>
        <v>0</v>
      </c>
      <c r="N46" s="638">
        <f t="shared" si="23"/>
        <v>1000</v>
      </c>
      <c r="O46" s="423" t="s">
        <v>4</v>
      </c>
      <c r="P46" s="370"/>
      <c r="Q46" s="424" t="s">
        <v>223</v>
      </c>
      <c r="R46" s="423" t="s">
        <v>7</v>
      </c>
      <c r="S46" s="370"/>
      <c r="T46" s="425" t="s">
        <v>223</v>
      </c>
      <c r="U46" s="424" t="s">
        <v>3</v>
      </c>
      <c r="V46" s="370"/>
      <c r="W46" s="425" t="s">
        <v>223</v>
      </c>
      <c r="Y46" s="522">
        <f ca="1">science_cap*(1-EXP(-AH46/(science_param*($A47-Explore!$S47*20)+15000)))*(1+(mason_bonus*Construction!BB46/Construction!BS46))+IF(Overview!$B$14="Beastfolk",Construction!DA46/Construction!E46,0)*(1 + Production!O46/100*prestige_pop_multiplier)</f>
        <v>0</v>
      </c>
      <c r="Z46" s="284">
        <f ca="1">keep_cap*(1-EXP(-AI46/(keep_param*($A47-Explore!$S47*20)+15000)))*(1+(mason_bonus*Construction!BB46/Construction!BS46))+IF(Overview!$B$14="Beastfolk",Construction!DF46/Construction!E46,0)*(1 + Production!O46/100*prestige_pop_multiplier)</f>
        <v>0</v>
      </c>
      <c r="AA46" s="284">
        <f ca="1">harbor_towers_cap*(1-EXP(-AJ46/(harbor_towers_param*($A47-Explore!$S47*20)+15000)))*(1+(mason_bonus*Construction!BB46/Construction!BS46))+IF(Overview!$B$14="Beastfolk",2*Construction!DC46/Construction!E46,0)*(1 + Production!O46/100*prestige_pop_multiplier)</f>
        <v>0</v>
      </c>
      <c r="AB46" s="284">
        <f ca="1">walls_forges_cap*(1-EXP(-AK46/(walls_forges_param*($A47-Explore!$S47*20)+15000)))*(1+(mason_bonus*Construction!BB46/Construction!BS46))+IF(Overview!$B$14="Beastfolk",0.2*Construction!CY46/Construction!E46,0)</f>
        <v>0</v>
      </c>
      <c r="AC46" s="284">
        <f ca="1">walls_forges_cap*(1-EXP(-AL46/(walls_forges_param*($A47-Explore!$S47*20)+15000)))*(1+(mason_bonus*Construction!BB46/Construction!BS46))+IF(Overview!$B$14="Beastfolk",5*Construction!DB46/Construction!E46,0)</f>
        <v>0</v>
      </c>
      <c r="AD46" s="97">
        <f ca="1">harbor_towers_cap*(1-EXP(-AM46/(harbor_towers_param*($A47-Explore!$S47*20)+15000)))*(1+(mason_bonus*Construction!BB46/Construction!BS46))+IF(Overview!$B$14="Beastfolk",Construction!DE46/Construction!E46)*(1 + Production!O46/100*prestige_pop_multiplier)</f>
        <v>0</v>
      </c>
      <c r="AE46" s="97">
        <f ca="1">armory_cap*(1-EXP(-AN46/(armory_param*($A47-Explore!$S47*20)+15000)))*(1+(mason_bonus*Construction!$BB46/Construction!$BS46))</f>
        <v>0</v>
      </c>
      <c r="AF46" s="97">
        <f ca="1">infirmary_cap*(1-EXP(-AO46/(infirmary_param*($A47-Explore!$S47*20)+15000)))*(1+(mason_bonus*Construction!$BB46/Construction!$BS46))</f>
        <v>0</v>
      </c>
      <c r="AH46" s="56">
        <f ca="1">(1+Overview!$O$28+IF(Magic!BA46&gt;0,0.1,0))*SUM(AV46:AY46) + AH45</f>
        <v>0</v>
      </c>
      <c r="AI46" s="26">
        <f ca="1">(1+Overview!$O$28+IF(Magic!BA46&gt;0,0.1,0))*SUM(BA46:BD46) + AI45</f>
        <v>0</v>
      </c>
      <c r="AJ46" s="164">
        <f ca="1">(1+Overview!$O$28+IF(Magic!BA46&gt;0,0.1,0))*SUM(BF46:BI46) + AJ45</f>
        <v>0</v>
      </c>
      <c r="AK46" s="164">
        <f ca="1">(1+Overview!$O$28+IF(Magic!BA46&gt;0,0.1,0))*SUM(BK46:BN46) + AK45</f>
        <v>0</v>
      </c>
      <c r="AL46" s="164">
        <f ca="1">(1+Overview!$O$28+IF(Magic!BA46&gt;0,0.1,0))*SUM(BP46:BS46) + AL45</f>
        <v>0</v>
      </c>
      <c r="AM46" s="166">
        <f ca="1">(1+Overview!$O$28+IF(Magic!BA46&gt;0,0.1,0))*SUM(BU46:BX46) + AM45</f>
        <v>0</v>
      </c>
      <c r="AN46" s="166">
        <f ca="1">(1+Overview!$O$28+IF(Magic!BA46&gt;0,0.1,0))*SUM(BZ46:CC46)+AN45</f>
        <v>0</v>
      </c>
      <c r="AO46" s="164">
        <f ca="1">(1+Overview!$O$28+IF(Magic!BA46&gt;0,0.1,0))*SUM(CE46:CH46)+AO45</f>
        <v>0</v>
      </c>
      <c r="AQ46" s="52">
        <f t="shared" si="41"/>
        <v>0</v>
      </c>
      <c r="AR46" s="16">
        <f t="shared" si="41"/>
        <v>0</v>
      </c>
      <c r="AS46" s="16">
        <f t="shared" si="41"/>
        <v>0</v>
      </c>
      <c r="AT46" s="53">
        <f t="shared" si="41"/>
        <v>0</v>
      </c>
      <c r="AV46" s="56">
        <f t="shared" si="25"/>
        <v>0</v>
      </c>
      <c r="AW46" s="26">
        <f t="shared" si="42"/>
        <v>0</v>
      </c>
      <c r="AX46" s="26">
        <f t="shared" si="42"/>
        <v>0</v>
      </c>
      <c r="AY46" s="57">
        <f t="shared" si="27"/>
        <v>0</v>
      </c>
      <c r="BA46" s="56">
        <f t="shared" si="28"/>
        <v>0</v>
      </c>
      <c r="BB46" s="26">
        <f t="shared" si="43"/>
        <v>0</v>
      </c>
      <c r="BC46" s="26">
        <f t="shared" si="43"/>
        <v>0</v>
      </c>
      <c r="BD46" s="57">
        <f t="shared" si="30"/>
        <v>0</v>
      </c>
      <c r="BF46" s="56">
        <f t="shared" si="31"/>
        <v>0</v>
      </c>
      <c r="BG46" s="26">
        <f t="shared" si="32"/>
        <v>0</v>
      </c>
      <c r="BH46" s="26">
        <f t="shared" si="40"/>
        <v>0</v>
      </c>
      <c r="BI46" s="57">
        <f t="shared" si="33"/>
        <v>0</v>
      </c>
      <c r="BK46" s="56">
        <f t="shared" si="34"/>
        <v>0</v>
      </c>
      <c r="BL46" s="26">
        <f t="shared" si="44"/>
        <v>0</v>
      </c>
      <c r="BM46" s="26">
        <f t="shared" si="44"/>
        <v>0</v>
      </c>
      <c r="BN46" s="57">
        <f t="shared" si="36"/>
        <v>0</v>
      </c>
      <c r="BP46" s="56">
        <f t="shared" si="37"/>
        <v>0</v>
      </c>
      <c r="BQ46" s="26">
        <f t="shared" si="45"/>
        <v>0</v>
      </c>
      <c r="BR46" s="26">
        <f t="shared" si="45"/>
        <v>0</v>
      </c>
      <c r="BS46" s="57">
        <f t="shared" si="39"/>
        <v>0</v>
      </c>
      <c r="BU46" s="56">
        <f>IF($O46=BU$2,IF($Q46=$AD$2,$P46)) + IF($R46=BU$2,IF($T46=$AD$2,$S46)) + IF($U46=BU$2,IF($W46=$AD$2,$V46))</f>
        <v>0</v>
      </c>
      <c r="BV46" s="26">
        <f>IF($O46=BV$2,IF($Q46=$AD$2,2*$P46)) + IF($R46=BV$2,IF($T46=$AD$2,2*$S46)) + IF($U46=BV$2,IF($W46=$AD$2,2*$V46))</f>
        <v>0</v>
      </c>
      <c r="BW46" s="26">
        <f>IF($O46=BW$2,IF($Q46=$AD$2,2*$P46)) + IF($R46=BW$2,IF($T46=$AD$2,2*$S46)) + IF($U46=BW$2,IF($W46=$AD$2,2*$V46))</f>
        <v>0</v>
      </c>
      <c r="BX46" s="57">
        <f>IF($O46=BX$2,IF($Q46=$AD$2,12*$P46)) + IF($R46=BX$2,IF($T46=$AD$2,12*$S46)) + IF($U46=BX$2,IF($W46=$AD$2,12*$V46))</f>
        <v>0</v>
      </c>
      <c r="BZ46" s="56">
        <f>IF($O46=BZ$2,IF($Q46=Armory,$P46)) + IF($R46=BZ$2,IF($T46=Armory,$S46)) + IF($U46=BZ$2,IF($W46=Armory,$V46))</f>
        <v>0</v>
      </c>
      <c r="CA46" s="26">
        <f>IF($O46=CA$2,IF($Q46=Armory,2*$P46)) + IF($R46=CA$2,IF($T46=Armory,2*$S46)) + IF($U46=CA$2,IF($W46=Armory,2*$V46))</f>
        <v>0</v>
      </c>
      <c r="CB46" s="26">
        <f>IF($O46=CB$2,IF($Q46=Armory,2*$P46)) + IF($R46=CB$2,IF($T46=Armory,2*$S46)) + IF($U46=CB$2,IF($W46=Armory,2*$V46))</f>
        <v>0</v>
      </c>
      <c r="CC46" s="57">
        <f>IF($O46=CC$2,IF($Q46=Armory,12*$P46)) + IF($R46=CC$2,IF($T46=Armory,12*$S46)) + IF($U46=CC$2,IF($W46=Armory,12*$V46))</f>
        <v>0</v>
      </c>
      <c r="CE46" s="56">
        <f>IF($O46=CE$2,IF($Q46=Infirmary,$P46)) + IF($R46=CE$2,IF($T46=Infirmary,$S46)) + IF($U46=CE$2,IF($W46=Infirmary,$V46))</f>
        <v>0</v>
      </c>
      <c r="CF46" s="26">
        <f>IF($O46=CF$2,IF($Q46=Infirmary,2*$P46)) + IF($R46=CF$2,IF($T46=Infirmary,2*$S46)) + IF($U46=CF$2,IF($W46=Infirmary,2*$V46))</f>
        <v>0</v>
      </c>
      <c r="CG46" s="26">
        <f>IF($O46=CG$2,IF($Q46=Infirmary,2*$P46)) + IF($R46=CG$2,IF($T46=Infirmary,2*$S46)) + IF($U46=CG$2,IF($W46=Infirmary,2*$V46))</f>
        <v>0</v>
      </c>
      <c r="CH46" s="57">
        <f>IF($O46=CH$2,IF($Q46=Infirmary,12*$P46)) + IF($R46=CH$2,IF($T46=Infirmary,12*$S46)) + IF($U46=CH$2,IF($W46=Infirmary,12*$V46))</f>
        <v>0</v>
      </c>
      <c r="CJ46" s="52" t="e">
        <f>OR(Production!C46,Construction!N46:'Construction'!AF46,Construction!BV46:CN46,Explore!S46:Z46,Military!AF46:AL46,Military!X46,Military!BE46:BL46,Rezone!L46:R46,Magic!G46:Q46)</f>
        <v>#VALUE!</v>
      </c>
      <c r="CK46" s="525">
        <f>M46</f>
        <v>0</v>
      </c>
      <c r="CL46" s="525"/>
      <c r="CM46" s="555">
        <f t="shared" si="20"/>
        <v>43768.447916666562</v>
      </c>
      <c r="CN46" s="563">
        <f t="shared" si="21"/>
        <v>43768.281249999898</v>
      </c>
      <c r="CO46" s="527"/>
      <c r="CP46" s="803"/>
      <c r="CQ46" s="808"/>
    </row>
    <row r="47" spans="1:96" s="16" customFormat="1" x14ac:dyDescent="0.25">
      <c r="A47" s="511">
        <f>Construction!E47</f>
        <v>1000</v>
      </c>
      <c r="C47" s="56">
        <f ca="1">Production!H47</f>
        <v>4696523</v>
      </c>
      <c r="D47" s="26">
        <f ca="1">Production!J47</f>
        <v>317473</v>
      </c>
      <c r="E47" s="26">
        <f ca="1">Production!L47</f>
        <v>300000</v>
      </c>
      <c r="F47" s="57">
        <f ca="1">Production!M47</f>
        <v>20000</v>
      </c>
      <c r="G47" s="26"/>
      <c r="H47" s="56">
        <f ca="1">Military!Z47</f>
        <v>5295</v>
      </c>
      <c r="I47" s="538">
        <f ca="1">Population!I47</f>
        <v>1</v>
      </c>
      <c r="J47" s="165">
        <f ca="1">Population!F47/Population!U47</f>
        <v>1</v>
      </c>
      <c r="K47" s="1000">
        <f>Rezone!J47</f>
        <v>45</v>
      </c>
      <c r="L47" s="582">
        <f t="shared" si="19"/>
        <v>43768.458333333227</v>
      </c>
      <c r="M47" s="316">
        <f t="shared" si="22"/>
        <v>0</v>
      </c>
      <c r="N47" s="638">
        <f t="shared" si="23"/>
        <v>1000</v>
      </c>
      <c r="O47" s="423" t="s">
        <v>4</v>
      </c>
      <c r="P47" s="370"/>
      <c r="Q47" s="424" t="s">
        <v>223</v>
      </c>
      <c r="R47" s="423" t="s">
        <v>7</v>
      </c>
      <c r="S47" s="370"/>
      <c r="T47" s="425" t="s">
        <v>223</v>
      </c>
      <c r="U47" s="424" t="s">
        <v>3</v>
      </c>
      <c r="V47" s="370"/>
      <c r="W47" s="425" t="s">
        <v>223</v>
      </c>
      <c r="Y47" s="522">
        <f ca="1">science_cap*(1-EXP(-AH47/(science_param*($A48-Explore!$S48*20)+15000)))*(1+(mason_bonus*Construction!BB47/Construction!BS47))+IF(Overview!$B$14="Beastfolk",Construction!DA47/Construction!E47,0)*(1 + Production!O47/100*prestige_pop_multiplier)</f>
        <v>0</v>
      </c>
      <c r="Z47" s="284">
        <f ca="1">keep_cap*(1-EXP(-AI47/(keep_param*($A48-Explore!$S48*20)+15000)))*(1+(mason_bonus*Construction!BB47/Construction!BS47))+IF(Overview!$B$14="Beastfolk",Construction!DF47/Construction!E47,0)*(1 + Production!O47/100*prestige_pop_multiplier)</f>
        <v>0</v>
      </c>
      <c r="AA47" s="284">
        <f ca="1">harbor_towers_cap*(1-EXP(-AJ47/(harbor_towers_param*($A48-Explore!$S48*20)+15000)))*(1+(mason_bonus*Construction!BB47/Construction!BS47))+IF(Overview!$B$14="Beastfolk",2*Construction!DC47/Construction!E47,0)*(1 + Production!O47/100*prestige_pop_multiplier)</f>
        <v>0</v>
      </c>
      <c r="AB47" s="284">
        <f ca="1">walls_forges_cap*(1-EXP(-AK47/(walls_forges_param*($A48-Explore!$S48*20)+15000)))*(1+(mason_bonus*Construction!BB47/Construction!BS47))+IF(Overview!$B$14="Beastfolk",0.2*Construction!CY47/Construction!E47,0)</f>
        <v>0</v>
      </c>
      <c r="AC47" s="284">
        <f ca="1">walls_forges_cap*(1-EXP(-AL47/(walls_forges_param*($A48-Explore!$S48*20)+15000)))*(1+(mason_bonus*Construction!BB47/Construction!BS47))+IF(Overview!$B$14="Beastfolk",5*Construction!DB47/Construction!E47,0)</f>
        <v>0</v>
      </c>
      <c r="AD47" s="97">
        <f ca="1">harbor_towers_cap*(1-EXP(-AM47/(harbor_towers_param*($A48-Explore!$S48*20)+15000)))*(1+(mason_bonus*Construction!BB47/Construction!BS47))+IF(Overview!$B$14="Beastfolk",Construction!DE47/Construction!E47)*(1 + Production!O47/100*prestige_pop_multiplier)</f>
        <v>0</v>
      </c>
      <c r="AE47" s="97">
        <f ca="1">armory_cap*(1-EXP(-AN47/(armory_param*($A48-Explore!$S48*20)+15000)))*(1+(mason_bonus*Construction!$BB47/Construction!$BS47))</f>
        <v>0</v>
      </c>
      <c r="AF47" s="97">
        <f ca="1">infirmary_cap*(1-EXP(-AO47/(infirmary_param*($A48-Explore!$S48*20)+15000)))*(1+(mason_bonus*Construction!$BB47/Construction!$BS47))</f>
        <v>0</v>
      </c>
      <c r="AH47" s="56">
        <f ca="1">(1+Overview!$O$28+IF(Magic!BA47&gt;0,0.1,0))*SUM(AV47:AY47) + AH46</f>
        <v>0</v>
      </c>
      <c r="AI47" s="26">
        <f ca="1">(1+Overview!$O$28+IF(Magic!BA47&gt;0,0.1,0))*SUM(BA47:BD47) + AI46</f>
        <v>0</v>
      </c>
      <c r="AJ47" s="164">
        <f ca="1">(1+Overview!$O$28+IF(Magic!BA47&gt;0,0.1,0))*SUM(BF47:BI47) + AJ46</f>
        <v>0</v>
      </c>
      <c r="AK47" s="164">
        <f ca="1">(1+Overview!$O$28+IF(Magic!BA47&gt;0,0.1,0))*SUM(BK47:BN47) + AK46</f>
        <v>0</v>
      </c>
      <c r="AL47" s="164">
        <f ca="1">(1+Overview!$O$28+IF(Magic!BA47&gt;0,0.1,0))*SUM(BP47:BS47) + AL46</f>
        <v>0</v>
      </c>
      <c r="AM47" s="166">
        <f ca="1">(1+Overview!$O$28+IF(Magic!BA47&gt;0,0.1,0))*SUM(BU47:BX47) + AM46</f>
        <v>0</v>
      </c>
      <c r="AN47" s="166">
        <f ca="1">(1+Overview!$O$28+IF(Magic!BA47&gt;0,0.1,0))*SUM(BZ47:CC47)+AN46</f>
        <v>0</v>
      </c>
      <c r="AO47" s="164">
        <f ca="1">(1+Overview!$O$28+IF(Magic!BA47&gt;0,0.1,0))*SUM(CE47:CH47)+AO46</f>
        <v>0</v>
      </c>
      <c r="AQ47" s="52">
        <f t="shared" si="41"/>
        <v>0</v>
      </c>
      <c r="AR47" s="16">
        <f t="shared" si="41"/>
        <v>0</v>
      </c>
      <c r="AS47" s="16">
        <f t="shared" si="41"/>
        <v>0</v>
      </c>
      <c r="AT47" s="53">
        <f t="shared" si="41"/>
        <v>0</v>
      </c>
      <c r="AV47" s="56">
        <f t="shared" si="25"/>
        <v>0</v>
      </c>
      <c r="AW47" s="26">
        <f t="shared" si="42"/>
        <v>0</v>
      </c>
      <c r="AX47" s="26">
        <f t="shared" si="42"/>
        <v>0</v>
      </c>
      <c r="AY47" s="57">
        <f t="shared" si="27"/>
        <v>0</v>
      </c>
      <c r="BA47" s="56">
        <f t="shared" si="28"/>
        <v>0</v>
      </c>
      <c r="BB47" s="26">
        <f t="shared" si="43"/>
        <v>0</v>
      </c>
      <c r="BC47" s="26">
        <f t="shared" si="43"/>
        <v>0</v>
      </c>
      <c r="BD47" s="57">
        <f t="shared" si="30"/>
        <v>0</v>
      </c>
      <c r="BF47" s="56">
        <f t="shared" si="31"/>
        <v>0</v>
      </c>
      <c r="BG47" s="26">
        <f t="shared" si="32"/>
        <v>0</v>
      </c>
      <c r="BH47" s="26">
        <f t="shared" si="40"/>
        <v>0</v>
      </c>
      <c r="BI47" s="57">
        <f t="shared" si="33"/>
        <v>0</v>
      </c>
      <c r="BK47" s="56">
        <f t="shared" si="34"/>
        <v>0</v>
      </c>
      <c r="BL47" s="26">
        <f t="shared" si="44"/>
        <v>0</v>
      </c>
      <c r="BM47" s="26">
        <f t="shared" si="44"/>
        <v>0</v>
      </c>
      <c r="BN47" s="57">
        <f t="shared" si="36"/>
        <v>0</v>
      </c>
      <c r="BP47" s="56">
        <f t="shared" si="37"/>
        <v>0</v>
      </c>
      <c r="BQ47" s="26">
        <f t="shared" si="45"/>
        <v>0</v>
      </c>
      <c r="BR47" s="26">
        <f t="shared" si="45"/>
        <v>0</v>
      </c>
      <c r="BS47" s="57">
        <f t="shared" si="39"/>
        <v>0</v>
      </c>
      <c r="BU47" s="56">
        <f>IF($O47=BU$2,IF($Q47=$AD$2,$P47)) + IF($R47=BU$2,IF($T47=$AD$2,$S47)) + IF($U47=BU$2,IF($W47=$AD$2,$V47))</f>
        <v>0</v>
      </c>
      <c r="BV47" s="26">
        <f>IF($O47=BV$2,IF($Q47=$AD$2,2*$P47)) + IF($R47=BV$2,IF($T47=$AD$2,2*$S47)) + IF($U47=BV$2,IF($W47=$AD$2,2*$V47))</f>
        <v>0</v>
      </c>
      <c r="BW47" s="26">
        <f>IF($O47=BW$2,IF($Q47=$AD$2,2*$P47)) + IF($R47=BW$2,IF($T47=$AD$2,2*$S47)) + IF($U47=BW$2,IF($W47=$AD$2,2*$V47))</f>
        <v>0</v>
      </c>
      <c r="BX47" s="57">
        <f>IF($O47=BX$2,IF($Q47=$AD$2,12*$P47)) + IF($R47=BX$2,IF($T47=$AD$2,12*$S47)) + IF($U47=BX$2,IF($W47=$AD$2,12*$V47))</f>
        <v>0</v>
      </c>
      <c r="BZ47" s="56">
        <f>IF($O47=BZ$2,IF($Q47=Armory,$P47)) + IF($R47=BZ$2,IF($T47=Armory,$S47)) + IF($U47=BZ$2,IF($W47=Armory,$V47))</f>
        <v>0</v>
      </c>
      <c r="CA47" s="26">
        <f>IF($O47=CA$2,IF($Q47=Armory,2*$P47)) + IF($R47=CA$2,IF($T47=Armory,2*$S47)) + IF($U47=CA$2,IF($W47=Armory,2*$V47))</f>
        <v>0</v>
      </c>
      <c r="CB47" s="26">
        <f>IF($O47=CB$2,IF($Q47=Armory,2*$P47)) + IF($R47=CB$2,IF($T47=Armory,2*$S47)) + IF($U47=CB$2,IF($W47=Armory,2*$V47))</f>
        <v>0</v>
      </c>
      <c r="CC47" s="57">
        <f>IF($O47=CC$2,IF($Q47=Armory,12*$P47)) + IF($R47=CC$2,IF($T47=Armory,12*$S47)) + IF($U47=CC$2,IF($W47=Armory,12*$V47))</f>
        <v>0</v>
      </c>
      <c r="CE47" s="56">
        <f>IF($O47=CE$2,IF($Q47=Infirmary,$P47)) + IF($R47=CE$2,IF($T47=Infirmary,$S47)) + IF($U47=CE$2,IF($W47=Infirmary,$V47))</f>
        <v>0</v>
      </c>
      <c r="CF47" s="26">
        <f>IF($O47=CF$2,IF($Q47=Infirmary,2*$P47)) + IF($R47=CF$2,IF($T47=Infirmary,2*$S47)) + IF($U47=CF$2,IF($W47=Infirmary,2*$V47))</f>
        <v>0</v>
      </c>
      <c r="CG47" s="26">
        <f>IF($O47=CG$2,IF($Q47=Infirmary,2*$P47)) + IF($R47=CG$2,IF($T47=Infirmary,2*$S47)) + IF($U47=CG$2,IF($W47=Infirmary,2*$V47))</f>
        <v>0</v>
      </c>
      <c r="CH47" s="57">
        <f>IF($O47=CH$2,IF($Q47=Infirmary,12*$P47)) + IF($R47=CH$2,IF($T47=Infirmary,12*$S47)) + IF($U47=CH$2,IF($W47=Infirmary,12*$V47))</f>
        <v>0</v>
      </c>
      <c r="CJ47" s="52" t="e">
        <f>OR(Production!C47,Construction!N47:'Construction'!AF47,Construction!BV47:CN47,Explore!S47:Z47,Military!AF47:AL47,Military!X47,Military!BE47:BL47,Rezone!L47:R47,Magic!G47:Q47)</f>
        <v>#VALUE!</v>
      </c>
      <c r="CK47" s="525">
        <f>M47</f>
        <v>0</v>
      </c>
      <c r="CL47" s="525"/>
      <c r="CM47" s="555">
        <f t="shared" si="20"/>
        <v>43768.458333333227</v>
      </c>
      <c r="CN47" s="563">
        <f t="shared" si="21"/>
        <v>43768.291666666562</v>
      </c>
      <c r="CO47" s="527"/>
      <c r="CP47" s="803"/>
      <c r="CQ47" s="808"/>
    </row>
    <row r="48" spans="1:96" s="16" customFormat="1" x14ac:dyDescent="0.25">
      <c r="A48" s="511">
        <f>Construction!E48</f>
        <v>1000</v>
      </c>
      <c r="C48" s="56">
        <f ca="1">Production!H48</f>
        <v>4701504</v>
      </c>
      <c r="D48" s="26">
        <f ca="1">Production!J48</f>
        <v>316798</v>
      </c>
      <c r="E48" s="26">
        <f ca="1">Production!L48</f>
        <v>300000</v>
      </c>
      <c r="F48" s="57">
        <f ca="1">Production!M48</f>
        <v>20000</v>
      </c>
      <c r="G48" s="26"/>
      <c r="H48" s="56">
        <f ca="1">Military!Z48</f>
        <v>5295</v>
      </c>
      <c r="I48" s="538">
        <f ca="1">Population!I48</f>
        <v>1</v>
      </c>
      <c r="J48" s="165">
        <f ca="1">Population!F48/Population!U48</f>
        <v>1</v>
      </c>
      <c r="K48" s="1000">
        <f>Rezone!J48</f>
        <v>46</v>
      </c>
      <c r="L48" s="582">
        <f t="shared" si="19"/>
        <v>43768.468749999891</v>
      </c>
      <c r="M48" s="316">
        <f t="shared" si="22"/>
        <v>0</v>
      </c>
      <c r="N48" s="638">
        <f t="shared" si="23"/>
        <v>1000</v>
      </c>
      <c r="O48" s="423" t="s">
        <v>4</v>
      </c>
      <c r="P48" s="370"/>
      <c r="Q48" s="424" t="s">
        <v>223</v>
      </c>
      <c r="R48" s="406" t="s">
        <v>7</v>
      </c>
      <c r="S48" s="370"/>
      <c r="T48" s="425" t="s">
        <v>223</v>
      </c>
      <c r="U48" s="424" t="s">
        <v>3</v>
      </c>
      <c r="V48" s="370"/>
      <c r="W48" s="425" t="s">
        <v>223</v>
      </c>
      <c r="Y48" s="522">
        <f ca="1">science_cap*(1-EXP(-AH48/(science_param*($A49-Explore!$S49*20)+15000)))*(1+(mason_bonus*Construction!BB48/Construction!BS48))+IF(Overview!$B$14="Beastfolk",Construction!DA48/Construction!E48,0)*(1 + Production!O48/100*prestige_pop_multiplier)</f>
        <v>0</v>
      </c>
      <c r="Z48" s="284">
        <f ca="1">keep_cap*(1-EXP(-AI48/(keep_param*($A49-Explore!$S49*20)+15000)))*(1+(mason_bonus*Construction!BB48/Construction!BS48))+IF(Overview!$B$14="Beastfolk",Construction!DF48/Construction!E48,0)*(1 + Production!O48/100*prestige_pop_multiplier)</f>
        <v>0</v>
      </c>
      <c r="AA48" s="284">
        <f ca="1">harbor_towers_cap*(1-EXP(-AJ48/(harbor_towers_param*($A49-Explore!$S49*20)+15000)))*(1+(mason_bonus*Construction!BB48/Construction!BS48))+IF(Overview!$B$14="Beastfolk",2*Construction!DC48/Construction!E48,0)*(1 + Production!O48/100*prestige_pop_multiplier)</f>
        <v>0</v>
      </c>
      <c r="AB48" s="284">
        <f ca="1">walls_forges_cap*(1-EXP(-AK48/(walls_forges_param*($A49-Explore!$S49*20)+15000)))*(1+(mason_bonus*Construction!BB48/Construction!BS48))+IF(Overview!$B$14="Beastfolk",0.2*Construction!CY48/Construction!E48,0)</f>
        <v>0</v>
      </c>
      <c r="AC48" s="284">
        <f ca="1">walls_forges_cap*(1-EXP(-AL48/(walls_forges_param*($A49-Explore!$S49*20)+15000)))*(1+(mason_bonus*Construction!BB48/Construction!BS48))+IF(Overview!$B$14="Beastfolk",5*Construction!DB48/Construction!E48,0)</f>
        <v>0</v>
      </c>
      <c r="AD48" s="97">
        <f ca="1">harbor_towers_cap*(1-EXP(-AM48/(harbor_towers_param*($A49-Explore!$S49*20)+15000)))*(1+(mason_bonus*Construction!BB48/Construction!BS48))+IF(Overview!$B$14="Beastfolk",Construction!DE48/Construction!E48)*(1 + Production!O48/100*prestige_pop_multiplier)</f>
        <v>0</v>
      </c>
      <c r="AE48" s="97">
        <f ca="1">armory_cap*(1-EXP(-AN48/(armory_param*($A49-Explore!$S49*20)+15000)))*(1+(mason_bonus*Construction!$BB48/Construction!$BS48))</f>
        <v>0</v>
      </c>
      <c r="AF48" s="97">
        <f ca="1">infirmary_cap*(1-EXP(-AO48/(infirmary_param*($A49-Explore!$S49*20)+15000)))*(1+(mason_bonus*Construction!$BB48/Construction!$BS48))</f>
        <v>0</v>
      </c>
      <c r="AH48" s="56">
        <f ca="1">(1+Overview!$O$28+IF(Magic!BA48&gt;0,0.1,0))*SUM(AV48:AY48) + AH47</f>
        <v>0</v>
      </c>
      <c r="AI48" s="26">
        <f ca="1">(1+Overview!$O$28+IF(Magic!BA48&gt;0,0.1,0))*SUM(BA48:BD48) + AI47</f>
        <v>0</v>
      </c>
      <c r="AJ48" s="164">
        <f ca="1">(1+Overview!$O$28+IF(Magic!BA48&gt;0,0.1,0))*SUM(BF48:BI48) + AJ47</f>
        <v>0</v>
      </c>
      <c r="AK48" s="164">
        <f ca="1">(1+Overview!$O$28+IF(Magic!BA48&gt;0,0.1,0))*SUM(BK48:BN48) + AK47</f>
        <v>0</v>
      </c>
      <c r="AL48" s="164">
        <f ca="1">(1+Overview!$O$28+IF(Magic!BA48&gt;0,0.1,0))*SUM(BP48:BS48) + AL47</f>
        <v>0</v>
      </c>
      <c r="AM48" s="166">
        <f ca="1">(1+Overview!$O$28+IF(Magic!BA48&gt;0,0.1,0))*SUM(BU48:BX48) + AM47</f>
        <v>0</v>
      </c>
      <c r="AN48" s="166">
        <f ca="1">(1+Overview!$O$28+IF(Magic!BA48&gt;0,0.1,0))*SUM(BZ48:CC48)+AN47</f>
        <v>0</v>
      </c>
      <c r="AO48" s="164">
        <f ca="1">(1+Overview!$O$28+IF(Magic!BA48&gt;0,0.1,0))*SUM(CE48:CH48)+AO47</f>
        <v>0</v>
      </c>
      <c r="AQ48" s="52">
        <f t="shared" si="41"/>
        <v>0</v>
      </c>
      <c r="AR48" s="16">
        <f t="shared" si="41"/>
        <v>0</v>
      </c>
      <c r="AS48" s="16">
        <f t="shared" si="41"/>
        <v>0</v>
      </c>
      <c r="AT48" s="53">
        <f t="shared" si="41"/>
        <v>0</v>
      </c>
      <c r="AV48" s="56">
        <f t="shared" si="25"/>
        <v>0</v>
      </c>
      <c r="AW48" s="26">
        <f t="shared" si="42"/>
        <v>0</v>
      </c>
      <c r="AX48" s="26">
        <f t="shared" si="42"/>
        <v>0</v>
      </c>
      <c r="AY48" s="57">
        <f t="shared" si="27"/>
        <v>0</v>
      </c>
      <c r="BA48" s="56">
        <f t="shared" si="28"/>
        <v>0</v>
      </c>
      <c r="BB48" s="26">
        <f t="shared" si="43"/>
        <v>0</v>
      </c>
      <c r="BC48" s="26">
        <f t="shared" si="43"/>
        <v>0</v>
      </c>
      <c r="BD48" s="57">
        <f t="shared" si="30"/>
        <v>0</v>
      </c>
      <c r="BF48" s="56">
        <f t="shared" si="31"/>
        <v>0</v>
      </c>
      <c r="BG48" s="26">
        <f t="shared" si="32"/>
        <v>0</v>
      </c>
      <c r="BH48" s="26">
        <f t="shared" si="40"/>
        <v>0</v>
      </c>
      <c r="BI48" s="57">
        <f t="shared" si="33"/>
        <v>0</v>
      </c>
      <c r="BK48" s="56">
        <f t="shared" si="34"/>
        <v>0</v>
      </c>
      <c r="BL48" s="26">
        <f t="shared" si="44"/>
        <v>0</v>
      </c>
      <c r="BM48" s="26">
        <f t="shared" si="44"/>
        <v>0</v>
      </c>
      <c r="BN48" s="57">
        <f t="shared" si="36"/>
        <v>0</v>
      </c>
      <c r="BP48" s="56">
        <f t="shared" si="37"/>
        <v>0</v>
      </c>
      <c r="BQ48" s="26">
        <f t="shared" si="45"/>
        <v>0</v>
      </c>
      <c r="BR48" s="26">
        <f t="shared" si="45"/>
        <v>0</v>
      </c>
      <c r="BS48" s="57">
        <f t="shared" si="39"/>
        <v>0</v>
      </c>
      <c r="BU48" s="56">
        <f>IF($O48=BU$2,IF($Q48=$AD$2,$P48)) + IF($R48=BU$2,IF($T48=$AD$2,$S48)) + IF($U48=BU$2,IF($W48=$AD$2,$V48))</f>
        <v>0</v>
      </c>
      <c r="BV48" s="26">
        <f>IF($O48=BV$2,IF($Q48=$AD$2,2*$P48)) + IF($R48=BV$2,IF($T48=$AD$2,2*$S48)) + IF($U48=BV$2,IF($W48=$AD$2,2*$V48))</f>
        <v>0</v>
      </c>
      <c r="BW48" s="26">
        <f>IF($O48=BW$2,IF($Q48=$AD$2,2*$P48)) + IF($R48=BW$2,IF($T48=$AD$2,2*$S48)) + IF($U48=BW$2,IF($W48=$AD$2,2*$V48))</f>
        <v>0</v>
      </c>
      <c r="BX48" s="57">
        <f>IF($O48=BX$2,IF($Q48=$AD$2,12*$P48)) + IF($R48=BX$2,IF($T48=$AD$2,12*$S48)) + IF($U48=BX$2,IF($W48=$AD$2,12*$V48))</f>
        <v>0</v>
      </c>
      <c r="BZ48" s="56">
        <f>IF($O48=BZ$2,IF($Q48=Armory,$P48)) + IF($R48=BZ$2,IF($T48=Armory,$S48)) + IF($U48=BZ$2,IF($W48=Armory,$V48))</f>
        <v>0</v>
      </c>
      <c r="CA48" s="26">
        <f>IF($O48=CA$2,IF($Q48=Armory,2*$P48)) + IF($R48=CA$2,IF($T48=Armory,2*$S48)) + IF($U48=CA$2,IF($W48=Armory,2*$V48))</f>
        <v>0</v>
      </c>
      <c r="CB48" s="26">
        <f>IF($O48=CB$2,IF($Q48=Armory,2*$P48)) + IF($R48=CB$2,IF($T48=Armory,2*$S48)) + IF($U48=CB$2,IF($W48=Armory,2*$V48))</f>
        <v>0</v>
      </c>
      <c r="CC48" s="57">
        <f>IF($O48=CC$2,IF($Q48=Armory,12*$P48)) + IF($R48=CC$2,IF($T48=Armory,12*$S48)) + IF($U48=CC$2,IF($W48=Armory,12*$V48))</f>
        <v>0</v>
      </c>
      <c r="CE48" s="56">
        <f>IF($O48=CE$2,IF($Q48=Infirmary,$P48)) + IF($R48=CE$2,IF($T48=Infirmary,$S48)) + IF($U48=CE$2,IF($W48=Infirmary,$V48))</f>
        <v>0</v>
      </c>
      <c r="CF48" s="26">
        <f>IF($O48=CF$2,IF($Q48=Infirmary,2*$P48)) + IF($R48=CF$2,IF($T48=Infirmary,2*$S48)) + IF($U48=CF$2,IF($W48=Infirmary,2*$V48))</f>
        <v>0</v>
      </c>
      <c r="CG48" s="26">
        <f>IF($O48=CG$2,IF($Q48=Infirmary,2*$P48)) + IF($R48=CG$2,IF($T48=Infirmary,2*$S48)) + IF($U48=CG$2,IF($W48=Infirmary,2*$V48))</f>
        <v>0</v>
      </c>
      <c r="CH48" s="57">
        <f>IF($O48=CH$2,IF($Q48=Infirmary,12*$P48)) + IF($R48=CH$2,IF($T48=Infirmary,12*$S48)) + IF($U48=CH$2,IF($W48=Infirmary,12*$V48))</f>
        <v>0</v>
      </c>
      <c r="CJ48" s="52" t="e">
        <f>OR(Production!C48,Construction!N48:'Construction'!AF48,Construction!BV48:CN48,Explore!S48:Z48,Military!AF48:AL48,Military!X48,Military!BE48:BL48,Rezone!L48:R48,Magic!G48:Q48)</f>
        <v>#VALUE!</v>
      </c>
      <c r="CK48" s="525">
        <f>M48</f>
        <v>0</v>
      </c>
      <c r="CL48" s="525"/>
      <c r="CM48" s="555">
        <f t="shared" si="20"/>
        <v>43768.468749999891</v>
      </c>
      <c r="CN48" s="563">
        <f t="shared" si="21"/>
        <v>43768.302083333227</v>
      </c>
      <c r="CO48" s="527"/>
      <c r="CP48" s="803"/>
      <c r="CQ48" s="808"/>
    </row>
    <row r="49" spans="1:95" s="16" customFormat="1" x14ac:dyDescent="0.25">
      <c r="A49" s="511">
        <f>Construction!E49</f>
        <v>1000</v>
      </c>
      <c r="C49" s="56">
        <f ca="1">Production!H49</f>
        <v>4706485</v>
      </c>
      <c r="D49" s="26">
        <f ca="1">Production!J49</f>
        <v>316130</v>
      </c>
      <c r="E49" s="26">
        <f ca="1">Production!L49</f>
        <v>300000</v>
      </c>
      <c r="F49" s="57">
        <f ca="1">Production!M49</f>
        <v>20000</v>
      </c>
      <c r="G49" s="26"/>
      <c r="H49" s="56">
        <f ca="1">Military!Z49</f>
        <v>5295</v>
      </c>
      <c r="I49" s="538">
        <f ca="1">Population!I49</f>
        <v>1</v>
      </c>
      <c r="J49" s="165">
        <f ca="1">Population!F49/Population!U49</f>
        <v>1</v>
      </c>
      <c r="K49" s="1000">
        <f>Rezone!J49</f>
        <v>47</v>
      </c>
      <c r="L49" s="582">
        <f t="shared" si="19"/>
        <v>43768.479166666555</v>
      </c>
      <c r="M49" s="316">
        <f t="shared" si="22"/>
        <v>0</v>
      </c>
      <c r="N49" s="638">
        <f t="shared" si="23"/>
        <v>1000</v>
      </c>
      <c r="O49" s="423" t="s">
        <v>4</v>
      </c>
      <c r="P49" s="370"/>
      <c r="Q49" s="424" t="s">
        <v>223</v>
      </c>
      <c r="R49" s="423" t="s">
        <v>7</v>
      </c>
      <c r="S49" s="370"/>
      <c r="T49" s="425" t="s">
        <v>223</v>
      </c>
      <c r="U49" s="424" t="s">
        <v>3</v>
      </c>
      <c r="V49" s="370"/>
      <c r="W49" s="425" t="s">
        <v>223</v>
      </c>
      <c r="Y49" s="522">
        <f ca="1">science_cap*(1-EXP(-AH49/(science_param*($A50-Explore!$S50*20)+15000)))*(1+(mason_bonus*Construction!BB49/Construction!BS49))+IF(Overview!$B$14="Beastfolk",Construction!DA49/Construction!E49,0)*(1 + Production!O49/100*prestige_pop_multiplier)</f>
        <v>0</v>
      </c>
      <c r="Z49" s="284">
        <f ca="1">keep_cap*(1-EXP(-AI49/(keep_param*($A50-Explore!$S50*20)+15000)))*(1+(mason_bonus*Construction!BB49/Construction!BS49))+IF(Overview!$B$14="Beastfolk",Construction!DF49/Construction!E49,0)*(1 + Production!O49/100*prestige_pop_multiplier)</f>
        <v>0</v>
      </c>
      <c r="AA49" s="284">
        <f ca="1">harbor_towers_cap*(1-EXP(-AJ49/(harbor_towers_param*($A50-Explore!$S50*20)+15000)))*(1+(mason_bonus*Construction!BB49/Construction!BS49))+IF(Overview!$B$14="Beastfolk",2*Construction!DC49/Construction!E49,0)*(1 + Production!O49/100*prestige_pop_multiplier)</f>
        <v>0</v>
      </c>
      <c r="AB49" s="284">
        <f ca="1">walls_forges_cap*(1-EXP(-AK49/(walls_forges_param*($A50-Explore!$S50*20)+15000)))*(1+(mason_bonus*Construction!BB49/Construction!BS49))+IF(Overview!$B$14="Beastfolk",0.2*Construction!CY49/Construction!E49,0)</f>
        <v>0</v>
      </c>
      <c r="AC49" s="284">
        <f ca="1">walls_forges_cap*(1-EXP(-AL49/(walls_forges_param*($A50-Explore!$S50*20)+15000)))*(1+(mason_bonus*Construction!BB49/Construction!BS49))+IF(Overview!$B$14="Beastfolk",5*Construction!DB49/Construction!E49,0)</f>
        <v>0</v>
      </c>
      <c r="AD49" s="97">
        <f ca="1">harbor_towers_cap*(1-EXP(-AM49/(harbor_towers_param*($A50-Explore!$S50*20)+15000)))*(1+(mason_bonus*Construction!BB49/Construction!BS49))+IF(Overview!$B$14="Beastfolk",Construction!DE49/Construction!E49)*(1 + Production!O49/100*prestige_pop_multiplier)</f>
        <v>0</v>
      </c>
      <c r="AE49" s="97">
        <f ca="1">armory_cap*(1-EXP(-AN49/(armory_param*($A50-Explore!$S50*20)+15000)))*(1+(mason_bonus*Construction!$BB49/Construction!$BS49))</f>
        <v>0</v>
      </c>
      <c r="AF49" s="97">
        <f ca="1">infirmary_cap*(1-EXP(-AO49/(infirmary_param*($A50-Explore!$S50*20)+15000)))*(1+(mason_bonus*Construction!$BB49/Construction!$BS49))</f>
        <v>0</v>
      </c>
      <c r="AH49" s="56">
        <f ca="1">(1+Overview!$O$28+IF(Magic!BA49&gt;0,0.1,0))*SUM(AV49:AY49) + AH48</f>
        <v>0</v>
      </c>
      <c r="AI49" s="26">
        <f ca="1">(1+Overview!$O$28+IF(Magic!BA49&gt;0,0.1,0))*SUM(BA49:BD49) + AI48</f>
        <v>0</v>
      </c>
      <c r="AJ49" s="164">
        <f ca="1">(1+Overview!$O$28+IF(Magic!BA49&gt;0,0.1,0))*SUM(BF49:BI49) + AJ48</f>
        <v>0</v>
      </c>
      <c r="AK49" s="164">
        <f ca="1">(1+Overview!$O$28+IF(Magic!BA49&gt;0,0.1,0))*SUM(BK49:BN49) + AK48</f>
        <v>0</v>
      </c>
      <c r="AL49" s="164">
        <f ca="1">(1+Overview!$O$28+IF(Magic!BA49&gt;0,0.1,0))*SUM(BP49:BS49) + AL48</f>
        <v>0</v>
      </c>
      <c r="AM49" s="166">
        <f ca="1">(1+Overview!$O$28+IF(Magic!BA49&gt;0,0.1,0))*SUM(BU49:BX49) + AM48</f>
        <v>0</v>
      </c>
      <c r="AN49" s="166">
        <f ca="1">(1+Overview!$O$28+IF(Magic!BA49&gt;0,0.1,0))*SUM(BZ49:CC49)+AN48</f>
        <v>0</v>
      </c>
      <c r="AO49" s="164">
        <f ca="1">(1+Overview!$O$28+IF(Magic!BA49&gt;0,0.1,0))*SUM(CE49:CH49)+AO48</f>
        <v>0</v>
      </c>
      <c r="AQ49" s="52">
        <f t="shared" si="41"/>
        <v>0</v>
      </c>
      <c r="AR49" s="16">
        <f t="shared" si="41"/>
        <v>0</v>
      </c>
      <c r="AS49" s="16">
        <f t="shared" si="41"/>
        <v>0</v>
      </c>
      <c r="AT49" s="53">
        <f t="shared" si="41"/>
        <v>0</v>
      </c>
      <c r="AV49" s="56">
        <f t="shared" si="25"/>
        <v>0</v>
      </c>
      <c r="AW49" s="26">
        <f t="shared" si="42"/>
        <v>0</v>
      </c>
      <c r="AX49" s="26">
        <f t="shared" si="42"/>
        <v>0</v>
      </c>
      <c r="AY49" s="57">
        <f t="shared" si="27"/>
        <v>0</v>
      </c>
      <c r="BA49" s="56">
        <f t="shared" si="28"/>
        <v>0</v>
      </c>
      <c r="BB49" s="26">
        <f t="shared" si="43"/>
        <v>0</v>
      </c>
      <c r="BC49" s="26">
        <f t="shared" si="43"/>
        <v>0</v>
      </c>
      <c r="BD49" s="57">
        <f t="shared" si="30"/>
        <v>0</v>
      </c>
      <c r="BF49" s="56">
        <f t="shared" si="31"/>
        <v>0</v>
      </c>
      <c r="BG49" s="26">
        <f t="shared" si="32"/>
        <v>0</v>
      </c>
      <c r="BH49" s="26">
        <f t="shared" si="40"/>
        <v>0</v>
      </c>
      <c r="BI49" s="57">
        <f t="shared" si="33"/>
        <v>0</v>
      </c>
      <c r="BK49" s="56">
        <f t="shared" si="34"/>
        <v>0</v>
      </c>
      <c r="BL49" s="26">
        <f t="shared" si="44"/>
        <v>0</v>
      </c>
      <c r="BM49" s="26">
        <f t="shared" si="44"/>
        <v>0</v>
      </c>
      <c r="BN49" s="57">
        <f t="shared" si="36"/>
        <v>0</v>
      </c>
      <c r="BP49" s="56">
        <f t="shared" si="37"/>
        <v>0</v>
      </c>
      <c r="BQ49" s="26">
        <f t="shared" si="45"/>
        <v>0</v>
      </c>
      <c r="BR49" s="26">
        <f t="shared" si="45"/>
        <v>0</v>
      </c>
      <c r="BS49" s="57">
        <f t="shared" si="39"/>
        <v>0</v>
      </c>
      <c r="BU49" s="56">
        <f>IF($O49=BU$2,IF($Q49=$AD$2,$P49)) + IF($R49=BU$2,IF($T49=$AD$2,$S49)) + IF($U49=BU$2,IF($W49=$AD$2,$V49))</f>
        <v>0</v>
      </c>
      <c r="BV49" s="26">
        <f>IF($O49=BV$2,IF($Q49=$AD$2,2*$P49)) + IF($R49=BV$2,IF($T49=$AD$2,2*$S49)) + IF($U49=BV$2,IF($W49=$AD$2,2*$V49))</f>
        <v>0</v>
      </c>
      <c r="BW49" s="26">
        <f>IF($O49=BW$2,IF($Q49=$AD$2,2*$P49)) + IF($R49=BW$2,IF($T49=$AD$2,2*$S49)) + IF($U49=BW$2,IF($W49=$AD$2,2*$V49))</f>
        <v>0</v>
      </c>
      <c r="BX49" s="57">
        <f>IF($O49=BX$2,IF($Q49=$AD$2,12*$P49)) + IF($R49=BX$2,IF($T49=$AD$2,12*$S49)) + IF($U49=BX$2,IF($W49=$AD$2,12*$V49))</f>
        <v>0</v>
      </c>
      <c r="BZ49" s="56">
        <f>IF($O49=BZ$2,IF($Q49=Armory,$P49)) + IF($R49=BZ$2,IF($T49=Armory,$S49)) + IF($U49=BZ$2,IF($W49=Armory,$V49))</f>
        <v>0</v>
      </c>
      <c r="CA49" s="26">
        <f>IF($O49=CA$2,IF($Q49=Armory,2*$P49)) + IF($R49=CA$2,IF($T49=Armory,2*$S49)) + IF($U49=CA$2,IF($W49=Armory,2*$V49))</f>
        <v>0</v>
      </c>
      <c r="CB49" s="26">
        <f>IF($O49=CB$2,IF($Q49=Armory,2*$P49)) + IF($R49=CB$2,IF($T49=Armory,2*$S49)) + IF($U49=CB$2,IF($W49=Armory,2*$V49))</f>
        <v>0</v>
      </c>
      <c r="CC49" s="57">
        <f>IF($O49=CC$2,IF($Q49=Armory,12*$P49)) + IF($R49=CC$2,IF($T49=Armory,12*$S49)) + IF($U49=CC$2,IF($W49=Armory,12*$V49))</f>
        <v>0</v>
      </c>
      <c r="CE49" s="56">
        <f>IF($O49=CE$2,IF($Q49=Infirmary,$P49)) + IF($R49=CE$2,IF($T49=Infirmary,$S49)) + IF($U49=CE$2,IF($W49=Infirmary,$V49))</f>
        <v>0</v>
      </c>
      <c r="CF49" s="26">
        <f>IF($O49=CF$2,IF($Q49=Infirmary,2*$P49)) + IF($R49=CF$2,IF($T49=Infirmary,2*$S49)) + IF($U49=CF$2,IF($W49=Infirmary,2*$V49))</f>
        <v>0</v>
      </c>
      <c r="CG49" s="26">
        <f>IF($O49=CG$2,IF($Q49=Infirmary,2*$P49)) + IF($R49=CG$2,IF($T49=Infirmary,2*$S49)) + IF($U49=CG$2,IF($W49=Infirmary,2*$V49))</f>
        <v>0</v>
      </c>
      <c r="CH49" s="57">
        <f>IF($O49=CH$2,IF($Q49=Infirmary,12*$P49)) + IF($R49=CH$2,IF($T49=Infirmary,12*$S49)) + IF($U49=CH$2,IF($W49=Infirmary,12*$V49))</f>
        <v>0</v>
      </c>
      <c r="CJ49" s="52" t="e">
        <f>OR(Production!C49,Construction!N49:'Construction'!AF49,Construction!BV49:CN49,Explore!S49:Z49,Military!AF49:AL49,Military!X49,Military!BE49:BL49,Rezone!L49:R49,Magic!G49:Q49)</f>
        <v>#VALUE!</v>
      </c>
      <c r="CK49" s="525">
        <f>M49</f>
        <v>0</v>
      </c>
      <c r="CL49" s="525"/>
      <c r="CM49" s="555">
        <f t="shared" si="20"/>
        <v>43768.479166666555</v>
      </c>
      <c r="CN49" s="563">
        <f t="shared" si="21"/>
        <v>43768.312499999891</v>
      </c>
      <c r="CO49" s="527"/>
      <c r="CP49" s="803"/>
      <c r="CQ49" s="808"/>
    </row>
    <row r="50" spans="1:95" s="16" customFormat="1" ht="13.8" thickBot="1" x14ac:dyDescent="0.3">
      <c r="A50" s="511">
        <f>Construction!E50</f>
        <v>1000</v>
      </c>
      <c r="C50" s="56">
        <f ca="1">Production!H50</f>
        <v>4711466</v>
      </c>
      <c r="D50" s="26">
        <f ca="1">Production!J50</f>
        <v>315469</v>
      </c>
      <c r="E50" s="26">
        <f ca="1">Production!L50</f>
        <v>300000</v>
      </c>
      <c r="F50" s="57">
        <f ca="1">Production!M50</f>
        <v>20000</v>
      </c>
      <c r="G50" s="26"/>
      <c r="H50" s="56">
        <f ca="1">Military!Z50</f>
        <v>5295</v>
      </c>
      <c r="I50" s="538">
        <f ca="1">Population!I50</f>
        <v>1</v>
      </c>
      <c r="J50" s="165">
        <f ca="1">Population!F50/Population!U50</f>
        <v>1</v>
      </c>
      <c r="K50" s="1000">
        <f>Rezone!J50</f>
        <v>48</v>
      </c>
      <c r="L50" s="582">
        <f t="shared" si="19"/>
        <v>43768.489583333219</v>
      </c>
      <c r="M50" s="316">
        <f t="shared" si="22"/>
        <v>0</v>
      </c>
      <c r="N50" s="638">
        <f t="shared" si="23"/>
        <v>1000</v>
      </c>
      <c r="O50" s="423" t="s">
        <v>4</v>
      </c>
      <c r="P50" s="370"/>
      <c r="Q50" s="424" t="s">
        <v>223</v>
      </c>
      <c r="R50" s="423" t="s">
        <v>7</v>
      </c>
      <c r="S50" s="370"/>
      <c r="T50" s="425" t="s">
        <v>223</v>
      </c>
      <c r="U50" s="424" t="s">
        <v>3</v>
      </c>
      <c r="V50" s="370"/>
      <c r="W50" s="425" t="s">
        <v>223</v>
      </c>
      <c r="Y50" s="522">
        <f ca="1">science_cap*(1-EXP(-AH50/(science_param*($A51-Explore!$S51*20)+15000)))*(1+(mason_bonus*Construction!BB50/Construction!BS50))+IF(Overview!$B$14="Beastfolk",Construction!DA50/Construction!E50,0)*(1 + Production!O50/100*prestige_pop_multiplier)</f>
        <v>0</v>
      </c>
      <c r="Z50" s="284">
        <f ca="1">keep_cap*(1-EXP(-AI50/(keep_param*($A51-Explore!$S51*20)+15000)))*(1+(mason_bonus*Construction!BB50/Construction!BS50))+IF(Overview!$B$14="Beastfolk",Construction!DF50/Construction!E50,0)*(1 + Production!O50/100*prestige_pop_multiplier)</f>
        <v>0</v>
      </c>
      <c r="AA50" s="284">
        <f ca="1">harbor_towers_cap*(1-EXP(-AJ50/(harbor_towers_param*($A51-Explore!$S51*20)+15000)))*(1+(mason_bonus*Construction!BB50/Construction!BS50))+IF(Overview!$B$14="Beastfolk",2*Construction!DC50/Construction!E50,0)*(1 + Production!O50/100*prestige_pop_multiplier)</f>
        <v>0</v>
      </c>
      <c r="AB50" s="284">
        <f ca="1">walls_forges_cap*(1-EXP(-AK50/(walls_forges_param*($A51-Explore!$S51*20)+15000)))*(1+(mason_bonus*Construction!BB50/Construction!BS50))+IF(Overview!$B$14="Beastfolk",0.2*Construction!CY50/Construction!E50,0)</f>
        <v>0</v>
      </c>
      <c r="AC50" s="284">
        <f ca="1">walls_forges_cap*(1-EXP(-AL50/(walls_forges_param*($A51-Explore!$S51*20)+15000)))*(1+(mason_bonus*Construction!BB50/Construction!BS50))+IF(Overview!$B$14="Beastfolk",5*Construction!DB50/Construction!E50,0)</f>
        <v>0</v>
      </c>
      <c r="AD50" s="97">
        <f ca="1">harbor_towers_cap*(1-EXP(-AM50/(harbor_towers_param*($A51-Explore!$S51*20)+15000)))*(1+(mason_bonus*Construction!BB50/Construction!BS50))+IF(Overview!$B$14="Beastfolk",Construction!DE50/Construction!E50)*(1 + Production!O50/100*prestige_pop_multiplier)</f>
        <v>0</v>
      </c>
      <c r="AE50" s="97">
        <f ca="1">armory_cap*(1-EXP(-AN50/(armory_param*($A51-Explore!$S51*20)+15000)))*(1+(mason_bonus*Construction!$BB50/Construction!$BS50))</f>
        <v>0</v>
      </c>
      <c r="AF50" s="97">
        <f ca="1">infirmary_cap*(1-EXP(-AO50/(infirmary_param*($A51-Explore!$S51*20)+15000)))*(1+(mason_bonus*Construction!$BB50/Construction!$BS50))</f>
        <v>0</v>
      </c>
      <c r="AH50" s="56">
        <f ca="1">(1+Overview!$O$28+IF(Magic!BA50&gt;0,0.1,0))*SUM(AV50:AY50) + AH49</f>
        <v>0</v>
      </c>
      <c r="AI50" s="26">
        <f ca="1">(1+Overview!$O$28+IF(Magic!BA50&gt;0,0.1,0))*SUM(BA50:BD50) + AI49</f>
        <v>0</v>
      </c>
      <c r="AJ50" s="164">
        <f ca="1">(1+Overview!$O$28+IF(Magic!BA50&gt;0,0.1,0))*SUM(BF50:BI50) + AJ49</f>
        <v>0</v>
      </c>
      <c r="AK50" s="164">
        <f ca="1">(1+Overview!$O$28+IF(Magic!BA50&gt;0,0.1,0))*SUM(BK50:BN50) + AK49</f>
        <v>0</v>
      </c>
      <c r="AL50" s="164">
        <f ca="1">(1+Overview!$O$28+IF(Magic!BA50&gt;0,0.1,0))*SUM(BP50:BS50) + AL49</f>
        <v>0</v>
      </c>
      <c r="AM50" s="166">
        <f ca="1">(1+Overview!$O$28+IF(Magic!BA50&gt;0,0.1,0))*SUM(BU50:BX50) + AM49</f>
        <v>0</v>
      </c>
      <c r="AN50" s="166">
        <f ca="1">(1+Overview!$O$28+IF(Magic!BA50&gt;0,0.1,0))*SUM(BZ50:CC50)+AN49</f>
        <v>0</v>
      </c>
      <c r="AO50" s="164">
        <f ca="1">(1+Overview!$O$28+IF(Magic!BA50&gt;0,0.1,0))*SUM(CE50:CH50)+AO49</f>
        <v>0</v>
      </c>
      <c r="AQ50" s="52">
        <f t="shared" si="41"/>
        <v>0</v>
      </c>
      <c r="AR50" s="16">
        <f t="shared" si="41"/>
        <v>0</v>
      </c>
      <c r="AS50" s="16">
        <f t="shared" si="41"/>
        <v>0</v>
      </c>
      <c r="AT50" s="53">
        <f t="shared" si="41"/>
        <v>0</v>
      </c>
      <c r="AV50" s="56">
        <f t="shared" si="25"/>
        <v>0</v>
      </c>
      <c r="AW50" s="26">
        <f t="shared" si="42"/>
        <v>0</v>
      </c>
      <c r="AX50" s="26">
        <f t="shared" si="42"/>
        <v>0</v>
      </c>
      <c r="AY50" s="57">
        <f t="shared" si="27"/>
        <v>0</v>
      </c>
      <c r="BA50" s="56">
        <f t="shared" si="28"/>
        <v>0</v>
      </c>
      <c r="BB50" s="26">
        <f t="shared" si="43"/>
        <v>0</v>
      </c>
      <c r="BC50" s="26">
        <f t="shared" si="43"/>
        <v>0</v>
      </c>
      <c r="BD50" s="57">
        <f t="shared" si="30"/>
        <v>0</v>
      </c>
      <c r="BF50" s="56">
        <f t="shared" si="31"/>
        <v>0</v>
      </c>
      <c r="BG50" s="26">
        <f t="shared" si="32"/>
        <v>0</v>
      </c>
      <c r="BH50" s="26">
        <f t="shared" si="40"/>
        <v>0</v>
      </c>
      <c r="BI50" s="57">
        <f t="shared" si="33"/>
        <v>0</v>
      </c>
      <c r="BK50" s="56">
        <f t="shared" si="34"/>
        <v>0</v>
      </c>
      <c r="BL50" s="26">
        <f t="shared" si="44"/>
        <v>0</v>
      </c>
      <c r="BM50" s="26">
        <f t="shared" si="44"/>
        <v>0</v>
      </c>
      <c r="BN50" s="57">
        <f t="shared" si="36"/>
        <v>0</v>
      </c>
      <c r="BP50" s="56">
        <f t="shared" si="37"/>
        <v>0</v>
      </c>
      <c r="BQ50" s="26">
        <f t="shared" si="45"/>
        <v>0</v>
      </c>
      <c r="BR50" s="26">
        <f t="shared" si="45"/>
        <v>0</v>
      </c>
      <c r="BS50" s="57">
        <f t="shared" si="39"/>
        <v>0</v>
      </c>
      <c r="BU50" s="56">
        <f>IF($O50=BU$2,IF($Q50=$AD$2,$P50)) + IF($R50=BU$2,IF($T50=$AD$2,$S50)) + IF($U50=BU$2,IF($W50=$AD$2,$V50))</f>
        <v>0</v>
      </c>
      <c r="BV50" s="26">
        <f>IF($O50=BV$2,IF($Q50=$AD$2,2*$P50)) + IF($R50=BV$2,IF($T50=$AD$2,2*$S50)) + IF($U50=BV$2,IF($W50=$AD$2,2*$V50))</f>
        <v>0</v>
      </c>
      <c r="BW50" s="26">
        <f>IF($O50=BW$2,IF($Q50=$AD$2,2*$P50)) + IF($R50=BW$2,IF($T50=$AD$2,2*$S50)) + IF($U50=BW$2,IF($W50=$AD$2,2*$V50))</f>
        <v>0</v>
      </c>
      <c r="BX50" s="57">
        <f>IF($O50=BX$2,IF($Q50=$AD$2,12*$P50)) + IF($R50=BX$2,IF($T50=$AD$2,12*$S50)) + IF($U50=BX$2,IF($W50=$AD$2,12*$V50))</f>
        <v>0</v>
      </c>
      <c r="BZ50" s="56">
        <f>IF($O50=BZ$2,IF($Q50=Armory,$P50)) + IF($R50=BZ$2,IF($T50=Armory,$S50)) + IF($U50=BZ$2,IF($W50=Armory,$V50))</f>
        <v>0</v>
      </c>
      <c r="CA50" s="26">
        <f>IF($O50=CA$2,IF($Q50=Armory,2*$P50)) + IF($R50=CA$2,IF($T50=Armory,2*$S50)) + IF($U50=CA$2,IF($W50=Armory,2*$V50))</f>
        <v>0</v>
      </c>
      <c r="CB50" s="26">
        <f>IF($O50=CB$2,IF($Q50=Armory,2*$P50)) + IF($R50=CB$2,IF($T50=Armory,2*$S50)) + IF($U50=CB$2,IF($W50=Armory,2*$V50))</f>
        <v>0</v>
      </c>
      <c r="CC50" s="57">
        <f>IF($O50=CC$2,IF($Q50=Armory,12*$P50)) + IF($R50=CC$2,IF($T50=Armory,12*$S50)) + IF($U50=CC$2,IF($W50=Armory,12*$V50))</f>
        <v>0</v>
      </c>
      <c r="CE50" s="56">
        <f>IF($O50=CE$2,IF($Q50=Infirmary,$P50)) + IF($R50=CE$2,IF($T50=Infirmary,$S50)) + IF($U50=CE$2,IF($W50=Infirmary,$V50))</f>
        <v>0</v>
      </c>
      <c r="CF50" s="26">
        <f>IF($O50=CF$2,IF($Q50=Infirmary,2*$P50)) + IF($R50=CF$2,IF($T50=Infirmary,2*$S50)) + IF($U50=CF$2,IF($W50=Infirmary,2*$V50))</f>
        <v>0</v>
      </c>
      <c r="CG50" s="26">
        <f>IF($O50=CG$2,IF($Q50=Infirmary,2*$P50)) + IF($R50=CG$2,IF($T50=Infirmary,2*$S50)) + IF($U50=CG$2,IF($W50=Infirmary,2*$V50))</f>
        <v>0</v>
      </c>
      <c r="CH50" s="57">
        <f>IF($O50=CH$2,IF($Q50=Infirmary,12*$P50)) + IF($R50=CH$2,IF($T50=Infirmary,12*$S50)) + IF($U50=CH$2,IF($W50=Infirmary,12*$V50))</f>
        <v>0</v>
      </c>
      <c r="CJ50" s="52" t="e">
        <f>OR(Production!C50,Construction!N50:'Construction'!AF50,Construction!BV50:CN50,Explore!S50:Z50,Military!AF50:AL50,Military!X50,Military!BE50:BL50,Rezone!L50:R50,Magic!G50:Q50)</f>
        <v>#VALUE!</v>
      </c>
      <c r="CK50" s="525">
        <f>M50</f>
        <v>0</v>
      </c>
      <c r="CL50" s="525"/>
      <c r="CM50" s="555">
        <f t="shared" si="20"/>
        <v>43768.489583333219</v>
      </c>
      <c r="CN50" s="563">
        <f t="shared" si="21"/>
        <v>43768.322916666555</v>
      </c>
      <c r="CO50" s="527"/>
      <c r="CP50" s="803"/>
      <c r="CQ50" s="808"/>
    </row>
    <row r="51" spans="1:95" s="111" customFormat="1" ht="14.4" thickTop="1" thickBot="1" x14ac:dyDescent="0.3">
      <c r="A51" s="515">
        <f>Construction!E51</f>
        <v>1000</v>
      </c>
      <c r="C51" s="110">
        <f ca="1">Production!H51</f>
        <v>4716447</v>
      </c>
      <c r="D51" s="108">
        <f ca="1">Production!J51</f>
        <v>314814</v>
      </c>
      <c r="E51" s="108">
        <f ca="1">Production!L51</f>
        <v>300000</v>
      </c>
      <c r="F51" s="109">
        <f ca="1">Production!M51</f>
        <v>20000</v>
      </c>
      <c r="G51" s="108"/>
      <c r="H51" s="110">
        <f ca="1">Military!Z51</f>
        <v>5295</v>
      </c>
      <c r="I51" s="541">
        <f ca="1">Population!I51</f>
        <v>1</v>
      </c>
      <c r="J51" s="540">
        <f ca="1">Population!F51/Population!U51</f>
        <v>1</v>
      </c>
      <c r="K51" s="1003">
        <f>Rezone!J51</f>
        <v>49</v>
      </c>
      <c r="L51" s="584">
        <f t="shared" si="19"/>
        <v>43768.499999999884</v>
      </c>
      <c r="M51" s="649">
        <f t="shared" si="22"/>
        <v>0</v>
      </c>
      <c r="N51" s="643">
        <f t="shared" si="23"/>
        <v>1000</v>
      </c>
      <c r="O51" s="431" t="s">
        <v>4</v>
      </c>
      <c r="P51" s="432"/>
      <c r="Q51" s="433" t="s">
        <v>223</v>
      </c>
      <c r="R51" s="431" t="s">
        <v>7</v>
      </c>
      <c r="S51" s="432"/>
      <c r="T51" s="434" t="s">
        <v>223</v>
      </c>
      <c r="U51" s="433" t="s">
        <v>3</v>
      </c>
      <c r="V51" s="432"/>
      <c r="W51" s="434" t="s">
        <v>223</v>
      </c>
      <c r="Y51" s="524">
        <f ca="1">science_cap*(1-EXP(-AH51/(science_param*($A52-Explore!$S52*20)+15000)))*(1+(mason_bonus*Construction!BB51/Construction!BS51))+IF(Overview!$B$14="Beastfolk",Construction!DA51/Construction!E51,0)*(1 + Production!O51/100*prestige_pop_multiplier)</f>
        <v>0</v>
      </c>
      <c r="Z51" s="457">
        <f ca="1">keep_cap*(1-EXP(-AI51/(keep_param*($A52-Explore!$S52*20)+15000)))*(1+(mason_bonus*Construction!BB51/Construction!BS51))+IF(Overview!$B$14="Beastfolk",Construction!DF51/Construction!E51,0)*(1 + Production!O51/100*prestige_pop_multiplier)</f>
        <v>0</v>
      </c>
      <c r="AA51" s="457">
        <f ca="1">harbor_towers_cap*(1-EXP(-AJ51/(harbor_towers_param*($A52-Explore!$S52*20)+15000)))*(1+(mason_bonus*Construction!BB51/Construction!BS51))+IF(Overview!$B$14="Beastfolk",2*Construction!DC51/Construction!E51,0)*(1 + Production!O51/100*prestige_pop_multiplier)</f>
        <v>0</v>
      </c>
      <c r="AB51" s="457">
        <f ca="1">walls_forges_cap*(1-EXP(-AK51/(walls_forges_param*($A52-Explore!$S52*20)+15000)))*(1+(mason_bonus*Construction!BB51/Construction!BS51))+IF(Overview!$B$14="Beastfolk",0.2*Construction!CY51/Construction!E51,0)</f>
        <v>0</v>
      </c>
      <c r="AC51" s="457">
        <f ca="1">walls_forges_cap*(1-EXP(-AL51/(walls_forges_param*($A52-Explore!$S52*20)+15000)))*(1+(mason_bonus*Construction!BB51/Construction!BS51))+IF(Overview!$B$14="Beastfolk",5*Construction!DB51/Construction!E51,0)</f>
        <v>0</v>
      </c>
      <c r="AD51" s="135">
        <f ca="1">harbor_towers_cap*(1-EXP(-AM51/(harbor_towers_param*($A52-Explore!$S52*20)+15000)))*(1+(mason_bonus*Construction!BB51/Construction!BS51))+IF(Overview!$B$14="Beastfolk",Construction!DE51/Construction!E51)*(1 + Production!O51/100*prestige_pop_multiplier)</f>
        <v>0</v>
      </c>
      <c r="AE51" s="135">
        <f ca="1">armory_cap*(1-EXP(-AN51/(armory_param*($A52-Explore!$S52*20)+15000)))*(1+(mason_bonus*Construction!$BB51/Construction!$BS51))</f>
        <v>0</v>
      </c>
      <c r="AF51" s="135">
        <f ca="1">infirmary_cap*(1-EXP(-AO51/(infirmary_param*($A52-Explore!$S52*20)+15000)))*(1+(mason_bonus*Construction!$BB51/Construction!$BS51))</f>
        <v>0</v>
      </c>
      <c r="AH51" s="110">
        <f ca="1">(1+Overview!$O$28+IF(Magic!BA51&gt;0,0.1,0))*SUM(AV51:AY51) + AH50</f>
        <v>0</v>
      </c>
      <c r="AI51" s="108">
        <f ca="1">(1+Overview!$O$28+IF(Magic!BA51&gt;0,0.1,0))*SUM(BA51:BD51) + AI50</f>
        <v>0</v>
      </c>
      <c r="AJ51" s="277">
        <f ca="1">(1+Overview!$O$28+IF(Magic!BA51&gt;0,0.1,0))*SUM(BF51:BI51) + AJ50</f>
        <v>0</v>
      </c>
      <c r="AK51" s="277">
        <f ca="1">(1+Overview!$O$28+IF(Magic!BA51&gt;0,0.1,0))*SUM(BK51:BN51) + AK50</f>
        <v>0</v>
      </c>
      <c r="AL51" s="277">
        <f ca="1">(1+Overview!$O$28+IF(Magic!BA51&gt;0,0.1,0))*SUM(BP51:BS51) + AL50</f>
        <v>0</v>
      </c>
      <c r="AM51" s="274">
        <f ca="1">(1+Overview!$O$28+IF(Magic!BA51&gt;0,0.1,0))*SUM(BU51:BX51) + AM50</f>
        <v>0</v>
      </c>
      <c r="AN51" s="274">
        <f ca="1">(1+Overview!$O$28+IF(Magic!BA51&gt;0,0.1,0))*SUM(BZ51:CC51)+AN50</f>
        <v>0</v>
      </c>
      <c r="AO51" s="277">
        <f ca="1">(1+Overview!$O$28+IF(Magic!BA51&gt;0,0.1,0))*SUM(CE51:CH51)+AO50</f>
        <v>0</v>
      </c>
      <c r="AQ51" s="113">
        <f t="shared" si="41"/>
        <v>0</v>
      </c>
      <c r="AR51" s="111">
        <f t="shared" si="41"/>
        <v>0</v>
      </c>
      <c r="AS51" s="111">
        <f t="shared" si="41"/>
        <v>0</v>
      </c>
      <c r="AT51" s="115">
        <f t="shared" si="41"/>
        <v>0</v>
      </c>
      <c r="AV51" s="110">
        <f t="shared" si="25"/>
        <v>0</v>
      </c>
      <c r="AW51" s="108">
        <f t="shared" si="42"/>
        <v>0</v>
      </c>
      <c r="AX51" s="108">
        <f t="shared" si="42"/>
        <v>0</v>
      </c>
      <c r="AY51" s="109">
        <f t="shared" si="27"/>
        <v>0</v>
      </c>
      <c r="BA51" s="110">
        <f t="shared" si="28"/>
        <v>0</v>
      </c>
      <c r="BB51" s="108">
        <f t="shared" si="43"/>
        <v>0</v>
      </c>
      <c r="BC51" s="108">
        <f t="shared" si="43"/>
        <v>0</v>
      </c>
      <c r="BD51" s="109">
        <f t="shared" si="30"/>
        <v>0</v>
      </c>
      <c r="BF51" s="110">
        <f t="shared" si="31"/>
        <v>0</v>
      </c>
      <c r="BG51" s="108">
        <f t="shared" si="32"/>
        <v>0</v>
      </c>
      <c r="BH51" s="108">
        <f t="shared" si="40"/>
        <v>0</v>
      </c>
      <c r="BI51" s="109">
        <f t="shared" si="33"/>
        <v>0</v>
      </c>
      <c r="BK51" s="110">
        <f t="shared" si="34"/>
        <v>0</v>
      </c>
      <c r="BL51" s="108">
        <f t="shared" si="44"/>
        <v>0</v>
      </c>
      <c r="BM51" s="108">
        <f t="shared" si="44"/>
        <v>0</v>
      </c>
      <c r="BN51" s="109">
        <f t="shared" si="36"/>
        <v>0</v>
      </c>
      <c r="BP51" s="110">
        <f t="shared" si="37"/>
        <v>0</v>
      </c>
      <c r="BQ51" s="108">
        <f t="shared" si="45"/>
        <v>0</v>
      </c>
      <c r="BR51" s="108">
        <f t="shared" si="45"/>
        <v>0</v>
      </c>
      <c r="BS51" s="109">
        <f t="shared" si="39"/>
        <v>0</v>
      </c>
      <c r="BU51" s="110">
        <f>IF($O51=BU$2,IF($Q51=$AD$2,$P51)) + IF($R51=BU$2,IF($T51=$AD$2,$S51)) + IF($U51=BU$2,IF($W51=$AD$2,$V51))</f>
        <v>0</v>
      </c>
      <c r="BV51" s="108">
        <f>IF($O51=BV$2,IF($Q51=$AD$2,2*$P51)) + IF($R51=BV$2,IF($T51=$AD$2,2*$S51)) + IF($U51=BV$2,IF($W51=$AD$2,2*$V51))</f>
        <v>0</v>
      </c>
      <c r="BW51" s="108">
        <f>IF($O51=BW$2,IF($Q51=$AD$2,2*$P51)) + IF($R51=BW$2,IF($T51=$AD$2,2*$S51)) + IF($U51=BW$2,IF($W51=$AD$2,2*$V51))</f>
        <v>0</v>
      </c>
      <c r="BX51" s="109">
        <f>IF($O51=BX$2,IF($Q51=$AD$2,12*$P51)) + IF($R51=BX$2,IF($T51=$AD$2,12*$S51)) + IF($U51=BX$2,IF($W51=$AD$2,12*$V51))</f>
        <v>0</v>
      </c>
      <c r="BZ51" s="110">
        <f>IF($O51=BZ$2,IF($Q51=Armory,$P51)) + IF($R51=BZ$2,IF($T51=Armory,$S51)) + IF($U51=BZ$2,IF($W51=Armory,$V51))</f>
        <v>0</v>
      </c>
      <c r="CA51" s="108">
        <f>IF($O51=CA$2,IF($Q51=Armory,2*$P51)) + IF($R51=CA$2,IF($T51=Armory,2*$S51)) + IF($U51=CA$2,IF($W51=Armory,2*$V51))</f>
        <v>0</v>
      </c>
      <c r="CB51" s="108">
        <f>IF($O51=CB$2,IF($Q51=Armory,2*$P51)) + IF($R51=CB$2,IF($T51=Armory,2*$S51)) + IF($U51=CB$2,IF($W51=Armory,2*$V51))</f>
        <v>0</v>
      </c>
      <c r="CC51" s="109">
        <f>IF($O51=CC$2,IF($Q51=Armory,12*$P51)) + IF($R51=CC$2,IF($T51=Armory,12*$S51)) + IF($U51=CC$2,IF($W51=Armory,12*$V51))</f>
        <v>0</v>
      </c>
      <c r="CE51" s="110">
        <f>IF($O51=CE$2,IF($Q51=Infirmary,$P51)) + IF($R51=CE$2,IF($T51=Infirmary,$S51)) + IF($U51=CE$2,IF($W51=Infirmary,$V51))</f>
        <v>0</v>
      </c>
      <c r="CF51" s="108">
        <f>IF($O51=CF$2,IF($Q51=Infirmary,2*$P51)) + IF($R51=CF$2,IF($T51=Infirmary,2*$S51)) + IF($U51=CF$2,IF($W51=Infirmary,2*$V51))</f>
        <v>0</v>
      </c>
      <c r="CG51" s="108">
        <f>IF($O51=CG$2,IF($Q51=Infirmary,2*$P51)) + IF($R51=CG$2,IF($T51=Infirmary,2*$S51)) + IF($U51=CG$2,IF($W51=Infirmary,2*$V51))</f>
        <v>0</v>
      </c>
      <c r="CH51" s="109">
        <f>IF($O51=CH$2,IF($Q51=Infirmary,12*$P51)) + IF($R51=CH$2,IF($T51=Infirmary,12*$S51)) + IF($U51=CH$2,IF($W51=Infirmary,12*$V51))</f>
        <v>0</v>
      </c>
      <c r="CJ51" s="113" t="e">
        <f>OR(Production!C51,Construction!N51:'Construction'!AF51,Construction!BV51:CN51,Explore!S51:Z51,Military!AF51:AL51,Military!X51,Military!BE51:BL51,Rezone!L51:R51,Magic!G51:Q51)</f>
        <v>#VALUE!</v>
      </c>
      <c r="CK51" s="550">
        <f>M51</f>
        <v>0</v>
      </c>
      <c r="CL51" s="550"/>
      <c r="CM51" s="558">
        <f t="shared" si="20"/>
        <v>43768.499999999884</v>
      </c>
      <c r="CN51" s="566">
        <f t="shared" si="21"/>
        <v>43768.333333333219</v>
      </c>
      <c r="CO51" s="631"/>
      <c r="CP51" s="807"/>
      <c r="CQ51" s="811"/>
    </row>
    <row r="52" spans="1:95" s="16" customFormat="1" ht="13.8" thickTop="1" x14ac:dyDescent="0.25">
      <c r="A52" s="511">
        <f>Construction!E52</f>
        <v>1000</v>
      </c>
      <c r="C52" s="56">
        <f ca="1">Production!H52</f>
        <v>4721428</v>
      </c>
      <c r="D52" s="26">
        <f ca="1">Production!J52</f>
        <v>314166</v>
      </c>
      <c r="E52" s="26">
        <f ca="1">Production!L52</f>
        <v>300000</v>
      </c>
      <c r="F52" s="57">
        <f ca="1">Production!M52</f>
        <v>20000</v>
      </c>
      <c r="G52" s="26"/>
      <c r="H52" s="56">
        <f ca="1">Military!Z52</f>
        <v>5295</v>
      </c>
      <c r="I52" s="538">
        <f ca="1">Population!I52</f>
        <v>1</v>
      </c>
      <c r="J52" s="165">
        <f ca="1">Population!F52/Population!U52</f>
        <v>1</v>
      </c>
      <c r="K52" s="1000">
        <f>Rezone!J52</f>
        <v>50</v>
      </c>
      <c r="L52" s="582">
        <f t="shared" si="19"/>
        <v>43768.510416666548</v>
      </c>
      <c r="M52" s="316">
        <f t="shared" si="22"/>
        <v>0</v>
      </c>
      <c r="N52" s="638">
        <f t="shared" si="23"/>
        <v>1000</v>
      </c>
      <c r="O52" s="423" t="s">
        <v>4</v>
      </c>
      <c r="P52" s="370"/>
      <c r="Q52" s="424" t="s">
        <v>223</v>
      </c>
      <c r="R52" s="423" t="s">
        <v>7</v>
      </c>
      <c r="S52" s="370"/>
      <c r="T52" s="425" t="s">
        <v>223</v>
      </c>
      <c r="U52" s="424" t="s">
        <v>3</v>
      </c>
      <c r="V52" s="370"/>
      <c r="W52" s="425" t="s">
        <v>223</v>
      </c>
      <c r="Y52" s="522">
        <f ca="1">science_cap*(1-EXP(-AH52/(science_param*($A53-Explore!$S53*20)+15000)))*(1+(mason_bonus*Construction!BB52/Construction!BS52))+IF(Overview!$B$14="Beastfolk",Construction!DA52/Construction!E52,0)*(1 + Production!O52/100*prestige_pop_multiplier)</f>
        <v>0</v>
      </c>
      <c r="Z52" s="284">
        <f ca="1">keep_cap*(1-EXP(-AI52/(keep_param*($A53-Explore!$S53*20)+15000)))*(1+(mason_bonus*Construction!BB52/Construction!BS52))+IF(Overview!$B$14="Beastfolk",Construction!DF52/Construction!E52,0)*(1 + Production!O52/100*prestige_pop_multiplier)</f>
        <v>0</v>
      </c>
      <c r="AA52" s="284">
        <f ca="1">harbor_towers_cap*(1-EXP(-AJ52/(harbor_towers_param*($A53-Explore!$S53*20)+15000)))*(1+(mason_bonus*Construction!BB52/Construction!BS52))+IF(Overview!$B$14="Beastfolk",2*Construction!DC52/Construction!E52,0)*(1 + Production!O52/100*prestige_pop_multiplier)</f>
        <v>0</v>
      </c>
      <c r="AB52" s="284">
        <f ca="1">walls_forges_cap*(1-EXP(-AK52/(walls_forges_param*($A53-Explore!$S53*20)+15000)))*(1+(mason_bonus*Construction!BB52/Construction!BS52))+IF(Overview!$B$14="Beastfolk",0.2*Construction!CY52/Construction!E52,0)</f>
        <v>0</v>
      </c>
      <c r="AC52" s="284">
        <f ca="1">walls_forges_cap*(1-EXP(-AL52/(walls_forges_param*($A53-Explore!$S53*20)+15000)))*(1+(mason_bonus*Construction!BB52/Construction!BS52))+IF(Overview!$B$14="Beastfolk",5*Construction!DB52/Construction!E52,0)</f>
        <v>0</v>
      </c>
      <c r="AD52" s="97">
        <f ca="1">harbor_towers_cap*(1-EXP(-AM52/(harbor_towers_param*($A53-Explore!$S53*20)+15000)))*(1+(mason_bonus*Construction!BB52/Construction!BS52))+IF(Overview!$B$14="Beastfolk",Construction!DE52/Construction!E52)*(1 + Production!O52/100*prestige_pop_multiplier)</f>
        <v>0</v>
      </c>
      <c r="AE52" s="97">
        <f ca="1">armory_cap*(1-EXP(-AN52/(armory_param*($A53-Explore!$S53*20)+15000)))*(1+(mason_bonus*Construction!$BB52/Construction!$BS52))</f>
        <v>0</v>
      </c>
      <c r="AF52" s="97">
        <f ca="1">infirmary_cap*(1-EXP(-AO52/(infirmary_param*($A53-Explore!$S53*20)+15000)))*(1+(mason_bonus*Construction!$BB52/Construction!$BS52))</f>
        <v>0</v>
      </c>
      <c r="AH52" s="56">
        <f ca="1">(1+Overview!$O$28+IF(Magic!BA52&gt;0,0.1,0))*SUM(AV52:AY52) + AH51</f>
        <v>0</v>
      </c>
      <c r="AI52" s="26">
        <f ca="1">(1+Overview!$O$28+IF(Magic!BA52&gt;0,0.1,0))*SUM(BA52:BD52) + AI51</f>
        <v>0</v>
      </c>
      <c r="AJ52" s="164">
        <f ca="1">(1+Overview!$O$28+IF(Magic!BA52&gt;0,0.1,0))*SUM(BF52:BI52) + AJ51</f>
        <v>0</v>
      </c>
      <c r="AK52" s="164">
        <f ca="1">(1+Overview!$O$28+IF(Magic!BA52&gt;0,0.1,0))*SUM(BK52:BN52) + AK51</f>
        <v>0</v>
      </c>
      <c r="AL52" s="164">
        <f ca="1">(1+Overview!$O$28+IF(Magic!BA52&gt;0,0.1,0))*SUM(BP52:BS52) + AL51</f>
        <v>0</v>
      </c>
      <c r="AM52" s="166">
        <f ca="1">(1+Overview!$O$28+IF(Magic!BA52&gt;0,0.1,0))*SUM(BU52:BX52) + AM51</f>
        <v>0</v>
      </c>
      <c r="AN52" s="166">
        <f ca="1">(1+Overview!$O$28+IF(Magic!BA52&gt;0,0.1,0))*SUM(BZ52:CC52)+AN51</f>
        <v>0</v>
      </c>
      <c r="AO52" s="164">
        <f ca="1">(1+Overview!$O$28+IF(Magic!BA52&gt;0,0.1,0))*SUM(CE52:CH52)+AO51</f>
        <v>0</v>
      </c>
      <c r="AQ52" s="52">
        <f t="shared" si="41"/>
        <v>0</v>
      </c>
      <c r="AR52" s="16">
        <f t="shared" si="41"/>
        <v>0</v>
      </c>
      <c r="AS52" s="16">
        <f t="shared" si="41"/>
        <v>0</v>
      </c>
      <c r="AT52" s="53">
        <f t="shared" si="41"/>
        <v>0</v>
      </c>
      <c r="AV52" s="56">
        <f t="shared" si="25"/>
        <v>0</v>
      </c>
      <c r="AW52" s="26">
        <f t="shared" si="42"/>
        <v>0</v>
      </c>
      <c r="AX52" s="26">
        <f t="shared" si="42"/>
        <v>0</v>
      </c>
      <c r="AY52" s="57">
        <f t="shared" si="27"/>
        <v>0</v>
      </c>
      <c r="BA52" s="56">
        <f t="shared" si="28"/>
        <v>0</v>
      </c>
      <c r="BB52" s="26">
        <f t="shared" si="43"/>
        <v>0</v>
      </c>
      <c r="BC52" s="26">
        <f t="shared" si="43"/>
        <v>0</v>
      </c>
      <c r="BD52" s="57">
        <f t="shared" si="30"/>
        <v>0</v>
      </c>
      <c r="BF52" s="56">
        <f t="shared" si="31"/>
        <v>0</v>
      </c>
      <c r="BG52" s="26">
        <f t="shared" si="32"/>
        <v>0</v>
      </c>
      <c r="BH52" s="26">
        <f t="shared" si="40"/>
        <v>0</v>
      </c>
      <c r="BI52" s="57">
        <f t="shared" si="33"/>
        <v>0</v>
      </c>
      <c r="BK52" s="56">
        <f t="shared" si="34"/>
        <v>0</v>
      </c>
      <c r="BL52" s="26">
        <f t="shared" si="44"/>
        <v>0</v>
      </c>
      <c r="BM52" s="26">
        <f t="shared" si="44"/>
        <v>0</v>
      </c>
      <c r="BN52" s="57">
        <f t="shared" si="36"/>
        <v>0</v>
      </c>
      <c r="BP52" s="56">
        <f t="shared" si="37"/>
        <v>0</v>
      </c>
      <c r="BQ52" s="26">
        <f t="shared" si="45"/>
        <v>0</v>
      </c>
      <c r="BR52" s="26">
        <f t="shared" si="45"/>
        <v>0</v>
      </c>
      <c r="BS52" s="57">
        <f t="shared" si="39"/>
        <v>0</v>
      </c>
      <c r="BU52" s="56">
        <f>IF($O52=BU$2,IF($Q52=$AD$2,$P52)) + IF($R52=BU$2,IF($T52=$AD$2,$S52)) + IF($U52=BU$2,IF($W52=$AD$2,$V52))</f>
        <v>0</v>
      </c>
      <c r="BV52" s="26">
        <f>IF($O52=BV$2,IF($Q52=$AD$2,2*$P52)) + IF($R52=BV$2,IF($T52=$AD$2,2*$S52)) + IF($U52=BV$2,IF($W52=$AD$2,2*$V52))</f>
        <v>0</v>
      </c>
      <c r="BW52" s="26">
        <f>IF($O52=BW$2,IF($Q52=$AD$2,2*$P52)) + IF($R52=BW$2,IF($T52=$AD$2,2*$S52)) + IF($U52=BW$2,IF($W52=$AD$2,2*$V52))</f>
        <v>0</v>
      </c>
      <c r="BX52" s="57">
        <f>IF($O52=BX$2,IF($Q52=$AD$2,12*$P52)) + IF($R52=BX$2,IF($T52=$AD$2,12*$S52)) + IF($U52=BX$2,IF($W52=$AD$2,12*$V52))</f>
        <v>0</v>
      </c>
      <c r="BZ52" s="56">
        <f>IF($O52=BZ$2,IF($Q52=Armory,$P52)) + IF($R52=BZ$2,IF($T52=Armory,$S52)) + IF($U52=BZ$2,IF($W52=Armory,$V52))</f>
        <v>0</v>
      </c>
      <c r="CA52" s="26">
        <f>IF($O52=CA$2,IF($Q52=Armory,2*$P52)) + IF($R52=CA$2,IF($T52=Armory,2*$S52)) + IF($U52=CA$2,IF($W52=Armory,2*$V52))</f>
        <v>0</v>
      </c>
      <c r="CB52" s="26">
        <f>IF($O52=CB$2,IF($Q52=Armory,2*$P52)) + IF($R52=CB$2,IF($T52=Armory,2*$S52)) + IF($U52=CB$2,IF($W52=Armory,2*$V52))</f>
        <v>0</v>
      </c>
      <c r="CC52" s="57">
        <f>IF($O52=CC$2,IF($Q52=Armory,12*$P52)) + IF($R52=CC$2,IF($T52=Armory,12*$S52)) + IF($U52=CC$2,IF($W52=Armory,12*$V52))</f>
        <v>0</v>
      </c>
      <c r="CE52" s="56">
        <f>IF($O52=CE$2,IF($Q52=Infirmary,$P52)) + IF($R52=CE$2,IF($T52=Infirmary,$S52)) + IF($U52=CE$2,IF($W52=Infirmary,$V52))</f>
        <v>0</v>
      </c>
      <c r="CF52" s="26">
        <f>IF($O52=CF$2,IF($Q52=Infirmary,2*$P52)) + IF($R52=CF$2,IF($T52=Infirmary,2*$S52)) + IF($U52=CF$2,IF($W52=Infirmary,2*$V52))</f>
        <v>0</v>
      </c>
      <c r="CG52" s="26">
        <f>IF($O52=CG$2,IF($Q52=Infirmary,2*$P52)) + IF($R52=CG$2,IF($T52=Infirmary,2*$S52)) + IF($U52=CG$2,IF($W52=Infirmary,2*$V52))</f>
        <v>0</v>
      </c>
      <c r="CH52" s="57">
        <f>IF($O52=CH$2,IF($Q52=Infirmary,12*$P52)) + IF($R52=CH$2,IF($T52=Infirmary,12*$S52)) + IF($U52=CH$2,IF($W52=Infirmary,12*$V52))</f>
        <v>0</v>
      </c>
      <c r="CJ52" s="52" t="e">
        <f>OR(Production!C52,Construction!N52:'Construction'!AF52,Construction!BV52:CN52,Explore!S52:Z52,Military!AF52:AL52,Military!X52,Military!BE52:BL52,Rezone!L52:R52,Magic!G52:Q52)</f>
        <v>#VALUE!</v>
      </c>
      <c r="CK52" s="525">
        <f>M52</f>
        <v>0</v>
      </c>
      <c r="CL52" s="525"/>
      <c r="CM52" s="555">
        <f t="shared" si="20"/>
        <v>43768.510416666548</v>
      </c>
      <c r="CN52" s="563">
        <f t="shared" si="21"/>
        <v>43768.343749999884</v>
      </c>
      <c r="CO52" s="527"/>
      <c r="CP52" s="803"/>
      <c r="CQ52" s="808"/>
    </row>
    <row r="53" spans="1:95" s="16" customFormat="1" x14ac:dyDescent="0.25">
      <c r="A53" s="511">
        <f>Construction!E53</f>
        <v>1000</v>
      </c>
      <c r="C53" s="56">
        <f ca="1">Production!H53</f>
        <v>4726409</v>
      </c>
      <c r="D53" s="26">
        <f ca="1">Production!J53</f>
        <v>313524</v>
      </c>
      <c r="E53" s="26">
        <f ca="1">Production!L53</f>
        <v>300000</v>
      </c>
      <c r="F53" s="57">
        <f ca="1">Production!M53</f>
        <v>20000</v>
      </c>
      <c r="G53" s="26"/>
      <c r="H53" s="56">
        <f ca="1">Military!Z53</f>
        <v>5295</v>
      </c>
      <c r="I53" s="538">
        <f ca="1">Population!I53</f>
        <v>1</v>
      </c>
      <c r="J53" s="165">
        <f ca="1">Population!F53/Population!U53</f>
        <v>1</v>
      </c>
      <c r="K53" s="1000">
        <f>Rezone!J53</f>
        <v>51</v>
      </c>
      <c r="L53" s="582">
        <f t="shared" si="19"/>
        <v>43768.520833333212</v>
      </c>
      <c r="M53" s="316">
        <f t="shared" si="22"/>
        <v>0</v>
      </c>
      <c r="N53" s="638">
        <f t="shared" si="23"/>
        <v>1000</v>
      </c>
      <c r="O53" s="423" t="s">
        <v>4</v>
      </c>
      <c r="P53" s="370"/>
      <c r="Q53" s="424" t="s">
        <v>223</v>
      </c>
      <c r="R53" s="423" t="s">
        <v>7</v>
      </c>
      <c r="S53" s="370"/>
      <c r="T53" s="425" t="s">
        <v>223</v>
      </c>
      <c r="U53" s="424" t="s">
        <v>3</v>
      </c>
      <c r="V53" s="370"/>
      <c r="W53" s="425" t="s">
        <v>223</v>
      </c>
      <c r="Y53" s="522">
        <f ca="1">science_cap*(1-EXP(-AH53/(science_param*($A54-Explore!$S54*20)+15000)))*(1+(mason_bonus*Construction!BB53/Construction!BS53))+IF(Overview!$B$14="Beastfolk",Construction!DA53/Construction!E53,0)*(1 + Production!O53/100*prestige_pop_multiplier)</f>
        <v>0</v>
      </c>
      <c r="Z53" s="284">
        <f ca="1">keep_cap*(1-EXP(-AI53/(keep_param*($A54-Explore!$S54*20)+15000)))*(1+(mason_bonus*Construction!BB53/Construction!BS53))+IF(Overview!$B$14="Beastfolk",Construction!DF53/Construction!E53,0)*(1 + Production!O53/100*prestige_pop_multiplier)</f>
        <v>0</v>
      </c>
      <c r="AA53" s="284">
        <f ca="1">harbor_towers_cap*(1-EXP(-AJ53/(harbor_towers_param*($A54-Explore!$S54*20)+15000)))*(1+(mason_bonus*Construction!BB53/Construction!BS53))+IF(Overview!$B$14="Beastfolk",2*Construction!DC53/Construction!E53,0)*(1 + Production!O53/100*prestige_pop_multiplier)</f>
        <v>0</v>
      </c>
      <c r="AB53" s="284">
        <f ca="1">walls_forges_cap*(1-EXP(-AK53/(walls_forges_param*($A54-Explore!$S54*20)+15000)))*(1+(mason_bonus*Construction!BB53/Construction!BS53))+IF(Overview!$B$14="Beastfolk",0.2*Construction!CY53/Construction!E53,0)</f>
        <v>0</v>
      </c>
      <c r="AC53" s="284">
        <f ca="1">walls_forges_cap*(1-EXP(-AL53/(walls_forges_param*($A54-Explore!$S54*20)+15000)))*(1+(mason_bonus*Construction!BB53/Construction!BS53))+IF(Overview!$B$14="Beastfolk",5*Construction!DB53/Construction!E53,0)</f>
        <v>0</v>
      </c>
      <c r="AD53" s="97">
        <f ca="1">harbor_towers_cap*(1-EXP(-AM53/(harbor_towers_param*($A54-Explore!$S54*20)+15000)))*(1+(mason_bonus*Construction!BB53/Construction!BS53))+IF(Overview!$B$14="Beastfolk",Construction!DE53/Construction!E53)*(1 + Production!O53/100*prestige_pop_multiplier)</f>
        <v>0</v>
      </c>
      <c r="AE53" s="97">
        <f ca="1">armory_cap*(1-EXP(-AN53/(armory_param*($A54-Explore!$S54*20)+15000)))*(1+(mason_bonus*Construction!$BB53/Construction!$BS53))</f>
        <v>0</v>
      </c>
      <c r="AF53" s="97">
        <f ca="1">infirmary_cap*(1-EXP(-AO53/(infirmary_param*($A54-Explore!$S54*20)+15000)))*(1+(mason_bonus*Construction!$BB53/Construction!$BS53))</f>
        <v>0</v>
      </c>
      <c r="AH53" s="56">
        <f ca="1">(1+Overview!$O$28+IF(Magic!BA53&gt;0,0.1,0))*SUM(AV53:AY53) + AH52</f>
        <v>0</v>
      </c>
      <c r="AI53" s="26">
        <f ca="1">(1+Overview!$O$28+IF(Magic!BA53&gt;0,0.1,0))*SUM(BA53:BD53) + AI52</f>
        <v>0</v>
      </c>
      <c r="AJ53" s="164">
        <f ca="1">(1+Overview!$O$28+IF(Magic!BA53&gt;0,0.1,0))*SUM(BF53:BI53) + AJ52</f>
        <v>0</v>
      </c>
      <c r="AK53" s="164">
        <f ca="1">(1+Overview!$O$28+IF(Magic!BA53&gt;0,0.1,0))*SUM(BK53:BN53) + AK52</f>
        <v>0</v>
      </c>
      <c r="AL53" s="164">
        <f ca="1">(1+Overview!$O$28+IF(Magic!BA53&gt;0,0.1,0))*SUM(BP53:BS53) + AL52</f>
        <v>0</v>
      </c>
      <c r="AM53" s="166">
        <f ca="1">(1+Overview!$O$28+IF(Magic!BA53&gt;0,0.1,0))*SUM(BU53:BX53) + AM52</f>
        <v>0</v>
      </c>
      <c r="AN53" s="166">
        <f ca="1">(1+Overview!$O$28+IF(Magic!BA53&gt;0,0.1,0))*SUM(BZ53:CC53)+AN52</f>
        <v>0</v>
      </c>
      <c r="AO53" s="164">
        <f ca="1">(1+Overview!$O$28+IF(Magic!BA53&gt;0,0.1,0))*SUM(CE53:CH53)+AO52</f>
        <v>0</v>
      </c>
      <c r="AQ53" s="52">
        <f t="shared" si="41"/>
        <v>0</v>
      </c>
      <c r="AR53" s="16">
        <f t="shared" si="41"/>
        <v>0</v>
      </c>
      <c r="AS53" s="16">
        <f t="shared" si="41"/>
        <v>0</v>
      </c>
      <c r="AT53" s="53">
        <f t="shared" si="41"/>
        <v>0</v>
      </c>
      <c r="AV53" s="56">
        <f t="shared" si="25"/>
        <v>0</v>
      </c>
      <c r="AW53" s="26">
        <f t="shared" si="42"/>
        <v>0</v>
      </c>
      <c r="AX53" s="26">
        <f t="shared" si="42"/>
        <v>0</v>
      </c>
      <c r="AY53" s="57">
        <f t="shared" si="27"/>
        <v>0</v>
      </c>
      <c r="BA53" s="56">
        <f t="shared" si="28"/>
        <v>0</v>
      </c>
      <c r="BB53" s="26">
        <f t="shared" si="43"/>
        <v>0</v>
      </c>
      <c r="BC53" s="26">
        <f t="shared" si="43"/>
        <v>0</v>
      </c>
      <c r="BD53" s="57">
        <f t="shared" si="30"/>
        <v>0</v>
      </c>
      <c r="BF53" s="56">
        <f t="shared" si="31"/>
        <v>0</v>
      </c>
      <c r="BG53" s="26">
        <f t="shared" si="32"/>
        <v>0</v>
      </c>
      <c r="BH53" s="26">
        <f t="shared" si="40"/>
        <v>0</v>
      </c>
      <c r="BI53" s="57">
        <f t="shared" si="33"/>
        <v>0</v>
      </c>
      <c r="BK53" s="56">
        <f t="shared" si="34"/>
        <v>0</v>
      </c>
      <c r="BL53" s="26">
        <f t="shared" si="44"/>
        <v>0</v>
      </c>
      <c r="BM53" s="26">
        <f t="shared" si="44"/>
        <v>0</v>
      </c>
      <c r="BN53" s="57">
        <f t="shared" si="36"/>
        <v>0</v>
      </c>
      <c r="BP53" s="56">
        <f t="shared" si="37"/>
        <v>0</v>
      </c>
      <c r="BQ53" s="26">
        <f t="shared" si="45"/>
        <v>0</v>
      </c>
      <c r="BR53" s="26">
        <f t="shared" si="45"/>
        <v>0</v>
      </c>
      <c r="BS53" s="57">
        <f t="shared" si="39"/>
        <v>0</v>
      </c>
      <c r="BU53" s="56">
        <f>IF($O53=BU$2,IF($Q53=$AD$2,$P53)) + IF($R53=BU$2,IF($T53=$AD$2,$S53)) + IF($U53=BU$2,IF($W53=$AD$2,$V53))</f>
        <v>0</v>
      </c>
      <c r="BV53" s="26">
        <f>IF($O53=BV$2,IF($Q53=$AD$2,2*$P53)) + IF($R53=BV$2,IF($T53=$AD$2,2*$S53)) + IF($U53=BV$2,IF($W53=$AD$2,2*$V53))</f>
        <v>0</v>
      </c>
      <c r="BW53" s="26">
        <f>IF($O53=BW$2,IF($Q53=$AD$2,2*$P53)) + IF($R53=BW$2,IF($T53=$AD$2,2*$S53)) + IF($U53=BW$2,IF($W53=$AD$2,2*$V53))</f>
        <v>0</v>
      </c>
      <c r="BX53" s="57">
        <f>IF($O53=BX$2,IF($Q53=$AD$2,12*$P53)) + IF($R53=BX$2,IF($T53=$AD$2,12*$S53)) + IF($U53=BX$2,IF($W53=$AD$2,12*$V53))</f>
        <v>0</v>
      </c>
      <c r="BZ53" s="56">
        <f>IF($O53=BZ$2,IF($Q53=Armory,$P53)) + IF($R53=BZ$2,IF($T53=Armory,$S53)) + IF($U53=BZ$2,IF($W53=Armory,$V53))</f>
        <v>0</v>
      </c>
      <c r="CA53" s="26">
        <f>IF($O53=CA$2,IF($Q53=Armory,2*$P53)) + IF($R53=CA$2,IF($T53=Armory,2*$S53)) + IF($U53=CA$2,IF($W53=Armory,2*$V53))</f>
        <v>0</v>
      </c>
      <c r="CB53" s="26">
        <f>IF($O53=CB$2,IF($Q53=Armory,2*$P53)) + IF($R53=CB$2,IF($T53=Armory,2*$S53)) + IF($U53=CB$2,IF($W53=Armory,2*$V53))</f>
        <v>0</v>
      </c>
      <c r="CC53" s="57">
        <f>IF($O53=CC$2,IF($Q53=Armory,12*$P53)) + IF($R53=CC$2,IF($T53=Armory,12*$S53)) + IF($U53=CC$2,IF($W53=Armory,12*$V53))</f>
        <v>0</v>
      </c>
      <c r="CE53" s="56">
        <f>IF($O53=CE$2,IF($Q53=Infirmary,$P53)) + IF($R53=CE$2,IF($T53=Infirmary,$S53)) + IF($U53=CE$2,IF($W53=Infirmary,$V53))</f>
        <v>0</v>
      </c>
      <c r="CF53" s="26">
        <f>IF($O53=CF$2,IF($Q53=Infirmary,2*$P53)) + IF($R53=CF$2,IF($T53=Infirmary,2*$S53)) + IF($U53=CF$2,IF($W53=Infirmary,2*$V53))</f>
        <v>0</v>
      </c>
      <c r="CG53" s="26">
        <f>IF($O53=CG$2,IF($Q53=Infirmary,2*$P53)) + IF($R53=CG$2,IF($T53=Infirmary,2*$S53)) + IF($U53=CG$2,IF($W53=Infirmary,2*$V53))</f>
        <v>0</v>
      </c>
      <c r="CH53" s="57">
        <f>IF($O53=CH$2,IF($Q53=Infirmary,12*$P53)) + IF($R53=CH$2,IF($T53=Infirmary,12*$S53)) + IF($U53=CH$2,IF($W53=Infirmary,12*$V53))</f>
        <v>0</v>
      </c>
      <c r="CJ53" s="52" t="e">
        <f>OR(Production!C53,Construction!N53:'Construction'!AF53,Construction!BV53:CN53,Explore!S53:Z53,Military!AF53:AL53,Military!X53,Military!BE53:BL53,Rezone!L53:R53,Magic!G53:Q53)</f>
        <v>#VALUE!</v>
      </c>
      <c r="CK53" s="525">
        <f>M53</f>
        <v>0</v>
      </c>
      <c r="CL53" s="525"/>
      <c r="CM53" s="555">
        <f t="shared" si="20"/>
        <v>43768.520833333212</v>
      </c>
      <c r="CN53" s="563">
        <f t="shared" si="21"/>
        <v>43768.354166666548</v>
      </c>
      <c r="CO53" s="527"/>
      <c r="CP53" s="803"/>
      <c r="CQ53" s="808"/>
    </row>
    <row r="54" spans="1:95" s="16" customFormat="1" x14ac:dyDescent="0.25">
      <c r="A54" s="511">
        <f>Construction!E54</f>
        <v>1000</v>
      </c>
      <c r="C54" s="56">
        <f ca="1">Production!H54</f>
        <v>4731390</v>
      </c>
      <c r="D54" s="26">
        <f ca="1">Production!J54</f>
        <v>312889</v>
      </c>
      <c r="E54" s="26">
        <f ca="1">Production!L54</f>
        <v>300000</v>
      </c>
      <c r="F54" s="57">
        <f ca="1">Production!M54</f>
        <v>20000</v>
      </c>
      <c r="G54" s="26"/>
      <c r="H54" s="56">
        <f ca="1">Military!Z54</f>
        <v>5295</v>
      </c>
      <c r="I54" s="538">
        <f ca="1">Population!I54</f>
        <v>1</v>
      </c>
      <c r="J54" s="165">
        <f ca="1">Population!F54/Population!U54</f>
        <v>1</v>
      </c>
      <c r="K54" s="1000">
        <f>Rezone!J54</f>
        <v>52</v>
      </c>
      <c r="L54" s="582">
        <f t="shared" si="19"/>
        <v>43768.531249999876</v>
      </c>
      <c r="M54" s="316">
        <f t="shared" si="22"/>
        <v>0</v>
      </c>
      <c r="N54" s="638">
        <f t="shared" si="23"/>
        <v>1000</v>
      </c>
      <c r="O54" s="423" t="s">
        <v>4</v>
      </c>
      <c r="P54" s="370"/>
      <c r="Q54" s="424" t="s">
        <v>223</v>
      </c>
      <c r="R54" s="423" t="s">
        <v>7</v>
      </c>
      <c r="S54" s="370"/>
      <c r="T54" s="425" t="s">
        <v>223</v>
      </c>
      <c r="U54" s="424" t="s">
        <v>3</v>
      </c>
      <c r="V54" s="370"/>
      <c r="W54" s="425" t="s">
        <v>223</v>
      </c>
      <c r="Y54" s="522">
        <f ca="1">science_cap*(1-EXP(-AH54/(science_param*($A55-Explore!$S55*20)+15000)))*(1+(mason_bonus*Construction!BB54/Construction!BS54))+IF(Overview!$B$14="Beastfolk",Construction!DA54/Construction!E54,0)*(1 + Production!O54/100*prestige_pop_multiplier)</f>
        <v>0</v>
      </c>
      <c r="Z54" s="284">
        <f ca="1">keep_cap*(1-EXP(-AI54/(keep_param*($A55-Explore!$S55*20)+15000)))*(1+(mason_bonus*Construction!BB54/Construction!BS54))+IF(Overview!$B$14="Beastfolk",Construction!DF54/Construction!E54,0)*(1 + Production!O54/100*prestige_pop_multiplier)</f>
        <v>0</v>
      </c>
      <c r="AA54" s="284">
        <f ca="1">harbor_towers_cap*(1-EXP(-AJ54/(harbor_towers_param*($A55-Explore!$S55*20)+15000)))*(1+(mason_bonus*Construction!BB54/Construction!BS54))+IF(Overview!$B$14="Beastfolk",2*Construction!DC54/Construction!E54,0)*(1 + Production!O54/100*prestige_pop_multiplier)</f>
        <v>0</v>
      </c>
      <c r="AB54" s="284">
        <f ca="1">walls_forges_cap*(1-EXP(-AK54/(walls_forges_param*($A55-Explore!$S55*20)+15000)))*(1+(mason_bonus*Construction!BB54/Construction!BS54))+IF(Overview!$B$14="Beastfolk",0.2*Construction!CY54/Construction!E54,0)</f>
        <v>0</v>
      </c>
      <c r="AC54" s="284">
        <f ca="1">walls_forges_cap*(1-EXP(-AL54/(walls_forges_param*($A55-Explore!$S55*20)+15000)))*(1+(mason_bonus*Construction!BB54/Construction!BS54))+IF(Overview!$B$14="Beastfolk",5*Construction!DB54/Construction!E54,0)</f>
        <v>0</v>
      </c>
      <c r="AD54" s="97">
        <f ca="1">harbor_towers_cap*(1-EXP(-AM54/(harbor_towers_param*($A55-Explore!$S55*20)+15000)))*(1+(mason_bonus*Construction!BB54/Construction!BS54))+IF(Overview!$B$14="Beastfolk",Construction!DE54/Construction!E54)*(1 + Production!O54/100*prestige_pop_multiplier)</f>
        <v>0</v>
      </c>
      <c r="AE54" s="97">
        <f ca="1">armory_cap*(1-EXP(-AN54/(armory_param*($A55-Explore!$S55*20)+15000)))*(1+(mason_bonus*Construction!$BB54/Construction!$BS54))</f>
        <v>0</v>
      </c>
      <c r="AF54" s="97">
        <f ca="1">infirmary_cap*(1-EXP(-AO54/(infirmary_param*($A55-Explore!$S55*20)+15000)))*(1+(mason_bonus*Construction!$BB54/Construction!$BS54))</f>
        <v>0</v>
      </c>
      <c r="AH54" s="56">
        <f ca="1">(1+Overview!$O$28+IF(Magic!BA54&gt;0,0.1,0))*SUM(AV54:AY54) + AH53</f>
        <v>0</v>
      </c>
      <c r="AI54" s="26">
        <f ca="1">(1+Overview!$O$28+IF(Magic!BA54&gt;0,0.1,0))*SUM(BA54:BD54) + AI53</f>
        <v>0</v>
      </c>
      <c r="AJ54" s="164">
        <f ca="1">(1+Overview!$O$28+IF(Magic!BA54&gt;0,0.1,0))*SUM(BF54:BI54) + AJ53</f>
        <v>0</v>
      </c>
      <c r="AK54" s="164">
        <f ca="1">(1+Overview!$O$28+IF(Magic!BA54&gt;0,0.1,0))*SUM(BK54:BN54) + AK53</f>
        <v>0</v>
      </c>
      <c r="AL54" s="164">
        <f ca="1">(1+Overview!$O$28+IF(Magic!BA54&gt;0,0.1,0))*SUM(BP54:BS54) + AL53</f>
        <v>0</v>
      </c>
      <c r="AM54" s="166">
        <f ca="1">(1+Overview!$O$28+IF(Magic!BA54&gt;0,0.1,0))*SUM(BU54:BX54) + AM53</f>
        <v>0</v>
      </c>
      <c r="AN54" s="166">
        <f ca="1">(1+Overview!$O$28+IF(Magic!BA54&gt;0,0.1,0))*SUM(BZ54:CC54)+AN53</f>
        <v>0</v>
      </c>
      <c r="AO54" s="164">
        <f ca="1">(1+Overview!$O$28+IF(Magic!BA54&gt;0,0.1,0))*SUM(CE54:CH54)+AO53</f>
        <v>0</v>
      </c>
      <c r="AQ54" s="52">
        <f t="shared" si="41"/>
        <v>0</v>
      </c>
      <c r="AR54" s="16">
        <f t="shared" si="41"/>
        <v>0</v>
      </c>
      <c r="AS54" s="16">
        <f t="shared" si="41"/>
        <v>0</v>
      </c>
      <c r="AT54" s="53">
        <f t="shared" si="41"/>
        <v>0</v>
      </c>
      <c r="AV54" s="56">
        <f t="shared" si="25"/>
        <v>0</v>
      </c>
      <c r="AW54" s="26">
        <f t="shared" si="42"/>
        <v>0</v>
      </c>
      <c r="AX54" s="26">
        <f t="shared" si="42"/>
        <v>0</v>
      </c>
      <c r="AY54" s="57">
        <f t="shared" si="27"/>
        <v>0</v>
      </c>
      <c r="BA54" s="56">
        <f t="shared" si="28"/>
        <v>0</v>
      </c>
      <c r="BB54" s="26">
        <f t="shared" si="43"/>
        <v>0</v>
      </c>
      <c r="BC54" s="26">
        <f t="shared" si="43"/>
        <v>0</v>
      </c>
      <c r="BD54" s="57">
        <f t="shared" si="30"/>
        <v>0</v>
      </c>
      <c r="BF54" s="56">
        <f t="shared" si="31"/>
        <v>0</v>
      </c>
      <c r="BG54" s="26">
        <f t="shared" si="32"/>
        <v>0</v>
      </c>
      <c r="BH54" s="26">
        <f t="shared" si="40"/>
        <v>0</v>
      </c>
      <c r="BI54" s="57">
        <f t="shared" si="33"/>
        <v>0</v>
      </c>
      <c r="BK54" s="56">
        <f t="shared" si="34"/>
        <v>0</v>
      </c>
      <c r="BL54" s="26">
        <f t="shared" si="44"/>
        <v>0</v>
      </c>
      <c r="BM54" s="26">
        <f t="shared" si="44"/>
        <v>0</v>
      </c>
      <c r="BN54" s="57">
        <f t="shared" si="36"/>
        <v>0</v>
      </c>
      <c r="BP54" s="56">
        <f t="shared" si="37"/>
        <v>0</v>
      </c>
      <c r="BQ54" s="26">
        <f t="shared" si="45"/>
        <v>0</v>
      </c>
      <c r="BR54" s="26">
        <f t="shared" si="45"/>
        <v>0</v>
      </c>
      <c r="BS54" s="57">
        <f t="shared" si="39"/>
        <v>0</v>
      </c>
      <c r="BU54" s="56">
        <f>IF($O54=BU$2,IF($Q54=$AD$2,$P54)) + IF($R54=BU$2,IF($T54=$AD$2,$S54)) + IF($U54=BU$2,IF($W54=$AD$2,$V54))</f>
        <v>0</v>
      </c>
      <c r="BV54" s="26">
        <f>IF($O54=BV$2,IF($Q54=$AD$2,2*$P54)) + IF($R54=BV$2,IF($T54=$AD$2,2*$S54)) + IF($U54=BV$2,IF($W54=$AD$2,2*$V54))</f>
        <v>0</v>
      </c>
      <c r="BW54" s="26">
        <f>IF($O54=BW$2,IF($Q54=$AD$2,2*$P54)) + IF($R54=BW$2,IF($T54=$AD$2,2*$S54)) + IF($U54=BW$2,IF($W54=$AD$2,2*$V54))</f>
        <v>0</v>
      </c>
      <c r="BX54" s="57">
        <f>IF($O54=BX$2,IF($Q54=$AD$2,12*$P54)) + IF($R54=BX$2,IF($T54=$AD$2,12*$S54)) + IF($U54=BX$2,IF($W54=$AD$2,12*$V54))</f>
        <v>0</v>
      </c>
      <c r="BZ54" s="56">
        <f>IF($O54=BZ$2,IF($Q54=Armory,$P54)) + IF($R54=BZ$2,IF($T54=Armory,$S54)) + IF($U54=BZ$2,IF($W54=Armory,$V54))</f>
        <v>0</v>
      </c>
      <c r="CA54" s="26">
        <f>IF($O54=CA$2,IF($Q54=Armory,2*$P54)) + IF($R54=CA$2,IF($T54=Armory,2*$S54)) + IF($U54=CA$2,IF($W54=Armory,2*$V54))</f>
        <v>0</v>
      </c>
      <c r="CB54" s="26">
        <f>IF($O54=CB$2,IF($Q54=Armory,2*$P54)) + IF($R54=CB$2,IF($T54=Armory,2*$S54)) + IF($U54=CB$2,IF($W54=Armory,2*$V54))</f>
        <v>0</v>
      </c>
      <c r="CC54" s="57">
        <f>IF($O54=CC$2,IF($Q54=Armory,12*$P54)) + IF($R54=CC$2,IF($T54=Armory,12*$S54)) + IF($U54=CC$2,IF($W54=Armory,12*$V54))</f>
        <v>0</v>
      </c>
      <c r="CE54" s="56">
        <f>IF($O54=CE$2,IF($Q54=Infirmary,$P54)) + IF($R54=CE$2,IF($T54=Infirmary,$S54)) + IF($U54=CE$2,IF($W54=Infirmary,$V54))</f>
        <v>0</v>
      </c>
      <c r="CF54" s="26">
        <f>IF($O54=CF$2,IF($Q54=Infirmary,2*$P54)) + IF($R54=CF$2,IF($T54=Infirmary,2*$S54)) + IF($U54=CF$2,IF($W54=Infirmary,2*$V54))</f>
        <v>0</v>
      </c>
      <c r="CG54" s="26">
        <f>IF($O54=CG$2,IF($Q54=Infirmary,2*$P54)) + IF($R54=CG$2,IF($T54=Infirmary,2*$S54)) + IF($U54=CG$2,IF($W54=Infirmary,2*$V54))</f>
        <v>0</v>
      </c>
      <c r="CH54" s="57">
        <f>IF($O54=CH$2,IF($Q54=Infirmary,12*$P54)) + IF($R54=CH$2,IF($T54=Infirmary,12*$S54)) + IF($U54=CH$2,IF($W54=Infirmary,12*$V54))</f>
        <v>0</v>
      </c>
      <c r="CJ54" s="52" t="e">
        <f>OR(Production!C54,Construction!N54:'Construction'!AF54,Construction!BV54:CN54,Explore!S54:Z54,Military!AF54:AL54,Military!X54,Military!BE54:BL54,Rezone!L54:R54,Magic!G54:Q54)</f>
        <v>#VALUE!</v>
      </c>
      <c r="CK54" s="525">
        <f>M54</f>
        <v>0</v>
      </c>
      <c r="CL54" s="525"/>
      <c r="CM54" s="555">
        <f t="shared" si="20"/>
        <v>43768.531249999876</v>
      </c>
      <c r="CN54" s="563">
        <f t="shared" si="21"/>
        <v>43768.364583333212</v>
      </c>
      <c r="CO54" s="527"/>
      <c r="CP54" s="803"/>
      <c r="CQ54" s="808"/>
    </row>
    <row r="55" spans="1:95" s="16" customFormat="1" x14ac:dyDescent="0.25">
      <c r="A55" s="511">
        <f>Construction!E55</f>
        <v>1000</v>
      </c>
      <c r="C55" s="56">
        <f ca="1">Production!H55</f>
        <v>4736371</v>
      </c>
      <c r="D55" s="26">
        <f ca="1">Production!J55</f>
        <v>312260</v>
      </c>
      <c r="E55" s="26">
        <f ca="1">Production!L55</f>
        <v>300000</v>
      </c>
      <c r="F55" s="57">
        <f ca="1">Production!M55</f>
        <v>20000</v>
      </c>
      <c r="G55" s="26"/>
      <c r="H55" s="56">
        <f ca="1">Military!Z55</f>
        <v>5295</v>
      </c>
      <c r="I55" s="538">
        <f ca="1">Population!I55</f>
        <v>1</v>
      </c>
      <c r="J55" s="165">
        <f ca="1">Population!F55/Population!U55</f>
        <v>1</v>
      </c>
      <c r="K55" s="1000">
        <f>Rezone!J55</f>
        <v>53</v>
      </c>
      <c r="L55" s="582">
        <f t="shared" si="19"/>
        <v>43768.541666666541</v>
      </c>
      <c r="M55" s="316">
        <f t="shared" si="22"/>
        <v>0</v>
      </c>
      <c r="N55" s="638">
        <f t="shared" si="23"/>
        <v>1000</v>
      </c>
      <c r="O55" s="423" t="s">
        <v>4</v>
      </c>
      <c r="P55" s="370"/>
      <c r="Q55" s="424" t="s">
        <v>223</v>
      </c>
      <c r="R55" s="423" t="s">
        <v>7</v>
      </c>
      <c r="S55" s="370"/>
      <c r="T55" s="425" t="s">
        <v>223</v>
      </c>
      <c r="U55" s="424" t="s">
        <v>3</v>
      </c>
      <c r="V55" s="370"/>
      <c r="W55" s="425" t="s">
        <v>223</v>
      </c>
      <c r="Y55" s="522">
        <f ca="1">science_cap*(1-EXP(-AH55/(science_param*($A56-Explore!$S56*20)+15000)))*(1+(mason_bonus*Construction!BB55/Construction!BS55))+IF(Overview!$B$14="Beastfolk",Construction!DA55/Construction!E55,0)*(1 + Production!O55/100*prestige_pop_multiplier)</f>
        <v>0</v>
      </c>
      <c r="Z55" s="284">
        <f ca="1">keep_cap*(1-EXP(-AI55/(keep_param*($A56-Explore!$S56*20)+15000)))*(1+(mason_bonus*Construction!BB55/Construction!BS55))+IF(Overview!$B$14="Beastfolk",Construction!DF55/Construction!E55,0)*(1 + Production!O55/100*prestige_pop_multiplier)</f>
        <v>0</v>
      </c>
      <c r="AA55" s="284">
        <f ca="1">harbor_towers_cap*(1-EXP(-AJ55/(harbor_towers_param*($A56-Explore!$S56*20)+15000)))*(1+(mason_bonus*Construction!BB55/Construction!BS55))+IF(Overview!$B$14="Beastfolk",2*Construction!DC55/Construction!E55,0)*(1 + Production!O55/100*prestige_pop_multiplier)</f>
        <v>0</v>
      </c>
      <c r="AB55" s="284">
        <f ca="1">walls_forges_cap*(1-EXP(-AK55/(walls_forges_param*($A56-Explore!$S56*20)+15000)))*(1+(mason_bonus*Construction!BB55/Construction!BS55))+IF(Overview!$B$14="Beastfolk",0.2*Construction!CY55/Construction!E55,0)</f>
        <v>0</v>
      </c>
      <c r="AC55" s="284">
        <f ca="1">walls_forges_cap*(1-EXP(-AL55/(walls_forges_param*($A56-Explore!$S56*20)+15000)))*(1+(mason_bonus*Construction!BB55/Construction!BS55))+IF(Overview!$B$14="Beastfolk",5*Construction!DB55/Construction!E55,0)</f>
        <v>0</v>
      </c>
      <c r="AD55" s="97">
        <f ca="1">harbor_towers_cap*(1-EXP(-AM55/(harbor_towers_param*($A56-Explore!$S56*20)+15000)))*(1+(mason_bonus*Construction!BB55/Construction!BS55))+IF(Overview!$B$14="Beastfolk",Construction!DE55/Construction!E55)*(1 + Production!O55/100*prestige_pop_multiplier)</f>
        <v>0</v>
      </c>
      <c r="AE55" s="97">
        <f ca="1">armory_cap*(1-EXP(-AN55/(armory_param*($A56-Explore!$S56*20)+15000)))*(1+(mason_bonus*Construction!$BB55/Construction!$BS55))</f>
        <v>0</v>
      </c>
      <c r="AF55" s="97">
        <f ca="1">infirmary_cap*(1-EXP(-AO55/(infirmary_param*($A56-Explore!$S56*20)+15000)))*(1+(mason_bonus*Construction!$BB55/Construction!$BS55))</f>
        <v>0</v>
      </c>
      <c r="AH55" s="56">
        <f ca="1">(1+Overview!$O$28+IF(Magic!BA55&gt;0,0.1,0))*SUM(AV55:AY55) + AH54</f>
        <v>0</v>
      </c>
      <c r="AI55" s="26">
        <f ca="1">(1+Overview!$O$28+IF(Magic!BA55&gt;0,0.1,0))*SUM(BA55:BD55) + AI54</f>
        <v>0</v>
      </c>
      <c r="AJ55" s="164">
        <f ca="1">(1+Overview!$O$28+IF(Magic!BA55&gt;0,0.1,0))*SUM(BF55:BI55) + AJ54</f>
        <v>0</v>
      </c>
      <c r="AK55" s="164">
        <f ca="1">(1+Overview!$O$28+IF(Magic!BA55&gt;0,0.1,0))*SUM(BK55:BN55) + AK54</f>
        <v>0</v>
      </c>
      <c r="AL55" s="164">
        <f ca="1">(1+Overview!$O$28+IF(Magic!BA55&gt;0,0.1,0))*SUM(BP55:BS55) + AL54</f>
        <v>0</v>
      </c>
      <c r="AM55" s="166">
        <f ca="1">(1+Overview!$O$28+IF(Magic!BA55&gt;0,0.1,0))*SUM(BU55:BX55) + AM54</f>
        <v>0</v>
      </c>
      <c r="AN55" s="166">
        <f ca="1">(1+Overview!$O$28+IF(Magic!BA55&gt;0,0.1,0))*SUM(BZ55:CC55)+AN54</f>
        <v>0</v>
      </c>
      <c r="AO55" s="164">
        <f ca="1">(1+Overview!$O$28+IF(Magic!BA55&gt;0,0.1,0))*SUM(CE55:CH55)+AO54</f>
        <v>0</v>
      </c>
      <c r="AQ55" s="52">
        <f t="shared" si="41"/>
        <v>0</v>
      </c>
      <c r="AR55" s="16">
        <f t="shared" si="41"/>
        <v>0</v>
      </c>
      <c r="AS55" s="16">
        <f t="shared" si="41"/>
        <v>0</v>
      </c>
      <c r="AT55" s="53">
        <f t="shared" si="41"/>
        <v>0</v>
      </c>
      <c r="AV55" s="56">
        <f t="shared" si="25"/>
        <v>0</v>
      </c>
      <c r="AW55" s="26">
        <f t="shared" si="42"/>
        <v>0</v>
      </c>
      <c r="AX55" s="26">
        <f t="shared" si="42"/>
        <v>0</v>
      </c>
      <c r="AY55" s="57">
        <f t="shared" si="27"/>
        <v>0</v>
      </c>
      <c r="BA55" s="56">
        <f t="shared" si="28"/>
        <v>0</v>
      </c>
      <c r="BB55" s="26">
        <f t="shared" si="43"/>
        <v>0</v>
      </c>
      <c r="BC55" s="26">
        <f t="shared" si="43"/>
        <v>0</v>
      </c>
      <c r="BD55" s="57">
        <f t="shared" si="30"/>
        <v>0</v>
      </c>
      <c r="BF55" s="56">
        <f t="shared" si="31"/>
        <v>0</v>
      </c>
      <c r="BG55" s="26">
        <f t="shared" si="32"/>
        <v>0</v>
      </c>
      <c r="BH55" s="26">
        <f t="shared" si="40"/>
        <v>0</v>
      </c>
      <c r="BI55" s="57">
        <f t="shared" si="33"/>
        <v>0</v>
      </c>
      <c r="BK55" s="56">
        <f t="shared" si="34"/>
        <v>0</v>
      </c>
      <c r="BL55" s="26">
        <f t="shared" si="44"/>
        <v>0</v>
      </c>
      <c r="BM55" s="26">
        <f t="shared" si="44"/>
        <v>0</v>
      </c>
      <c r="BN55" s="57">
        <f t="shared" si="36"/>
        <v>0</v>
      </c>
      <c r="BP55" s="56">
        <f t="shared" si="37"/>
        <v>0</v>
      </c>
      <c r="BQ55" s="26">
        <f t="shared" si="45"/>
        <v>0</v>
      </c>
      <c r="BR55" s="26">
        <f t="shared" si="45"/>
        <v>0</v>
      </c>
      <c r="BS55" s="57">
        <f t="shared" si="39"/>
        <v>0</v>
      </c>
      <c r="BU55" s="56">
        <f>IF($O55=BU$2,IF($Q55=$AD$2,$P55)) + IF($R55=BU$2,IF($T55=$AD$2,$S55)) + IF($U55=BU$2,IF($W55=$AD$2,$V55))</f>
        <v>0</v>
      </c>
      <c r="BV55" s="26">
        <f>IF($O55=BV$2,IF($Q55=$AD$2,2*$P55)) + IF($R55=BV$2,IF($T55=$AD$2,2*$S55)) + IF($U55=BV$2,IF($W55=$AD$2,2*$V55))</f>
        <v>0</v>
      </c>
      <c r="BW55" s="26">
        <f>IF($O55=BW$2,IF($Q55=$AD$2,2*$P55)) + IF($R55=BW$2,IF($T55=$AD$2,2*$S55)) + IF($U55=BW$2,IF($W55=$AD$2,2*$V55))</f>
        <v>0</v>
      </c>
      <c r="BX55" s="57">
        <f>IF($O55=BX$2,IF($Q55=$AD$2,12*$P55)) + IF($R55=BX$2,IF($T55=$AD$2,12*$S55)) + IF($U55=BX$2,IF($W55=$AD$2,12*$V55))</f>
        <v>0</v>
      </c>
      <c r="BZ55" s="56">
        <f>IF($O55=BZ$2,IF($Q55=Armory,$P55)) + IF($R55=BZ$2,IF($T55=Armory,$S55)) + IF($U55=BZ$2,IF($W55=Armory,$V55))</f>
        <v>0</v>
      </c>
      <c r="CA55" s="26">
        <f>IF($O55=CA$2,IF($Q55=Armory,2*$P55)) + IF($R55=CA$2,IF($T55=Armory,2*$S55)) + IF($U55=CA$2,IF($W55=Armory,2*$V55))</f>
        <v>0</v>
      </c>
      <c r="CB55" s="26">
        <f>IF($O55=CB$2,IF($Q55=Armory,2*$P55)) + IF($R55=CB$2,IF($T55=Armory,2*$S55)) + IF($U55=CB$2,IF($W55=Armory,2*$V55))</f>
        <v>0</v>
      </c>
      <c r="CC55" s="57">
        <f>IF($O55=CC$2,IF($Q55=Armory,12*$P55)) + IF($R55=CC$2,IF($T55=Armory,12*$S55)) + IF($U55=CC$2,IF($W55=Armory,12*$V55))</f>
        <v>0</v>
      </c>
      <c r="CE55" s="56">
        <f>IF($O55=CE$2,IF($Q55=Infirmary,$P55)) + IF($R55=CE$2,IF($T55=Infirmary,$S55)) + IF($U55=CE$2,IF($W55=Infirmary,$V55))</f>
        <v>0</v>
      </c>
      <c r="CF55" s="26">
        <f>IF($O55=CF$2,IF($Q55=Infirmary,2*$P55)) + IF($R55=CF$2,IF($T55=Infirmary,2*$S55)) + IF($U55=CF$2,IF($W55=Infirmary,2*$V55))</f>
        <v>0</v>
      </c>
      <c r="CG55" s="26">
        <f>IF($O55=CG$2,IF($Q55=Infirmary,2*$P55)) + IF($R55=CG$2,IF($T55=Infirmary,2*$S55)) + IF($U55=CG$2,IF($W55=Infirmary,2*$V55))</f>
        <v>0</v>
      </c>
      <c r="CH55" s="57">
        <f>IF($O55=CH$2,IF($Q55=Infirmary,12*$P55)) + IF($R55=CH$2,IF($T55=Infirmary,12*$S55)) + IF($U55=CH$2,IF($W55=Infirmary,12*$V55))</f>
        <v>0</v>
      </c>
      <c r="CJ55" s="52" t="e">
        <f>OR(Production!C55,Construction!N55:'Construction'!AF55,Construction!BV55:CN55,Explore!S55:Z55,Military!AF55:AL55,Military!X55,Military!BE55:BL55,Rezone!L55:R55,Magic!G55:Q55)</f>
        <v>#VALUE!</v>
      </c>
      <c r="CK55" s="525">
        <f>M55</f>
        <v>0</v>
      </c>
      <c r="CL55" s="525"/>
      <c r="CM55" s="555">
        <f t="shared" si="20"/>
        <v>43768.541666666541</v>
      </c>
      <c r="CN55" s="563">
        <f t="shared" si="21"/>
        <v>43768.374999999876</v>
      </c>
      <c r="CO55" s="527"/>
      <c r="CP55" s="803"/>
      <c r="CQ55" s="808"/>
    </row>
    <row r="56" spans="1:95" s="16" customFormat="1" x14ac:dyDescent="0.25">
      <c r="A56" s="511">
        <f>Construction!E56</f>
        <v>1000</v>
      </c>
      <c r="C56" s="56">
        <f ca="1">Production!H56</f>
        <v>4741352</v>
      </c>
      <c r="D56" s="26">
        <f ca="1">Production!J56</f>
        <v>311637</v>
      </c>
      <c r="E56" s="26">
        <f ca="1">Production!L56</f>
        <v>300000</v>
      </c>
      <c r="F56" s="57">
        <f ca="1">Production!M56</f>
        <v>20000</v>
      </c>
      <c r="G56" s="26"/>
      <c r="H56" s="56">
        <f ca="1">Military!Z56</f>
        <v>5295</v>
      </c>
      <c r="I56" s="538">
        <f ca="1">Population!I56</f>
        <v>1</v>
      </c>
      <c r="J56" s="165">
        <f ca="1">Population!F56/Population!U56</f>
        <v>1</v>
      </c>
      <c r="K56" s="1000">
        <f>Rezone!J56</f>
        <v>54</v>
      </c>
      <c r="L56" s="582">
        <f t="shared" si="19"/>
        <v>43768.552083333205</v>
      </c>
      <c r="M56" s="316">
        <f t="shared" si="22"/>
        <v>0</v>
      </c>
      <c r="N56" s="638">
        <f t="shared" si="23"/>
        <v>1000</v>
      </c>
      <c r="O56" s="423" t="s">
        <v>4</v>
      </c>
      <c r="P56" s="370"/>
      <c r="Q56" s="424" t="s">
        <v>223</v>
      </c>
      <c r="R56" s="423" t="s">
        <v>7</v>
      </c>
      <c r="S56" s="370"/>
      <c r="T56" s="425" t="s">
        <v>223</v>
      </c>
      <c r="U56" s="424" t="s">
        <v>3</v>
      </c>
      <c r="V56" s="370"/>
      <c r="W56" s="425" t="s">
        <v>223</v>
      </c>
      <c r="Y56" s="522">
        <f ca="1">science_cap*(1-EXP(-AH56/(science_param*($A57-Explore!$S57*20)+15000)))*(1+(mason_bonus*Construction!BB56/Construction!BS56))+IF(Overview!$B$14="Beastfolk",Construction!DA56/Construction!E56,0)*(1 + Production!O56/100*prestige_pop_multiplier)</f>
        <v>0</v>
      </c>
      <c r="Z56" s="284">
        <f ca="1">keep_cap*(1-EXP(-AI56/(keep_param*($A57-Explore!$S57*20)+15000)))*(1+(mason_bonus*Construction!BB56/Construction!BS56))+IF(Overview!$B$14="Beastfolk",Construction!DF56/Construction!E56,0)*(1 + Production!O56/100*prestige_pop_multiplier)</f>
        <v>0</v>
      </c>
      <c r="AA56" s="284">
        <f ca="1">harbor_towers_cap*(1-EXP(-AJ56/(harbor_towers_param*($A57-Explore!$S57*20)+15000)))*(1+(mason_bonus*Construction!BB56/Construction!BS56))+IF(Overview!$B$14="Beastfolk",2*Construction!DC56/Construction!E56,0)*(1 + Production!O56/100*prestige_pop_multiplier)</f>
        <v>0</v>
      </c>
      <c r="AB56" s="284">
        <f ca="1">walls_forges_cap*(1-EXP(-AK56/(walls_forges_param*($A57-Explore!$S57*20)+15000)))*(1+(mason_bonus*Construction!BB56/Construction!BS56))+IF(Overview!$B$14="Beastfolk",0.2*Construction!CY56/Construction!E56,0)</f>
        <v>0</v>
      </c>
      <c r="AC56" s="284">
        <f ca="1">walls_forges_cap*(1-EXP(-AL56/(walls_forges_param*($A57-Explore!$S57*20)+15000)))*(1+(mason_bonus*Construction!BB56/Construction!BS56))+IF(Overview!$B$14="Beastfolk",5*Construction!DB56/Construction!E56,0)</f>
        <v>0</v>
      </c>
      <c r="AD56" s="97">
        <f ca="1">harbor_towers_cap*(1-EXP(-AM56/(harbor_towers_param*($A57-Explore!$S57*20)+15000)))*(1+(mason_bonus*Construction!BB56/Construction!BS56))+IF(Overview!$B$14="Beastfolk",Construction!DE56/Construction!E56)*(1 + Production!O56/100*prestige_pop_multiplier)</f>
        <v>0</v>
      </c>
      <c r="AE56" s="97">
        <f ca="1">armory_cap*(1-EXP(-AN56/(armory_param*($A57-Explore!$S57*20)+15000)))*(1+(mason_bonus*Construction!$BB56/Construction!$BS56))</f>
        <v>0</v>
      </c>
      <c r="AF56" s="97">
        <f ca="1">infirmary_cap*(1-EXP(-AO56/(infirmary_param*($A57-Explore!$S57*20)+15000)))*(1+(mason_bonus*Construction!$BB56/Construction!$BS56))</f>
        <v>0</v>
      </c>
      <c r="AH56" s="56">
        <f ca="1">(1+Overview!$O$28+IF(Magic!BA56&gt;0,0.1,0))*SUM(AV56:AY56) + AH55</f>
        <v>0</v>
      </c>
      <c r="AI56" s="26">
        <f ca="1">(1+Overview!$O$28+IF(Magic!BA56&gt;0,0.1,0))*SUM(BA56:BD56) + AI55</f>
        <v>0</v>
      </c>
      <c r="AJ56" s="164">
        <f ca="1">(1+Overview!$O$28+IF(Magic!BA56&gt;0,0.1,0))*SUM(BF56:BI56) + AJ55</f>
        <v>0</v>
      </c>
      <c r="AK56" s="164">
        <f ca="1">(1+Overview!$O$28+IF(Magic!BA56&gt;0,0.1,0))*SUM(BK56:BN56) + AK55</f>
        <v>0</v>
      </c>
      <c r="AL56" s="164">
        <f ca="1">(1+Overview!$O$28+IF(Magic!BA56&gt;0,0.1,0))*SUM(BP56:BS56) + AL55</f>
        <v>0</v>
      </c>
      <c r="AM56" s="166">
        <f ca="1">(1+Overview!$O$28+IF(Magic!BA56&gt;0,0.1,0))*SUM(BU56:BX56) + AM55</f>
        <v>0</v>
      </c>
      <c r="AN56" s="166">
        <f ca="1">(1+Overview!$O$28+IF(Magic!BA56&gt;0,0.1,0))*SUM(BZ56:CC56)+AN55</f>
        <v>0</v>
      </c>
      <c r="AO56" s="164">
        <f ca="1">(1+Overview!$O$28+IF(Magic!BA56&gt;0,0.1,0))*SUM(CE56:CH56)+AO55</f>
        <v>0</v>
      </c>
      <c r="AQ56" s="52">
        <f t="shared" si="41"/>
        <v>0</v>
      </c>
      <c r="AR56" s="16">
        <f t="shared" si="41"/>
        <v>0</v>
      </c>
      <c r="AS56" s="16">
        <f t="shared" si="41"/>
        <v>0</v>
      </c>
      <c r="AT56" s="53">
        <f t="shared" si="41"/>
        <v>0</v>
      </c>
      <c r="AV56" s="56">
        <f t="shared" si="25"/>
        <v>0</v>
      </c>
      <c r="AW56" s="26">
        <f t="shared" si="42"/>
        <v>0</v>
      </c>
      <c r="AX56" s="26">
        <f t="shared" si="42"/>
        <v>0</v>
      </c>
      <c r="AY56" s="57">
        <f t="shared" si="27"/>
        <v>0</v>
      </c>
      <c r="BA56" s="56">
        <f t="shared" si="28"/>
        <v>0</v>
      </c>
      <c r="BB56" s="26">
        <f t="shared" si="43"/>
        <v>0</v>
      </c>
      <c r="BC56" s="26">
        <f t="shared" si="43"/>
        <v>0</v>
      </c>
      <c r="BD56" s="57">
        <f t="shared" si="30"/>
        <v>0</v>
      </c>
      <c r="BF56" s="56">
        <f t="shared" si="31"/>
        <v>0</v>
      </c>
      <c r="BG56" s="26">
        <f t="shared" si="32"/>
        <v>0</v>
      </c>
      <c r="BH56" s="26">
        <f t="shared" si="40"/>
        <v>0</v>
      </c>
      <c r="BI56" s="57">
        <f t="shared" si="33"/>
        <v>0</v>
      </c>
      <c r="BK56" s="56">
        <f t="shared" si="34"/>
        <v>0</v>
      </c>
      <c r="BL56" s="26">
        <f t="shared" si="44"/>
        <v>0</v>
      </c>
      <c r="BM56" s="26">
        <f t="shared" si="44"/>
        <v>0</v>
      </c>
      <c r="BN56" s="57">
        <f t="shared" si="36"/>
        <v>0</v>
      </c>
      <c r="BP56" s="56">
        <f t="shared" si="37"/>
        <v>0</v>
      </c>
      <c r="BQ56" s="26">
        <f t="shared" si="45"/>
        <v>0</v>
      </c>
      <c r="BR56" s="26">
        <f t="shared" si="45"/>
        <v>0</v>
      </c>
      <c r="BS56" s="57">
        <f t="shared" si="39"/>
        <v>0</v>
      </c>
      <c r="BU56" s="56">
        <f>IF($O56=BU$2,IF($Q56=$AD$2,$P56)) + IF($R56=BU$2,IF($T56=$AD$2,$S56)) + IF($U56=BU$2,IF($W56=$AD$2,$V56))</f>
        <v>0</v>
      </c>
      <c r="BV56" s="26">
        <f>IF($O56=BV$2,IF($Q56=$AD$2,2*$P56)) + IF($R56=BV$2,IF($T56=$AD$2,2*$S56)) + IF($U56=BV$2,IF($W56=$AD$2,2*$V56))</f>
        <v>0</v>
      </c>
      <c r="BW56" s="26">
        <f>IF($O56=BW$2,IF($Q56=$AD$2,2*$P56)) + IF($R56=BW$2,IF($T56=$AD$2,2*$S56)) + IF($U56=BW$2,IF($W56=$AD$2,2*$V56))</f>
        <v>0</v>
      </c>
      <c r="BX56" s="57">
        <f>IF($O56=BX$2,IF($Q56=$AD$2,12*$P56)) + IF($R56=BX$2,IF($T56=$AD$2,12*$S56)) + IF($U56=BX$2,IF($W56=$AD$2,12*$V56))</f>
        <v>0</v>
      </c>
      <c r="BZ56" s="56">
        <f>IF($O56=BZ$2,IF($Q56=Armory,$P56)) + IF($R56=BZ$2,IF($T56=Armory,$S56)) + IF($U56=BZ$2,IF($W56=Armory,$V56))</f>
        <v>0</v>
      </c>
      <c r="CA56" s="26">
        <f>IF($O56=CA$2,IF($Q56=Armory,2*$P56)) + IF($R56=CA$2,IF($T56=Armory,2*$S56)) + IF($U56=CA$2,IF($W56=Armory,2*$V56))</f>
        <v>0</v>
      </c>
      <c r="CB56" s="26">
        <f>IF($O56=CB$2,IF($Q56=Armory,2*$P56)) + IF($R56=CB$2,IF($T56=Armory,2*$S56)) + IF($U56=CB$2,IF($W56=Armory,2*$V56))</f>
        <v>0</v>
      </c>
      <c r="CC56" s="57">
        <f>IF($O56=CC$2,IF($Q56=Armory,12*$P56)) + IF($R56=CC$2,IF($T56=Armory,12*$S56)) + IF($U56=CC$2,IF($W56=Armory,12*$V56))</f>
        <v>0</v>
      </c>
      <c r="CE56" s="56">
        <f>IF($O56=CE$2,IF($Q56=Infirmary,$P56)) + IF($R56=CE$2,IF($T56=Infirmary,$S56)) + IF($U56=CE$2,IF($W56=Infirmary,$V56))</f>
        <v>0</v>
      </c>
      <c r="CF56" s="26">
        <f>IF($O56=CF$2,IF($Q56=Infirmary,2*$P56)) + IF($R56=CF$2,IF($T56=Infirmary,2*$S56)) + IF($U56=CF$2,IF($W56=Infirmary,2*$V56))</f>
        <v>0</v>
      </c>
      <c r="CG56" s="26">
        <f>IF($O56=CG$2,IF($Q56=Infirmary,2*$P56)) + IF($R56=CG$2,IF($T56=Infirmary,2*$S56)) + IF($U56=CG$2,IF($W56=Infirmary,2*$V56))</f>
        <v>0</v>
      </c>
      <c r="CH56" s="57">
        <f>IF($O56=CH$2,IF($Q56=Infirmary,12*$P56)) + IF($R56=CH$2,IF($T56=Infirmary,12*$S56)) + IF($U56=CH$2,IF($W56=Infirmary,12*$V56))</f>
        <v>0</v>
      </c>
      <c r="CJ56" s="52" t="e">
        <f>OR(Production!C56,Construction!N56:'Construction'!AF56,Construction!BV56:CN56,Explore!S56:Z56,Military!AF56:AL56,Military!X56,Military!BE56:BL56,Rezone!L56:R56,Magic!G56:Q56)</f>
        <v>#VALUE!</v>
      </c>
      <c r="CK56" s="525">
        <f>M56</f>
        <v>0</v>
      </c>
      <c r="CL56" s="525"/>
      <c r="CM56" s="555">
        <f t="shared" si="20"/>
        <v>43768.552083333205</v>
      </c>
      <c r="CN56" s="563">
        <f t="shared" si="21"/>
        <v>43768.385416666541</v>
      </c>
      <c r="CO56" s="527"/>
      <c r="CP56" s="803"/>
      <c r="CQ56" s="808"/>
    </row>
    <row r="57" spans="1:95" s="16" customFormat="1" x14ac:dyDescent="0.25">
      <c r="A57" s="511">
        <f>Construction!E57</f>
        <v>1000</v>
      </c>
      <c r="C57" s="56">
        <f ca="1">Production!H57</f>
        <v>4746333</v>
      </c>
      <c r="D57" s="26">
        <f ca="1">Production!J57</f>
        <v>311021</v>
      </c>
      <c r="E57" s="26">
        <f ca="1">Production!L57</f>
        <v>300000</v>
      </c>
      <c r="F57" s="57">
        <f ca="1">Production!M57</f>
        <v>20000</v>
      </c>
      <c r="G57" s="26"/>
      <c r="H57" s="56">
        <f ca="1">Military!Z57</f>
        <v>5295</v>
      </c>
      <c r="I57" s="538">
        <f ca="1">Population!I57</f>
        <v>1</v>
      </c>
      <c r="J57" s="165">
        <f ca="1">Population!F57/Population!U57</f>
        <v>1</v>
      </c>
      <c r="K57" s="1000">
        <f>Rezone!J57</f>
        <v>55</v>
      </c>
      <c r="L57" s="582">
        <f t="shared" si="19"/>
        <v>43768.562499999869</v>
      </c>
      <c r="M57" s="316">
        <f t="shared" si="22"/>
        <v>0</v>
      </c>
      <c r="N57" s="638">
        <f t="shared" si="23"/>
        <v>1000</v>
      </c>
      <c r="O57" s="423" t="s">
        <v>4</v>
      </c>
      <c r="P57" s="370"/>
      <c r="Q57" s="424" t="s">
        <v>223</v>
      </c>
      <c r="R57" s="423" t="s">
        <v>7</v>
      </c>
      <c r="S57" s="370"/>
      <c r="T57" s="425" t="s">
        <v>223</v>
      </c>
      <c r="U57" s="424" t="s">
        <v>3</v>
      </c>
      <c r="V57" s="370"/>
      <c r="W57" s="425" t="s">
        <v>223</v>
      </c>
      <c r="Y57" s="522">
        <f ca="1">science_cap*(1-EXP(-AH57/(science_param*($A58-Explore!$S58*20)+15000)))*(1+(mason_bonus*Construction!BB57/Construction!BS57))+IF(Overview!$B$14="Beastfolk",Construction!DA57/Construction!E57,0)*(1 + Production!O57/100*prestige_pop_multiplier)</f>
        <v>0</v>
      </c>
      <c r="Z57" s="284">
        <f ca="1">keep_cap*(1-EXP(-AI57/(keep_param*($A58-Explore!$S58*20)+15000)))*(1+(mason_bonus*Construction!BB57/Construction!BS57))+IF(Overview!$B$14="Beastfolk",Construction!DF57/Construction!E57,0)*(1 + Production!O57/100*prestige_pop_multiplier)</f>
        <v>0</v>
      </c>
      <c r="AA57" s="284">
        <f ca="1">harbor_towers_cap*(1-EXP(-AJ57/(harbor_towers_param*($A58-Explore!$S58*20)+15000)))*(1+(mason_bonus*Construction!BB57/Construction!BS57))+IF(Overview!$B$14="Beastfolk",2*Construction!DC57/Construction!E57,0)*(1 + Production!O57/100*prestige_pop_multiplier)</f>
        <v>0</v>
      </c>
      <c r="AB57" s="284">
        <f ca="1">walls_forges_cap*(1-EXP(-AK57/(walls_forges_param*($A58-Explore!$S58*20)+15000)))*(1+(mason_bonus*Construction!BB57/Construction!BS57))+IF(Overview!$B$14="Beastfolk",0.2*Construction!CY57/Construction!E57,0)</f>
        <v>0</v>
      </c>
      <c r="AC57" s="284">
        <f ca="1">walls_forges_cap*(1-EXP(-AL57/(walls_forges_param*($A58-Explore!$S58*20)+15000)))*(1+(mason_bonus*Construction!BB57/Construction!BS57))+IF(Overview!$B$14="Beastfolk",5*Construction!DB57/Construction!E57,0)</f>
        <v>0</v>
      </c>
      <c r="AD57" s="97">
        <f ca="1">harbor_towers_cap*(1-EXP(-AM57/(harbor_towers_param*($A58-Explore!$S58*20)+15000)))*(1+(mason_bonus*Construction!BB57/Construction!BS57))+IF(Overview!$B$14="Beastfolk",Construction!DE57/Construction!E57)*(1 + Production!O57/100*prestige_pop_multiplier)</f>
        <v>0</v>
      </c>
      <c r="AE57" s="97">
        <f ca="1">armory_cap*(1-EXP(-AN57/(armory_param*($A58-Explore!$S58*20)+15000)))*(1+(mason_bonus*Construction!$BB57/Construction!$BS57))</f>
        <v>0</v>
      </c>
      <c r="AF57" s="97">
        <f ca="1">infirmary_cap*(1-EXP(-AO57/(infirmary_param*($A58-Explore!$S58*20)+15000)))*(1+(mason_bonus*Construction!$BB57/Construction!$BS57))</f>
        <v>0</v>
      </c>
      <c r="AH57" s="56">
        <f ca="1">(1+Overview!$O$28+IF(Magic!BA57&gt;0,0.1,0))*SUM(AV57:AY57) + AH56</f>
        <v>0</v>
      </c>
      <c r="AI57" s="26">
        <f ca="1">(1+Overview!$O$28+IF(Magic!BA57&gt;0,0.1,0))*SUM(BA57:BD57) + AI56</f>
        <v>0</v>
      </c>
      <c r="AJ57" s="164">
        <f ca="1">(1+Overview!$O$28+IF(Magic!BA57&gt;0,0.1,0))*SUM(BF57:BI57) + AJ56</f>
        <v>0</v>
      </c>
      <c r="AK57" s="164">
        <f ca="1">(1+Overview!$O$28+IF(Magic!BA57&gt;0,0.1,0))*SUM(BK57:BN57) + AK56</f>
        <v>0</v>
      </c>
      <c r="AL57" s="164">
        <f ca="1">(1+Overview!$O$28+IF(Magic!BA57&gt;0,0.1,0))*SUM(BP57:BS57) + AL56</f>
        <v>0</v>
      </c>
      <c r="AM57" s="166">
        <f ca="1">(1+Overview!$O$28+IF(Magic!BA57&gt;0,0.1,0))*SUM(BU57:BX57) + AM56</f>
        <v>0</v>
      </c>
      <c r="AN57" s="166">
        <f ca="1">(1+Overview!$O$28+IF(Magic!BA57&gt;0,0.1,0))*SUM(BZ57:CC57)+AN56</f>
        <v>0</v>
      </c>
      <c r="AO57" s="164">
        <f ca="1">(1+Overview!$O$28+IF(Magic!BA57&gt;0,0.1,0))*SUM(CE57:CH57)+AO56</f>
        <v>0</v>
      </c>
      <c r="AQ57" s="52">
        <f t="shared" si="41"/>
        <v>0</v>
      </c>
      <c r="AR57" s="16">
        <f t="shared" si="41"/>
        <v>0</v>
      </c>
      <c r="AS57" s="16">
        <f t="shared" si="41"/>
        <v>0</v>
      </c>
      <c r="AT57" s="53">
        <f t="shared" si="41"/>
        <v>0</v>
      </c>
      <c r="AV57" s="56">
        <f t="shared" si="25"/>
        <v>0</v>
      </c>
      <c r="AW57" s="26">
        <f t="shared" si="42"/>
        <v>0</v>
      </c>
      <c r="AX57" s="26">
        <f t="shared" si="42"/>
        <v>0</v>
      </c>
      <c r="AY57" s="57">
        <f t="shared" si="27"/>
        <v>0</v>
      </c>
      <c r="BA57" s="56">
        <f t="shared" si="28"/>
        <v>0</v>
      </c>
      <c r="BB57" s="26">
        <f t="shared" si="43"/>
        <v>0</v>
      </c>
      <c r="BC57" s="26">
        <f t="shared" si="43"/>
        <v>0</v>
      </c>
      <c r="BD57" s="57">
        <f t="shared" si="30"/>
        <v>0</v>
      </c>
      <c r="BF57" s="56">
        <f t="shared" si="31"/>
        <v>0</v>
      </c>
      <c r="BG57" s="26">
        <f t="shared" si="32"/>
        <v>0</v>
      </c>
      <c r="BH57" s="26">
        <f t="shared" si="40"/>
        <v>0</v>
      </c>
      <c r="BI57" s="57">
        <f t="shared" si="33"/>
        <v>0</v>
      </c>
      <c r="BK57" s="56">
        <f t="shared" si="34"/>
        <v>0</v>
      </c>
      <c r="BL57" s="26">
        <f t="shared" si="44"/>
        <v>0</v>
      </c>
      <c r="BM57" s="26">
        <f t="shared" si="44"/>
        <v>0</v>
      </c>
      <c r="BN57" s="57">
        <f t="shared" si="36"/>
        <v>0</v>
      </c>
      <c r="BP57" s="56">
        <f t="shared" si="37"/>
        <v>0</v>
      </c>
      <c r="BQ57" s="26">
        <f t="shared" si="45"/>
        <v>0</v>
      </c>
      <c r="BR57" s="26">
        <f t="shared" si="45"/>
        <v>0</v>
      </c>
      <c r="BS57" s="57">
        <f t="shared" si="39"/>
        <v>0</v>
      </c>
      <c r="BU57" s="56">
        <f>IF($O57=BU$2,IF($Q57=$AD$2,$P57)) + IF($R57=BU$2,IF($T57=$AD$2,$S57)) + IF($U57=BU$2,IF($W57=$AD$2,$V57))</f>
        <v>0</v>
      </c>
      <c r="BV57" s="26">
        <f>IF($O57=BV$2,IF($Q57=$AD$2,2*$P57)) + IF($R57=BV$2,IF($T57=$AD$2,2*$S57)) + IF($U57=BV$2,IF($W57=$AD$2,2*$V57))</f>
        <v>0</v>
      </c>
      <c r="BW57" s="26">
        <f>IF($O57=BW$2,IF($Q57=$AD$2,2*$P57)) + IF($R57=BW$2,IF($T57=$AD$2,2*$S57)) + IF($U57=BW$2,IF($W57=$AD$2,2*$V57))</f>
        <v>0</v>
      </c>
      <c r="BX57" s="57">
        <f>IF($O57=BX$2,IF($Q57=$AD$2,12*$P57)) + IF($R57=BX$2,IF($T57=$AD$2,12*$S57)) + IF($U57=BX$2,IF($W57=$AD$2,12*$V57))</f>
        <v>0</v>
      </c>
      <c r="BZ57" s="56">
        <f>IF($O57=BZ$2,IF($Q57=Armory,$P57)) + IF($R57=BZ$2,IF($T57=Armory,$S57)) + IF($U57=BZ$2,IF($W57=Armory,$V57))</f>
        <v>0</v>
      </c>
      <c r="CA57" s="26">
        <f>IF($O57=CA$2,IF($Q57=Armory,2*$P57)) + IF($R57=CA$2,IF($T57=Armory,2*$S57)) + IF($U57=CA$2,IF($W57=Armory,2*$V57))</f>
        <v>0</v>
      </c>
      <c r="CB57" s="26">
        <f>IF($O57=CB$2,IF($Q57=Armory,2*$P57)) + IF($R57=CB$2,IF($T57=Armory,2*$S57)) + IF($U57=CB$2,IF($W57=Armory,2*$V57))</f>
        <v>0</v>
      </c>
      <c r="CC57" s="57">
        <f>IF($O57=CC$2,IF($Q57=Armory,12*$P57)) + IF($R57=CC$2,IF($T57=Armory,12*$S57)) + IF($U57=CC$2,IF($W57=Armory,12*$V57))</f>
        <v>0</v>
      </c>
      <c r="CE57" s="56">
        <f>IF($O57=CE$2,IF($Q57=Infirmary,$P57)) + IF($R57=CE$2,IF($T57=Infirmary,$S57)) + IF($U57=CE$2,IF($W57=Infirmary,$V57))</f>
        <v>0</v>
      </c>
      <c r="CF57" s="26">
        <f>IF($O57=CF$2,IF($Q57=Infirmary,2*$P57)) + IF($R57=CF$2,IF($T57=Infirmary,2*$S57)) + IF($U57=CF$2,IF($W57=Infirmary,2*$V57))</f>
        <v>0</v>
      </c>
      <c r="CG57" s="26">
        <f>IF($O57=CG$2,IF($Q57=Infirmary,2*$P57)) + IF($R57=CG$2,IF($T57=Infirmary,2*$S57)) + IF($U57=CG$2,IF($W57=Infirmary,2*$V57))</f>
        <v>0</v>
      </c>
      <c r="CH57" s="57">
        <f>IF($O57=CH$2,IF($Q57=Infirmary,12*$P57)) + IF($R57=CH$2,IF($T57=Infirmary,12*$S57)) + IF($U57=CH$2,IF($W57=Infirmary,12*$V57))</f>
        <v>0</v>
      </c>
      <c r="CJ57" s="52" t="e">
        <f>OR(Production!C57,Construction!N57:'Construction'!AF57,Construction!BV57:CN57,Explore!S57:Z57,Military!AF57:AL57,Military!X57,Military!BE57:BL57,Rezone!L57:R57,Magic!G57:Q57)</f>
        <v>#VALUE!</v>
      </c>
      <c r="CK57" s="525">
        <f>M57</f>
        <v>0</v>
      </c>
      <c r="CL57" s="525"/>
      <c r="CM57" s="555">
        <f t="shared" si="20"/>
        <v>43768.562499999869</v>
      </c>
      <c r="CN57" s="563">
        <f t="shared" si="21"/>
        <v>43768.395833333205</v>
      </c>
      <c r="CO57" s="527"/>
      <c r="CP57" s="803"/>
      <c r="CQ57" s="808"/>
    </row>
    <row r="58" spans="1:95" s="16" customFormat="1" x14ac:dyDescent="0.25">
      <c r="A58" s="511">
        <f>Construction!E58</f>
        <v>1000</v>
      </c>
      <c r="C58" s="56">
        <f ca="1">Production!H58</f>
        <v>4751314</v>
      </c>
      <c r="D58" s="26">
        <f ca="1">Production!J58</f>
        <v>310411</v>
      </c>
      <c r="E58" s="26">
        <f ca="1">Production!L58</f>
        <v>300000</v>
      </c>
      <c r="F58" s="57">
        <f ca="1">Production!M58</f>
        <v>20000</v>
      </c>
      <c r="G58" s="26"/>
      <c r="H58" s="56">
        <f ca="1">Military!Z58</f>
        <v>5295</v>
      </c>
      <c r="I58" s="538">
        <f ca="1">Population!I58</f>
        <v>1</v>
      </c>
      <c r="J58" s="165">
        <f ca="1">Population!F58/Population!U58</f>
        <v>1</v>
      </c>
      <c r="K58" s="1000">
        <f>Rezone!J58</f>
        <v>56</v>
      </c>
      <c r="L58" s="582">
        <f t="shared" si="19"/>
        <v>43768.572916666533</v>
      </c>
      <c r="M58" s="316">
        <f t="shared" si="22"/>
        <v>0</v>
      </c>
      <c r="N58" s="638">
        <f t="shared" si="23"/>
        <v>1000</v>
      </c>
      <c r="O58" s="423" t="s">
        <v>4</v>
      </c>
      <c r="P58" s="370"/>
      <c r="Q58" s="424" t="s">
        <v>223</v>
      </c>
      <c r="R58" s="423" t="s">
        <v>7</v>
      </c>
      <c r="S58" s="370"/>
      <c r="T58" s="425" t="s">
        <v>223</v>
      </c>
      <c r="U58" s="424" t="s">
        <v>3</v>
      </c>
      <c r="V58" s="370"/>
      <c r="W58" s="425" t="s">
        <v>223</v>
      </c>
      <c r="Y58" s="522">
        <f ca="1">science_cap*(1-EXP(-AH58/(science_param*($A59-Explore!$S59*20)+15000)))*(1+(mason_bonus*Construction!BB58/Construction!BS58))+IF(Overview!$B$14="Beastfolk",Construction!DA58/Construction!E58,0)*(1 + Production!O58/100*prestige_pop_multiplier)</f>
        <v>0</v>
      </c>
      <c r="Z58" s="284">
        <f ca="1">keep_cap*(1-EXP(-AI58/(keep_param*($A59-Explore!$S59*20)+15000)))*(1+(mason_bonus*Construction!BB58/Construction!BS58))+IF(Overview!$B$14="Beastfolk",Construction!DF58/Construction!E58,0)*(1 + Production!O58/100*prestige_pop_multiplier)</f>
        <v>0</v>
      </c>
      <c r="AA58" s="284">
        <f ca="1">harbor_towers_cap*(1-EXP(-AJ58/(harbor_towers_param*($A59-Explore!$S59*20)+15000)))*(1+(mason_bonus*Construction!BB58/Construction!BS58))+IF(Overview!$B$14="Beastfolk",2*Construction!DC58/Construction!E58,0)*(1 + Production!O58/100*prestige_pop_multiplier)</f>
        <v>0</v>
      </c>
      <c r="AB58" s="284">
        <f ca="1">walls_forges_cap*(1-EXP(-AK58/(walls_forges_param*($A59-Explore!$S59*20)+15000)))*(1+(mason_bonus*Construction!BB58/Construction!BS58))+IF(Overview!$B$14="Beastfolk",0.2*Construction!CY58/Construction!E58,0)</f>
        <v>0</v>
      </c>
      <c r="AC58" s="284">
        <f ca="1">walls_forges_cap*(1-EXP(-AL58/(walls_forges_param*($A59-Explore!$S59*20)+15000)))*(1+(mason_bonus*Construction!BB58/Construction!BS58))+IF(Overview!$B$14="Beastfolk",5*Construction!DB58/Construction!E58,0)</f>
        <v>0</v>
      </c>
      <c r="AD58" s="97">
        <f ca="1">harbor_towers_cap*(1-EXP(-AM58/(harbor_towers_param*($A59-Explore!$S59*20)+15000)))*(1+(mason_bonus*Construction!BB58/Construction!BS58))+IF(Overview!$B$14="Beastfolk",Construction!DE58/Construction!E58)*(1 + Production!O58/100*prestige_pop_multiplier)</f>
        <v>0</v>
      </c>
      <c r="AE58" s="97">
        <f ca="1">armory_cap*(1-EXP(-AN58/(armory_param*($A59-Explore!$S59*20)+15000)))*(1+(mason_bonus*Construction!$BB58/Construction!$BS58))</f>
        <v>0</v>
      </c>
      <c r="AF58" s="97">
        <f ca="1">infirmary_cap*(1-EXP(-AO58/(infirmary_param*($A59-Explore!$S59*20)+15000)))*(1+(mason_bonus*Construction!$BB58/Construction!$BS58))</f>
        <v>0</v>
      </c>
      <c r="AH58" s="56">
        <f ca="1">(1+Overview!$O$28+IF(Magic!BA58&gt;0,0.1,0))*SUM(AV58:AY58) + AH57</f>
        <v>0</v>
      </c>
      <c r="AI58" s="26">
        <f ca="1">(1+Overview!$O$28+IF(Magic!BA58&gt;0,0.1,0))*SUM(BA58:BD58) + AI57</f>
        <v>0</v>
      </c>
      <c r="AJ58" s="164">
        <f ca="1">(1+Overview!$O$28+IF(Magic!BA58&gt;0,0.1,0))*SUM(BF58:BI58) + AJ57</f>
        <v>0</v>
      </c>
      <c r="AK58" s="164">
        <f ca="1">(1+Overview!$O$28+IF(Magic!BA58&gt;0,0.1,0))*SUM(BK58:BN58) + AK57</f>
        <v>0</v>
      </c>
      <c r="AL58" s="164">
        <f ca="1">(1+Overview!$O$28+IF(Magic!BA58&gt;0,0.1,0))*SUM(BP58:BS58) + AL57</f>
        <v>0</v>
      </c>
      <c r="AM58" s="166">
        <f ca="1">(1+Overview!$O$28+IF(Magic!BA58&gt;0,0.1,0))*SUM(BU58:BX58) + AM57</f>
        <v>0</v>
      </c>
      <c r="AN58" s="166">
        <f ca="1">(1+Overview!$O$28+IF(Magic!BA58&gt;0,0.1,0))*SUM(BZ58:CC58)+AN57</f>
        <v>0</v>
      </c>
      <c r="AO58" s="164">
        <f ca="1">(1+Overview!$O$28+IF(Magic!BA58&gt;0,0.1,0))*SUM(CE58:CH58)+AO57</f>
        <v>0</v>
      </c>
      <c r="AQ58" s="52">
        <f t="shared" si="41"/>
        <v>0</v>
      </c>
      <c r="AR58" s="16">
        <f t="shared" si="41"/>
        <v>0</v>
      </c>
      <c r="AS58" s="16">
        <f t="shared" si="41"/>
        <v>0</v>
      </c>
      <c r="AT58" s="53">
        <f t="shared" si="41"/>
        <v>0</v>
      </c>
      <c r="AV58" s="56">
        <f t="shared" si="25"/>
        <v>0</v>
      </c>
      <c r="AW58" s="26">
        <f t="shared" si="42"/>
        <v>0</v>
      </c>
      <c r="AX58" s="26">
        <f t="shared" si="42"/>
        <v>0</v>
      </c>
      <c r="AY58" s="57">
        <f t="shared" si="27"/>
        <v>0</v>
      </c>
      <c r="BA58" s="56">
        <f t="shared" si="28"/>
        <v>0</v>
      </c>
      <c r="BB58" s="26">
        <f t="shared" si="43"/>
        <v>0</v>
      </c>
      <c r="BC58" s="26">
        <f t="shared" si="43"/>
        <v>0</v>
      </c>
      <c r="BD58" s="57">
        <f t="shared" si="30"/>
        <v>0</v>
      </c>
      <c r="BF58" s="56">
        <f t="shared" si="31"/>
        <v>0</v>
      </c>
      <c r="BG58" s="26">
        <f t="shared" si="32"/>
        <v>0</v>
      </c>
      <c r="BH58" s="26">
        <f t="shared" si="40"/>
        <v>0</v>
      </c>
      <c r="BI58" s="57">
        <f t="shared" si="33"/>
        <v>0</v>
      </c>
      <c r="BK58" s="56">
        <f t="shared" si="34"/>
        <v>0</v>
      </c>
      <c r="BL58" s="26">
        <f t="shared" si="44"/>
        <v>0</v>
      </c>
      <c r="BM58" s="26">
        <f t="shared" si="44"/>
        <v>0</v>
      </c>
      <c r="BN58" s="57">
        <f t="shared" si="36"/>
        <v>0</v>
      </c>
      <c r="BP58" s="56">
        <f t="shared" si="37"/>
        <v>0</v>
      </c>
      <c r="BQ58" s="26">
        <f t="shared" si="45"/>
        <v>0</v>
      </c>
      <c r="BR58" s="26">
        <f t="shared" si="45"/>
        <v>0</v>
      </c>
      <c r="BS58" s="57">
        <f t="shared" si="39"/>
        <v>0</v>
      </c>
      <c r="BU58" s="56">
        <f>IF($O58=BU$2,IF($Q58=$AD$2,$P58)) + IF($R58=BU$2,IF($T58=$AD$2,$S58)) + IF($U58=BU$2,IF($W58=$AD$2,$V58))</f>
        <v>0</v>
      </c>
      <c r="BV58" s="26">
        <f>IF($O58=BV$2,IF($Q58=$AD$2,2*$P58)) + IF($R58=BV$2,IF($T58=$AD$2,2*$S58)) + IF($U58=BV$2,IF($W58=$AD$2,2*$V58))</f>
        <v>0</v>
      </c>
      <c r="BW58" s="26">
        <f>IF($O58=BW$2,IF($Q58=$AD$2,2*$P58)) + IF($R58=BW$2,IF($T58=$AD$2,2*$S58)) + IF($U58=BW$2,IF($W58=$AD$2,2*$V58))</f>
        <v>0</v>
      </c>
      <c r="BX58" s="57">
        <f>IF($O58=BX$2,IF($Q58=$AD$2,12*$P58)) + IF($R58=BX$2,IF($T58=$AD$2,12*$S58)) + IF($U58=BX$2,IF($W58=$AD$2,12*$V58))</f>
        <v>0</v>
      </c>
      <c r="BZ58" s="56">
        <f>IF($O58=BZ$2,IF($Q58=Armory,$P58)) + IF($R58=BZ$2,IF($T58=Armory,$S58)) + IF($U58=BZ$2,IF($W58=Armory,$V58))</f>
        <v>0</v>
      </c>
      <c r="CA58" s="26">
        <f>IF($O58=CA$2,IF($Q58=Armory,2*$P58)) + IF($R58=CA$2,IF($T58=Armory,2*$S58)) + IF($U58=CA$2,IF($W58=Armory,2*$V58))</f>
        <v>0</v>
      </c>
      <c r="CB58" s="26">
        <f>IF($O58=CB$2,IF($Q58=Armory,2*$P58)) + IF($R58=CB$2,IF($T58=Armory,2*$S58)) + IF($U58=CB$2,IF($W58=Armory,2*$V58))</f>
        <v>0</v>
      </c>
      <c r="CC58" s="57">
        <f>IF($O58=CC$2,IF($Q58=Armory,12*$P58)) + IF($R58=CC$2,IF($T58=Armory,12*$S58)) + IF($U58=CC$2,IF($W58=Armory,12*$V58))</f>
        <v>0</v>
      </c>
      <c r="CE58" s="56">
        <f>IF($O58=CE$2,IF($Q58=Infirmary,$P58)) + IF($R58=CE$2,IF($T58=Infirmary,$S58)) + IF($U58=CE$2,IF($W58=Infirmary,$V58))</f>
        <v>0</v>
      </c>
      <c r="CF58" s="26">
        <f>IF($O58=CF$2,IF($Q58=Infirmary,2*$P58)) + IF($R58=CF$2,IF($T58=Infirmary,2*$S58)) + IF($U58=CF$2,IF($W58=Infirmary,2*$V58))</f>
        <v>0</v>
      </c>
      <c r="CG58" s="26">
        <f>IF($O58=CG$2,IF($Q58=Infirmary,2*$P58)) + IF($R58=CG$2,IF($T58=Infirmary,2*$S58)) + IF($U58=CG$2,IF($W58=Infirmary,2*$V58))</f>
        <v>0</v>
      </c>
      <c r="CH58" s="57">
        <f>IF($O58=CH$2,IF($Q58=Infirmary,12*$P58)) + IF($R58=CH$2,IF($T58=Infirmary,12*$S58)) + IF($U58=CH$2,IF($W58=Infirmary,12*$V58))</f>
        <v>0</v>
      </c>
      <c r="CJ58" s="52" t="e">
        <f>OR(Production!C58,Construction!N58:'Construction'!AF58,Construction!BV58:CN58,Explore!S58:Z58,Military!AF58:AL58,Military!X58,Military!BE58:BL58,Rezone!L58:R58,Magic!G58:Q58)</f>
        <v>#VALUE!</v>
      </c>
      <c r="CK58" s="525">
        <f>M58</f>
        <v>0</v>
      </c>
      <c r="CL58" s="525"/>
      <c r="CM58" s="555">
        <f t="shared" si="20"/>
        <v>43768.572916666533</v>
      </c>
      <c r="CN58" s="563">
        <f t="shared" si="21"/>
        <v>43768.406249999869</v>
      </c>
      <c r="CO58" s="527"/>
      <c r="CP58" s="803"/>
      <c r="CQ58" s="808"/>
    </row>
    <row r="59" spans="1:95" s="16" customFormat="1" x14ac:dyDescent="0.25">
      <c r="A59" s="511">
        <f>Construction!E59</f>
        <v>1000</v>
      </c>
      <c r="C59" s="56">
        <f ca="1">Production!H59</f>
        <v>4756295</v>
      </c>
      <c r="D59" s="26">
        <f ca="1">Production!J59</f>
        <v>309807</v>
      </c>
      <c r="E59" s="26">
        <f ca="1">Production!L59</f>
        <v>300000</v>
      </c>
      <c r="F59" s="57">
        <f ca="1">Production!M59</f>
        <v>20000</v>
      </c>
      <c r="G59" s="26"/>
      <c r="H59" s="56">
        <f ca="1">Military!Z59</f>
        <v>5295</v>
      </c>
      <c r="I59" s="538">
        <f ca="1">Population!I59</f>
        <v>1</v>
      </c>
      <c r="J59" s="165">
        <f ca="1">Population!F59/Population!U59</f>
        <v>1</v>
      </c>
      <c r="K59" s="1000">
        <f>Rezone!J59</f>
        <v>57</v>
      </c>
      <c r="L59" s="582">
        <f t="shared" si="19"/>
        <v>43768.583333333198</v>
      </c>
      <c r="M59" s="316">
        <f t="shared" si="22"/>
        <v>0</v>
      </c>
      <c r="N59" s="638">
        <f t="shared" si="23"/>
        <v>1000</v>
      </c>
      <c r="O59" s="423" t="s">
        <v>4</v>
      </c>
      <c r="P59" s="370"/>
      <c r="Q59" s="424" t="s">
        <v>223</v>
      </c>
      <c r="R59" s="423" t="s">
        <v>7</v>
      </c>
      <c r="S59" s="370"/>
      <c r="T59" s="425" t="s">
        <v>223</v>
      </c>
      <c r="U59" s="424" t="s">
        <v>3</v>
      </c>
      <c r="V59" s="370"/>
      <c r="W59" s="425" t="s">
        <v>223</v>
      </c>
      <c r="Y59" s="522">
        <f ca="1">science_cap*(1-EXP(-AH59/(science_param*($A60-Explore!$S60*20)+15000)))*(1+(mason_bonus*Construction!BB59/Construction!BS59))+IF(Overview!$B$14="Beastfolk",Construction!DA59/Construction!E59,0)*(1 + Production!O59/100*prestige_pop_multiplier)</f>
        <v>0</v>
      </c>
      <c r="Z59" s="284">
        <f ca="1">keep_cap*(1-EXP(-AI59/(keep_param*($A60-Explore!$S60*20)+15000)))*(1+(mason_bonus*Construction!BB59/Construction!BS59))+IF(Overview!$B$14="Beastfolk",Construction!DF59/Construction!E59,0)*(1 + Production!O59/100*prestige_pop_multiplier)</f>
        <v>0</v>
      </c>
      <c r="AA59" s="284">
        <f ca="1">harbor_towers_cap*(1-EXP(-AJ59/(harbor_towers_param*($A60-Explore!$S60*20)+15000)))*(1+(mason_bonus*Construction!BB59/Construction!BS59))+IF(Overview!$B$14="Beastfolk",2*Construction!DC59/Construction!E59,0)*(1 + Production!O59/100*prestige_pop_multiplier)</f>
        <v>0</v>
      </c>
      <c r="AB59" s="284">
        <f ca="1">walls_forges_cap*(1-EXP(-AK59/(walls_forges_param*($A60-Explore!$S60*20)+15000)))*(1+(mason_bonus*Construction!BB59/Construction!BS59))+IF(Overview!$B$14="Beastfolk",0.2*Construction!CY59/Construction!E59,0)</f>
        <v>0</v>
      </c>
      <c r="AC59" s="284">
        <f ca="1">walls_forges_cap*(1-EXP(-AL59/(walls_forges_param*($A60-Explore!$S60*20)+15000)))*(1+(mason_bonus*Construction!BB59/Construction!BS59))+IF(Overview!$B$14="Beastfolk",5*Construction!DB59/Construction!E59,0)</f>
        <v>0</v>
      </c>
      <c r="AD59" s="97">
        <f ca="1">harbor_towers_cap*(1-EXP(-AM59/(harbor_towers_param*($A60-Explore!$S60*20)+15000)))*(1+(mason_bonus*Construction!BB59/Construction!BS59))+IF(Overview!$B$14="Beastfolk",Construction!DE59/Construction!E59)*(1 + Production!O59/100*prestige_pop_multiplier)</f>
        <v>0</v>
      </c>
      <c r="AE59" s="97">
        <f ca="1">armory_cap*(1-EXP(-AN59/(armory_param*($A60-Explore!$S60*20)+15000)))*(1+(mason_bonus*Construction!$BB59/Construction!$BS59))</f>
        <v>0</v>
      </c>
      <c r="AF59" s="97">
        <f ca="1">infirmary_cap*(1-EXP(-AO59/(infirmary_param*($A60-Explore!$S60*20)+15000)))*(1+(mason_bonus*Construction!$BB59/Construction!$BS59))</f>
        <v>0</v>
      </c>
      <c r="AH59" s="56">
        <f ca="1">(1+Overview!$O$28+IF(Magic!BA59&gt;0,0.1,0))*SUM(AV59:AY59) + AH58</f>
        <v>0</v>
      </c>
      <c r="AI59" s="26">
        <f ca="1">(1+Overview!$O$28+IF(Magic!BA59&gt;0,0.1,0))*SUM(BA59:BD59) + AI58</f>
        <v>0</v>
      </c>
      <c r="AJ59" s="164">
        <f ca="1">(1+Overview!$O$28+IF(Magic!BA59&gt;0,0.1,0))*SUM(BF59:BI59) + AJ58</f>
        <v>0</v>
      </c>
      <c r="AK59" s="164">
        <f ca="1">(1+Overview!$O$28+IF(Magic!BA59&gt;0,0.1,0))*SUM(BK59:BN59) + AK58</f>
        <v>0</v>
      </c>
      <c r="AL59" s="164">
        <f ca="1">(1+Overview!$O$28+IF(Magic!BA59&gt;0,0.1,0))*SUM(BP59:BS59) + AL58</f>
        <v>0</v>
      </c>
      <c r="AM59" s="166">
        <f ca="1">(1+Overview!$O$28+IF(Magic!BA59&gt;0,0.1,0))*SUM(BU59:BX59) + AM58</f>
        <v>0</v>
      </c>
      <c r="AN59" s="166">
        <f ca="1">(1+Overview!$O$28+IF(Magic!BA59&gt;0,0.1,0))*SUM(BZ59:CC59)+AN58</f>
        <v>0</v>
      </c>
      <c r="AO59" s="164">
        <f ca="1">(1+Overview!$O$28+IF(Magic!BA59&gt;0,0.1,0))*SUM(CE59:CH59)+AO58</f>
        <v>0</v>
      </c>
      <c r="AQ59" s="52">
        <f t="shared" si="41"/>
        <v>0</v>
      </c>
      <c r="AR59" s="16">
        <f t="shared" si="41"/>
        <v>0</v>
      </c>
      <c r="AS59" s="16">
        <f t="shared" si="41"/>
        <v>0</v>
      </c>
      <c r="AT59" s="53">
        <f t="shared" si="41"/>
        <v>0</v>
      </c>
      <c r="AV59" s="56">
        <f t="shared" si="25"/>
        <v>0</v>
      </c>
      <c r="AW59" s="26">
        <f t="shared" si="42"/>
        <v>0</v>
      </c>
      <c r="AX59" s="26">
        <f t="shared" si="42"/>
        <v>0</v>
      </c>
      <c r="AY59" s="57">
        <f t="shared" si="27"/>
        <v>0</v>
      </c>
      <c r="BA59" s="56">
        <f t="shared" si="28"/>
        <v>0</v>
      </c>
      <c r="BB59" s="26">
        <f t="shared" si="43"/>
        <v>0</v>
      </c>
      <c r="BC59" s="26">
        <f t="shared" si="43"/>
        <v>0</v>
      </c>
      <c r="BD59" s="57">
        <f t="shared" si="30"/>
        <v>0</v>
      </c>
      <c r="BF59" s="56">
        <f t="shared" si="31"/>
        <v>0</v>
      </c>
      <c r="BG59" s="26">
        <f t="shared" si="32"/>
        <v>0</v>
      </c>
      <c r="BH59" s="26">
        <f t="shared" si="40"/>
        <v>0</v>
      </c>
      <c r="BI59" s="57">
        <f t="shared" si="33"/>
        <v>0</v>
      </c>
      <c r="BK59" s="56">
        <f t="shared" si="34"/>
        <v>0</v>
      </c>
      <c r="BL59" s="26">
        <f t="shared" si="44"/>
        <v>0</v>
      </c>
      <c r="BM59" s="26">
        <f t="shared" si="44"/>
        <v>0</v>
      </c>
      <c r="BN59" s="57">
        <f t="shared" si="36"/>
        <v>0</v>
      </c>
      <c r="BP59" s="56">
        <f t="shared" si="37"/>
        <v>0</v>
      </c>
      <c r="BQ59" s="26">
        <f t="shared" si="45"/>
        <v>0</v>
      </c>
      <c r="BR59" s="26">
        <f t="shared" si="45"/>
        <v>0</v>
      </c>
      <c r="BS59" s="57">
        <f t="shared" si="39"/>
        <v>0</v>
      </c>
      <c r="BU59" s="56">
        <f>IF($O59=BU$2,IF($Q59=$AD$2,$P59)) + IF($R59=BU$2,IF($T59=$AD$2,$S59)) + IF($U59=BU$2,IF($W59=$AD$2,$V59))</f>
        <v>0</v>
      </c>
      <c r="BV59" s="26">
        <f>IF($O59=BV$2,IF($Q59=$AD$2,2*$P59)) + IF($R59=BV$2,IF($T59=$AD$2,2*$S59)) + IF($U59=BV$2,IF($W59=$AD$2,2*$V59))</f>
        <v>0</v>
      </c>
      <c r="BW59" s="26">
        <f>IF($O59=BW$2,IF($Q59=$AD$2,2*$P59)) + IF($R59=BW$2,IF($T59=$AD$2,2*$S59)) + IF($U59=BW$2,IF($W59=$AD$2,2*$V59))</f>
        <v>0</v>
      </c>
      <c r="BX59" s="57">
        <f>IF($O59=BX$2,IF($Q59=$AD$2,12*$P59)) + IF($R59=BX$2,IF($T59=$AD$2,12*$S59)) + IF($U59=BX$2,IF($W59=$AD$2,12*$V59))</f>
        <v>0</v>
      </c>
      <c r="BZ59" s="56">
        <f>IF($O59=BZ$2,IF($Q59=Armory,$P59)) + IF($R59=BZ$2,IF($T59=Armory,$S59)) + IF($U59=BZ$2,IF($W59=Armory,$V59))</f>
        <v>0</v>
      </c>
      <c r="CA59" s="26">
        <f>IF($O59=CA$2,IF($Q59=Armory,2*$P59)) + IF($R59=CA$2,IF($T59=Armory,2*$S59)) + IF($U59=CA$2,IF($W59=Armory,2*$V59))</f>
        <v>0</v>
      </c>
      <c r="CB59" s="26">
        <f>IF($O59=CB$2,IF($Q59=Armory,2*$P59)) + IF($R59=CB$2,IF($T59=Armory,2*$S59)) + IF($U59=CB$2,IF($W59=Armory,2*$V59))</f>
        <v>0</v>
      </c>
      <c r="CC59" s="57">
        <f>IF($O59=CC$2,IF($Q59=Armory,12*$P59)) + IF($R59=CC$2,IF($T59=Armory,12*$S59)) + IF($U59=CC$2,IF($W59=Armory,12*$V59))</f>
        <v>0</v>
      </c>
      <c r="CE59" s="56">
        <f>IF($O59=CE$2,IF($Q59=Infirmary,$P59)) + IF($R59=CE$2,IF($T59=Infirmary,$S59)) + IF($U59=CE$2,IF($W59=Infirmary,$V59))</f>
        <v>0</v>
      </c>
      <c r="CF59" s="26">
        <f>IF($O59=CF$2,IF($Q59=Infirmary,2*$P59)) + IF($R59=CF$2,IF($T59=Infirmary,2*$S59)) + IF($U59=CF$2,IF($W59=Infirmary,2*$V59))</f>
        <v>0</v>
      </c>
      <c r="CG59" s="26">
        <f>IF($O59=CG$2,IF($Q59=Infirmary,2*$P59)) + IF($R59=CG$2,IF($T59=Infirmary,2*$S59)) + IF($U59=CG$2,IF($W59=Infirmary,2*$V59))</f>
        <v>0</v>
      </c>
      <c r="CH59" s="57">
        <f>IF($O59=CH$2,IF($Q59=Infirmary,12*$P59)) + IF($R59=CH$2,IF($T59=Infirmary,12*$S59)) + IF($U59=CH$2,IF($W59=Infirmary,12*$V59))</f>
        <v>0</v>
      </c>
      <c r="CJ59" s="52" t="e">
        <f>OR(Production!C59,Construction!N59:'Construction'!AF59,Construction!BV59:CN59,Explore!S59:Z59,Military!AF59:AL59,Military!X59,Military!BE59:BL59,Rezone!L59:R59,Magic!G59:Q59)</f>
        <v>#VALUE!</v>
      </c>
      <c r="CK59" s="525">
        <f>M59</f>
        <v>0</v>
      </c>
      <c r="CL59" s="525"/>
      <c r="CM59" s="555">
        <f t="shared" si="20"/>
        <v>43768.583333333198</v>
      </c>
      <c r="CN59" s="563">
        <f t="shared" si="21"/>
        <v>43768.416666666533</v>
      </c>
      <c r="CO59" s="527"/>
      <c r="CP59" s="803"/>
      <c r="CQ59" s="808"/>
    </row>
    <row r="60" spans="1:95" s="16" customFormat="1" x14ac:dyDescent="0.25">
      <c r="A60" s="511">
        <f>Construction!E60</f>
        <v>1000</v>
      </c>
      <c r="C60" s="56">
        <f ca="1">Production!H60</f>
        <v>4761276</v>
      </c>
      <c r="D60" s="26">
        <f ca="1">Production!J60</f>
        <v>309209</v>
      </c>
      <c r="E60" s="26">
        <f ca="1">Production!L60</f>
        <v>300000</v>
      </c>
      <c r="F60" s="57">
        <f ca="1">Production!M60</f>
        <v>20000</v>
      </c>
      <c r="G60" s="26"/>
      <c r="H60" s="56">
        <f ca="1">Military!Z60</f>
        <v>5295</v>
      </c>
      <c r="I60" s="538">
        <f ca="1">Population!I60</f>
        <v>1</v>
      </c>
      <c r="J60" s="165">
        <f ca="1">Population!F60/Population!U60</f>
        <v>1</v>
      </c>
      <c r="K60" s="1000">
        <f>Rezone!J60</f>
        <v>58</v>
      </c>
      <c r="L60" s="582">
        <f t="shared" si="19"/>
        <v>43768.593749999862</v>
      </c>
      <c r="M60" s="316">
        <f t="shared" si="22"/>
        <v>0</v>
      </c>
      <c r="N60" s="638">
        <f t="shared" si="23"/>
        <v>1000</v>
      </c>
      <c r="O60" s="423" t="s">
        <v>4</v>
      </c>
      <c r="P60" s="370"/>
      <c r="Q60" s="424" t="s">
        <v>223</v>
      </c>
      <c r="R60" s="423" t="s">
        <v>7</v>
      </c>
      <c r="S60" s="370"/>
      <c r="T60" s="425" t="s">
        <v>223</v>
      </c>
      <c r="U60" s="424" t="s">
        <v>3</v>
      </c>
      <c r="V60" s="370"/>
      <c r="W60" s="425" t="s">
        <v>223</v>
      </c>
      <c r="Y60" s="522">
        <f ca="1">science_cap*(1-EXP(-AH60/(science_param*($A61-Explore!$S61*20)+15000)))*(1+(mason_bonus*Construction!BB60/Construction!BS60))+IF(Overview!$B$14="Beastfolk",Construction!DA60/Construction!E60,0)*(1 + Production!O60/100*prestige_pop_multiplier)</f>
        <v>0</v>
      </c>
      <c r="Z60" s="284">
        <f ca="1">keep_cap*(1-EXP(-AI60/(keep_param*($A61-Explore!$S61*20)+15000)))*(1+(mason_bonus*Construction!BB60/Construction!BS60))+IF(Overview!$B$14="Beastfolk",Construction!DF60/Construction!E60,0)*(1 + Production!O60/100*prestige_pop_multiplier)</f>
        <v>0</v>
      </c>
      <c r="AA60" s="284">
        <f ca="1">harbor_towers_cap*(1-EXP(-AJ60/(harbor_towers_param*($A61-Explore!$S61*20)+15000)))*(1+(mason_bonus*Construction!BB60/Construction!BS60))+IF(Overview!$B$14="Beastfolk",2*Construction!DC60/Construction!E60,0)*(1 + Production!O60/100*prestige_pop_multiplier)</f>
        <v>0</v>
      </c>
      <c r="AB60" s="284">
        <f ca="1">walls_forges_cap*(1-EXP(-AK60/(walls_forges_param*($A61-Explore!$S61*20)+15000)))*(1+(mason_bonus*Construction!BB60/Construction!BS60))+IF(Overview!$B$14="Beastfolk",0.2*Construction!CY60/Construction!E60,0)</f>
        <v>0</v>
      </c>
      <c r="AC60" s="284">
        <f ca="1">walls_forges_cap*(1-EXP(-AL60/(walls_forges_param*($A61-Explore!$S61*20)+15000)))*(1+(mason_bonus*Construction!BB60/Construction!BS60))+IF(Overview!$B$14="Beastfolk",5*Construction!DB60/Construction!E60,0)</f>
        <v>0</v>
      </c>
      <c r="AD60" s="97">
        <f ca="1">harbor_towers_cap*(1-EXP(-AM60/(harbor_towers_param*($A61-Explore!$S61*20)+15000)))*(1+(mason_bonus*Construction!BB60/Construction!BS60))+IF(Overview!$B$14="Beastfolk",Construction!DE60/Construction!E60)*(1 + Production!O60/100*prestige_pop_multiplier)</f>
        <v>0</v>
      </c>
      <c r="AE60" s="97">
        <f ca="1">armory_cap*(1-EXP(-AN60/(armory_param*($A61-Explore!$S61*20)+15000)))*(1+(mason_bonus*Construction!$BB60/Construction!$BS60))</f>
        <v>0</v>
      </c>
      <c r="AF60" s="97">
        <f ca="1">infirmary_cap*(1-EXP(-AO60/(infirmary_param*($A61-Explore!$S61*20)+15000)))*(1+(mason_bonus*Construction!$BB60/Construction!$BS60))</f>
        <v>0</v>
      </c>
      <c r="AH60" s="56">
        <f ca="1">(1+Overview!$O$28+IF(Magic!BA60&gt;0,0.1,0))*SUM(AV60:AY60) + AH59</f>
        <v>0</v>
      </c>
      <c r="AI60" s="26">
        <f ca="1">(1+Overview!$O$28+IF(Magic!BA60&gt;0,0.1,0))*SUM(BA60:BD60) + AI59</f>
        <v>0</v>
      </c>
      <c r="AJ60" s="164">
        <f ca="1">(1+Overview!$O$28+IF(Magic!BA60&gt;0,0.1,0))*SUM(BF60:BI60) + AJ59</f>
        <v>0</v>
      </c>
      <c r="AK60" s="164">
        <f ca="1">(1+Overview!$O$28+IF(Magic!BA60&gt;0,0.1,0))*SUM(BK60:BN60) + AK59</f>
        <v>0</v>
      </c>
      <c r="AL60" s="164">
        <f ca="1">(1+Overview!$O$28+IF(Magic!BA60&gt;0,0.1,0))*SUM(BP60:BS60) + AL59</f>
        <v>0</v>
      </c>
      <c r="AM60" s="166">
        <f ca="1">(1+Overview!$O$28+IF(Magic!BA60&gt;0,0.1,0))*SUM(BU60:BX60) + AM59</f>
        <v>0</v>
      </c>
      <c r="AN60" s="166">
        <f ca="1">(1+Overview!$O$28+IF(Magic!BA60&gt;0,0.1,0))*SUM(BZ60:CC60)+AN59</f>
        <v>0</v>
      </c>
      <c r="AO60" s="164">
        <f ca="1">(1+Overview!$O$28+IF(Magic!BA60&gt;0,0.1,0))*SUM(CE60:CH60)+AO59</f>
        <v>0</v>
      </c>
      <c r="AQ60" s="52">
        <f t="shared" si="41"/>
        <v>0</v>
      </c>
      <c r="AR60" s="16">
        <f t="shared" si="41"/>
        <v>0</v>
      </c>
      <c r="AS60" s="16">
        <f t="shared" si="41"/>
        <v>0</v>
      </c>
      <c r="AT60" s="53">
        <f t="shared" si="41"/>
        <v>0</v>
      </c>
      <c r="AV60" s="56">
        <f t="shared" si="25"/>
        <v>0</v>
      </c>
      <c r="AW60" s="26">
        <f t="shared" si="42"/>
        <v>0</v>
      </c>
      <c r="AX60" s="26">
        <f t="shared" si="42"/>
        <v>0</v>
      </c>
      <c r="AY60" s="57">
        <f t="shared" si="27"/>
        <v>0</v>
      </c>
      <c r="BA60" s="56">
        <f t="shared" si="28"/>
        <v>0</v>
      </c>
      <c r="BB60" s="26">
        <f t="shared" si="43"/>
        <v>0</v>
      </c>
      <c r="BC60" s="26">
        <f t="shared" si="43"/>
        <v>0</v>
      </c>
      <c r="BD60" s="57">
        <f t="shared" si="30"/>
        <v>0</v>
      </c>
      <c r="BF60" s="56">
        <f t="shared" si="31"/>
        <v>0</v>
      </c>
      <c r="BG60" s="26">
        <f t="shared" si="32"/>
        <v>0</v>
      </c>
      <c r="BH60" s="26">
        <f t="shared" si="40"/>
        <v>0</v>
      </c>
      <c r="BI60" s="57">
        <f t="shared" si="33"/>
        <v>0</v>
      </c>
      <c r="BK60" s="56">
        <f t="shared" si="34"/>
        <v>0</v>
      </c>
      <c r="BL60" s="26">
        <f t="shared" si="44"/>
        <v>0</v>
      </c>
      <c r="BM60" s="26">
        <f t="shared" si="44"/>
        <v>0</v>
      </c>
      <c r="BN60" s="57">
        <f t="shared" si="36"/>
        <v>0</v>
      </c>
      <c r="BP60" s="56">
        <f t="shared" si="37"/>
        <v>0</v>
      </c>
      <c r="BQ60" s="26">
        <f t="shared" si="45"/>
        <v>0</v>
      </c>
      <c r="BR60" s="26">
        <f t="shared" si="45"/>
        <v>0</v>
      </c>
      <c r="BS60" s="57">
        <f t="shared" si="39"/>
        <v>0</v>
      </c>
      <c r="BU60" s="56">
        <f>IF($O60=BU$2,IF($Q60=$AD$2,$P60)) + IF($R60=BU$2,IF($T60=$AD$2,$S60)) + IF($U60=BU$2,IF($W60=$AD$2,$V60))</f>
        <v>0</v>
      </c>
      <c r="BV60" s="26">
        <f>IF($O60=BV$2,IF($Q60=$AD$2,2*$P60)) + IF($R60=BV$2,IF($T60=$AD$2,2*$S60)) + IF($U60=BV$2,IF($W60=$AD$2,2*$V60))</f>
        <v>0</v>
      </c>
      <c r="BW60" s="26">
        <f>IF($O60=BW$2,IF($Q60=$AD$2,2*$P60)) + IF($R60=BW$2,IF($T60=$AD$2,2*$S60)) + IF($U60=BW$2,IF($W60=$AD$2,2*$V60))</f>
        <v>0</v>
      </c>
      <c r="BX60" s="57">
        <f>IF($O60=BX$2,IF($Q60=$AD$2,12*$P60)) + IF($R60=BX$2,IF($T60=$AD$2,12*$S60)) + IF($U60=BX$2,IF($W60=$AD$2,12*$V60))</f>
        <v>0</v>
      </c>
      <c r="BZ60" s="56">
        <f>IF($O60=BZ$2,IF($Q60=Armory,$P60)) + IF($R60=BZ$2,IF($T60=Armory,$S60)) + IF($U60=BZ$2,IF($W60=Armory,$V60))</f>
        <v>0</v>
      </c>
      <c r="CA60" s="26">
        <f>IF($O60=CA$2,IF($Q60=Armory,2*$P60)) + IF($R60=CA$2,IF($T60=Armory,2*$S60)) + IF($U60=CA$2,IF($W60=Armory,2*$V60))</f>
        <v>0</v>
      </c>
      <c r="CB60" s="26">
        <f>IF($O60=CB$2,IF($Q60=Armory,2*$P60)) + IF($R60=CB$2,IF($T60=Armory,2*$S60)) + IF($U60=CB$2,IF($W60=Armory,2*$V60))</f>
        <v>0</v>
      </c>
      <c r="CC60" s="57">
        <f>IF($O60=CC$2,IF($Q60=Armory,12*$P60)) + IF($R60=CC$2,IF($T60=Armory,12*$S60)) + IF($U60=CC$2,IF($W60=Armory,12*$V60))</f>
        <v>0</v>
      </c>
      <c r="CE60" s="56">
        <f>IF($O60=CE$2,IF($Q60=Infirmary,$P60)) + IF($R60=CE$2,IF($T60=Infirmary,$S60)) + IF($U60=CE$2,IF($W60=Infirmary,$V60))</f>
        <v>0</v>
      </c>
      <c r="CF60" s="26">
        <f>IF($O60=CF$2,IF($Q60=Infirmary,2*$P60)) + IF($R60=CF$2,IF($T60=Infirmary,2*$S60)) + IF($U60=CF$2,IF($W60=Infirmary,2*$V60))</f>
        <v>0</v>
      </c>
      <c r="CG60" s="26">
        <f>IF($O60=CG$2,IF($Q60=Infirmary,2*$P60)) + IF($R60=CG$2,IF($T60=Infirmary,2*$S60)) + IF($U60=CG$2,IF($W60=Infirmary,2*$V60))</f>
        <v>0</v>
      </c>
      <c r="CH60" s="57">
        <f>IF($O60=CH$2,IF($Q60=Infirmary,12*$P60)) + IF($R60=CH$2,IF($T60=Infirmary,12*$S60)) + IF($U60=CH$2,IF($W60=Infirmary,12*$V60))</f>
        <v>0</v>
      </c>
      <c r="CJ60" s="52" t="e">
        <f>OR(Production!C60,Construction!N60:'Construction'!AF60,Construction!BV60:CN60,Explore!S60:Z60,Military!AF60:AL60,Military!X60,Military!BE60:BL60,Rezone!L60:R60,Magic!G60:Q60)</f>
        <v>#VALUE!</v>
      </c>
      <c r="CK60" s="525">
        <f>M60</f>
        <v>0</v>
      </c>
      <c r="CL60" s="525"/>
      <c r="CM60" s="555">
        <f t="shared" si="20"/>
        <v>43768.593749999862</v>
      </c>
      <c r="CN60" s="563">
        <f t="shared" si="21"/>
        <v>43768.427083333198</v>
      </c>
      <c r="CO60" s="527"/>
      <c r="CP60" s="803"/>
      <c r="CQ60" s="808"/>
    </row>
    <row r="61" spans="1:95" s="16" customFormat="1" x14ac:dyDescent="0.25">
      <c r="A61" s="511">
        <f>Construction!E61</f>
        <v>1000</v>
      </c>
      <c r="C61" s="56">
        <f ca="1">Production!H61</f>
        <v>4766257</v>
      </c>
      <c r="D61" s="26">
        <f ca="1">Production!J61</f>
        <v>308617</v>
      </c>
      <c r="E61" s="26">
        <f ca="1">Production!L61</f>
        <v>300000</v>
      </c>
      <c r="F61" s="57">
        <f ca="1">Production!M61</f>
        <v>20000</v>
      </c>
      <c r="G61" s="26"/>
      <c r="H61" s="56">
        <f ca="1">Military!Z61</f>
        <v>5295</v>
      </c>
      <c r="I61" s="538">
        <f ca="1">Population!I61</f>
        <v>1</v>
      </c>
      <c r="J61" s="165">
        <f ca="1">Population!F61/Population!U61</f>
        <v>1</v>
      </c>
      <c r="K61" s="1000">
        <f>Rezone!J61</f>
        <v>59</v>
      </c>
      <c r="L61" s="582">
        <f t="shared" si="19"/>
        <v>43768.604166666526</v>
      </c>
      <c r="M61" s="316">
        <f t="shared" si="22"/>
        <v>0</v>
      </c>
      <c r="N61" s="638">
        <f t="shared" si="23"/>
        <v>1000</v>
      </c>
      <c r="O61" s="423" t="s">
        <v>4</v>
      </c>
      <c r="P61" s="370"/>
      <c r="Q61" s="424" t="s">
        <v>223</v>
      </c>
      <c r="R61" s="423" t="s">
        <v>7</v>
      </c>
      <c r="S61" s="370"/>
      <c r="T61" s="425" t="s">
        <v>223</v>
      </c>
      <c r="U61" s="424" t="s">
        <v>3</v>
      </c>
      <c r="V61" s="370"/>
      <c r="W61" s="425" t="s">
        <v>223</v>
      </c>
      <c r="Y61" s="522">
        <f ca="1">science_cap*(1-EXP(-AH61/(science_param*($A62-Explore!$S62*20)+15000)))*(1+(mason_bonus*Construction!BB61/Construction!BS61))+IF(Overview!$B$14="Beastfolk",Construction!DA61/Construction!E61,0)*(1 + Production!O61/100*prestige_pop_multiplier)</f>
        <v>0</v>
      </c>
      <c r="Z61" s="284">
        <f ca="1">keep_cap*(1-EXP(-AI61/(keep_param*($A62-Explore!$S62*20)+15000)))*(1+(mason_bonus*Construction!BB61/Construction!BS61))+IF(Overview!$B$14="Beastfolk",Construction!DF61/Construction!E61,0)*(1 + Production!O61/100*prestige_pop_multiplier)</f>
        <v>0</v>
      </c>
      <c r="AA61" s="284">
        <f ca="1">harbor_towers_cap*(1-EXP(-AJ61/(harbor_towers_param*($A62-Explore!$S62*20)+15000)))*(1+(mason_bonus*Construction!BB61/Construction!BS61))+IF(Overview!$B$14="Beastfolk",2*Construction!DC61/Construction!E61,0)*(1 + Production!O61/100*prestige_pop_multiplier)</f>
        <v>0</v>
      </c>
      <c r="AB61" s="284">
        <f ca="1">walls_forges_cap*(1-EXP(-AK61/(walls_forges_param*($A62-Explore!$S62*20)+15000)))*(1+(mason_bonus*Construction!BB61/Construction!BS61))+IF(Overview!$B$14="Beastfolk",0.2*Construction!CY61/Construction!E61,0)</f>
        <v>0</v>
      </c>
      <c r="AC61" s="284">
        <f ca="1">walls_forges_cap*(1-EXP(-AL61/(walls_forges_param*($A62-Explore!$S62*20)+15000)))*(1+(mason_bonus*Construction!BB61/Construction!BS61))+IF(Overview!$B$14="Beastfolk",5*Construction!DB61/Construction!E61,0)</f>
        <v>0</v>
      </c>
      <c r="AD61" s="97">
        <f ca="1">harbor_towers_cap*(1-EXP(-AM61/(harbor_towers_param*($A62-Explore!$S62*20)+15000)))*(1+(mason_bonus*Construction!BB61/Construction!BS61))+IF(Overview!$B$14="Beastfolk",Construction!DE61/Construction!E61)*(1 + Production!O61/100*prestige_pop_multiplier)</f>
        <v>0</v>
      </c>
      <c r="AE61" s="97">
        <f ca="1">armory_cap*(1-EXP(-AN61/(armory_param*($A62-Explore!$S62*20)+15000)))*(1+(mason_bonus*Construction!$BB61/Construction!$BS61))</f>
        <v>0</v>
      </c>
      <c r="AF61" s="97">
        <f ca="1">infirmary_cap*(1-EXP(-AO61/(infirmary_param*($A62-Explore!$S62*20)+15000)))*(1+(mason_bonus*Construction!$BB61/Construction!$BS61))</f>
        <v>0</v>
      </c>
      <c r="AH61" s="56">
        <f ca="1">(1+Overview!$O$28+IF(Magic!BA61&gt;0,0.1,0))*SUM(AV61:AY61) + AH60</f>
        <v>0</v>
      </c>
      <c r="AI61" s="26">
        <f ca="1">(1+Overview!$O$28+IF(Magic!BA61&gt;0,0.1,0))*SUM(BA61:BD61) + AI60</f>
        <v>0</v>
      </c>
      <c r="AJ61" s="164">
        <f ca="1">(1+Overview!$O$28+IF(Magic!BA61&gt;0,0.1,0))*SUM(BF61:BI61) + AJ60</f>
        <v>0</v>
      </c>
      <c r="AK61" s="164">
        <f ca="1">(1+Overview!$O$28+IF(Magic!BA61&gt;0,0.1,0))*SUM(BK61:BN61) + AK60</f>
        <v>0</v>
      </c>
      <c r="AL61" s="164">
        <f ca="1">(1+Overview!$O$28+IF(Magic!BA61&gt;0,0.1,0))*SUM(BP61:BS61) + AL60</f>
        <v>0</v>
      </c>
      <c r="AM61" s="166">
        <f ca="1">(1+Overview!$O$28+IF(Magic!BA61&gt;0,0.1,0))*SUM(BU61:BX61) + AM60</f>
        <v>0</v>
      </c>
      <c r="AN61" s="166">
        <f ca="1">(1+Overview!$O$28+IF(Magic!BA61&gt;0,0.1,0))*SUM(BZ61:CC61)+AN60</f>
        <v>0</v>
      </c>
      <c r="AO61" s="164">
        <f ca="1">(1+Overview!$O$28+IF(Magic!BA61&gt;0,0.1,0))*SUM(CE61:CH61)+AO60</f>
        <v>0</v>
      </c>
      <c r="AQ61" s="52">
        <f t="shared" si="41"/>
        <v>0</v>
      </c>
      <c r="AR61" s="16">
        <f t="shared" si="41"/>
        <v>0</v>
      </c>
      <c r="AS61" s="16">
        <f t="shared" si="41"/>
        <v>0</v>
      </c>
      <c r="AT61" s="53">
        <f t="shared" si="41"/>
        <v>0</v>
      </c>
      <c r="AV61" s="56">
        <f t="shared" si="25"/>
        <v>0</v>
      </c>
      <c r="AW61" s="26">
        <f t="shared" si="42"/>
        <v>0</v>
      </c>
      <c r="AX61" s="26">
        <f t="shared" si="42"/>
        <v>0</v>
      </c>
      <c r="AY61" s="57">
        <f t="shared" si="27"/>
        <v>0</v>
      </c>
      <c r="BA61" s="56">
        <f t="shared" si="28"/>
        <v>0</v>
      </c>
      <c r="BB61" s="26">
        <f t="shared" si="43"/>
        <v>0</v>
      </c>
      <c r="BC61" s="26">
        <f t="shared" si="43"/>
        <v>0</v>
      </c>
      <c r="BD61" s="57">
        <f t="shared" si="30"/>
        <v>0</v>
      </c>
      <c r="BF61" s="56">
        <f t="shared" si="31"/>
        <v>0</v>
      </c>
      <c r="BG61" s="26">
        <f t="shared" si="32"/>
        <v>0</v>
      </c>
      <c r="BH61" s="26">
        <f t="shared" si="40"/>
        <v>0</v>
      </c>
      <c r="BI61" s="57">
        <f t="shared" si="33"/>
        <v>0</v>
      </c>
      <c r="BK61" s="56">
        <f t="shared" si="34"/>
        <v>0</v>
      </c>
      <c r="BL61" s="26">
        <f t="shared" si="44"/>
        <v>0</v>
      </c>
      <c r="BM61" s="26">
        <f t="shared" si="44"/>
        <v>0</v>
      </c>
      <c r="BN61" s="57">
        <f t="shared" si="36"/>
        <v>0</v>
      </c>
      <c r="BP61" s="56">
        <f t="shared" si="37"/>
        <v>0</v>
      </c>
      <c r="BQ61" s="26">
        <f t="shared" si="45"/>
        <v>0</v>
      </c>
      <c r="BR61" s="26">
        <f t="shared" si="45"/>
        <v>0</v>
      </c>
      <c r="BS61" s="57">
        <f t="shared" si="39"/>
        <v>0</v>
      </c>
      <c r="BU61" s="56">
        <f>IF($O61=BU$2,IF($Q61=$AD$2,$P61)) + IF($R61=BU$2,IF($T61=$AD$2,$S61)) + IF($U61=BU$2,IF($W61=$AD$2,$V61))</f>
        <v>0</v>
      </c>
      <c r="BV61" s="26">
        <f>IF($O61=BV$2,IF($Q61=$AD$2,2*$P61)) + IF($R61=BV$2,IF($T61=$AD$2,2*$S61)) + IF($U61=BV$2,IF($W61=$AD$2,2*$V61))</f>
        <v>0</v>
      </c>
      <c r="BW61" s="26">
        <f>IF($O61=BW$2,IF($Q61=$AD$2,2*$P61)) + IF($R61=BW$2,IF($T61=$AD$2,2*$S61)) + IF($U61=BW$2,IF($W61=$AD$2,2*$V61))</f>
        <v>0</v>
      </c>
      <c r="BX61" s="57">
        <f>IF($O61=BX$2,IF($Q61=$AD$2,12*$P61)) + IF($R61=BX$2,IF($T61=$AD$2,12*$S61)) + IF($U61=BX$2,IF($W61=$AD$2,12*$V61))</f>
        <v>0</v>
      </c>
      <c r="BZ61" s="56">
        <f>IF($O61=BZ$2,IF($Q61=Armory,$P61)) + IF($R61=BZ$2,IF($T61=Armory,$S61)) + IF($U61=BZ$2,IF($W61=Armory,$V61))</f>
        <v>0</v>
      </c>
      <c r="CA61" s="26">
        <f>IF($O61=CA$2,IF($Q61=Armory,2*$P61)) + IF($R61=CA$2,IF($T61=Armory,2*$S61)) + IF($U61=CA$2,IF($W61=Armory,2*$V61))</f>
        <v>0</v>
      </c>
      <c r="CB61" s="26">
        <f>IF($O61=CB$2,IF($Q61=Armory,2*$P61)) + IF($R61=CB$2,IF($T61=Armory,2*$S61)) + IF($U61=CB$2,IF($W61=Armory,2*$V61))</f>
        <v>0</v>
      </c>
      <c r="CC61" s="57">
        <f>IF($O61=CC$2,IF($Q61=Armory,12*$P61)) + IF($R61=CC$2,IF($T61=Armory,12*$S61)) + IF($U61=CC$2,IF($W61=Armory,12*$V61))</f>
        <v>0</v>
      </c>
      <c r="CE61" s="56">
        <f>IF($O61=CE$2,IF($Q61=Infirmary,$P61)) + IF($R61=CE$2,IF($T61=Infirmary,$S61)) + IF($U61=CE$2,IF($W61=Infirmary,$V61))</f>
        <v>0</v>
      </c>
      <c r="CF61" s="26">
        <f>IF($O61=CF$2,IF($Q61=Infirmary,2*$P61)) + IF($R61=CF$2,IF($T61=Infirmary,2*$S61)) + IF($U61=CF$2,IF($W61=Infirmary,2*$V61))</f>
        <v>0</v>
      </c>
      <c r="CG61" s="26">
        <f>IF($O61=CG$2,IF($Q61=Infirmary,2*$P61)) + IF($R61=CG$2,IF($T61=Infirmary,2*$S61)) + IF($U61=CG$2,IF($W61=Infirmary,2*$V61))</f>
        <v>0</v>
      </c>
      <c r="CH61" s="57">
        <f>IF($O61=CH$2,IF($Q61=Infirmary,12*$P61)) + IF($R61=CH$2,IF($T61=Infirmary,12*$S61)) + IF($U61=CH$2,IF($W61=Infirmary,12*$V61))</f>
        <v>0</v>
      </c>
      <c r="CJ61" s="52" t="e">
        <f>OR(Production!C61,Construction!N61:'Construction'!AF61,Construction!BV61:CN61,Explore!S61:Z61,Military!AF61:AL61,Military!X61,Military!BE61:BL61,Rezone!L61:R61,Magic!G61:Q61)</f>
        <v>#VALUE!</v>
      </c>
      <c r="CK61" s="525">
        <f>M61</f>
        <v>0</v>
      </c>
      <c r="CL61" s="525"/>
      <c r="CM61" s="555">
        <f t="shared" si="20"/>
        <v>43768.604166666526</v>
      </c>
      <c r="CN61" s="563">
        <f t="shared" si="21"/>
        <v>43768.437499999862</v>
      </c>
      <c r="CO61" s="527"/>
      <c r="CP61" s="803"/>
      <c r="CQ61" s="808"/>
    </row>
    <row r="62" spans="1:95" s="16" customFormat="1" x14ac:dyDescent="0.25">
      <c r="A62" s="511">
        <f>Construction!E62</f>
        <v>1000</v>
      </c>
      <c r="C62" s="56">
        <f ca="1">Production!H62</f>
        <v>4771238</v>
      </c>
      <c r="D62" s="26">
        <f ca="1">Production!J62</f>
        <v>308031</v>
      </c>
      <c r="E62" s="26">
        <f ca="1">Production!L62</f>
        <v>300000</v>
      </c>
      <c r="F62" s="57">
        <f ca="1">Production!M62</f>
        <v>20000</v>
      </c>
      <c r="G62" s="26"/>
      <c r="H62" s="56">
        <f ca="1">Military!Z62</f>
        <v>5295</v>
      </c>
      <c r="I62" s="538">
        <f ca="1">Population!I62</f>
        <v>1</v>
      </c>
      <c r="J62" s="165">
        <f ca="1">Population!F62/Population!U62</f>
        <v>1</v>
      </c>
      <c r="K62" s="1000">
        <f>Rezone!J62</f>
        <v>60</v>
      </c>
      <c r="L62" s="582">
        <f t="shared" si="19"/>
        <v>43768.61458333319</v>
      </c>
      <c r="M62" s="316">
        <f t="shared" si="22"/>
        <v>0</v>
      </c>
      <c r="N62" s="638">
        <f t="shared" si="23"/>
        <v>1000</v>
      </c>
      <c r="O62" s="423" t="s">
        <v>4</v>
      </c>
      <c r="P62" s="370"/>
      <c r="Q62" s="424" t="s">
        <v>223</v>
      </c>
      <c r="R62" s="423" t="s">
        <v>7</v>
      </c>
      <c r="S62" s="370"/>
      <c r="T62" s="425" t="s">
        <v>223</v>
      </c>
      <c r="U62" s="424" t="s">
        <v>3</v>
      </c>
      <c r="V62" s="370"/>
      <c r="W62" s="425" t="s">
        <v>223</v>
      </c>
      <c r="Y62" s="522">
        <f ca="1">science_cap*(1-EXP(-AH62/(science_param*($A63-Explore!$S63*20)+15000)))*(1+(mason_bonus*Construction!BB62/Construction!BS62))+IF(Overview!$B$14="Beastfolk",Construction!DA62/Construction!E62,0)*(1 + Production!O62/100*prestige_pop_multiplier)</f>
        <v>0</v>
      </c>
      <c r="Z62" s="284">
        <f ca="1">keep_cap*(1-EXP(-AI62/(keep_param*($A63-Explore!$S63*20)+15000)))*(1+(mason_bonus*Construction!BB62/Construction!BS62))+IF(Overview!$B$14="Beastfolk",Construction!DF62/Construction!E62,0)*(1 + Production!O62/100*prestige_pop_multiplier)</f>
        <v>0</v>
      </c>
      <c r="AA62" s="284">
        <f ca="1">harbor_towers_cap*(1-EXP(-AJ62/(harbor_towers_param*($A63-Explore!$S63*20)+15000)))*(1+(mason_bonus*Construction!BB62/Construction!BS62))+IF(Overview!$B$14="Beastfolk",2*Construction!DC62/Construction!E62,0)*(1 + Production!O62/100*prestige_pop_multiplier)</f>
        <v>0</v>
      </c>
      <c r="AB62" s="284">
        <f ca="1">walls_forges_cap*(1-EXP(-AK62/(walls_forges_param*($A63-Explore!$S63*20)+15000)))*(1+(mason_bonus*Construction!BB62/Construction!BS62))+IF(Overview!$B$14="Beastfolk",0.2*Construction!CY62/Construction!E62,0)</f>
        <v>0</v>
      </c>
      <c r="AC62" s="284">
        <f ca="1">walls_forges_cap*(1-EXP(-AL62/(walls_forges_param*($A63-Explore!$S63*20)+15000)))*(1+(mason_bonus*Construction!BB62/Construction!BS62))+IF(Overview!$B$14="Beastfolk",5*Construction!DB62/Construction!E62,0)</f>
        <v>0</v>
      </c>
      <c r="AD62" s="97">
        <f ca="1">harbor_towers_cap*(1-EXP(-AM62/(harbor_towers_param*($A63-Explore!$S63*20)+15000)))*(1+(mason_bonus*Construction!BB62/Construction!BS62))+IF(Overview!$B$14="Beastfolk",Construction!DE62/Construction!E62)*(1 + Production!O62/100*prestige_pop_multiplier)</f>
        <v>0</v>
      </c>
      <c r="AE62" s="97">
        <f ca="1">armory_cap*(1-EXP(-AN62/(armory_param*($A63-Explore!$S63*20)+15000)))*(1+(mason_bonus*Construction!$BB62/Construction!$BS62))</f>
        <v>0</v>
      </c>
      <c r="AF62" s="97">
        <f ca="1">infirmary_cap*(1-EXP(-AO62/(infirmary_param*($A63-Explore!$S63*20)+15000)))*(1+(mason_bonus*Construction!$BB62/Construction!$BS62))</f>
        <v>0</v>
      </c>
      <c r="AH62" s="56">
        <f ca="1">(1+Overview!$O$28+IF(Magic!BA62&gt;0,0.1,0))*SUM(AV62:AY62) + AH61</f>
        <v>0</v>
      </c>
      <c r="AI62" s="26">
        <f ca="1">(1+Overview!$O$28+IF(Magic!BA62&gt;0,0.1,0))*SUM(BA62:BD62) + AI61</f>
        <v>0</v>
      </c>
      <c r="AJ62" s="164">
        <f ca="1">(1+Overview!$O$28+IF(Magic!BA62&gt;0,0.1,0))*SUM(BF62:BI62) + AJ61</f>
        <v>0</v>
      </c>
      <c r="AK62" s="164">
        <f ca="1">(1+Overview!$O$28+IF(Magic!BA62&gt;0,0.1,0))*SUM(BK62:BN62) + AK61</f>
        <v>0</v>
      </c>
      <c r="AL62" s="164">
        <f ca="1">(1+Overview!$O$28+IF(Magic!BA62&gt;0,0.1,0))*SUM(BP62:BS62) + AL61</f>
        <v>0</v>
      </c>
      <c r="AM62" s="166">
        <f ca="1">(1+Overview!$O$28+IF(Magic!BA62&gt;0,0.1,0))*SUM(BU62:BX62) + AM61</f>
        <v>0</v>
      </c>
      <c r="AN62" s="166">
        <f ca="1">(1+Overview!$O$28+IF(Magic!BA62&gt;0,0.1,0))*SUM(BZ62:CC62)+AN61</f>
        <v>0</v>
      </c>
      <c r="AO62" s="164">
        <f ca="1">(1+Overview!$O$28+IF(Magic!BA62&gt;0,0.1,0))*SUM(CE62:CH62)+AO61</f>
        <v>0</v>
      </c>
      <c r="AQ62" s="52">
        <f t="shared" si="41"/>
        <v>0</v>
      </c>
      <c r="AR62" s="16">
        <f t="shared" si="41"/>
        <v>0</v>
      </c>
      <c r="AS62" s="16">
        <f t="shared" si="41"/>
        <v>0</v>
      </c>
      <c r="AT62" s="53">
        <f t="shared" si="41"/>
        <v>0</v>
      </c>
      <c r="AV62" s="56">
        <f t="shared" si="25"/>
        <v>0</v>
      </c>
      <c r="AW62" s="26">
        <f t="shared" si="42"/>
        <v>0</v>
      </c>
      <c r="AX62" s="26">
        <f t="shared" si="42"/>
        <v>0</v>
      </c>
      <c r="AY62" s="57">
        <f t="shared" si="27"/>
        <v>0</v>
      </c>
      <c r="BA62" s="56">
        <f t="shared" si="28"/>
        <v>0</v>
      </c>
      <c r="BB62" s="26">
        <f t="shared" si="43"/>
        <v>0</v>
      </c>
      <c r="BC62" s="26">
        <f t="shared" si="43"/>
        <v>0</v>
      </c>
      <c r="BD62" s="57">
        <f t="shared" si="30"/>
        <v>0</v>
      </c>
      <c r="BF62" s="56">
        <f t="shared" si="31"/>
        <v>0</v>
      </c>
      <c r="BG62" s="26">
        <f t="shared" si="32"/>
        <v>0</v>
      </c>
      <c r="BH62" s="26">
        <f t="shared" si="40"/>
        <v>0</v>
      </c>
      <c r="BI62" s="57">
        <f t="shared" si="33"/>
        <v>0</v>
      </c>
      <c r="BK62" s="56">
        <f t="shared" si="34"/>
        <v>0</v>
      </c>
      <c r="BL62" s="26">
        <f t="shared" si="44"/>
        <v>0</v>
      </c>
      <c r="BM62" s="26">
        <f t="shared" si="44"/>
        <v>0</v>
      </c>
      <c r="BN62" s="57">
        <f t="shared" si="36"/>
        <v>0</v>
      </c>
      <c r="BP62" s="56">
        <f t="shared" si="37"/>
        <v>0</v>
      </c>
      <c r="BQ62" s="26">
        <f t="shared" si="45"/>
        <v>0</v>
      </c>
      <c r="BR62" s="26">
        <f t="shared" si="45"/>
        <v>0</v>
      </c>
      <c r="BS62" s="57">
        <f t="shared" si="39"/>
        <v>0</v>
      </c>
      <c r="BU62" s="56">
        <f>IF($O62=BU$2,IF($Q62=$AD$2,$P62)) + IF($R62=BU$2,IF($T62=$AD$2,$S62)) + IF($U62=BU$2,IF($W62=$AD$2,$V62))</f>
        <v>0</v>
      </c>
      <c r="BV62" s="26">
        <f>IF($O62=BV$2,IF($Q62=$AD$2,2*$P62)) + IF($R62=BV$2,IF($T62=$AD$2,2*$S62)) + IF($U62=BV$2,IF($W62=$AD$2,2*$V62))</f>
        <v>0</v>
      </c>
      <c r="BW62" s="26">
        <f>IF($O62=BW$2,IF($Q62=$AD$2,2*$P62)) + IF($R62=BW$2,IF($T62=$AD$2,2*$S62)) + IF($U62=BW$2,IF($W62=$AD$2,2*$V62))</f>
        <v>0</v>
      </c>
      <c r="BX62" s="57">
        <f>IF($O62=BX$2,IF($Q62=$AD$2,12*$P62)) + IF($R62=BX$2,IF($T62=$AD$2,12*$S62)) + IF($U62=BX$2,IF($W62=$AD$2,12*$V62))</f>
        <v>0</v>
      </c>
      <c r="BZ62" s="56">
        <f>IF($O62=BZ$2,IF($Q62=Armory,$P62)) + IF($R62=BZ$2,IF($T62=Armory,$S62)) + IF($U62=BZ$2,IF($W62=Armory,$V62))</f>
        <v>0</v>
      </c>
      <c r="CA62" s="26">
        <f>IF($O62=CA$2,IF($Q62=Armory,2*$P62)) + IF($R62=CA$2,IF($T62=Armory,2*$S62)) + IF($U62=CA$2,IF($W62=Armory,2*$V62))</f>
        <v>0</v>
      </c>
      <c r="CB62" s="26">
        <f>IF($O62=CB$2,IF($Q62=Armory,2*$P62)) + IF($R62=CB$2,IF($T62=Armory,2*$S62)) + IF($U62=CB$2,IF($W62=Armory,2*$V62))</f>
        <v>0</v>
      </c>
      <c r="CC62" s="57">
        <f>IF($O62=CC$2,IF($Q62=Armory,12*$P62)) + IF($R62=CC$2,IF($T62=Armory,12*$S62)) + IF($U62=CC$2,IF($W62=Armory,12*$V62))</f>
        <v>0</v>
      </c>
      <c r="CE62" s="56">
        <f>IF($O62=CE$2,IF($Q62=Infirmary,$P62)) + IF($R62=CE$2,IF($T62=Infirmary,$S62)) + IF($U62=CE$2,IF($W62=Infirmary,$V62))</f>
        <v>0</v>
      </c>
      <c r="CF62" s="26">
        <f>IF($O62=CF$2,IF($Q62=Infirmary,2*$P62)) + IF($R62=CF$2,IF($T62=Infirmary,2*$S62)) + IF($U62=CF$2,IF($W62=Infirmary,2*$V62))</f>
        <v>0</v>
      </c>
      <c r="CG62" s="26">
        <f>IF($O62=CG$2,IF($Q62=Infirmary,2*$P62)) + IF($R62=CG$2,IF($T62=Infirmary,2*$S62)) + IF($U62=CG$2,IF($W62=Infirmary,2*$V62))</f>
        <v>0</v>
      </c>
      <c r="CH62" s="57">
        <f>IF($O62=CH$2,IF($Q62=Infirmary,12*$P62)) + IF($R62=CH$2,IF($T62=Infirmary,12*$S62)) + IF($U62=CH$2,IF($W62=Infirmary,12*$V62))</f>
        <v>0</v>
      </c>
      <c r="CJ62" s="52" t="e">
        <f>OR(Production!C62,Construction!N62:'Construction'!AF62,Construction!BV62:CN62,Explore!S62:Z62,Military!AF62:AL62,Military!X62,Military!BE62:BL62,Rezone!L62:R62,Magic!G62:Q62)</f>
        <v>#VALUE!</v>
      </c>
      <c r="CK62" s="525">
        <f>M62</f>
        <v>0</v>
      </c>
      <c r="CL62" s="525"/>
      <c r="CM62" s="555">
        <f t="shared" si="20"/>
        <v>43768.61458333319</v>
      </c>
      <c r="CN62" s="563">
        <f t="shared" si="21"/>
        <v>43768.447916666526</v>
      </c>
      <c r="CO62" s="527"/>
      <c r="CP62" s="803"/>
      <c r="CQ62" s="808"/>
    </row>
    <row r="63" spans="1:95" s="12" customFormat="1" x14ac:dyDescent="0.25">
      <c r="A63" s="513">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1">
        <f>Rezone!J63</f>
        <v>61</v>
      </c>
      <c r="L63" s="581">
        <f t="shared" si="19"/>
        <v>43768.624999999854</v>
      </c>
      <c r="M63" s="648">
        <f t="shared" si="22"/>
        <v>0</v>
      </c>
      <c r="N63" s="641">
        <f t="shared" si="23"/>
        <v>1000</v>
      </c>
      <c r="O63" s="427" t="s">
        <v>4</v>
      </c>
      <c r="P63" s="428"/>
      <c r="Q63" s="429" t="s">
        <v>223</v>
      </c>
      <c r="R63" s="427" t="s">
        <v>7</v>
      </c>
      <c r="S63" s="428"/>
      <c r="T63" s="430" t="s">
        <v>223</v>
      </c>
      <c r="U63" s="429" t="s">
        <v>3</v>
      </c>
      <c r="V63" s="428"/>
      <c r="W63" s="430" t="s">
        <v>223</v>
      </c>
      <c r="Y63" s="523">
        <f ca="1">science_cap*(1-EXP(-AH63/(science_param*($A64-Explore!$S64*20)+15000)))*(1+(mason_bonus*Construction!BB63/Construction!BS63))+IF(Overview!$B$14="Beastfolk",Construction!DA63/Construction!E63,0)*(1 + Production!O63/100*prestige_pop_multiplier)</f>
        <v>0</v>
      </c>
      <c r="Z63" s="467">
        <f ca="1">keep_cap*(1-EXP(-AI63/(keep_param*($A64-Explore!$S64*20)+15000)))*(1+(mason_bonus*Construction!BB63/Construction!BS63))+IF(Overview!$B$14="Beastfolk",Construction!DF63/Construction!E63,0)*(1 + Production!O63/100*prestige_pop_multiplier)</f>
        <v>0</v>
      </c>
      <c r="AA63" s="456">
        <f ca="1">harbor_towers_cap*(1-EXP(-AJ63/(harbor_towers_param*($A64-Explore!$S64*20)+15000)))*(1+(mason_bonus*Construction!BB63/Construction!BS63))+IF(Overview!$B$14="Beastfolk",2*Construction!DC63/Construction!E63,0)*(1 + Production!O63/100*prestige_pop_multiplier)</f>
        <v>0</v>
      </c>
      <c r="AB63" s="456">
        <f ca="1">walls_forges_cap*(1-EXP(-AK63/(walls_forges_param*($A64-Explore!$S64*20)+15000)))*(1+(mason_bonus*Construction!BB63/Construction!BS63))+IF(Overview!$B$14="Beastfolk",0.2*Construction!CY63/Construction!E63,0)</f>
        <v>0</v>
      </c>
      <c r="AC63" s="456">
        <f ca="1">walls_forges_cap*(1-EXP(-AL63/(walls_forges_param*($A64-Explore!$S64*20)+15000)))*(1+(mason_bonus*Construction!BB63/Construction!BS63))+IF(Overview!$B$14="Beastfolk",5*Construction!DB63/Construction!E63,0)</f>
        <v>0</v>
      </c>
      <c r="AD63" s="96">
        <f ca="1">harbor_towers_cap*(1-EXP(-AM63/(harbor_towers_param*($A64-Explore!$S64*20)+15000)))*(1+(mason_bonus*Construction!BB63/Construction!BS63))+IF(Overview!$B$14="Beastfolk",Construction!DE63/Construction!E63)*(1 + Production!O63/100*prestige_pop_multiplier)</f>
        <v>0</v>
      </c>
      <c r="AE63" s="96">
        <f ca="1">armory_cap*(1-EXP(-AN63/(armory_param*($A64-Explore!$S64*20)+15000)))*(1+(mason_bonus*Construction!$BB63/Construction!$BS63))</f>
        <v>0</v>
      </c>
      <c r="AF63" s="96">
        <f ca="1">infirmary_cap*(1-EXP(-AO63/(infirmary_param*($A64-Explore!$S64*20)+15000)))*(1+(mason_bonus*Construction!$BB63/Construction!$BS63))</f>
        <v>0</v>
      </c>
      <c r="AH63" s="54">
        <f ca="1">(1+Overview!$O$28+IF(Magic!BA63&gt;0,0.1,0))*SUM(AV63:AY63) + AH62</f>
        <v>0</v>
      </c>
      <c r="AI63" s="13">
        <f ca="1">(1+Overview!$O$28+IF(Magic!BA63&gt;0,0.1,0))*SUM(BA63:BD63) + AI62</f>
        <v>0</v>
      </c>
      <c r="AJ63" s="153">
        <f ca="1">(1+Overview!$O$28+IF(Magic!BA63&gt;0,0.1,0))*SUM(BF63:BI63) + AJ62</f>
        <v>0</v>
      </c>
      <c r="AK63" s="153">
        <f ca="1">(1+Overview!$O$28+IF(Magic!BA63&gt;0,0.1,0))*SUM(BK63:BN63) + AK62</f>
        <v>0</v>
      </c>
      <c r="AL63" s="153">
        <f ca="1">(1+Overview!$O$28+IF(Magic!BA63&gt;0,0.1,0))*SUM(BP63:BS63) + AL62</f>
        <v>0</v>
      </c>
      <c r="AM63" s="158">
        <f ca="1">(1+Overview!$O$28+IF(Magic!BA63&gt;0,0.1,0))*SUM(BU63:BX63) + AM62</f>
        <v>0</v>
      </c>
      <c r="AN63" s="158">
        <f ca="1">(1+Overview!$O$28+IF(Magic!BA63&gt;0,0.1,0))*SUM(BZ63:CC63)+AN62</f>
        <v>0</v>
      </c>
      <c r="AO63" s="153">
        <f ca="1">(1+Overview!$O$28+IF(Magic!BA63&gt;0,0.1,0))*SUM(CE63:CH63)+AO62</f>
        <v>0</v>
      </c>
      <c r="AQ63" s="50">
        <f t="shared" si="41"/>
        <v>0</v>
      </c>
      <c r="AR63" s="12">
        <f t="shared" si="41"/>
        <v>0</v>
      </c>
      <c r="AS63" s="12">
        <f t="shared" si="41"/>
        <v>0</v>
      </c>
      <c r="AT63" s="51">
        <f t="shared" si="41"/>
        <v>0</v>
      </c>
      <c r="AV63" s="54">
        <f t="shared" si="25"/>
        <v>0</v>
      </c>
      <c r="AW63" s="13">
        <f t="shared" si="42"/>
        <v>0</v>
      </c>
      <c r="AX63" s="13">
        <f t="shared" si="42"/>
        <v>0</v>
      </c>
      <c r="AY63" s="55">
        <f t="shared" si="27"/>
        <v>0</v>
      </c>
      <c r="BA63" s="54">
        <f t="shared" si="28"/>
        <v>0</v>
      </c>
      <c r="BB63" s="13">
        <f t="shared" si="43"/>
        <v>0</v>
      </c>
      <c r="BC63" s="13">
        <f t="shared" si="43"/>
        <v>0</v>
      </c>
      <c r="BD63" s="55">
        <f t="shared" si="30"/>
        <v>0</v>
      </c>
      <c r="BF63" s="54">
        <f t="shared" si="31"/>
        <v>0</v>
      </c>
      <c r="BG63" s="13">
        <f t="shared" si="32"/>
        <v>0</v>
      </c>
      <c r="BH63" s="13">
        <f t="shared" si="40"/>
        <v>0</v>
      </c>
      <c r="BI63" s="55">
        <f t="shared" si="33"/>
        <v>0</v>
      </c>
      <c r="BK63" s="54">
        <f t="shared" si="34"/>
        <v>0</v>
      </c>
      <c r="BL63" s="13">
        <f t="shared" si="44"/>
        <v>0</v>
      </c>
      <c r="BM63" s="13">
        <f t="shared" si="44"/>
        <v>0</v>
      </c>
      <c r="BN63" s="55">
        <f t="shared" si="36"/>
        <v>0</v>
      </c>
      <c r="BP63" s="54">
        <f t="shared" si="37"/>
        <v>0</v>
      </c>
      <c r="BQ63" s="13">
        <f t="shared" si="45"/>
        <v>0</v>
      </c>
      <c r="BR63" s="13">
        <f t="shared" si="45"/>
        <v>0</v>
      </c>
      <c r="BS63" s="55">
        <f t="shared" si="39"/>
        <v>0</v>
      </c>
      <c r="BU63" s="54">
        <f>IF($O63=BU$2,IF($Q63=$AD$2,$P63)) + IF($R63=BU$2,IF($T63=$AD$2,$S63)) + IF($U63=BU$2,IF($W63=$AD$2,$V63))</f>
        <v>0</v>
      </c>
      <c r="BV63" s="13">
        <f>IF($O63=BV$2,IF($Q63=$AD$2,2*$P63)) + IF($R63=BV$2,IF($T63=$AD$2,2*$S63)) + IF($U63=BV$2,IF($W63=$AD$2,2*$V63))</f>
        <v>0</v>
      </c>
      <c r="BW63" s="13">
        <f>IF($O63=BW$2,IF($Q63=$AD$2,2*$P63)) + IF($R63=BW$2,IF($T63=$AD$2,2*$S63)) + IF($U63=BW$2,IF($W63=$AD$2,2*$V63))</f>
        <v>0</v>
      </c>
      <c r="BX63" s="55">
        <f>IF($O63=BX$2,IF($Q63=$AD$2,12*$P63)) + IF($R63=BX$2,IF($T63=$AD$2,12*$S63)) + IF($U63=BX$2,IF($W63=$AD$2,12*$V63))</f>
        <v>0</v>
      </c>
      <c r="BZ63" s="54">
        <f>IF($O63=BZ$2,IF($Q63=Armory,$P63)) + IF($R63=BZ$2,IF($T63=Armory,$S63)) + IF($U63=BZ$2,IF($W63=Armory,$V63))</f>
        <v>0</v>
      </c>
      <c r="CA63" s="13">
        <f>IF($O63=CA$2,IF($Q63=Armory,2*$P63)) + IF($R63=CA$2,IF($T63=Armory,2*$S63)) + IF($U63=CA$2,IF($W63=Armory,2*$V63))</f>
        <v>0</v>
      </c>
      <c r="CB63" s="13">
        <f>IF($O63=CB$2,IF($Q63=Armory,2*$P63)) + IF($R63=CB$2,IF($T63=Armory,2*$S63)) + IF($U63=CB$2,IF($W63=Armory,2*$V63))</f>
        <v>0</v>
      </c>
      <c r="CC63" s="55">
        <f>IF($O63=CC$2,IF($Q63=Armory,12*$P63)) + IF($R63=CC$2,IF($T63=Armory,12*$S63)) + IF($U63=CC$2,IF($W63=Armory,12*$V63))</f>
        <v>0</v>
      </c>
      <c r="CE63" s="54">
        <f>IF($O63=CE$2,IF($Q63=Infirmary,$P63)) + IF($R63=CE$2,IF($T63=Infirmary,$S63)) + IF($U63=CE$2,IF($W63=Infirmary,$V63))</f>
        <v>0</v>
      </c>
      <c r="CF63" s="13">
        <f>IF($O63=CF$2,IF($Q63=Infirmary,2*$P63)) + IF($R63=CF$2,IF($T63=Infirmary,2*$S63)) + IF($U63=CF$2,IF($W63=Infirmary,2*$V63))</f>
        <v>0</v>
      </c>
      <c r="CG63" s="13">
        <f>IF($O63=CG$2,IF($Q63=Infirmary,2*$P63)) + IF($R63=CG$2,IF($T63=Infirmary,2*$S63)) + IF($U63=CG$2,IF($W63=Infirmary,2*$V63))</f>
        <v>0</v>
      </c>
      <c r="CH63" s="55">
        <f>IF($O63=CH$2,IF($Q63=Infirmary,12*$P63)) + IF($R63=CH$2,IF($T63=Infirmary,12*$S63)) + IF($U63=CH$2,IF($W63=Infirmary,12*$V63))</f>
        <v>0</v>
      </c>
      <c r="CJ63" s="50" t="e">
        <f>OR(Production!C63,Construction!N63:'Construction'!AF63,Construction!BV63:CN63,Explore!S63:Z63,Military!AF63:AL63,Military!X63,Military!BE63:BL63,Rezone!L63:R63,Magic!G63:Q63)</f>
        <v>#VALUE!</v>
      </c>
      <c r="CK63" s="549">
        <f>M63</f>
        <v>0</v>
      </c>
      <c r="CL63" s="549"/>
      <c r="CM63" s="556">
        <f t="shared" si="20"/>
        <v>43768.624999999854</v>
      </c>
      <c r="CN63" s="564">
        <f t="shared" si="21"/>
        <v>43768.45833333319</v>
      </c>
      <c r="CO63" s="629"/>
      <c r="CP63" s="804"/>
      <c r="CQ63" s="809"/>
    </row>
    <row r="64" spans="1:95" s="15" customFormat="1" x14ac:dyDescent="0.25">
      <c r="A64" s="514">
        <f>Construction!E64</f>
        <v>1000</v>
      </c>
      <c r="B64" s="16"/>
      <c r="C64" s="89">
        <f ca="1">Production!H64</f>
        <v>4781200</v>
      </c>
      <c r="D64" s="23">
        <f ca="1">Production!J64</f>
        <v>306876</v>
      </c>
      <c r="E64" s="23">
        <f ca="1">Production!L64</f>
        <v>300000</v>
      </c>
      <c r="F64" s="57">
        <f ca="1">Production!M64</f>
        <v>20000</v>
      </c>
      <c r="G64" s="26"/>
      <c r="H64" s="89">
        <f ca="1">Military!Z64</f>
        <v>5295</v>
      </c>
      <c r="I64" s="538">
        <f ca="1">Population!I64</f>
        <v>1</v>
      </c>
      <c r="J64" s="165">
        <f ca="1">Population!F64/Population!U64</f>
        <v>1</v>
      </c>
      <c r="K64" s="1000">
        <f>Rezone!J64</f>
        <v>62</v>
      </c>
      <c r="L64" s="582">
        <f t="shared" si="19"/>
        <v>43768.635416666519</v>
      </c>
      <c r="M64" s="636">
        <f t="shared" si="22"/>
        <v>0</v>
      </c>
      <c r="N64" s="642">
        <f t="shared" si="23"/>
        <v>1000</v>
      </c>
      <c r="O64" s="423" t="s">
        <v>4</v>
      </c>
      <c r="P64" s="370"/>
      <c r="Q64" s="424" t="s">
        <v>223</v>
      </c>
      <c r="R64" s="423" t="s">
        <v>7</v>
      </c>
      <c r="S64" s="370"/>
      <c r="T64" s="425" t="s">
        <v>223</v>
      </c>
      <c r="U64" s="424" t="s">
        <v>3</v>
      </c>
      <c r="V64" s="370"/>
      <c r="W64" s="425" t="s">
        <v>223</v>
      </c>
      <c r="X64" s="16"/>
      <c r="Y64" s="522">
        <f ca="1">science_cap*(1-EXP(-AH64/(science_param*($A65-Explore!$S65*20)+15000)))*(1+(mason_bonus*Construction!BB64/Construction!BS64))+IF(Overview!$B$14="Beastfolk",Construction!DA64/Construction!E64,0)*(1 + Production!O64/100*prestige_pop_multiplier)</f>
        <v>0</v>
      </c>
      <c r="Z64" s="284">
        <f ca="1">keep_cap*(1-EXP(-AI64/(keep_param*($A65-Explore!$S65*20)+15000)))*(1+(mason_bonus*Construction!BB64/Construction!BS64))+IF(Overview!$B$14="Beastfolk",Construction!DF64/Construction!E64,0)*(1 + Production!O64/100*prestige_pop_multiplier)</f>
        <v>0</v>
      </c>
      <c r="AA64" s="284">
        <f ca="1">harbor_towers_cap*(1-EXP(-AJ64/(harbor_towers_param*($A65-Explore!$S65*20)+15000)))*(1+(mason_bonus*Construction!BB64/Construction!BS64))+IF(Overview!$B$14="Beastfolk",2*Construction!DC64/Construction!E64,0)*(1 + Production!O64/100*prestige_pop_multiplier)</f>
        <v>0</v>
      </c>
      <c r="AB64" s="284">
        <f ca="1">walls_forges_cap*(1-EXP(-AK64/(walls_forges_param*($A65-Explore!$S65*20)+15000)))*(1+(mason_bonus*Construction!BB64/Construction!BS64))+IF(Overview!$B$14="Beastfolk",0.2*Construction!CY64/Construction!E64,0)</f>
        <v>0</v>
      </c>
      <c r="AC64" s="284">
        <f ca="1">walls_forges_cap*(1-EXP(-AL64/(walls_forges_param*($A65-Explore!$S65*20)+15000)))*(1+(mason_bonus*Construction!BB64/Construction!BS64))+IF(Overview!$B$14="Beastfolk",5*Construction!DB64/Construction!E64,0)</f>
        <v>0</v>
      </c>
      <c r="AD64" s="97">
        <f ca="1">harbor_towers_cap*(1-EXP(-AM64/(harbor_towers_param*($A65-Explore!$S65*20)+15000)))*(1+(mason_bonus*Construction!BB64/Construction!BS64))+IF(Overview!$B$14="Beastfolk",Construction!DE64/Construction!E64)*(1 + Production!O64/100*prestige_pop_multiplier)</f>
        <v>0</v>
      </c>
      <c r="AE64" s="97">
        <f ca="1">armory_cap*(1-EXP(-AN64/(armory_param*($A65-Explore!$S65*20)+15000)))*(1+(mason_bonus*Construction!$BB64/Construction!$BS64))</f>
        <v>0</v>
      </c>
      <c r="AF64" s="97">
        <f ca="1">infirmary_cap*(1-EXP(-AO64/(infirmary_param*($A65-Explore!$S65*20)+15000)))*(1+(mason_bonus*Construction!$BB64/Construction!$BS64))</f>
        <v>0</v>
      </c>
      <c r="AG64" s="16"/>
      <c r="AH64" s="56">
        <f ca="1">(1+Overview!$O$28+IF(Magic!BA64&gt;0,0.1,0))*SUM(AV64:AY64) + AH63</f>
        <v>0</v>
      </c>
      <c r="AI64" s="26">
        <f ca="1">(1+Overview!$O$28+IF(Magic!BA64&gt;0,0.1,0))*SUM(BA64:BD64) + AI63</f>
        <v>0</v>
      </c>
      <c r="AJ64" s="164">
        <f ca="1">(1+Overview!$O$28+IF(Magic!BA64&gt;0,0.1,0))*SUM(BF64:BI64) + AJ63</f>
        <v>0</v>
      </c>
      <c r="AK64" s="164">
        <f ca="1">(1+Overview!$O$28+IF(Magic!BA64&gt;0,0.1,0))*SUM(BK64:BN64) + AK63</f>
        <v>0</v>
      </c>
      <c r="AL64" s="164">
        <f ca="1">(1+Overview!$O$28+IF(Magic!BA64&gt;0,0.1,0))*SUM(BP64:BS64) + AL63</f>
        <v>0</v>
      </c>
      <c r="AM64" s="166">
        <f ca="1">(1+Overview!$O$28+IF(Magic!BA64&gt;0,0.1,0))*SUM(BU64:BX64) + AM63</f>
        <v>0</v>
      </c>
      <c r="AN64" s="166">
        <f ca="1">(1+Overview!$O$28+IF(Magic!BA64&gt;0,0.1,0))*SUM(BZ64:CC64)+AN63</f>
        <v>0</v>
      </c>
      <c r="AO64" s="164">
        <f ca="1">(1+Overview!$O$28+IF(Magic!BA64&gt;0,0.1,0))*SUM(CE64:CH64)+AO63</f>
        <v>0</v>
      </c>
      <c r="AP64" s="16"/>
      <c r="AQ64" s="70">
        <f t="shared" si="41"/>
        <v>0</v>
      </c>
      <c r="AR64" s="15">
        <f t="shared" si="41"/>
        <v>0</v>
      </c>
      <c r="AS64" s="15">
        <f t="shared" si="41"/>
        <v>0</v>
      </c>
      <c r="AT64" s="74">
        <f t="shared" si="41"/>
        <v>0</v>
      </c>
      <c r="AU64" s="16"/>
      <c r="AV64" s="89">
        <f t="shared" si="25"/>
        <v>0</v>
      </c>
      <c r="AW64" s="23">
        <f t="shared" si="42"/>
        <v>0</v>
      </c>
      <c r="AX64" s="23">
        <f t="shared" si="42"/>
        <v>0</v>
      </c>
      <c r="AY64" s="71">
        <f t="shared" si="27"/>
        <v>0</v>
      </c>
      <c r="AZ64" s="16"/>
      <c r="BA64" s="89">
        <f t="shared" si="28"/>
        <v>0</v>
      </c>
      <c r="BB64" s="23">
        <f t="shared" si="43"/>
        <v>0</v>
      </c>
      <c r="BC64" s="23">
        <f t="shared" si="43"/>
        <v>0</v>
      </c>
      <c r="BD64" s="71">
        <f t="shared" si="30"/>
        <v>0</v>
      </c>
      <c r="BE64" s="16"/>
      <c r="BF64" s="89">
        <f t="shared" si="31"/>
        <v>0</v>
      </c>
      <c r="BG64" s="23">
        <f t="shared" si="32"/>
        <v>0</v>
      </c>
      <c r="BH64" s="23">
        <f t="shared" si="40"/>
        <v>0</v>
      </c>
      <c r="BI64" s="71">
        <f t="shared" si="33"/>
        <v>0</v>
      </c>
      <c r="BJ64" s="16"/>
      <c r="BK64" s="89">
        <f t="shared" si="34"/>
        <v>0</v>
      </c>
      <c r="BL64" s="23">
        <f t="shared" si="44"/>
        <v>0</v>
      </c>
      <c r="BM64" s="23">
        <f t="shared" si="44"/>
        <v>0</v>
      </c>
      <c r="BN64" s="71">
        <f t="shared" si="36"/>
        <v>0</v>
      </c>
      <c r="BO64" s="16"/>
      <c r="BP64" s="89">
        <f t="shared" si="37"/>
        <v>0</v>
      </c>
      <c r="BQ64" s="23">
        <f t="shared" si="45"/>
        <v>0</v>
      </c>
      <c r="BR64" s="23">
        <f t="shared" si="45"/>
        <v>0</v>
      </c>
      <c r="BS64" s="71">
        <f t="shared" si="39"/>
        <v>0</v>
      </c>
      <c r="BT64" s="16"/>
      <c r="BU64" s="89">
        <f>IF($O64=BU$2,IF($Q64=$AD$2,$P64)) + IF($R64=BU$2,IF($T64=$AD$2,$S64)) + IF($U64=BU$2,IF($W64=$AD$2,$V64))</f>
        <v>0</v>
      </c>
      <c r="BV64" s="23">
        <f>IF($O64=BV$2,IF($Q64=$AD$2,2*$P64)) + IF($R64=BV$2,IF($T64=$AD$2,2*$S64)) + IF($U64=BV$2,IF($W64=$AD$2,2*$V64))</f>
        <v>0</v>
      </c>
      <c r="BW64" s="23">
        <f>IF($O64=BW$2,IF($Q64=$AD$2,2*$P64)) + IF($R64=BW$2,IF($T64=$AD$2,2*$S64)) + IF($U64=BW$2,IF($W64=$AD$2,2*$V64))</f>
        <v>0</v>
      </c>
      <c r="BX64" s="71">
        <f>IF($O64=BX$2,IF($Q64=$AD$2,12*$P64)) + IF($R64=BX$2,IF($T64=$AD$2,12*$S64)) + IF($U64=BX$2,IF($W64=$AD$2,12*$V64))</f>
        <v>0</v>
      </c>
      <c r="BZ64" s="89">
        <f>IF($O64=BZ$2,IF($Q64=Armory,$P64)) + IF($R64=BZ$2,IF($T64=Armory,$S64)) + IF($U64=BZ$2,IF($W64=Armory,$V64))</f>
        <v>0</v>
      </c>
      <c r="CA64" s="23">
        <f>IF($O64=CA$2,IF($Q64=Armory,2*$P64)) + IF($R64=CA$2,IF($T64=Armory,2*$S64)) + IF($U64=CA$2,IF($W64=Armory,2*$V64))</f>
        <v>0</v>
      </c>
      <c r="CB64" s="23">
        <f>IF($O64=CB$2,IF($Q64=Armory,2*$P64)) + IF($R64=CB$2,IF($T64=Armory,2*$S64)) + IF($U64=CB$2,IF($W64=Armory,2*$V64))</f>
        <v>0</v>
      </c>
      <c r="CC64" s="71">
        <f>IF($O64=CC$2,IF($Q64=Armory,12*$P64)) + IF($R64=CC$2,IF($T64=Armory,12*$S64)) + IF($U64=CC$2,IF($W64=Armory,12*$V64))</f>
        <v>0</v>
      </c>
      <c r="CE64" s="89">
        <f>IF($O64=CE$2,IF($Q64=Infirmary,$P64)) + IF($R64=CE$2,IF($T64=Infirmary,$S64)) + IF($U64=CE$2,IF($W64=Infirmary,$V64))</f>
        <v>0</v>
      </c>
      <c r="CF64" s="23">
        <f>IF($O64=CF$2,IF($Q64=Infirmary,2*$P64)) + IF($R64=CF$2,IF($T64=Infirmary,2*$S64)) + IF($U64=CF$2,IF($W64=Infirmary,2*$V64))</f>
        <v>0</v>
      </c>
      <c r="CG64" s="23">
        <f>IF($O64=CG$2,IF($Q64=Infirmary,2*$P64)) + IF($R64=CG$2,IF($T64=Infirmary,2*$S64)) + IF($U64=CG$2,IF($W64=Infirmary,2*$V64))</f>
        <v>0</v>
      </c>
      <c r="CH64" s="71">
        <f>IF($O64=CH$2,IF($Q64=Infirmary,12*$P64)) + IF($R64=CH$2,IF($T64=Infirmary,12*$S64)) + IF($U64=CH$2,IF($W64=Infirmary,12*$V64))</f>
        <v>0</v>
      </c>
      <c r="CJ64" s="70" t="e">
        <f>OR(Production!C64,Construction!N64:'Construction'!AF64,Construction!BV64:CN64,Explore!S64:Z64,Military!AF64:AL64,Military!X64,Military!BE64:BL64,Rezone!L64:R64,Magic!G64:Q64)</f>
        <v>#VALUE!</v>
      </c>
      <c r="CK64" s="526">
        <f>M64</f>
        <v>0</v>
      </c>
      <c r="CL64" s="526"/>
      <c r="CM64" s="557">
        <f t="shared" si="20"/>
        <v>43768.635416666519</v>
      </c>
      <c r="CN64" s="565">
        <f t="shared" si="21"/>
        <v>43768.468749999854</v>
      </c>
      <c r="CO64" s="627"/>
      <c r="CP64" s="805"/>
      <c r="CQ64" s="810"/>
    </row>
    <row r="65" spans="1:98" s="16" customFormat="1" x14ac:dyDescent="0.25">
      <c r="A65" s="511">
        <f>Construction!E65</f>
        <v>1000</v>
      </c>
      <c r="C65" s="56">
        <f ca="1">Production!H65</f>
        <v>4786181</v>
      </c>
      <c r="D65" s="26">
        <f ca="1">Production!J65</f>
        <v>306307</v>
      </c>
      <c r="E65" s="26">
        <f ca="1">Production!L65</f>
        <v>300000</v>
      </c>
      <c r="F65" s="57">
        <f ca="1">Production!M65</f>
        <v>20000</v>
      </c>
      <c r="G65" s="26"/>
      <c r="H65" s="56">
        <f ca="1">Military!Z65</f>
        <v>5295</v>
      </c>
      <c r="I65" s="538">
        <f ca="1">Population!I65</f>
        <v>1</v>
      </c>
      <c r="J65" s="165">
        <f ca="1">Population!F65/Population!U65</f>
        <v>1</v>
      </c>
      <c r="K65" s="1000">
        <f>Rezone!J65</f>
        <v>63</v>
      </c>
      <c r="L65" s="582">
        <f t="shared" si="19"/>
        <v>43768.645833333183</v>
      </c>
      <c r="M65" s="316">
        <f t="shared" si="22"/>
        <v>0</v>
      </c>
      <c r="N65" s="638">
        <f t="shared" si="23"/>
        <v>1000</v>
      </c>
      <c r="O65" s="423" t="s">
        <v>4</v>
      </c>
      <c r="P65" s="370"/>
      <c r="Q65" s="424" t="s">
        <v>223</v>
      </c>
      <c r="R65" s="423" t="s">
        <v>7</v>
      </c>
      <c r="S65" s="370"/>
      <c r="T65" s="425" t="s">
        <v>223</v>
      </c>
      <c r="U65" s="424" t="s">
        <v>3</v>
      </c>
      <c r="V65" s="370"/>
      <c r="W65" s="425" t="s">
        <v>223</v>
      </c>
      <c r="Y65" s="522">
        <f ca="1">science_cap*(1-EXP(-AH65/(science_param*($A66-Explore!$S66*20)+15000)))*(1+(mason_bonus*Construction!BB65/Construction!BS65))+IF(Overview!$B$14="Beastfolk",Construction!DA65/Construction!E65,0)*(1 + Production!O65/100*prestige_pop_multiplier)</f>
        <v>0</v>
      </c>
      <c r="Z65" s="284">
        <f ca="1">keep_cap*(1-EXP(-AI65/(keep_param*($A66-Explore!$S66*20)+15000)))*(1+(mason_bonus*Construction!BB65/Construction!BS65))+IF(Overview!$B$14="Beastfolk",Construction!DF65/Construction!E65,0)*(1 + Production!O65/100*prestige_pop_multiplier)</f>
        <v>0</v>
      </c>
      <c r="AA65" s="284">
        <f ca="1">harbor_towers_cap*(1-EXP(-AJ65/(harbor_towers_param*($A66-Explore!$S66*20)+15000)))*(1+(mason_bonus*Construction!BB65/Construction!BS65))+IF(Overview!$B$14="Beastfolk",2*Construction!DC65/Construction!E65,0)*(1 + Production!O65/100*prestige_pop_multiplier)</f>
        <v>0</v>
      </c>
      <c r="AB65" s="284">
        <f ca="1">walls_forges_cap*(1-EXP(-AK65/(walls_forges_param*($A66-Explore!$S66*20)+15000)))*(1+(mason_bonus*Construction!BB65/Construction!BS65))+IF(Overview!$B$14="Beastfolk",0.2*Construction!CY65/Construction!E65,0)</f>
        <v>0</v>
      </c>
      <c r="AC65" s="284">
        <f ca="1">walls_forges_cap*(1-EXP(-AL65/(walls_forges_param*($A66-Explore!$S66*20)+15000)))*(1+(mason_bonus*Construction!BB65/Construction!BS65))+IF(Overview!$B$14="Beastfolk",5*Construction!DB65/Construction!E65,0)</f>
        <v>0</v>
      </c>
      <c r="AD65" s="97">
        <f ca="1">harbor_towers_cap*(1-EXP(-AM65/(harbor_towers_param*($A66-Explore!$S66*20)+15000)))*(1+(mason_bonus*Construction!BB65/Construction!BS65))+IF(Overview!$B$14="Beastfolk",Construction!DE65/Construction!E65)*(1 + Production!O65/100*prestige_pop_multiplier)</f>
        <v>0</v>
      </c>
      <c r="AE65" s="97">
        <f ca="1">armory_cap*(1-EXP(-AN65/(armory_param*($A66-Explore!$S66*20)+15000)))*(1+(mason_bonus*Construction!$BB65/Construction!$BS65))</f>
        <v>0</v>
      </c>
      <c r="AF65" s="97">
        <f ca="1">infirmary_cap*(1-EXP(-AO65/(infirmary_param*($A66-Explore!$S66*20)+15000)))*(1+(mason_bonus*Construction!$BB65/Construction!$BS65))</f>
        <v>0</v>
      </c>
      <c r="AH65" s="56">
        <f ca="1">(1+Overview!$O$28+IF(Magic!BA65&gt;0,0.1,0))*SUM(AV65:AY65) + AH64</f>
        <v>0</v>
      </c>
      <c r="AI65" s="26">
        <f ca="1">(1+Overview!$O$28+IF(Magic!BA65&gt;0,0.1,0))*SUM(BA65:BD65) + AI64</f>
        <v>0</v>
      </c>
      <c r="AJ65" s="164">
        <f ca="1">(1+Overview!$O$28+IF(Magic!BA65&gt;0,0.1,0))*SUM(BF65:BI65) + AJ64</f>
        <v>0</v>
      </c>
      <c r="AK65" s="164">
        <f ca="1">(1+Overview!$O$28+IF(Magic!BA65&gt;0,0.1,0))*SUM(BK65:BN65) + AK64</f>
        <v>0</v>
      </c>
      <c r="AL65" s="164">
        <f ca="1">(1+Overview!$O$28+IF(Magic!BA65&gt;0,0.1,0))*SUM(BP65:BS65) + AL64</f>
        <v>0</v>
      </c>
      <c r="AM65" s="166">
        <f ca="1">(1+Overview!$O$28+IF(Magic!BA65&gt;0,0.1,0))*SUM(BU65:BX65) + AM64</f>
        <v>0</v>
      </c>
      <c r="AN65" s="166">
        <f ca="1">(1+Overview!$O$28+IF(Magic!BA65&gt;0,0.1,0))*SUM(BZ65:CC65)+AN64</f>
        <v>0</v>
      </c>
      <c r="AO65" s="164">
        <f ca="1">(1+Overview!$O$28+IF(Magic!BA65&gt;0,0.1,0))*SUM(CE65:CH65)+AO64</f>
        <v>0</v>
      </c>
      <c r="AQ65" s="52">
        <f t="shared" si="41"/>
        <v>0</v>
      </c>
      <c r="AR65" s="16">
        <f t="shared" si="41"/>
        <v>0</v>
      </c>
      <c r="AS65" s="16">
        <f t="shared" si="41"/>
        <v>0</v>
      </c>
      <c r="AT65" s="53">
        <f t="shared" si="41"/>
        <v>0</v>
      </c>
      <c r="AV65" s="56">
        <f t="shared" si="25"/>
        <v>0</v>
      </c>
      <c r="AW65" s="26">
        <f t="shared" si="42"/>
        <v>0</v>
      </c>
      <c r="AX65" s="26">
        <f t="shared" si="42"/>
        <v>0</v>
      </c>
      <c r="AY65" s="57">
        <f t="shared" si="27"/>
        <v>0</v>
      </c>
      <c r="BA65" s="56">
        <f t="shared" si="28"/>
        <v>0</v>
      </c>
      <c r="BB65" s="26">
        <f t="shared" si="43"/>
        <v>0</v>
      </c>
      <c r="BC65" s="26">
        <f t="shared" si="43"/>
        <v>0</v>
      </c>
      <c r="BD65" s="57">
        <f t="shared" si="30"/>
        <v>0</v>
      </c>
      <c r="BF65" s="56">
        <f t="shared" si="31"/>
        <v>0</v>
      </c>
      <c r="BG65" s="26">
        <f t="shared" si="32"/>
        <v>0</v>
      </c>
      <c r="BH65" s="26">
        <f t="shared" si="40"/>
        <v>0</v>
      </c>
      <c r="BI65" s="57">
        <f t="shared" si="33"/>
        <v>0</v>
      </c>
      <c r="BK65" s="56">
        <f t="shared" si="34"/>
        <v>0</v>
      </c>
      <c r="BL65" s="26">
        <f t="shared" si="44"/>
        <v>0</v>
      </c>
      <c r="BM65" s="26">
        <f t="shared" si="44"/>
        <v>0</v>
      </c>
      <c r="BN65" s="57">
        <f t="shared" si="36"/>
        <v>0</v>
      </c>
      <c r="BP65" s="56">
        <f t="shared" si="37"/>
        <v>0</v>
      </c>
      <c r="BQ65" s="26">
        <f t="shared" si="45"/>
        <v>0</v>
      </c>
      <c r="BR65" s="26">
        <f t="shared" si="45"/>
        <v>0</v>
      </c>
      <c r="BS65" s="57">
        <f t="shared" si="39"/>
        <v>0</v>
      </c>
      <c r="BU65" s="56">
        <f>IF($O65=BU$2,IF($Q65=$AD$2,$P65)) + IF($R65=BU$2,IF($T65=$AD$2,$S65)) + IF($U65=BU$2,IF($W65=$AD$2,$V65))</f>
        <v>0</v>
      </c>
      <c r="BV65" s="26">
        <f>IF($O65=BV$2,IF($Q65=$AD$2,2*$P65)) + IF($R65=BV$2,IF($T65=$AD$2,2*$S65)) + IF($U65=BV$2,IF($W65=$AD$2,2*$V65))</f>
        <v>0</v>
      </c>
      <c r="BW65" s="26">
        <f>IF($O65=BW$2,IF($Q65=$AD$2,2*$P65)) + IF($R65=BW$2,IF($T65=$AD$2,2*$S65)) + IF($U65=BW$2,IF($W65=$AD$2,2*$V65))</f>
        <v>0</v>
      </c>
      <c r="BX65" s="57">
        <f>IF($O65=BX$2,IF($Q65=$AD$2,12*$P65)) + IF($R65=BX$2,IF($T65=$AD$2,12*$S65)) + IF($U65=BX$2,IF($W65=$AD$2,12*$V65))</f>
        <v>0</v>
      </c>
      <c r="BZ65" s="56">
        <f>IF($O65=BZ$2,IF($Q65=Armory,$P65)) + IF($R65=BZ$2,IF($T65=Armory,$S65)) + IF($U65=BZ$2,IF($W65=Armory,$V65))</f>
        <v>0</v>
      </c>
      <c r="CA65" s="26">
        <f>IF($O65=CA$2,IF($Q65=Armory,2*$P65)) + IF($R65=CA$2,IF($T65=Armory,2*$S65)) + IF($U65=CA$2,IF($W65=Armory,2*$V65))</f>
        <v>0</v>
      </c>
      <c r="CB65" s="26">
        <f>IF($O65=CB$2,IF($Q65=Armory,2*$P65)) + IF($R65=CB$2,IF($T65=Armory,2*$S65)) + IF($U65=CB$2,IF($W65=Armory,2*$V65))</f>
        <v>0</v>
      </c>
      <c r="CC65" s="57">
        <f>IF($O65=CC$2,IF($Q65=Armory,12*$P65)) + IF($R65=CC$2,IF($T65=Armory,12*$S65)) + IF($U65=CC$2,IF($W65=Armory,12*$V65))</f>
        <v>0</v>
      </c>
      <c r="CE65" s="56">
        <f>IF($O65=CE$2,IF($Q65=Infirmary,$P65)) + IF($R65=CE$2,IF($T65=Infirmary,$S65)) + IF($U65=CE$2,IF($W65=Infirmary,$V65))</f>
        <v>0</v>
      </c>
      <c r="CF65" s="26">
        <f>IF($O65=CF$2,IF($Q65=Infirmary,2*$P65)) + IF($R65=CF$2,IF($T65=Infirmary,2*$S65)) + IF($U65=CF$2,IF($W65=Infirmary,2*$V65))</f>
        <v>0</v>
      </c>
      <c r="CG65" s="26">
        <f>IF($O65=CG$2,IF($Q65=Infirmary,2*$P65)) + IF($R65=CG$2,IF($T65=Infirmary,2*$S65)) + IF($U65=CG$2,IF($W65=Infirmary,2*$V65))</f>
        <v>0</v>
      </c>
      <c r="CH65" s="57">
        <f>IF($O65=CH$2,IF($Q65=Infirmary,12*$P65)) + IF($R65=CH$2,IF($T65=Infirmary,12*$S65)) + IF($U65=CH$2,IF($W65=Infirmary,12*$V65))</f>
        <v>0</v>
      </c>
      <c r="CJ65" s="52" t="e">
        <f>OR(Production!C65,Construction!N65:'Construction'!AF65,Construction!BV65:CN65,Explore!S65:Z65,Military!AF65:AL65,Military!X65,Military!BE65:BL65,Rezone!L65:R65,Magic!G65:Q65)</f>
        <v>#VALUE!</v>
      </c>
      <c r="CK65" s="525">
        <f>M65</f>
        <v>0</v>
      </c>
      <c r="CL65" s="525"/>
      <c r="CM65" s="555">
        <f t="shared" si="20"/>
        <v>43768.645833333183</v>
      </c>
      <c r="CN65" s="563">
        <f t="shared" si="21"/>
        <v>43768.479166666519</v>
      </c>
      <c r="CO65" s="802"/>
      <c r="CP65" s="803"/>
      <c r="CQ65" s="808"/>
    </row>
    <row r="66" spans="1:98" s="16" customFormat="1" x14ac:dyDescent="0.25">
      <c r="A66" s="511">
        <f>Construction!E66</f>
        <v>1000</v>
      </c>
      <c r="C66" s="56">
        <f ca="1">Production!H66</f>
        <v>4791162</v>
      </c>
      <c r="D66" s="26">
        <f ca="1">Production!J66</f>
        <v>305744</v>
      </c>
      <c r="E66" s="26">
        <f ca="1">Production!L66</f>
        <v>300000</v>
      </c>
      <c r="F66" s="57">
        <f ca="1">Production!M66</f>
        <v>20000</v>
      </c>
      <c r="G66" s="26"/>
      <c r="H66" s="56">
        <f ca="1">Military!Z66</f>
        <v>5295</v>
      </c>
      <c r="I66" s="538">
        <f ca="1">Population!I66</f>
        <v>1</v>
      </c>
      <c r="J66" s="165">
        <f ca="1">Population!F66/Population!U66</f>
        <v>1</v>
      </c>
      <c r="K66" s="1000">
        <f>Rezone!J66</f>
        <v>64</v>
      </c>
      <c r="L66" s="582">
        <f t="shared" si="19"/>
        <v>43768.656249999847</v>
      </c>
      <c r="M66" s="316">
        <f t="shared" si="22"/>
        <v>0</v>
      </c>
      <c r="N66" s="638">
        <f t="shared" si="23"/>
        <v>1000</v>
      </c>
      <c r="O66" s="423" t="s">
        <v>4</v>
      </c>
      <c r="P66" s="370"/>
      <c r="Q66" s="424" t="s">
        <v>223</v>
      </c>
      <c r="R66" s="423" t="s">
        <v>7</v>
      </c>
      <c r="S66" s="370"/>
      <c r="T66" s="425" t="s">
        <v>223</v>
      </c>
      <c r="U66" s="424" t="s">
        <v>3</v>
      </c>
      <c r="V66" s="370"/>
      <c r="W66" s="425" t="s">
        <v>223</v>
      </c>
      <c r="Y66" s="522">
        <f ca="1">science_cap*(1-EXP(-AH66/(science_param*($A67-Explore!$S67*20)+15000)))*(1+(mason_bonus*Construction!BB66/Construction!BS66))+IF(Overview!$B$14="Beastfolk",Construction!DA66/Construction!E66,0)*(1 + Production!O66/100*prestige_pop_multiplier)</f>
        <v>0</v>
      </c>
      <c r="Z66" s="284">
        <f ca="1">keep_cap*(1-EXP(-AI66/(keep_param*($A67-Explore!$S67*20)+15000)))*(1+(mason_bonus*Construction!BB66/Construction!BS66))+IF(Overview!$B$14="Beastfolk",Construction!DF66/Construction!E66,0)*(1 + Production!O66/100*prestige_pop_multiplier)</f>
        <v>0</v>
      </c>
      <c r="AA66" s="284">
        <f ca="1">harbor_towers_cap*(1-EXP(-AJ66/(harbor_towers_param*($A67-Explore!$S67*20)+15000)))*(1+(mason_bonus*Construction!BB66/Construction!BS66))+IF(Overview!$B$14="Beastfolk",2*Construction!DC66/Construction!E66,0)*(1 + Production!O66/100*prestige_pop_multiplier)</f>
        <v>0</v>
      </c>
      <c r="AB66" s="284">
        <f ca="1">walls_forges_cap*(1-EXP(-AK66/(walls_forges_param*($A67-Explore!$S67*20)+15000)))*(1+(mason_bonus*Construction!BB66/Construction!BS66))+IF(Overview!$B$14="Beastfolk",0.2*Construction!CY66/Construction!E66,0)</f>
        <v>0</v>
      </c>
      <c r="AC66" s="284">
        <f ca="1">walls_forges_cap*(1-EXP(-AL66/(walls_forges_param*($A67-Explore!$S67*20)+15000)))*(1+(mason_bonus*Construction!BB66/Construction!BS66))+IF(Overview!$B$14="Beastfolk",5*Construction!DB66/Construction!E66,0)</f>
        <v>0</v>
      </c>
      <c r="AD66" s="97">
        <f ca="1">harbor_towers_cap*(1-EXP(-AM66/(harbor_towers_param*($A67-Explore!$S67*20)+15000)))*(1+(mason_bonus*Construction!BB66/Construction!BS66))+IF(Overview!$B$14="Beastfolk",Construction!DE66/Construction!E66)*(1 + Production!O66/100*prestige_pop_multiplier)</f>
        <v>0</v>
      </c>
      <c r="AE66" s="97">
        <f ca="1">armory_cap*(1-EXP(-AN66/(armory_param*($A67-Explore!$S67*20)+15000)))*(1+(mason_bonus*Construction!$BB66/Construction!$BS66))</f>
        <v>0</v>
      </c>
      <c r="AF66" s="97">
        <f ca="1">infirmary_cap*(1-EXP(-AO66/(infirmary_param*($A67-Explore!$S67*20)+15000)))*(1+(mason_bonus*Construction!$BB66/Construction!$BS66))</f>
        <v>0</v>
      </c>
      <c r="AH66" s="56">
        <f ca="1">(1+Overview!$O$28+IF(Magic!BA66&gt;0,0.1,0))*SUM(AV66:AY66) + AH65</f>
        <v>0</v>
      </c>
      <c r="AI66" s="26">
        <f ca="1">(1+Overview!$O$28+IF(Magic!BA66&gt;0,0.1,0))*SUM(BA66:BD66) + AI65</f>
        <v>0</v>
      </c>
      <c r="AJ66" s="164">
        <f ca="1">(1+Overview!$O$28+IF(Magic!BA66&gt;0,0.1,0))*SUM(BF66:BI66) + AJ65</f>
        <v>0</v>
      </c>
      <c r="AK66" s="164">
        <f ca="1">(1+Overview!$O$28+IF(Magic!BA66&gt;0,0.1,0))*SUM(BK66:BN66) + AK65</f>
        <v>0</v>
      </c>
      <c r="AL66" s="164">
        <f ca="1">(1+Overview!$O$28+IF(Magic!BA66&gt;0,0.1,0))*SUM(BP66:BS66) + AL65</f>
        <v>0</v>
      </c>
      <c r="AM66" s="166">
        <f ca="1">(1+Overview!$O$28+IF(Magic!BA66&gt;0,0.1,0))*SUM(BU66:BX66) + AM65</f>
        <v>0</v>
      </c>
      <c r="AN66" s="166">
        <f ca="1">(1+Overview!$O$28+IF(Magic!BA66&gt;0,0.1,0))*SUM(BZ66:CC66)+AN65</f>
        <v>0</v>
      </c>
      <c r="AO66" s="164">
        <f ca="1">(1+Overview!$O$28+IF(Magic!BA66&gt;0,0.1,0))*SUM(CE66:CH66)+AO65</f>
        <v>0</v>
      </c>
      <c r="AQ66" s="52">
        <f t="shared" si="41"/>
        <v>0</v>
      </c>
      <c r="AR66" s="16">
        <f t="shared" si="41"/>
        <v>0</v>
      </c>
      <c r="AS66" s="16">
        <f t="shared" si="41"/>
        <v>0</v>
      </c>
      <c r="AT66" s="53">
        <f t="shared" si="41"/>
        <v>0</v>
      </c>
      <c r="AV66" s="56">
        <f t="shared" si="25"/>
        <v>0</v>
      </c>
      <c r="AW66" s="26">
        <f t="shared" si="42"/>
        <v>0</v>
      </c>
      <c r="AX66" s="26">
        <f t="shared" si="42"/>
        <v>0</v>
      </c>
      <c r="AY66" s="57">
        <f t="shared" si="27"/>
        <v>0</v>
      </c>
      <c r="BA66" s="56">
        <f t="shared" si="28"/>
        <v>0</v>
      </c>
      <c r="BB66" s="26">
        <f t="shared" si="43"/>
        <v>0</v>
      </c>
      <c r="BC66" s="26">
        <f t="shared" si="43"/>
        <v>0</v>
      </c>
      <c r="BD66" s="57">
        <f t="shared" si="30"/>
        <v>0</v>
      </c>
      <c r="BF66" s="56">
        <f t="shared" si="31"/>
        <v>0</v>
      </c>
      <c r="BG66" s="26">
        <f t="shared" si="32"/>
        <v>0</v>
      </c>
      <c r="BH66" s="26">
        <f t="shared" si="40"/>
        <v>0</v>
      </c>
      <c r="BI66" s="57">
        <f t="shared" si="33"/>
        <v>0</v>
      </c>
      <c r="BK66" s="56">
        <f t="shared" si="34"/>
        <v>0</v>
      </c>
      <c r="BL66" s="26">
        <f t="shared" si="44"/>
        <v>0</v>
      </c>
      <c r="BM66" s="26">
        <f t="shared" si="44"/>
        <v>0</v>
      </c>
      <c r="BN66" s="57">
        <f t="shared" si="36"/>
        <v>0</v>
      </c>
      <c r="BP66" s="56">
        <f t="shared" si="37"/>
        <v>0</v>
      </c>
      <c r="BQ66" s="26">
        <f t="shared" si="45"/>
        <v>0</v>
      </c>
      <c r="BR66" s="26">
        <f t="shared" si="45"/>
        <v>0</v>
      </c>
      <c r="BS66" s="57">
        <f t="shared" si="39"/>
        <v>0</v>
      </c>
      <c r="BU66" s="56">
        <f>IF($O66=BU$2,IF($Q66=$AD$2,$P66)) + IF($R66=BU$2,IF($T66=$AD$2,$S66)) + IF($U66=BU$2,IF($W66=$AD$2,$V66))</f>
        <v>0</v>
      </c>
      <c r="BV66" s="26">
        <f>IF($O66=BV$2,IF($Q66=$AD$2,2*$P66)) + IF($R66=BV$2,IF($T66=$AD$2,2*$S66)) + IF($U66=BV$2,IF($W66=$AD$2,2*$V66))</f>
        <v>0</v>
      </c>
      <c r="BW66" s="26">
        <f>IF($O66=BW$2,IF($Q66=$AD$2,2*$P66)) + IF($R66=BW$2,IF($T66=$AD$2,2*$S66)) + IF($U66=BW$2,IF($W66=$AD$2,2*$V66))</f>
        <v>0</v>
      </c>
      <c r="BX66" s="57">
        <f>IF($O66=BX$2,IF($Q66=$AD$2,12*$P66)) + IF($R66=BX$2,IF($T66=$AD$2,12*$S66)) + IF($U66=BX$2,IF($W66=$AD$2,12*$V66))</f>
        <v>0</v>
      </c>
      <c r="BZ66" s="56">
        <f>IF($O66=BZ$2,IF($Q66=Armory,$P66)) + IF($R66=BZ$2,IF($T66=Armory,$S66)) + IF($U66=BZ$2,IF($W66=Armory,$V66))</f>
        <v>0</v>
      </c>
      <c r="CA66" s="26">
        <f>IF($O66=CA$2,IF($Q66=Armory,2*$P66)) + IF($R66=CA$2,IF($T66=Armory,2*$S66)) + IF($U66=CA$2,IF($W66=Armory,2*$V66))</f>
        <v>0</v>
      </c>
      <c r="CB66" s="26">
        <f>IF($O66=CB$2,IF($Q66=Armory,2*$P66)) + IF($R66=CB$2,IF($T66=Armory,2*$S66)) + IF($U66=CB$2,IF($W66=Armory,2*$V66))</f>
        <v>0</v>
      </c>
      <c r="CC66" s="57">
        <f>IF($O66=CC$2,IF($Q66=Armory,12*$P66)) + IF($R66=CC$2,IF($T66=Armory,12*$S66)) + IF($U66=CC$2,IF($W66=Armory,12*$V66))</f>
        <v>0</v>
      </c>
      <c r="CE66" s="56">
        <f>IF($O66=CE$2,IF($Q66=Infirmary,$P66)) + IF($R66=CE$2,IF($T66=Infirmary,$S66)) + IF($U66=CE$2,IF($W66=Infirmary,$V66))</f>
        <v>0</v>
      </c>
      <c r="CF66" s="26">
        <f>IF($O66=CF$2,IF($Q66=Infirmary,2*$P66)) + IF($R66=CF$2,IF($T66=Infirmary,2*$S66)) + IF($U66=CF$2,IF($W66=Infirmary,2*$V66))</f>
        <v>0</v>
      </c>
      <c r="CG66" s="26">
        <f>IF($O66=CG$2,IF($Q66=Infirmary,2*$P66)) + IF($R66=CG$2,IF($T66=Infirmary,2*$S66)) + IF($U66=CG$2,IF($W66=Infirmary,2*$V66))</f>
        <v>0</v>
      </c>
      <c r="CH66" s="57">
        <f>IF($O66=CH$2,IF($Q66=Infirmary,12*$P66)) + IF($R66=CH$2,IF($T66=Infirmary,12*$S66)) + IF($U66=CH$2,IF($W66=Infirmary,12*$V66))</f>
        <v>0</v>
      </c>
      <c r="CJ66" s="52" t="e">
        <f>OR(Production!C66,Construction!N66:'Construction'!AF66,Construction!BV66:CN66,Explore!S66:Z66,Military!AF66:AL66,Military!X66,Military!BE66:BL66,Rezone!L66:R66,Magic!G66:Q66)</f>
        <v>#VALUE!</v>
      </c>
      <c r="CK66" s="525">
        <f>M66</f>
        <v>0</v>
      </c>
      <c r="CL66" s="525"/>
      <c r="CM66" s="555">
        <f t="shared" si="20"/>
        <v>43768.656249999847</v>
      </c>
      <c r="CN66" s="563">
        <f t="shared" si="21"/>
        <v>43768.489583333183</v>
      </c>
      <c r="CO66" s="527"/>
      <c r="CP66" s="803"/>
      <c r="CQ66" s="808"/>
    </row>
    <row r="67" spans="1:98" s="16" customFormat="1" x14ac:dyDescent="0.25">
      <c r="A67" s="511">
        <f>Construction!E67</f>
        <v>1000</v>
      </c>
      <c r="C67" s="56">
        <f ca="1">Production!H67</f>
        <v>4796143</v>
      </c>
      <c r="D67" s="26">
        <f ca="1">Production!J67</f>
        <v>305187</v>
      </c>
      <c r="E67" s="26">
        <f ca="1">Production!L67</f>
        <v>300000</v>
      </c>
      <c r="F67" s="57">
        <f ca="1">Production!M67</f>
        <v>20000</v>
      </c>
      <c r="G67" s="26"/>
      <c r="H67" s="56">
        <f ca="1">Military!Z67</f>
        <v>5295</v>
      </c>
      <c r="I67" s="538">
        <f ca="1">Population!I67</f>
        <v>1</v>
      </c>
      <c r="J67" s="165">
        <f ca="1">Population!F67/Population!U67</f>
        <v>1</v>
      </c>
      <c r="K67" s="1000">
        <f>Rezone!J67</f>
        <v>65</v>
      </c>
      <c r="L67" s="582">
        <f t="shared" si="19"/>
        <v>43768.666666666511</v>
      </c>
      <c r="M67" s="316">
        <f t="shared" si="22"/>
        <v>0</v>
      </c>
      <c r="N67" s="638">
        <f t="shared" si="23"/>
        <v>1000</v>
      </c>
      <c r="O67" s="423" t="s">
        <v>4</v>
      </c>
      <c r="P67" s="370"/>
      <c r="Q67" s="424" t="s">
        <v>223</v>
      </c>
      <c r="R67" s="423" t="s">
        <v>7</v>
      </c>
      <c r="S67" s="370"/>
      <c r="T67" s="425" t="s">
        <v>223</v>
      </c>
      <c r="U67" s="424" t="s">
        <v>3</v>
      </c>
      <c r="V67" s="370"/>
      <c r="W67" s="425" t="s">
        <v>223</v>
      </c>
      <c r="Y67" s="522">
        <f ca="1">science_cap*(1-EXP(-AH67/(science_param*($A68-Explore!$S68*20)+15000)))*(1+(mason_bonus*Construction!BB67/Construction!BS67))+IF(Overview!$B$14="Beastfolk",Construction!DA67/Construction!E67,0)*(1 + Production!O67/100*prestige_pop_multiplier)</f>
        <v>0</v>
      </c>
      <c r="Z67" s="284">
        <f ca="1">keep_cap*(1-EXP(-AI67/(keep_param*($A68-Explore!$S68*20)+15000)))*(1+(mason_bonus*Construction!BB67/Construction!BS67))+IF(Overview!$B$14="Beastfolk",Construction!DF67/Construction!E67,0)*(1 + Production!O67/100*prestige_pop_multiplier)</f>
        <v>0</v>
      </c>
      <c r="AA67" s="284">
        <f ca="1">harbor_towers_cap*(1-EXP(-AJ67/(harbor_towers_param*($A68-Explore!$S68*20)+15000)))*(1+(mason_bonus*Construction!BB67/Construction!BS67))+IF(Overview!$B$14="Beastfolk",2*Construction!DC67/Construction!E67,0)*(1 + Production!O67/100*prestige_pop_multiplier)</f>
        <v>0</v>
      </c>
      <c r="AB67" s="284">
        <f ca="1">walls_forges_cap*(1-EXP(-AK67/(walls_forges_param*($A68-Explore!$S68*20)+15000)))*(1+(mason_bonus*Construction!BB67/Construction!BS67))+IF(Overview!$B$14="Beastfolk",0.2*Construction!CY67/Construction!E67,0)</f>
        <v>0</v>
      </c>
      <c r="AC67" s="284">
        <f ca="1">walls_forges_cap*(1-EXP(-AL67/(walls_forges_param*($A68-Explore!$S68*20)+15000)))*(1+(mason_bonus*Construction!BB67/Construction!BS67))+IF(Overview!$B$14="Beastfolk",5*Construction!DB67/Construction!E67,0)</f>
        <v>0</v>
      </c>
      <c r="AD67" s="97">
        <f ca="1">harbor_towers_cap*(1-EXP(-AM67/(harbor_towers_param*($A68-Explore!$S68*20)+15000)))*(1+(mason_bonus*Construction!BB67/Construction!BS67))+IF(Overview!$B$14="Beastfolk",Construction!DE67/Construction!E67)*(1 + Production!O67/100*prestige_pop_multiplier)</f>
        <v>0</v>
      </c>
      <c r="AE67" s="97">
        <f ca="1">armory_cap*(1-EXP(-AN67/(armory_param*($A68-Explore!$S68*20)+15000)))*(1+(mason_bonus*Construction!$BB67/Construction!$BS67))</f>
        <v>0</v>
      </c>
      <c r="AF67" s="97">
        <f ca="1">infirmary_cap*(1-EXP(-AO67/(infirmary_param*($A68-Explore!$S68*20)+15000)))*(1+(mason_bonus*Construction!$BB67/Construction!$BS67))</f>
        <v>0</v>
      </c>
      <c r="AH67" s="56">
        <f ca="1">(1+Overview!$O$28+IF(Magic!BA67&gt;0,0.1,0))*SUM(AV67:AY67) + AH66</f>
        <v>0</v>
      </c>
      <c r="AI67" s="26">
        <f ca="1">(1+Overview!$O$28+IF(Magic!BA67&gt;0,0.1,0))*SUM(BA67:BD67) + AI66</f>
        <v>0</v>
      </c>
      <c r="AJ67" s="164">
        <f ca="1">(1+Overview!$O$28+IF(Magic!BA67&gt;0,0.1,0))*SUM(BF67:BI67) + AJ66</f>
        <v>0</v>
      </c>
      <c r="AK67" s="164">
        <f ca="1">(1+Overview!$O$28+IF(Magic!BA67&gt;0,0.1,0))*SUM(BK67:BN67) + AK66</f>
        <v>0</v>
      </c>
      <c r="AL67" s="164">
        <f ca="1">(1+Overview!$O$28+IF(Magic!BA67&gt;0,0.1,0))*SUM(BP67:BS67) + AL66</f>
        <v>0</v>
      </c>
      <c r="AM67" s="166">
        <f ca="1">(1+Overview!$O$28+IF(Magic!BA67&gt;0,0.1,0))*SUM(BU67:BX67) + AM66</f>
        <v>0</v>
      </c>
      <c r="AN67" s="166">
        <f ca="1">(1+Overview!$O$28+IF(Magic!BA67&gt;0,0.1,0))*SUM(BZ67:CC67)+AN66</f>
        <v>0</v>
      </c>
      <c r="AO67" s="164">
        <f ca="1">(1+Overview!$O$28+IF(Magic!BA67&gt;0,0.1,0))*SUM(CE67:CH67)+AO66</f>
        <v>0</v>
      </c>
      <c r="AQ67" s="52">
        <f t="shared" si="41"/>
        <v>0</v>
      </c>
      <c r="AR67" s="16">
        <f t="shared" si="41"/>
        <v>0</v>
      </c>
      <c r="AS67" s="16">
        <f t="shared" si="41"/>
        <v>0</v>
      </c>
      <c r="AT67" s="53">
        <f t="shared" si="41"/>
        <v>0</v>
      </c>
      <c r="AV67" s="56">
        <f t="shared" si="25"/>
        <v>0</v>
      </c>
      <c r="AW67" s="26">
        <f t="shared" si="42"/>
        <v>0</v>
      </c>
      <c r="AX67" s="26">
        <f t="shared" si="42"/>
        <v>0</v>
      </c>
      <c r="AY67" s="57">
        <f t="shared" si="27"/>
        <v>0</v>
      </c>
      <c r="BA67" s="56">
        <f t="shared" si="28"/>
        <v>0</v>
      </c>
      <c r="BB67" s="26">
        <f t="shared" si="43"/>
        <v>0</v>
      </c>
      <c r="BC67" s="26">
        <f t="shared" si="43"/>
        <v>0</v>
      </c>
      <c r="BD67" s="57">
        <f t="shared" si="30"/>
        <v>0</v>
      </c>
      <c r="BF67" s="56">
        <f t="shared" si="31"/>
        <v>0</v>
      </c>
      <c r="BG67" s="26">
        <f t="shared" si="32"/>
        <v>0</v>
      </c>
      <c r="BH67" s="26">
        <f t="shared" si="40"/>
        <v>0</v>
      </c>
      <c r="BI67" s="57">
        <f t="shared" si="33"/>
        <v>0</v>
      </c>
      <c r="BK67" s="56">
        <f t="shared" si="34"/>
        <v>0</v>
      </c>
      <c r="BL67" s="26">
        <f t="shared" si="44"/>
        <v>0</v>
      </c>
      <c r="BM67" s="26">
        <f t="shared" si="44"/>
        <v>0</v>
      </c>
      <c r="BN67" s="57">
        <f t="shared" si="36"/>
        <v>0</v>
      </c>
      <c r="BP67" s="56">
        <f t="shared" si="37"/>
        <v>0</v>
      </c>
      <c r="BQ67" s="26">
        <f t="shared" si="45"/>
        <v>0</v>
      </c>
      <c r="BR67" s="26">
        <f t="shared" si="45"/>
        <v>0</v>
      </c>
      <c r="BS67" s="57">
        <f t="shared" si="39"/>
        <v>0</v>
      </c>
      <c r="BU67" s="56">
        <f>IF($O67=BU$2,IF($Q67=$AD$2,$P67)) + IF($R67=BU$2,IF($T67=$AD$2,$S67)) + IF($U67=BU$2,IF($W67=$AD$2,$V67))</f>
        <v>0</v>
      </c>
      <c r="BV67" s="26">
        <f>IF($O67=BV$2,IF($Q67=$AD$2,2*$P67)) + IF($R67=BV$2,IF($T67=$AD$2,2*$S67)) + IF($U67=BV$2,IF($W67=$AD$2,2*$V67))</f>
        <v>0</v>
      </c>
      <c r="BW67" s="26">
        <f>IF($O67=BW$2,IF($Q67=$AD$2,2*$P67)) + IF($R67=BW$2,IF($T67=$AD$2,2*$S67)) + IF($U67=BW$2,IF($W67=$AD$2,2*$V67))</f>
        <v>0</v>
      </c>
      <c r="BX67" s="57">
        <f>IF($O67=BX$2,IF($Q67=$AD$2,12*$P67)) + IF($R67=BX$2,IF($T67=$AD$2,12*$S67)) + IF($U67=BX$2,IF($W67=$AD$2,12*$V67))</f>
        <v>0</v>
      </c>
      <c r="BZ67" s="56">
        <f>IF($O67=BZ$2,IF($Q67=Armory,$P67)) + IF($R67=BZ$2,IF($T67=Armory,$S67)) + IF($U67=BZ$2,IF($W67=Armory,$V67))</f>
        <v>0</v>
      </c>
      <c r="CA67" s="26">
        <f>IF($O67=CA$2,IF($Q67=Armory,2*$P67)) + IF($R67=CA$2,IF($T67=Armory,2*$S67)) + IF($U67=CA$2,IF($W67=Armory,2*$V67))</f>
        <v>0</v>
      </c>
      <c r="CB67" s="26">
        <f>IF($O67=CB$2,IF($Q67=Armory,2*$P67)) + IF($R67=CB$2,IF($T67=Armory,2*$S67)) + IF($U67=CB$2,IF($W67=Armory,2*$V67))</f>
        <v>0</v>
      </c>
      <c r="CC67" s="57">
        <f>IF($O67=CC$2,IF($Q67=Armory,12*$P67)) + IF($R67=CC$2,IF($T67=Armory,12*$S67)) + IF($U67=CC$2,IF($W67=Armory,12*$V67))</f>
        <v>0</v>
      </c>
      <c r="CE67" s="56">
        <f>IF($O67=CE$2,IF($Q67=Infirmary,$P67)) + IF($R67=CE$2,IF($T67=Infirmary,$S67)) + IF($U67=CE$2,IF($W67=Infirmary,$V67))</f>
        <v>0</v>
      </c>
      <c r="CF67" s="26">
        <f>IF($O67=CF$2,IF($Q67=Infirmary,2*$P67)) + IF($R67=CF$2,IF($T67=Infirmary,2*$S67)) + IF($U67=CF$2,IF($W67=Infirmary,2*$V67))</f>
        <v>0</v>
      </c>
      <c r="CG67" s="26">
        <f>IF($O67=CG$2,IF($Q67=Infirmary,2*$P67)) + IF($R67=CG$2,IF($T67=Infirmary,2*$S67)) + IF($U67=CG$2,IF($W67=Infirmary,2*$V67))</f>
        <v>0</v>
      </c>
      <c r="CH67" s="57">
        <f>IF($O67=CH$2,IF($Q67=Infirmary,12*$P67)) + IF($R67=CH$2,IF($T67=Infirmary,12*$S67)) + IF($U67=CH$2,IF($W67=Infirmary,12*$V67))</f>
        <v>0</v>
      </c>
      <c r="CJ67" s="52" t="e">
        <f>OR(Production!C67,Construction!N67:'Construction'!AF67,Construction!BV67:CN67,Explore!S67:Z67,Military!AF67:AL67,Military!X67,Military!BE67:BL67,Rezone!L67:R67,Magic!G67:Q67)</f>
        <v>#VALUE!</v>
      </c>
      <c r="CK67" s="525">
        <f>M67</f>
        <v>0</v>
      </c>
      <c r="CL67" s="525"/>
      <c r="CM67" s="555">
        <f t="shared" si="20"/>
        <v>43768.666666666511</v>
      </c>
      <c r="CN67" s="563">
        <f t="shared" si="21"/>
        <v>43768.499999999847</v>
      </c>
      <c r="CO67" s="527"/>
      <c r="CP67" s="803"/>
      <c r="CQ67" s="808"/>
    </row>
    <row r="68" spans="1:98" s="16" customFormat="1" x14ac:dyDescent="0.25">
      <c r="A68" s="511">
        <f>Construction!E68</f>
        <v>1000</v>
      </c>
      <c r="C68" s="56">
        <f ca="1">Production!H68</f>
        <v>4801124</v>
      </c>
      <c r="D68" s="26">
        <f ca="1">Production!J68</f>
        <v>304635</v>
      </c>
      <c r="E68" s="26">
        <f ca="1">Production!L68</f>
        <v>300000</v>
      </c>
      <c r="F68" s="57">
        <f ca="1">Production!M68</f>
        <v>20000</v>
      </c>
      <c r="G68" s="26"/>
      <c r="H68" s="56">
        <f ca="1">Military!Z68</f>
        <v>5295</v>
      </c>
      <c r="I68" s="538">
        <f ca="1">Population!I68</f>
        <v>1</v>
      </c>
      <c r="J68" s="165">
        <f ca="1">Population!F68/Population!U68</f>
        <v>1</v>
      </c>
      <c r="K68" s="1000">
        <f>Rezone!J68</f>
        <v>66</v>
      </c>
      <c r="L68" s="582">
        <f t="shared" si="19"/>
        <v>43768.677083333176</v>
      </c>
      <c r="M68" s="316">
        <f t="shared" si="22"/>
        <v>0</v>
      </c>
      <c r="N68" s="638">
        <f t="shared" ref="N68:N131" si="46">A68</f>
        <v>1000</v>
      </c>
      <c r="O68" s="423" t="s">
        <v>4</v>
      </c>
      <c r="P68" s="370"/>
      <c r="Q68" s="424" t="s">
        <v>223</v>
      </c>
      <c r="R68" s="423" t="s">
        <v>7</v>
      </c>
      <c r="S68" s="370"/>
      <c r="T68" s="425" t="s">
        <v>223</v>
      </c>
      <c r="U68" s="424" t="s">
        <v>3</v>
      </c>
      <c r="V68" s="370"/>
      <c r="W68" s="425" t="s">
        <v>223</v>
      </c>
      <c r="Y68" s="522">
        <f ca="1">science_cap*(1-EXP(-AH68/(science_param*($A69-Explore!$S69*20)+15000)))*(1+(mason_bonus*Construction!BB68/Construction!BS68))+IF(Overview!$B$14="Beastfolk",Construction!DA68/Construction!E68,0)*(1 + Production!O68/100*prestige_pop_multiplier)</f>
        <v>0</v>
      </c>
      <c r="Z68" s="284">
        <f ca="1">keep_cap*(1-EXP(-AI68/(keep_param*($A69-Explore!$S69*20)+15000)))*(1+(mason_bonus*Construction!BB68/Construction!BS68))+IF(Overview!$B$14="Beastfolk",Construction!DF68/Construction!E68,0)*(1 + Production!O68/100*prestige_pop_multiplier)</f>
        <v>0</v>
      </c>
      <c r="AA68" s="284">
        <f ca="1">harbor_towers_cap*(1-EXP(-AJ68/(harbor_towers_param*($A69-Explore!$S69*20)+15000)))*(1+(mason_bonus*Construction!BB68/Construction!BS68))+IF(Overview!$B$14="Beastfolk",2*Construction!DC68/Construction!E68,0)*(1 + Production!O68/100*prestige_pop_multiplier)</f>
        <v>0</v>
      </c>
      <c r="AB68" s="284">
        <f ca="1">walls_forges_cap*(1-EXP(-AK68/(walls_forges_param*($A69-Explore!$S69*20)+15000)))*(1+(mason_bonus*Construction!BB68/Construction!BS68))+IF(Overview!$B$14="Beastfolk",0.2*Construction!CY68/Construction!E68,0)</f>
        <v>0</v>
      </c>
      <c r="AC68" s="284">
        <f ca="1">walls_forges_cap*(1-EXP(-AL68/(walls_forges_param*($A69-Explore!$S69*20)+15000)))*(1+(mason_bonus*Construction!BB68/Construction!BS68))+IF(Overview!$B$14="Beastfolk",5*Construction!DB68/Construction!E68,0)</f>
        <v>0</v>
      </c>
      <c r="AD68" s="97">
        <f ca="1">harbor_towers_cap*(1-EXP(-AM68/(harbor_towers_param*($A69-Explore!$S69*20)+15000)))*(1+(mason_bonus*Construction!BB68/Construction!BS68))+IF(Overview!$B$14="Beastfolk",Construction!DE68/Construction!E68)*(1 + Production!O68/100*prestige_pop_multiplier)</f>
        <v>0</v>
      </c>
      <c r="AE68" s="97">
        <f ca="1">armory_cap*(1-EXP(-AN68/(armory_param*($A69-Explore!$S69*20)+15000)))*(1+(mason_bonus*Construction!$BB68/Construction!$BS68))</f>
        <v>0</v>
      </c>
      <c r="AF68" s="97">
        <f ca="1">infirmary_cap*(1-EXP(-AO68/(infirmary_param*($A69-Explore!$S69*20)+15000)))*(1+(mason_bonus*Construction!$BB68/Construction!$BS68))</f>
        <v>0</v>
      </c>
      <c r="AH68" s="56">
        <f ca="1">(1+Overview!$O$28+IF(Magic!BA68&gt;0,0.1,0))*SUM(AV68:AY68) + AH67</f>
        <v>0</v>
      </c>
      <c r="AI68" s="26">
        <f ca="1">(1+Overview!$O$28+IF(Magic!BA68&gt;0,0.1,0))*SUM(BA68:BD68) + AI67</f>
        <v>0</v>
      </c>
      <c r="AJ68" s="164">
        <f ca="1">(1+Overview!$O$28+IF(Magic!BA68&gt;0,0.1,0))*SUM(BF68:BI68) + AJ67</f>
        <v>0</v>
      </c>
      <c r="AK68" s="164">
        <f ca="1">(1+Overview!$O$28+IF(Magic!BA68&gt;0,0.1,0))*SUM(BK68:BN68) + AK67</f>
        <v>0</v>
      </c>
      <c r="AL68" s="164">
        <f ca="1">(1+Overview!$O$28+IF(Magic!BA68&gt;0,0.1,0))*SUM(BP68:BS68) + AL67</f>
        <v>0</v>
      </c>
      <c r="AM68" s="166">
        <f ca="1">(1+Overview!$O$28+IF(Magic!BA68&gt;0,0.1,0))*SUM(BU68:BX68) + AM67</f>
        <v>0</v>
      </c>
      <c r="AN68" s="166">
        <f ca="1">(1+Overview!$O$28+IF(Magic!BA68&gt;0,0.1,0))*SUM(BZ68:CC68)+AN67</f>
        <v>0</v>
      </c>
      <c r="AO68" s="164">
        <f ca="1">(1+Overview!$O$28+IF(Magic!BA68&gt;0,0.1,0))*SUM(CE68:CH68)+AO67</f>
        <v>0</v>
      </c>
      <c r="AQ68" s="52">
        <f t="shared" si="41"/>
        <v>0</v>
      </c>
      <c r="AR68" s="16">
        <f t="shared" si="41"/>
        <v>0</v>
      </c>
      <c r="AS68" s="16">
        <f t="shared" si="41"/>
        <v>0</v>
      </c>
      <c r="AT68" s="53">
        <f t="shared" si="41"/>
        <v>0</v>
      </c>
      <c r="AV68" s="56">
        <f t="shared" ref="AV68:AV131" si="47">IF($O68=AV$2,IF($Q68=$Y$2,$P68)) + IF($R68=AV$2,IF($T68=$Y$2,$S68)) + IF($U68=AV$2,IF($W68=$Y$2,$V68))</f>
        <v>0</v>
      </c>
      <c r="AW68" s="26">
        <f t="shared" si="42"/>
        <v>0</v>
      </c>
      <c r="AX68" s="26">
        <f t="shared" si="42"/>
        <v>0</v>
      </c>
      <c r="AY68" s="57">
        <f t="shared" ref="AY68:AY131" si="48">IF($O68=AY$2,IF($Q68=$Y$2,12*$P68)) + IF($R68=AY$2,IF($T68=$Y$2,12*$S68)) + IF($U68=AY$2,IF($W68=$Y$2,12*$V68))</f>
        <v>0</v>
      </c>
      <c r="BA68" s="56">
        <f t="shared" ref="BA68:BA131" si="49">IF($O68=BA$2,IF($Q68=$Z$2,$P68)) + IF($R68=BA$2,IF($T68=$Z$2,$S68)) + IF($U68=BA$2,IF($W68=$Z$2,$V68))</f>
        <v>0</v>
      </c>
      <c r="BB68" s="26">
        <f t="shared" si="43"/>
        <v>0</v>
      </c>
      <c r="BC68" s="26">
        <f t="shared" si="43"/>
        <v>0</v>
      </c>
      <c r="BD68" s="57">
        <f t="shared" ref="BD68:BD131" si="50">IF($O68=BD$2,IF($Q68=$Z$2,12*$P68)) + IF($R68=BD$2,IF($T68=$Z$2,12*$S68)) + IF($U68=BD$2,IF($W68=$Z$2,12*$V68))</f>
        <v>0</v>
      </c>
      <c r="BF68" s="56">
        <f t="shared" ref="BF68:BF131" si="51">IF($O68=BF$2,IF($Q68=$AA$2,$P68)) + IF($R68=BF$2,IF($T68=$AA$2,$S68)) + IF($U68=BF$2,IF($W68=$AA$2,$V68))</f>
        <v>0</v>
      </c>
      <c r="BG68" s="26">
        <f t="shared" ref="BG68:BG131" si="52">IF($O68=BG$2,IF($Q68=$AA$2,2*$P68)) + IF($R68=BG$2,IF($T68=$AA$2,2*$S68)) + IF($U68=BG$2,IF($W68=$AA$2,2*$V68))</f>
        <v>0</v>
      </c>
      <c r="BH68" s="26">
        <f t="shared" si="40"/>
        <v>0</v>
      </c>
      <c r="BI68" s="57">
        <f t="shared" ref="BI68:BI131" si="53">IF($O68=BI$2,IF($Q68=$AA$2,12*$P68)) + IF($R68=BI$2,IF($T68=$AA$2,12*$S68)) + IF($U68=BI$2,IF($W68=$AA$2,12*$V68))</f>
        <v>0</v>
      </c>
      <c r="BK68" s="56">
        <f t="shared" ref="BK68:BK131" si="54">IF($O68=BK$2,IF($Q68=$AB$2,$P68)) + IF($R68=BK$2,IF($T68=$AB$2,$S68)) + IF($U68=BK$2,IF($W68=$AB$2,$V68))</f>
        <v>0</v>
      </c>
      <c r="BL68" s="26">
        <f t="shared" si="44"/>
        <v>0</v>
      </c>
      <c r="BM68" s="26">
        <f t="shared" si="44"/>
        <v>0</v>
      </c>
      <c r="BN68" s="57">
        <f t="shared" ref="BN68:BN131" si="55">IF($O68=BN$2,IF($Q68=$AB$2,12*$P68)) + IF($R68=BN$2,IF($T68=$AB$2,12*$S68)) + IF($U68=BN$2,IF($W68=$AB$2,12*$V68))</f>
        <v>0</v>
      </c>
      <c r="BP68" s="56">
        <f t="shared" ref="BP68:BP131" si="56">IF($O68=BP$2,IF($Q68=$AC$2,$P68)) + IF($R68=BP$2,IF($T68=$AC$2,$S68)) + IF($U68=BP$2,IF($W68=$AC$2,$V68))</f>
        <v>0</v>
      </c>
      <c r="BQ68" s="26">
        <f t="shared" si="45"/>
        <v>0</v>
      </c>
      <c r="BR68" s="26">
        <f t="shared" si="45"/>
        <v>0</v>
      </c>
      <c r="BS68" s="57">
        <f t="shared" ref="BS68:BS131" si="57">IF($O68=BS$2,IF($Q68=$AC$2,12*$P68)) + IF($R68=BS$2,IF($T68=$AC$2,12*$S68)) + IF($U68=BS$2,IF($W68=$AC$2,12*$V68))</f>
        <v>0</v>
      </c>
      <c r="BU68" s="56">
        <f>IF($O68=BU$2,IF($Q68=$AD$2,$P68)) + IF($R68=BU$2,IF($T68=$AD$2,$S68)) + IF($U68=BU$2,IF($W68=$AD$2,$V68))</f>
        <v>0</v>
      </c>
      <c r="BV68" s="26">
        <f>IF($O68=BV$2,IF($Q68=$AD$2,2*$P68)) + IF($R68=BV$2,IF($T68=$AD$2,2*$S68)) + IF($U68=BV$2,IF($W68=$AD$2,2*$V68))</f>
        <v>0</v>
      </c>
      <c r="BW68" s="26">
        <f>IF($O68=BW$2,IF($Q68=$AD$2,2*$P68)) + IF($R68=BW$2,IF($T68=$AD$2,2*$S68)) + IF($U68=BW$2,IF($W68=$AD$2,2*$V68))</f>
        <v>0</v>
      </c>
      <c r="BX68" s="57">
        <f>IF($O68=BX$2,IF($Q68=$AD$2,12*$P68)) + IF($R68=BX$2,IF($T68=$AD$2,12*$S68)) + IF($U68=BX$2,IF($W68=$AD$2,12*$V68))</f>
        <v>0</v>
      </c>
      <c r="BZ68" s="56">
        <f>IF($O68=BZ$2,IF($Q68=Armory,$P68)) + IF($R68=BZ$2,IF($T68=Armory,$S68)) + IF($U68=BZ$2,IF($W68=Armory,$V68))</f>
        <v>0</v>
      </c>
      <c r="CA68" s="26">
        <f>IF($O68=CA$2,IF($Q68=Armory,2*$P68)) + IF($R68=CA$2,IF($T68=Armory,2*$S68)) + IF($U68=CA$2,IF($W68=Armory,2*$V68))</f>
        <v>0</v>
      </c>
      <c r="CB68" s="26">
        <f>IF($O68=CB$2,IF($Q68=Armory,2*$P68)) + IF($R68=CB$2,IF($T68=Armory,2*$S68)) + IF($U68=CB$2,IF($W68=Armory,2*$V68))</f>
        <v>0</v>
      </c>
      <c r="CC68" s="57">
        <f>IF($O68=CC$2,IF($Q68=Armory,12*$P68)) + IF($R68=CC$2,IF($T68=Armory,12*$S68)) + IF($U68=CC$2,IF($W68=Armory,12*$V68))</f>
        <v>0</v>
      </c>
      <c r="CE68" s="56">
        <f>IF($O68=CE$2,IF($Q68=Infirmary,$P68)) + IF($R68=CE$2,IF($T68=Infirmary,$S68)) + IF($U68=CE$2,IF($W68=Infirmary,$V68))</f>
        <v>0</v>
      </c>
      <c r="CF68" s="26">
        <f>IF($O68=CF$2,IF($Q68=Infirmary,2*$P68)) + IF($R68=CF$2,IF($T68=Infirmary,2*$S68)) + IF($U68=CF$2,IF($W68=Infirmary,2*$V68))</f>
        <v>0</v>
      </c>
      <c r="CG68" s="26">
        <f>IF($O68=CG$2,IF($Q68=Infirmary,2*$P68)) + IF($R68=CG$2,IF($T68=Infirmary,2*$S68)) + IF($U68=CG$2,IF($W68=Infirmary,2*$V68))</f>
        <v>0</v>
      </c>
      <c r="CH68" s="57">
        <f>IF($O68=CH$2,IF($Q68=Infirmary,12*$P68)) + IF($R68=CH$2,IF($T68=Infirmary,12*$S68)) + IF($U68=CH$2,IF($W68=Infirmary,12*$V68))</f>
        <v>0</v>
      </c>
      <c r="CJ68" s="52" t="e">
        <f>OR(Production!C68,Construction!N68:'Construction'!AF68,Construction!BV68:CN68,Explore!S68:Z68,Military!AF68:AL68,Military!X68,Military!BE68:BL68,Rezone!L68:R68,Magic!G68:Q68)</f>
        <v>#VALUE!</v>
      </c>
      <c r="CK68" s="525">
        <f>M68</f>
        <v>0</v>
      </c>
      <c r="CL68" s="525"/>
      <c r="CM68" s="555">
        <f t="shared" si="20"/>
        <v>43768.677083333176</v>
      </c>
      <c r="CN68" s="563">
        <f t="shared" si="21"/>
        <v>43768.510416666511</v>
      </c>
      <c r="CO68" s="527"/>
      <c r="CP68" s="803"/>
      <c r="CQ68" s="808"/>
    </row>
    <row r="69" spans="1:98" s="16" customFormat="1" x14ac:dyDescent="0.25">
      <c r="A69" s="511">
        <f>Construction!E69</f>
        <v>1000</v>
      </c>
      <c r="C69" s="56">
        <f ca="1">Production!H69</f>
        <v>4806105</v>
      </c>
      <c r="D69" s="26">
        <f ca="1">Production!J69</f>
        <v>304089</v>
      </c>
      <c r="E69" s="26">
        <f ca="1">Production!L69</f>
        <v>300000</v>
      </c>
      <c r="F69" s="57">
        <f ca="1">Production!M69</f>
        <v>20000</v>
      </c>
      <c r="G69" s="26"/>
      <c r="H69" s="56">
        <f ca="1">Military!Z69</f>
        <v>5295</v>
      </c>
      <c r="I69" s="538">
        <f ca="1">Population!I69</f>
        <v>1</v>
      </c>
      <c r="J69" s="165">
        <f ca="1">Population!F69/Population!U69</f>
        <v>1</v>
      </c>
      <c r="K69" s="1000">
        <f>Rezone!J69</f>
        <v>67</v>
      </c>
      <c r="L69" s="582">
        <f t="shared" ref="L69:L132" si="58">L68+1/24/4</f>
        <v>43768.68749999984</v>
      </c>
      <c r="M69" s="316">
        <f t="shared" si="22"/>
        <v>0</v>
      </c>
      <c r="N69" s="638">
        <f t="shared" si="46"/>
        <v>1000</v>
      </c>
      <c r="O69" s="423" t="s">
        <v>4</v>
      </c>
      <c r="P69" s="370"/>
      <c r="Q69" s="424" t="s">
        <v>223</v>
      </c>
      <c r="R69" s="423" t="s">
        <v>7</v>
      </c>
      <c r="S69" s="370"/>
      <c r="T69" s="425" t="s">
        <v>223</v>
      </c>
      <c r="U69" s="424" t="s">
        <v>3</v>
      </c>
      <c r="V69" s="370"/>
      <c r="W69" s="425" t="s">
        <v>223</v>
      </c>
      <c r="Y69" s="522">
        <f ca="1">science_cap*(1-EXP(-AH69/(science_param*($A70-Explore!$S70*20)+15000)))*(1+(mason_bonus*Construction!BB69/Construction!BS69))+IF(Overview!$B$14="Beastfolk",Construction!DA69/Construction!E69,0)*(1 + Production!O69/100*prestige_pop_multiplier)</f>
        <v>0</v>
      </c>
      <c r="Z69" s="284">
        <f ca="1">keep_cap*(1-EXP(-AI69/(keep_param*($A70-Explore!$S70*20)+15000)))*(1+(mason_bonus*Construction!BB69/Construction!BS69))+IF(Overview!$B$14="Beastfolk",Construction!DF69/Construction!E69,0)*(1 + Production!O69/100*prestige_pop_multiplier)</f>
        <v>0</v>
      </c>
      <c r="AA69" s="284">
        <f ca="1">harbor_towers_cap*(1-EXP(-AJ69/(harbor_towers_param*($A70-Explore!$S70*20)+15000)))*(1+(mason_bonus*Construction!BB69/Construction!BS69))+IF(Overview!$B$14="Beastfolk",2*Construction!DC69/Construction!E69,0)*(1 + Production!O69/100*prestige_pop_multiplier)</f>
        <v>0</v>
      </c>
      <c r="AB69" s="284">
        <f ca="1">walls_forges_cap*(1-EXP(-AK69/(walls_forges_param*($A70-Explore!$S70*20)+15000)))*(1+(mason_bonus*Construction!BB69/Construction!BS69))+IF(Overview!$B$14="Beastfolk",0.2*Construction!CY69/Construction!E69,0)</f>
        <v>0</v>
      </c>
      <c r="AC69" s="284">
        <f ca="1">walls_forges_cap*(1-EXP(-AL69/(walls_forges_param*($A70-Explore!$S70*20)+15000)))*(1+(mason_bonus*Construction!BB69/Construction!BS69))+IF(Overview!$B$14="Beastfolk",5*Construction!DB69/Construction!E69,0)</f>
        <v>0</v>
      </c>
      <c r="AD69" s="97">
        <f ca="1">harbor_towers_cap*(1-EXP(-AM69/(harbor_towers_param*($A70-Explore!$S70*20)+15000)))*(1+(mason_bonus*Construction!BB69/Construction!BS69))+IF(Overview!$B$14="Beastfolk",Construction!DE69/Construction!E69)*(1 + Production!O69/100*prestige_pop_multiplier)</f>
        <v>0</v>
      </c>
      <c r="AE69" s="97">
        <f ca="1">armory_cap*(1-EXP(-AN69/(armory_param*($A70-Explore!$S70*20)+15000)))*(1+(mason_bonus*Construction!$BB69/Construction!$BS69))</f>
        <v>0</v>
      </c>
      <c r="AF69" s="97">
        <f ca="1">infirmary_cap*(1-EXP(-AO69/(infirmary_param*($A70-Explore!$S70*20)+15000)))*(1+(mason_bonus*Construction!$BB69/Construction!$BS69))</f>
        <v>0</v>
      </c>
      <c r="AH69" s="56">
        <f ca="1">(1+Overview!$O$28+IF(Magic!BA69&gt;0,0.1,0))*SUM(AV69:AY69) + AH68</f>
        <v>0</v>
      </c>
      <c r="AI69" s="26">
        <f ca="1">(1+Overview!$O$28+IF(Magic!BA69&gt;0,0.1,0))*SUM(BA69:BD69) + AI68</f>
        <v>0</v>
      </c>
      <c r="AJ69" s="164">
        <f ca="1">(1+Overview!$O$28+IF(Magic!BA69&gt;0,0.1,0))*SUM(BF69:BI69) + AJ68</f>
        <v>0</v>
      </c>
      <c r="AK69" s="164">
        <f ca="1">(1+Overview!$O$28+IF(Magic!BA69&gt;0,0.1,0))*SUM(BK69:BN69) + AK68</f>
        <v>0</v>
      </c>
      <c r="AL69" s="164">
        <f ca="1">(1+Overview!$O$28+IF(Magic!BA69&gt;0,0.1,0))*SUM(BP69:BS69) + AL68</f>
        <v>0</v>
      </c>
      <c r="AM69" s="166">
        <f ca="1">(1+Overview!$O$28+IF(Magic!BA69&gt;0,0.1,0))*SUM(BU69:BX69) + AM68</f>
        <v>0</v>
      </c>
      <c r="AN69" s="166">
        <f ca="1">(1+Overview!$O$28+IF(Magic!BA69&gt;0,0.1,0))*SUM(BZ69:CC69)+AN68</f>
        <v>0</v>
      </c>
      <c r="AO69" s="164">
        <f ca="1">(1+Overview!$O$28+IF(Magic!BA69&gt;0,0.1,0))*SUM(CE69:CH69)+AO68</f>
        <v>0</v>
      </c>
      <c r="AQ69" s="52">
        <f t="shared" si="41"/>
        <v>0</v>
      </c>
      <c r="AR69" s="16">
        <f t="shared" si="41"/>
        <v>0</v>
      </c>
      <c r="AS69" s="16">
        <f t="shared" si="41"/>
        <v>0</v>
      </c>
      <c r="AT69" s="53">
        <f t="shared" si="41"/>
        <v>0</v>
      </c>
      <c r="AV69" s="56">
        <f t="shared" si="47"/>
        <v>0</v>
      </c>
      <c r="AW69" s="26">
        <f t="shared" si="42"/>
        <v>0</v>
      </c>
      <c r="AX69" s="26">
        <f t="shared" si="42"/>
        <v>0</v>
      </c>
      <c r="AY69" s="57">
        <f t="shared" si="48"/>
        <v>0</v>
      </c>
      <c r="BA69" s="56">
        <f t="shared" si="49"/>
        <v>0</v>
      </c>
      <c r="BB69" s="26">
        <f t="shared" si="43"/>
        <v>0</v>
      </c>
      <c r="BC69" s="26">
        <f t="shared" si="43"/>
        <v>0</v>
      </c>
      <c r="BD69" s="57">
        <f t="shared" si="50"/>
        <v>0</v>
      </c>
      <c r="BF69" s="56">
        <f t="shared" si="51"/>
        <v>0</v>
      </c>
      <c r="BG69" s="26">
        <f t="shared" si="52"/>
        <v>0</v>
      </c>
      <c r="BH69" s="26">
        <f t="shared" si="40"/>
        <v>0</v>
      </c>
      <c r="BI69" s="57">
        <f t="shared" si="53"/>
        <v>0</v>
      </c>
      <c r="BK69" s="56">
        <f t="shared" si="54"/>
        <v>0</v>
      </c>
      <c r="BL69" s="26">
        <f t="shared" si="44"/>
        <v>0</v>
      </c>
      <c r="BM69" s="26">
        <f t="shared" si="44"/>
        <v>0</v>
      </c>
      <c r="BN69" s="57">
        <f t="shared" si="55"/>
        <v>0</v>
      </c>
      <c r="BP69" s="56">
        <f t="shared" si="56"/>
        <v>0</v>
      </c>
      <c r="BQ69" s="26">
        <f t="shared" si="45"/>
        <v>0</v>
      </c>
      <c r="BR69" s="26">
        <f t="shared" si="45"/>
        <v>0</v>
      </c>
      <c r="BS69" s="57">
        <f t="shared" si="57"/>
        <v>0</v>
      </c>
      <c r="BU69" s="56">
        <f>IF($O69=BU$2,IF($Q69=$AD$2,$P69)) + IF($R69=BU$2,IF($T69=$AD$2,$S69)) + IF($U69=BU$2,IF($W69=$AD$2,$V69))</f>
        <v>0</v>
      </c>
      <c r="BV69" s="26">
        <f>IF($O69=BV$2,IF($Q69=$AD$2,2*$P69)) + IF($R69=BV$2,IF($T69=$AD$2,2*$S69)) + IF($U69=BV$2,IF($W69=$AD$2,2*$V69))</f>
        <v>0</v>
      </c>
      <c r="BW69" s="26">
        <f>IF($O69=BW$2,IF($Q69=$AD$2,2*$P69)) + IF($R69=BW$2,IF($T69=$AD$2,2*$S69)) + IF($U69=BW$2,IF($W69=$AD$2,2*$V69))</f>
        <v>0</v>
      </c>
      <c r="BX69" s="57">
        <f>IF($O69=BX$2,IF($Q69=$AD$2,12*$P69)) + IF($R69=BX$2,IF($T69=$AD$2,12*$S69)) + IF($U69=BX$2,IF($W69=$AD$2,12*$V69))</f>
        <v>0</v>
      </c>
      <c r="BZ69" s="56">
        <f>IF($O69=BZ$2,IF($Q69=Armory,$P69)) + IF($R69=BZ$2,IF($T69=Armory,$S69)) + IF($U69=BZ$2,IF($W69=Armory,$V69))</f>
        <v>0</v>
      </c>
      <c r="CA69" s="26">
        <f>IF($O69=CA$2,IF($Q69=Armory,2*$P69)) + IF($R69=CA$2,IF($T69=Armory,2*$S69)) + IF($U69=CA$2,IF($W69=Armory,2*$V69))</f>
        <v>0</v>
      </c>
      <c r="CB69" s="26">
        <f>IF($O69=CB$2,IF($Q69=Armory,2*$P69)) + IF($R69=CB$2,IF($T69=Armory,2*$S69)) + IF($U69=CB$2,IF($W69=Armory,2*$V69))</f>
        <v>0</v>
      </c>
      <c r="CC69" s="57">
        <f>IF($O69=CC$2,IF($Q69=Armory,12*$P69)) + IF($R69=CC$2,IF($T69=Armory,12*$S69)) + IF($U69=CC$2,IF($W69=Armory,12*$V69))</f>
        <v>0</v>
      </c>
      <c r="CE69" s="56">
        <f>IF($O69=CE$2,IF($Q69=Infirmary,$P69)) + IF($R69=CE$2,IF($T69=Infirmary,$S69)) + IF($U69=CE$2,IF($W69=Infirmary,$V69))</f>
        <v>0</v>
      </c>
      <c r="CF69" s="26">
        <f>IF($O69=CF$2,IF($Q69=Infirmary,2*$P69)) + IF($R69=CF$2,IF($T69=Infirmary,2*$S69)) + IF($U69=CF$2,IF($W69=Infirmary,2*$V69))</f>
        <v>0</v>
      </c>
      <c r="CG69" s="26">
        <f>IF($O69=CG$2,IF($Q69=Infirmary,2*$P69)) + IF($R69=CG$2,IF($T69=Infirmary,2*$S69)) + IF($U69=CG$2,IF($W69=Infirmary,2*$V69))</f>
        <v>0</v>
      </c>
      <c r="CH69" s="57">
        <f>IF($O69=CH$2,IF($Q69=Infirmary,12*$P69)) + IF($R69=CH$2,IF($T69=Infirmary,12*$S69)) + IF($U69=CH$2,IF($W69=Infirmary,12*$V69))</f>
        <v>0</v>
      </c>
      <c r="CJ69" s="52" t="e">
        <f>OR(Production!C69,Construction!N69:'Construction'!AF69,Construction!BV69:CN69,Explore!S69:Z69,Military!AF69:AL69,Military!X69,Military!BE69:BL69,Rezone!L69:R69,Magic!G69:Q69)</f>
        <v>#VALUE!</v>
      </c>
      <c r="CK69" s="525">
        <f>M69</f>
        <v>0</v>
      </c>
      <c r="CL69" s="525"/>
      <c r="CM69" s="555">
        <f t="shared" ref="CM69:CM132" si="59">CM68+1/24/4</f>
        <v>43768.68749999984</v>
      </c>
      <c r="CN69" s="563">
        <f t="shared" ref="CN69:CN132" si="60">CN68+1/24/4</f>
        <v>43768.520833333176</v>
      </c>
      <c r="CO69" s="527"/>
      <c r="CP69" s="803"/>
      <c r="CQ69" s="808"/>
    </row>
    <row r="70" spans="1:98" s="16" customFormat="1" x14ac:dyDescent="0.25">
      <c r="A70" s="511">
        <f>Construction!E70</f>
        <v>1000</v>
      </c>
      <c r="C70" s="56">
        <f ca="1">Production!H70</f>
        <v>4811086</v>
      </c>
      <c r="D70" s="26">
        <f ca="1">Production!J70</f>
        <v>303548</v>
      </c>
      <c r="E70" s="26">
        <f ca="1">Production!L70</f>
        <v>300000</v>
      </c>
      <c r="F70" s="57">
        <f ca="1">Production!M70</f>
        <v>20000</v>
      </c>
      <c r="G70" s="26"/>
      <c r="H70" s="56">
        <f ca="1">Military!Z70</f>
        <v>5295</v>
      </c>
      <c r="I70" s="538">
        <f ca="1">Population!I70</f>
        <v>1</v>
      </c>
      <c r="J70" s="165">
        <f ca="1">Population!F70/Population!U70</f>
        <v>1</v>
      </c>
      <c r="K70" s="1000">
        <f>Rezone!J70</f>
        <v>68</v>
      </c>
      <c r="L70" s="582">
        <f t="shared" si="58"/>
        <v>43768.697916666504</v>
      </c>
      <c r="M70" s="316">
        <f t="shared" si="22"/>
        <v>0</v>
      </c>
      <c r="N70" s="638">
        <f t="shared" si="46"/>
        <v>1000</v>
      </c>
      <c r="O70" s="423" t="s">
        <v>4</v>
      </c>
      <c r="P70" s="370"/>
      <c r="Q70" s="424" t="s">
        <v>223</v>
      </c>
      <c r="R70" s="423" t="s">
        <v>7</v>
      </c>
      <c r="S70" s="370"/>
      <c r="T70" s="425" t="s">
        <v>223</v>
      </c>
      <c r="U70" s="424" t="s">
        <v>3</v>
      </c>
      <c r="V70" s="370"/>
      <c r="W70" s="425" t="s">
        <v>223</v>
      </c>
      <c r="Y70" s="522">
        <f ca="1">science_cap*(1-EXP(-AH70/(science_param*($A71-Explore!$S71*20)+15000)))*(1+(mason_bonus*Construction!BB70/Construction!BS70))+IF(Overview!$B$14="Beastfolk",Construction!DA70/Construction!E70,0)*(1 + Production!O70/100*prestige_pop_multiplier)</f>
        <v>0</v>
      </c>
      <c r="Z70" s="284">
        <f ca="1">keep_cap*(1-EXP(-AI70/(keep_param*($A71-Explore!$S71*20)+15000)))*(1+(mason_bonus*Construction!BB70/Construction!BS70))+IF(Overview!$B$14="Beastfolk",Construction!DF70/Construction!E70,0)*(1 + Production!O70/100*prestige_pop_multiplier)</f>
        <v>0</v>
      </c>
      <c r="AA70" s="284">
        <f ca="1">harbor_towers_cap*(1-EXP(-AJ70/(harbor_towers_param*($A71-Explore!$S71*20)+15000)))*(1+(mason_bonus*Construction!BB70/Construction!BS70))+IF(Overview!$B$14="Beastfolk",2*Construction!DC70/Construction!E70,0)*(1 + Production!O70/100*prestige_pop_multiplier)</f>
        <v>0</v>
      </c>
      <c r="AB70" s="284">
        <f ca="1">walls_forges_cap*(1-EXP(-AK70/(walls_forges_param*($A71-Explore!$S71*20)+15000)))*(1+(mason_bonus*Construction!BB70/Construction!BS70))+IF(Overview!$B$14="Beastfolk",0.2*Construction!CY70/Construction!E70,0)</f>
        <v>0</v>
      </c>
      <c r="AC70" s="284">
        <f ca="1">walls_forges_cap*(1-EXP(-AL70/(walls_forges_param*($A71-Explore!$S71*20)+15000)))*(1+(mason_bonus*Construction!BB70/Construction!BS70))+IF(Overview!$B$14="Beastfolk",5*Construction!DB70/Construction!E70,0)</f>
        <v>0</v>
      </c>
      <c r="AD70" s="97">
        <f ca="1">harbor_towers_cap*(1-EXP(-AM70/(harbor_towers_param*($A71-Explore!$S71*20)+15000)))*(1+(mason_bonus*Construction!BB70/Construction!BS70))+IF(Overview!$B$14="Beastfolk",Construction!DE70/Construction!E70)*(1 + Production!O70/100*prestige_pop_multiplier)</f>
        <v>0</v>
      </c>
      <c r="AE70" s="97">
        <f ca="1">armory_cap*(1-EXP(-AN70/(armory_param*($A71-Explore!$S71*20)+15000)))*(1+(mason_bonus*Construction!$BB70/Construction!$BS70))</f>
        <v>0</v>
      </c>
      <c r="AF70" s="97">
        <f ca="1">infirmary_cap*(1-EXP(-AO70/(infirmary_param*($A71-Explore!$S71*20)+15000)))*(1+(mason_bonus*Construction!$BB70/Construction!$BS70))</f>
        <v>0</v>
      </c>
      <c r="AH70" s="56">
        <f ca="1">(1+Overview!$O$28+IF(Magic!BA70&gt;0,0.1,0))*SUM(AV70:AY70) + AH69</f>
        <v>0</v>
      </c>
      <c r="AI70" s="26">
        <f ca="1">(1+Overview!$O$28+IF(Magic!BA70&gt;0,0.1,0))*SUM(BA70:BD70) + AI69</f>
        <v>0</v>
      </c>
      <c r="AJ70" s="164">
        <f ca="1">(1+Overview!$O$28+IF(Magic!BA70&gt;0,0.1,0))*SUM(BF70:BI70) + AJ69</f>
        <v>0</v>
      </c>
      <c r="AK70" s="164">
        <f ca="1">(1+Overview!$O$28+IF(Magic!BA70&gt;0,0.1,0))*SUM(BK70:BN70) + AK69</f>
        <v>0</v>
      </c>
      <c r="AL70" s="164">
        <f ca="1">(1+Overview!$O$28+IF(Magic!BA70&gt;0,0.1,0))*SUM(BP70:BS70) + AL69</f>
        <v>0</v>
      </c>
      <c r="AM70" s="166">
        <f ca="1">(1+Overview!$O$28+IF(Magic!BA70&gt;0,0.1,0))*SUM(BU70:BX70) + AM69</f>
        <v>0</v>
      </c>
      <c r="AN70" s="166">
        <f ca="1">(1+Overview!$O$28+IF(Magic!BA70&gt;0,0.1,0))*SUM(BZ70:CC70)+AN69</f>
        <v>0</v>
      </c>
      <c r="AO70" s="164">
        <f ca="1">(1+Overview!$O$28+IF(Magic!BA70&gt;0,0.1,0))*SUM(CE70:CH70)+AO69</f>
        <v>0</v>
      </c>
      <c r="AQ70" s="52">
        <f t="shared" si="41"/>
        <v>0</v>
      </c>
      <c r="AR70" s="16">
        <f t="shared" si="41"/>
        <v>0</v>
      </c>
      <c r="AS70" s="16">
        <f t="shared" si="41"/>
        <v>0</v>
      </c>
      <c r="AT70" s="53">
        <f t="shared" si="41"/>
        <v>0</v>
      </c>
      <c r="AV70" s="56">
        <f t="shared" si="47"/>
        <v>0</v>
      </c>
      <c r="AW70" s="26">
        <f t="shared" si="42"/>
        <v>0</v>
      </c>
      <c r="AX70" s="26">
        <f t="shared" si="42"/>
        <v>0</v>
      </c>
      <c r="AY70" s="57">
        <f t="shared" si="48"/>
        <v>0</v>
      </c>
      <c r="BA70" s="56">
        <f t="shared" si="49"/>
        <v>0</v>
      </c>
      <c r="BB70" s="26">
        <f t="shared" si="43"/>
        <v>0</v>
      </c>
      <c r="BC70" s="26">
        <f t="shared" si="43"/>
        <v>0</v>
      </c>
      <c r="BD70" s="57">
        <f t="shared" si="50"/>
        <v>0</v>
      </c>
      <c r="BF70" s="56">
        <f t="shared" si="51"/>
        <v>0</v>
      </c>
      <c r="BG70" s="26">
        <f t="shared" si="52"/>
        <v>0</v>
      </c>
      <c r="BH70" s="26">
        <f t="shared" si="40"/>
        <v>0</v>
      </c>
      <c r="BI70" s="57">
        <f t="shared" si="53"/>
        <v>0</v>
      </c>
      <c r="BK70" s="56">
        <f t="shared" si="54"/>
        <v>0</v>
      </c>
      <c r="BL70" s="26">
        <f t="shared" si="44"/>
        <v>0</v>
      </c>
      <c r="BM70" s="26">
        <f t="shared" si="44"/>
        <v>0</v>
      </c>
      <c r="BN70" s="57">
        <f t="shared" si="55"/>
        <v>0</v>
      </c>
      <c r="BP70" s="56">
        <f t="shared" si="56"/>
        <v>0</v>
      </c>
      <c r="BQ70" s="26">
        <f t="shared" si="45"/>
        <v>0</v>
      </c>
      <c r="BR70" s="26">
        <f t="shared" si="45"/>
        <v>0</v>
      </c>
      <c r="BS70" s="57">
        <f t="shared" si="57"/>
        <v>0</v>
      </c>
      <c r="BU70" s="56">
        <f>IF($O70=BU$2,IF($Q70=$AD$2,$P70)) + IF($R70=BU$2,IF($T70=$AD$2,$S70)) + IF($U70=BU$2,IF($W70=$AD$2,$V70))</f>
        <v>0</v>
      </c>
      <c r="BV70" s="26">
        <f>IF($O70=BV$2,IF($Q70=$AD$2,2*$P70)) + IF($R70=BV$2,IF($T70=$AD$2,2*$S70)) + IF($U70=BV$2,IF($W70=$AD$2,2*$V70))</f>
        <v>0</v>
      </c>
      <c r="BW70" s="26">
        <f>IF($O70=BW$2,IF($Q70=$AD$2,2*$P70)) + IF($R70=BW$2,IF($T70=$AD$2,2*$S70)) + IF($U70=BW$2,IF($W70=$AD$2,2*$V70))</f>
        <v>0</v>
      </c>
      <c r="BX70" s="57">
        <f>IF($O70=BX$2,IF($Q70=$AD$2,12*$P70)) + IF($R70=BX$2,IF($T70=$AD$2,12*$S70)) + IF($U70=BX$2,IF($W70=$AD$2,12*$V70))</f>
        <v>0</v>
      </c>
      <c r="BZ70" s="56">
        <f>IF($O70=BZ$2,IF($Q70=Armory,$P70)) + IF($R70=BZ$2,IF($T70=Armory,$S70)) + IF($U70=BZ$2,IF($W70=Armory,$V70))</f>
        <v>0</v>
      </c>
      <c r="CA70" s="26">
        <f>IF($O70=CA$2,IF($Q70=Armory,2*$P70)) + IF($R70=CA$2,IF($T70=Armory,2*$S70)) + IF($U70=CA$2,IF($W70=Armory,2*$V70))</f>
        <v>0</v>
      </c>
      <c r="CB70" s="26">
        <f>IF($O70=CB$2,IF($Q70=Armory,2*$P70)) + IF($R70=CB$2,IF($T70=Armory,2*$S70)) + IF($U70=CB$2,IF($W70=Armory,2*$V70))</f>
        <v>0</v>
      </c>
      <c r="CC70" s="57">
        <f>IF($O70=CC$2,IF($Q70=Armory,12*$P70)) + IF($R70=CC$2,IF($T70=Armory,12*$S70)) + IF($U70=CC$2,IF($W70=Armory,12*$V70))</f>
        <v>0</v>
      </c>
      <c r="CE70" s="56">
        <f>IF($O70=CE$2,IF($Q70=Infirmary,$P70)) + IF($R70=CE$2,IF($T70=Infirmary,$S70)) + IF($U70=CE$2,IF($W70=Infirmary,$V70))</f>
        <v>0</v>
      </c>
      <c r="CF70" s="26">
        <f>IF($O70=CF$2,IF($Q70=Infirmary,2*$P70)) + IF($R70=CF$2,IF($T70=Infirmary,2*$S70)) + IF($U70=CF$2,IF($W70=Infirmary,2*$V70))</f>
        <v>0</v>
      </c>
      <c r="CG70" s="26">
        <f>IF($O70=CG$2,IF($Q70=Infirmary,2*$P70)) + IF($R70=CG$2,IF($T70=Infirmary,2*$S70)) + IF($U70=CG$2,IF($W70=Infirmary,2*$V70))</f>
        <v>0</v>
      </c>
      <c r="CH70" s="57">
        <f>IF($O70=CH$2,IF($Q70=Infirmary,12*$P70)) + IF($R70=CH$2,IF($T70=Infirmary,12*$S70)) + IF($U70=CH$2,IF($W70=Infirmary,12*$V70))</f>
        <v>0</v>
      </c>
      <c r="CJ70" s="52" t="e">
        <f>OR(Production!C70,Construction!N70:'Construction'!AF70,Construction!BV70:CN70,Explore!S70:Z70,Military!AF70:AL70,Military!X70,Military!BE70:BL70,Rezone!L70:R70,Magic!G70:Q70)</f>
        <v>#VALUE!</v>
      </c>
      <c r="CK70" s="525">
        <f>M70</f>
        <v>0</v>
      </c>
      <c r="CL70" s="525"/>
      <c r="CM70" s="555">
        <f t="shared" si="59"/>
        <v>43768.697916666504</v>
      </c>
      <c r="CN70" s="563">
        <f t="shared" si="60"/>
        <v>43768.53124999984</v>
      </c>
      <c r="CO70" s="527"/>
      <c r="CP70" s="803"/>
      <c r="CQ70" s="808"/>
    </row>
    <row r="71" spans="1:98" s="16" customFormat="1" x14ac:dyDescent="0.25">
      <c r="A71" s="511">
        <f>Construction!E71</f>
        <v>1000</v>
      </c>
      <c r="C71" s="56">
        <f ca="1">Production!H71</f>
        <v>4816067</v>
      </c>
      <c r="D71" s="26">
        <f ca="1">Production!J71</f>
        <v>303013</v>
      </c>
      <c r="E71" s="26">
        <f ca="1">Production!L71</f>
        <v>300000</v>
      </c>
      <c r="F71" s="57">
        <f ca="1">Production!M71</f>
        <v>20000</v>
      </c>
      <c r="G71" s="26"/>
      <c r="H71" s="56">
        <f ca="1">Military!Z71</f>
        <v>5295</v>
      </c>
      <c r="I71" s="538">
        <f ca="1">Population!I71</f>
        <v>1</v>
      </c>
      <c r="J71" s="165">
        <f ca="1">Population!F71/Population!U71</f>
        <v>1</v>
      </c>
      <c r="K71" s="1000">
        <f>Rezone!J71</f>
        <v>69</v>
      </c>
      <c r="L71" s="582">
        <f t="shared" si="58"/>
        <v>43768.708333333168</v>
      </c>
      <c r="M71" s="316">
        <f t="shared" si="22"/>
        <v>0</v>
      </c>
      <c r="N71" s="638">
        <f t="shared" si="46"/>
        <v>1000</v>
      </c>
      <c r="O71" s="423" t="s">
        <v>4</v>
      </c>
      <c r="P71" s="370"/>
      <c r="Q71" s="424" t="s">
        <v>223</v>
      </c>
      <c r="R71" s="423" t="s">
        <v>7</v>
      </c>
      <c r="S71" s="370"/>
      <c r="T71" s="425" t="s">
        <v>223</v>
      </c>
      <c r="U71" s="424" t="s">
        <v>3</v>
      </c>
      <c r="V71" s="370"/>
      <c r="W71" s="425" t="s">
        <v>223</v>
      </c>
      <c r="Y71" s="522">
        <f ca="1">science_cap*(1-EXP(-AH71/(science_param*($A72-Explore!$S72*20)+15000)))*(1+(mason_bonus*Construction!BB71/Construction!BS71))+IF(Overview!$B$14="Beastfolk",Construction!DA71/Construction!E71,0)*(1 + Production!O71/100*prestige_pop_multiplier)</f>
        <v>0</v>
      </c>
      <c r="Z71" s="284">
        <f ca="1">keep_cap*(1-EXP(-AI71/(keep_param*($A72-Explore!$S72*20)+15000)))*(1+(mason_bonus*Construction!BB71/Construction!BS71))+IF(Overview!$B$14="Beastfolk",Construction!DF71/Construction!E71,0)*(1 + Production!O71/100*prestige_pop_multiplier)</f>
        <v>0</v>
      </c>
      <c r="AA71" s="284">
        <f ca="1">harbor_towers_cap*(1-EXP(-AJ71/(harbor_towers_param*($A72-Explore!$S72*20)+15000)))*(1+(mason_bonus*Construction!BB71/Construction!BS71))+IF(Overview!$B$14="Beastfolk",2*Construction!DC71/Construction!E71,0)*(1 + Production!O71/100*prestige_pop_multiplier)</f>
        <v>0</v>
      </c>
      <c r="AB71" s="284">
        <f ca="1">walls_forges_cap*(1-EXP(-AK71/(walls_forges_param*($A72-Explore!$S72*20)+15000)))*(1+(mason_bonus*Construction!BB71/Construction!BS71))+IF(Overview!$B$14="Beastfolk",0.2*Construction!CY71/Construction!E71,0)</f>
        <v>0</v>
      </c>
      <c r="AC71" s="284">
        <f ca="1">walls_forges_cap*(1-EXP(-AL71/(walls_forges_param*($A72-Explore!$S72*20)+15000)))*(1+(mason_bonus*Construction!BB71/Construction!BS71))+IF(Overview!$B$14="Beastfolk",5*Construction!DB71/Construction!E71,0)</f>
        <v>0</v>
      </c>
      <c r="AD71" s="97">
        <f ca="1">harbor_towers_cap*(1-EXP(-AM71/(harbor_towers_param*($A72-Explore!$S72*20)+15000)))*(1+(mason_bonus*Construction!BB71/Construction!BS71))+IF(Overview!$B$14="Beastfolk",Construction!DE71/Construction!E71)*(1 + Production!O71/100*prestige_pop_multiplier)</f>
        <v>0</v>
      </c>
      <c r="AE71" s="97">
        <f ca="1">armory_cap*(1-EXP(-AN71/(armory_param*($A72-Explore!$S72*20)+15000)))*(1+(mason_bonus*Construction!$BB71/Construction!$BS71))</f>
        <v>0</v>
      </c>
      <c r="AF71" s="97">
        <f ca="1">infirmary_cap*(1-EXP(-AO71/(infirmary_param*($A72-Explore!$S72*20)+15000)))*(1+(mason_bonus*Construction!$BB71/Construction!$BS71))</f>
        <v>0</v>
      </c>
      <c r="AH71" s="56">
        <f ca="1">(1+Overview!$O$28+IF(Magic!BA71&gt;0,0.1,0))*SUM(AV71:AY71) + AH70</f>
        <v>0</v>
      </c>
      <c r="AI71" s="26">
        <f ca="1">(1+Overview!$O$28+IF(Magic!BA71&gt;0,0.1,0))*SUM(BA71:BD71) + AI70</f>
        <v>0</v>
      </c>
      <c r="AJ71" s="164">
        <f ca="1">(1+Overview!$O$28+IF(Magic!BA71&gt;0,0.1,0))*SUM(BF71:BI71) + AJ70</f>
        <v>0</v>
      </c>
      <c r="AK71" s="164">
        <f ca="1">(1+Overview!$O$28+IF(Magic!BA71&gt;0,0.1,0))*SUM(BK71:BN71) + AK70</f>
        <v>0</v>
      </c>
      <c r="AL71" s="164">
        <f ca="1">(1+Overview!$O$28+IF(Magic!BA71&gt;0,0.1,0))*SUM(BP71:BS71) + AL70</f>
        <v>0</v>
      </c>
      <c r="AM71" s="166">
        <f ca="1">(1+Overview!$O$28+IF(Magic!BA71&gt;0,0.1,0))*SUM(BU71:BX71) + AM70</f>
        <v>0</v>
      </c>
      <c r="AN71" s="166">
        <f ca="1">(1+Overview!$O$28+IF(Magic!BA71&gt;0,0.1,0))*SUM(BZ71:CC71)+AN70</f>
        <v>0</v>
      </c>
      <c r="AO71" s="164">
        <f ca="1">(1+Overview!$O$28+IF(Magic!BA71&gt;0,0.1,0))*SUM(CE71:CH71)+AO70</f>
        <v>0</v>
      </c>
      <c r="AQ71" s="52">
        <f t="shared" si="41"/>
        <v>0</v>
      </c>
      <c r="AR71" s="16">
        <f t="shared" si="41"/>
        <v>0</v>
      </c>
      <c r="AS71" s="16">
        <f t="shared" si="41"/>
        <v>0</v>
      </c>
      <c r="AT71" s="53">
        <f t="shared" si="41"/>
        <v>0</v>
      </c>
      <c r="AV71" s="56">
        <f t="shared" si="47"/>
        <v>0</v>
      </c>
      <c r="AW71" s="26">
        <f t="shared" si="42"/>
        <v>0</v>
      </c>
      <c r="AX71" s="26">
        <f t="shared" si="42"/>
        <v>0</v>
      </c>
      <c r="AY71" s="57">
        <f t="shared" si="48"/>
        <v>0</v>
      </c>
      <c r="BA71" s="56">
        <f t="shared" si="49"/>
        <v>0</v>
      </c>
      <c r="BB71" s="26">
        <f t="shared" si="43"/>
        <v>0</v>
      </c>
      <c r="BC71" s="26">
        <f t="shared" si="43"/>
        <v>0</v>
      </c>
      <c r="BD71" s="57">
        <f t="shared" si="50"/>
        <v>0</v>
      </c>
      <c r="BF71" s="56">
        <f t="shared" si="51"/>
        <v>0</v>
      </c>
      <c r="BG71" s="26">
        <f t="shared" si="52"/>
        <v>0</v>
      </c>
      <c r="BH71" s="26">
        <f t="shared" si="40"/>
        <v>0</v>
      </c>
      <c r="BI71" s="57">
        <f t="shared" si="53"/>
        <v>0</v>
      </c>
      <c r="BK71" s="56">
        <f t="shared" si="54"/>
        <v>0</v>
      </c>
      <c r="BL71" s="26">
        <f t="shared" si="44"/>
        <v>0</v>
      </c>
      <c r="BM71" s="26">
        <f t="shared" si="44"/>
        <v>0</v>
      </c>
      <c r="BN71" s="57">
        <f t="shared" si="55"/>
        <v>0</v>
      </c>
      <c r="BP71" s="56">
        <f t="shared" si="56"/>
        <v>0</v>
      </c>
      <c r="BQ71" s="26">
        <f t="shared" si="45"/>
        <v>0</v>
      </c>
      <c r="BR71" s="26">
        <f t="shared" si="45"/>
        <v>0</v>
      </c>
      <c r="BS71" s="57">
        <f t="shared" si="57"/>
        <v>0</v>
      </c>
      <c r="BU71" s="56">
        <f>IF($O71=BU$2,IF($Q71=$AD$2,$P71)) + IF($R71=BU$2,IF($T71=$AD$2,$S71)) + IF($U71=BU$2,IF($W71=$AD$2,$V71))</f>
        <v>0</v>
      </c>
      <c r="BV71" s="26">
        <f>IF($O71=BV$2,IF($Q71=$AD$2,2*$P71)) + IF($R71=BV$2,IF($T71=$AD$2,2*$S71)) + IF($U71=BV$2,IF($W71=$AD$2,2*$V71))</f>
        <v>0</v>
      </c>
      <c r="BW71" s="26">
        <f>IF($O71=BW$2,IF($Q71=$AD$2,2*$P71)) + IF($R71=BW$2,IF($T71=$AD$2,2*$S71)) + IF($U71=BW$2,IF($W71=$AD$2,2*$V71))</f>
        <v>0</v>
      </c>
      <c r="BX71" s="57">
        <f>IF($O71=BX$2,IF($Q71=$AD$2,12*$P71)) + IF($R71=BX$2,IF($T71=$AD$2,12*$S71)) + IF($U71=BX$2,IF($W71=$AD$2,12*$V71))</f>
        <v>0</v>
      </c>
      <c r="BZ71" s="56">
        <f>IF($O71=BZ$2,IF($Q71=Armory,$P71)) + IF($R71=BZ$2,IF($T71=Armory,$S71)) + IF($U71=BZ$2,IF($W71=Armory,$V71))</f>
        <v>0</v>
      </c>
      <c r="CA71" s="26">
        <f>IF($O71=CA$2,IF($Q71=Armory,2*$P71)) + IF($R71=CA$2,IF($T71=Armory,2*$S71)) + IF($U71=CA$2,IF($W71=Armory,2*$V71))</f>
        <v>0</v>
      </c>
      <c r="CB71" s="26">
        <f>IF($O71=CB$2,IF($Q71=Armory,2*$P71)) + IF($R71=CB$2,IF($T71=Armory,2*$S71)) + IF($U71=CB$2,IF($W71=Armory,2*$V71))</f>
        <v>0</v>
      </c>
      <c r="CC71" s="57">
        <f>IF($O71=CC$2,IF($Q71=Armory,12*$P71)) + IF($R71=CC$2,IF($T71=Armory,12*$S71)) + IF($U71=CC$2,IF($W71=Armory,12*$V71))</f>
        <v>0</v>
      </c>
      <c r="CE71" s="56">
        <f>IF($O71=CE$2,IF($Q71=Infirmary,$P71)) + IF($R71=CE$2,IF($T71=Infirmary,$S71)) + IF($U71=CE$2,IF($W71=Infirmary,$V71))</f>
        <v>0</v>
      </c>
      <c r="CF71" s="26">
        <f>IF($O71=CF$2,IF($Q71=Infirmary,2*$P71)) + IF($R71=CF$2,IF($T71=Infirmary,2*$S71)) + IF($U71=CF$2,IF($W71=Infirmary,2*$V71))</f>
        <v>0</v>
      </c>
      <c r="CG71" s="26">
        <f>IF($O71=CG$2,IF($Q71=Infirmary,2*$P71)) + IF($R71=CG$2,IF($T71=Infirmary,2*$S71)) + IF($U71=CG$2,IF($W71=Infirmary,2*$V71))</f>
        <v>0</v>
      </c>
      <c r="CH71" s="57">
        <f>IF($O71=CH$2,IF($Q71=Infirmary,12*$P71)) + IF($R71=CH$2,IF($T71=Infirmary,12*$S71)) + IF($U71=CH$2,IF($W71=Infirmary,12*$V71))</f>
        <v>0</v>
      </c>
      <c r="CJ71" s="52" t="e">
        <f>OR(Production!C71,Construction!N71:'Construction'!AF71,Construction!BV71:CN71,Explore!S71:Z71,Military!AF71:AL71,Military!X71,Military!BE71:BL71,Rezone!L71:R71,Magic!G71:Q71)</f>
        <v>#VALUE!</v>
      </c>
      <c r="CK71" s="525">
        <f>M71</f>
        <v>0</v>
      </c>
      <c r="CL71" s="525"/>
      <c r="CM71" s="555">
        <f t="shared" si="59"/>
        <v>43768.708333333168</v>
      </c>
      <c r="CN71" s="563">
        <f t="shared" si="60"/>
        <v>43768.541666666504</v>
      </c>
      <c r="CO71" s="527"/>
      <c r="CP71" s="803"/>
      <c r="CQ71" s="808"/>
    </row>
    <row r="72" spans="1:98" s="16" customFormat="1" x14ac:dyDescent="0.25">
      <c r="A72" s="511">
        <f>Construction!E72</f>
        <v>1000</v>
      </c>
      <c r="C72" s="56">
        <f ca="1">Production!H72</f>
        <v>4821048</v>
      </c>
      <c r="D72" s="26">
        <f ca="1">Production!J72</f>
        <v>302483</v>
      </c>
      <c r="E72" s="26">
        <f ca="1">Production!L72</f>
        <v>300000</v>
      </c>
      <c r="F72" s="57">
        <f ca="1">Production!M72</f>
        <v>20000</v>
      </c>
      <c r="G72" s="26"/>
      <c r="H72" s="56">
        <f ca="1">Military!Z72</f>
        <v>5295</v>
      </c>
      <c r="I72" s="538">
        <f ca="1">Population!I72</f>
        <v>1</v>
      </c>
      <c r="J72" s="165">
        <f ca="1">Population!F72/Population!U72</f>
        <v>1</v>
      </c>
      <c r="K72" s="1000">
        <f>Rezone!J72</f>
        <v>70</v>
      </c>
      <c r="L72" s="582">
        <f t="shared" si="58"/>
        <v>43768.718749999833</v>
      </c>
      <c r="M72" s="316">
        <f t="shared" si="22"/>
        <v>0</v>
      </c>
      <c r="N72" s="638">
        <f t="shared" si="46"/>
        <v>1000</v>
      </c>
      <c r="O72" s="423" t="s">
        <v>4</v>
      </c>
      <c r="P72" s="370"/>
      <c r="Q72" s="424" t="s">
        <v>223</v>
      </c>
      <c r="R72" s="423" t="s">
        <v>7</v>
      </c>
      <c r="S72" s="370"/>
      <c r="T72" s="425" t="s">
        <v>223</v>
      </c>
      <c r="U72" s="424" t="s">
        <v>3</v>
      </c>
      <c r="V72" s="370"/>
      <c r="W72" s="425" t="s">
        <v>223</v>
      </c>
      <c r="Y72" s="522">
        <f ca="1">science_cap*(1-EXP(-AH72/(science_param*($A73-Explore!$S73*20)+15000)))*(1+(mason_bonus*Construction!BB72/Construction!BS72))+IF(Overview!$B$14="Beastfolk",Construction!DA72/Construction!E72,0)*(1 + Production!O72/100*prestige_pop_multiplier)</f>
        <v>0</v>
      </c>
      <c r="Z72" s="284">
        <f ca="1">keep_cap*(1-EXP(-AI72/(keep_param*($A73-Explore!$S73*20)+15000)))*(1+(mason_bonus*Construction!BB72/Construction!BS72))+IF(Overview!$B$14="Beastfolk",Construction!DF72/Construction!E72,0)*(1 + Production!O72/100*prestige_pop_multiplier)</f>
        <v>0</v>
      </c>
      <c r="AA72" s="284">
        <f ca="1">harbor_towers_cap*(1-EXP(-AJ72/(harbor_towers_param*($A73-Explore!$S73*20)+15000)))*(1+(mason_bonus*Construction!BB72/Construction!BS72))+IF(Overview!$B$14="Beastfolk",2*Construction!DC72/Construction!E72,0)*(1 + Production!O72/100*prestige_pop_multiplier)</f>
        <v>0</v>
      </c>
      <c r="AB72" s="284">
        <f ca="1">walls_forges_cap*(1-EXP(-AK72/(walls_forges_param*($A73-Explore!$S73*20)+15000)))*(1+(mason_bonus*Construction!BB72/Construction!BS72))+IF(Overview!$B$14="Beastfolk",0.2*Construction!CY72/Construction!E72,0)</f>
        <v>0</v>
      </c>
      <c r="AC72" s="284">
        <f ca="1">walls_forges_cap*(1-EXP(-AL72/(walls_forges_param*($A73-Explore!$S73*20)+15000)))*(1+(mason_bonus*Construction!BB72/Construction!BS72))+IF(Overview!$B$14="Beastfolk",5*Construction!DB72/Construction!E72,0)</f>
        <v>0</v>
      </c>
      <c r="AD72" s="97">
        <f ca="1">harbor_towers_cap*(1-EXP(-AM72/(harbor_towers_param*($A73-Explore!$S73*20)+15000)))*(1+(mason_bonus*Construction!BB72/Construction!BS72))+IF(Overview!$B$14="Beastfolk",Construction!DE72/Construction!E72)*(1 + Production!O72/100*prestige_pop_multiplier)</f>
        <v>0</v>
      </c>
      <c r="AE72" s="97">
        <f ca="1">armory_cap*(1-EXP(-AN72/(armory_param*($A73-Explore!$S73*20)+15000)))*(1+(mason_bonus*Construction!$BB72/Construction!$BS72))</f>
        <v>0</v>
      </c>
      <c r="AF72" s="97">
        <f ca="1">infirmary_cap*(1-EXP(-AO72/(infirmary_param*($A73-Explore!$S73*20)+15000)))*(1+(mason_bonus*Construction!$BB72/Construction!$BS72))</f>
        <v>0</v>
      </c>
      <c r="AH72" s="56">
        <f ca="1">(1+Overview!$O$28+IF(Magic!BA72&gt;0,0.1,0))*SUM(AV72:AY72) + AH71</f>
        <v>0</v>
      </c>
      <c r="AI72" s="26">
        <f ca="1">(1+Overview!$O$28+IF(Magic!BA72&gt;0,0.1,0))*SUM(BA72:BD72) + AI71</f>
        <v>0</v>
      </c>
      <c r="AJ72" s="164">
        <f ca="1">(1+Overview!$O$28+IF(Magic!BA72&gt;0,0.1,0))*SUM(BF72:BI72) + AJ71</f>
        <v>0</v>
      </c>
      <c r="AK72" s="164">
        <f ca="1">(1+Overview!$O$28+IF(Magic!BA72&gt;0,0.1,0))*SUM(BK72:BN72) + AK71</f>
        <v>0</v>
      </c>
      <c r="AL72" s="164">
        <f ca="1">(1+Overview!$O$28+IF(Magic!BA72&gt;0,0.1,0))*SUM(BP72:BS72) + AL71</f>
        <v>0</v>
      </c>
      <c r="AM72" s="166">
        <f ca="1">(1+Overview!$O$28+IF(Magic!BA72&gt;0,0.1,0))*SUM(BU72:BX72) + AM71</f>
        <v>0</v>
      </c>
      <c r="AN72" s="166">
        <f ca="1">(1+Overview!$O$28+IF(Magic!BA72&gt;0,0.1,0))*SUM(BZ72:CC72)+AN71</f>
        <v>0</v>
      </c>
      <c r="AO72" s="164">
        <f ca="1">(1+Overview!$O$28+IF(Magic!BA72&gt;0,0.1,0))*SUM(CE72:CH72)+AO71</f>
        <v>0</v>
      </c>
      <c r="AQ72" s="52">
        <f t="shared" si="41"/>
        <v>0</v>
      </c>
      <c r="AR72" s="16">
        <f t="shared" si="41"/>
        <v>0</v>
      </c>
      <c r="AS72" s="16">
        <f t="shared" si="41"/>
        <v>0</v>
      </c>
      <c r="AT72" s="53">
        <f t="shared" si="41"/>
        <v>0</v>
      </c>
      <c r="AV72" s="56">
        <f t="shared" si="47"/>
        <v>0</v>
      </c>
      <c r="AW72" s="26">
        <f t="shared" si="42"/>
        <v>0</v>
      </c>
      <c r="AX72" s="26">
        <f t="shared" si="42"/>
        <v>0</v>
      </c>
      <c r="AY72" s="57">
        <f t="shared" si="48"/>
        <v>0</v>
      </c>
      <c r="BA72" s="56">
        <f t="shared" si="49"/>
        <v>0</v>
      </c>
      <c r="BB72" s="26">
        <f t="shared" si="43"/>
        <v>0</v>
      </c>
      <c r="BC72" s="26">
        <f t="shared" si="43"/>
        <v>0</v>
      </c>
      <c r="BD72" s="57">
        <f t="shared" si="50"/>
        <v>0</v>
      </c>
      <c r="BF72" s="56">
        <f t="shared" si="51"/>
        <v>0</v>
      </c>
      <c r="BG72" s="26">
        <f t="shared" si="52"/>
        <v>0</v>
      </c>
      <c r="BH72" s="26">
        <f t="shared" si="40"/>
        <v>0</v>
      </c>
      <c r="BI72" s="57">
        <f t="shared" si="53"/>
        <v>0</v>
      </c>
      <c r="BK72" s="56">
        <f t="shared" si="54"/>
        <v>0</v>
      </c>
      <c r="BL72" s="26">
        <f t="shared" si="44"/>
        <v>0</v>
      </c>
      <c r="BM72" s="26">
        <f t="shared" si="44"/>
        <v>0</v>
      </c>
      <c r="BN72" s="57">
        <f t="shared" si="55"/>
        <v>0</v>
      </c>
      <c r="BP72" s="56">
        <f t="shared" si="56"/>
        <v>0</v>
      </c>
      <c r="BQ72" s="26">
        <f t="shared" si="45"/>
        <v>0</v>
      </c>
      <c r="BR72" s="26">
        <f t="shared" si="45"/>
        <v>0</v>
      </c>
      <c r="BS72" s="57">
        <f t="shared" si="57"/>
        <v>0</v>
      </c>
      <c r="BU72" s="56">
        <f>IF($O72=BU$2,IF($Q72=$AD$2,$P72)) + IF($R72=BU$2,IF($T72=$AD$2,$S72)) + IF($U72=BU$2,IF($W72=$AD$2,$V72))</f>
        <v>0</v>
      </c>
      <c r="BV72" s="26">
        <f>IF($O72=BV$2,IF($Q72=$AD$2,2*$P72)) + IF($R72=BV$2,IF($T72=$AD$2,2*$S72)) + IF($U72=BV$2,IF($W72=$AD$2,2*$V72))</f>
        <v>0</v>
      </c>
      <c r="BW72" s="26">
        <f>IF($O72=BW$2,IF($Q72=$AD$2,2*$P72)) + IF($R72=BW$2,IF($T72=$AD$2,2*$S72)) + IF($U72=BW$2,IF($W72=$AD$2,2*$V72))</f>
        <v>0</v>
      </c>
      <c r="BX72" s="57">
        <f>IF($O72=BX$2,IF($Q72=$AD$2,12*$P72)) + IF($R72=BX$2,IF($T72=$AD$2,12*$S72)) + IF($U72=BX$2,IF($W72=$AD$2,12*$V72))</f>
        <v>0</v>
      </c>
      <c r="BZ72" s="56">
        <f>IF($O72=BZ$2,IF($Q72=Armory,$P72)) + IF($R72=BZ$2,IF($T72=Armory,$S72)) + IF($U72=BZ$2,IF($W72=Armory,$V72))</f>
        <v>0</v>
      </c>
      <c r="CA72" s="26">
        <f>IF($O72=CA$2,IF($Q72=Armory,2*$P72)) + IF($R72=CA$2,IF($T72=Armory,2*$S72)) + IF($U72=CA$2,IF($W72=Armory,2*$V72))</f>
        <v>0</v>
      </c>
      <c r="CB72" s="26">
        <f>IF($O72=CB$2,IF($Q72=Armory,2*$P72)) + IF($R72=CB$2,IF($T72=Armory,2*$S72)) + IF($U72=CB$2,IF($W72=Armory,2*$V72))</f>
        <v>0</v>
      </c>
      <c r="CC72" s="57">
        <f>IF($O72=CC$2,IF($Q72=Armory,12*$P72)) + IF($R72=CC$2,IF($T72=Armory,12*$S72)) + IF($U72=CC$2,IF($W72=Armory,12*$V72))</f>
        <v>0</v>
      </c>
      <c r="CE72" s="56">
        <f>IF($O72=CE$2,IF($Q72=Infirmary,$P72)) + IF($R72=CE$2,IF($T72=Infirmary,$S72)) + IF($U72=CE$2,IF($W72=Infirmary,$V72))</f>
        <v>0</v>
      </c>
      <c r="CF72" s="26">
        <f>IF($O72=CF$2,IF($Q72=Infirmary,2*$P72)) + IF($R72=CF$2,IF($T72=Infirmary,2*$S72)) + IF($U72=CF$2,IF($W72=Infirmary,2*$V72))</f>
        <v>0</v>
      </c>
      <c r="CG72" s="26">
        <f>IF($O72=CG$2,IF($Q72=Infirmary,2*$P72)) + IF($R72=CG$2,IF($T72=Infirmary,2*$S72)) + IF($U72=CG$2,IF($W72=Infirmary,2*$V72))</f>
        <v>0</v>
      </c>
      <c r="CH72" s="57">
        <f>IF($O72=CH$2,IF($Q72=Infirmary,12*$P72)) + IF($R72=CH$2,IF($T72=Infirmary,12*$S72)) + IF($U72=CH$2,IF($W72=Infirmary,12*$V72))</f>
        <v>0</v>
      </c>
      <c r="CJ72" s="52" t="e">
        <f>OR(Production!C72,Construction!N72:'Construction'!AF72,Construction!BV72:CN72,Explore!S72:Z72,Military!AF72:AL72,Military!X72,Military!BE72:BL72,Rezone!L72:R72,Magic!G72:Q72)</f>
        <v>#VALUE!</v>
      </c>
      <c r="CK72" s="525">
        <f>M72</f>
        <v>0</v>
      </c>
      <c r="CL72" s="525"/>
      <c r="CM72" s="555">
        <f t="shared" si="59"/>
        <v>43768.718749999833</v>
      </c>
      <c r="CN72" s="563">
        <f t="shared" si="60"/>
        <v>43768.552083333168</v>
      </c>
      <c r="CO72" s="527"/>
      <c r="CP72" s="803"/>
      <c r="CQ72" s="808"/>
    </row>
    <row r="73" spans="1:98" s="16" customFormat="1" x14ac:dyDescent="0.25">
      <c r="A73" s="511">
        <f>Construction!E73</f>
        <v>1000</v>
      </c>
      <c r="C73" s="56">
        <f ca="1">Production!H73</f>
        <v>4826029</v>
      </c>
      <c r="D73" s="26">
        <f ca="1">Production!J73</f>
        <v>301958</v>
      </c>
      <c r="E73" s="26">
        <f ca="1">Production!L73</f>
        <v>300000</v>
      </c>
      <c r="F73" s="57">
        <f ca="1">Production!M73</f>
        <v>20000</v>
      </c>
      <c r="G73" s="26"/>
      <c r="H73" s="56">
        <f ca="1">Military!Z73</f>
        <v>5295</v>
      </c>
      <c r="I73" s="538">
        <f ca="1">Population!I73</f>
        <v>1</v>
      </c>
      <c r="J73" s="165">
        <f ca="1">Population!F73/Population!U73</f>
        <v>1</v>
      </c>
      <c r="K73" s="1000">
        <f>Rezone!J73</f>
        <v>71</v>
      </c>
      <c r="L73" s="582">
        <f t="shared" si="58"/>
        <v>43768.729166666497</v>
      </c>
      <c r="M73" s="316">
        <f t="shared" si="22"/>
        <v>0</v>
      </c>
      <c r="N73" s="638">
        <f t="shared" si="46"/>
        <v>1000</v>
      </c>
      <c r="O73" s="423" t="s">
        <v>4</v>
      </c>
      <c r="P73" s="370"/>
      <c r="Q73" s="424" t="s">
        <v>223</v>
      </c>
      <c r="R73" s="423" t="s">
        <v>7</v>
      </c>
      <c r="S73" s="370"/>
      <c r="T73" s="425" t="s">
        <v>223</v>
      </c>
      <c r="U73" s="424" t="s">
        <v>3</v>
      </c>
      <c r="V73" s="370"/>
      <c r="W73" s="425" t="s">
        <v>223</v>
      </c>
      <c r="Y73" s="522">
        <f ca="1">science_cap*(1-EXP(-AH73/(science_param*($A74-Explore!$S74*20)+15000)))*(1+(mason_bonus*Construction!BB73/Construction!BS73))+IF(Overview!$B$14="Beastfolk",Construction!DA73/Construction!E73,0)*(1 + Production!O73/100*prestige_pop_multiplier)</f>
        <v>0</v>
      </c>
      <c r="Z73" s="284">
        <f ca="1">keep_cap*(1-EXP(-AI73/(keep_param*($A74-Explore!$S74*20)+15000)))*(1+(mason_bonus*Construction!BB73/Construction!BS73))+IF(Overview!$B$14="Beastfolk",Construction!DF73/Construction!E73,0)*(1 + Production!O73/100*prestige_pop_multiplier)</f>
        <v>0</v>
      </c>
      <c r="AA73" s="284">
        <f ca="1">harbor_towers_cap*(1-EXP(-AJ73/(harbor_towers_param*($A74-Explore!$S74*20)+15000)))*(1+(mason_bonus*Construction!BB73/Construction!BS73))+IF(Overview!$B$14="Beastfolk",2*Construction!DC73/Construction!E73,0)*(1 + Production!O73/100*prestige_pop_multiplier)</f>
        <v>0</v>
      </c>
      <c r="AB73" s="284">
        <f ca="1">walls_forges_cap*(1-EXP(-AK73/(walls_forges_param*($A74-Explore!$S74*20)+15000)))*(1+(mason_bonus*Construction!BB73/Construction!BS73))+IF(Overview!$B$14="Beastfolk",0.2*Construction!CY73/Construction!E73,0)</f>
        <v>0</v>
      </c>
      <c r="AC73" s="284">
        <f ca="1">walls_forges_cap*(1-EXP(-AL73/(walls_forges_param*($A74-Explore!$S74*20)+15000)))*(1+(mason_bonus*Construction!BB73/Construction!BS73))+IF(Overview!$B$14="Beastfolk",5*Construction!DB73/Construction!E73,0)</f>
        <v>0</v>
      </c>
      <c r="AD73" s="97">
        <f ca="1">harbor_towers_cap*(1-EXP(-AM73/(harbor_towers_param*($A74-Explore!$S74*20)+15000)))*(1+(mason_bonus*Construction!BB73/Construction!BS73))+IF(Overview!$B$14="Beastfolk",Construction!DE73/Construction!E73)*(1 + Production!O73/100*prestige_pop_multiplier)</f>
        <v>0</v>
      </c>
      <c r="AE73" s="97">
        <f ca="1">armory_cap*(1-EXP(-AN73/(armory_param*($A74-Explore!$S74*20)+15000)))*(1+(mason_bonus*Construction!$BB73/Construction!$BS73))</f>
        <v>0</v>
      </c>
      <c r="AF73" s="97">
        <f ca="1">infirmary_cap*(1-EXP(-AO73/(infirmary_param*($A74-Explore!$S74*20)+15000)))*(1+(mason_bonus*Construction!$BB73/Construction!$BS73))</f>
        <v>0</v>
      </c>
      <c r="AH73" s="56">
        <f ca="1">(1+Overview!$O$28+IF(Magic!BA73&gt;0,0.1,0))*SUM(AV73:AY73) + AH72</f>
        <v>0</v>
      </c>
      <c r="AI73" s="26">
        <f ca="1">(1+Overview!$O$28+IF(Magic!BA73&gt;0,0.1,0))*SUM(BA73:BD73) + AI72</f>
        <v>0</v>
      </c>
      <c r="AJ73" s="164">
        <f ca="1">(1+Overview!$O$28+IF(Magic!BA73&gt;0,0.1,0))*SUM(BF73:BI73) + AJ72</f>
        <v>0</v>
      </c>
      <c r="AK73" s="164">
        <f ca="1">(1+Overview!$O$28+IF(Magic!BA73&gt;0,0.1,0))*SUM(BK73:BN73) + AK72</f>
        <v>0</v>
      </c>
      <c r="AL73" s="164">
        <f ca="1">(1+Overview!$O$28+IF(Magic!BA73&gt;0,0.1,0))*SUM(BP73:BS73) + AL72</f>
        <v>0</v>
      </c>
      <c r="AM73" s="166">
        <f ca="1">(1+Overview!$O$28+IF(Magic!BA73&gt;0,0.1,0))*SUM(BU73:BX73) + AM72</f>
        <v>0</v>
      </c>
      <c r="AN73" s="166">
        <f ca="1">(1+Overview!$O$28+IF(Magic!BA73&gt;0,0.1,0))*SUM(BZ73:CC73)+AN72</f>
        <v>0</v>
      </c>
      <c r="AO73" s="164">
        <f ca="1">(1+Overview!$O$28+IF(Magic!BA73&gt;0,0.1,0))*SUM(CE73:CH73)+AO72</f>
        <v>0</v>
      </c>
      <c r="AQ73" s="52">
        <f t="shared" si="41"/>
        <v>0</v>
      </c>
      <c r="AR73" s="16">
        <f t="shared" si="41"/>
        <v>0</v>
      </c>
      <c r="AS73" s="16">
        <f t="shared" si="41"/>
        <v>0</v>
      </c>
      <c r="AT73" s="53">
        <f t="shared" si="41"/>
        <v>0</v>
      </c>
      <c r="AV73" s="56">
        <f t="shared" si="47"/>
        <v>0</v>
      </c>
      <c r="AW73" s="26">
        <f t="shared" si="42"/>
        <v>0</v>
      </c>
      <c r="AX73" s="26">
        <f t="shared" si="42"/>
        <v>0</v>
      </c>
      <c r="AY73" s="57">
        <f t="shared" si="48"/>
        <v>0</v>
      </c>
      <c r="BA73" s="56">
        <f t="shared" si="49"/>
        <v>0</v>
      </c>
      <c r="BB73" s="26">
        <f t="shared" si="43"/>
        <v>0</v>
      </c>
      <c r="BC73" s="26">
        <f t="shared" si="43"/>
        <v>0</v>
      </c>
      <c r="BD73" s="57">
        <f t="shared" si="50"/>
        <v>0</v>
      </c>
      <c r="BF73" s="56">
        <f t="shared" si="51"/>
        <v>0</v>
      </c>
      <c r="BG73" s="26">
        <f t="shared" si="52"/>
        <v>0</v>
      </c>
      <c r="BH73" s="26">
        <f t="shared" si="40"/>
        <v>0</v>
      </c>
      <c r="BI73" s="57">
        <f t="shared" si="53"/>
        <v>0</v>
      </c>
      <c r="BK73" s="56">
        <f t="shared" si="54"/>
        <v>0</v>
      </c>
      <c r="BL73" s="26">
        <f t="shared" si="44"/>
        <v>0</v>
      </c>
      <c r="BM73" s="26">
        <f t="shared" si="44"/>
        <v>0</v>
      </c>
      <c r="BN73" s="57">
        <f t="shared" si="55"/>
        <v>0</v>
      </c>
      <c r="BP73" s="56">
        <f t="shared" si="56"/>
        <v>0</v>
      </c>
      <c r="BQ73" s="26">
        <f t="shared" si="45"/>
        <v>0</v>
      </c>
      <c r="BR73" s="26">
        <f t="shared" si="45"/>
        <v>0</v>
      </c>
      <c r="BS73" s="57">
        <f t="shared" si="57"/>
        <v>0</v>
      </c>
      <c r="BU73" s="56">
        <f>IF($O73=BU$2,IF($Q73=$AD$2,$P73)) + IF($R73=BU$2,IF($T73=$AD$2,$S73)) + IF($U73=BU$2,IF($W73=$AD$2,$V73))</f>
        <v>0</v>
      </c>
      <c r="BV73" s="26">
        <f>IF($O73=BV$2,IF($Q73=$AD$2,2*$P73)) + IF($R73=BV$2,IF($T73=$AD$2,2*$S73)) + IF($U73=BV$2,IF($W73=$AD$2,2*$V73))</f>
        <v>0</v>
      </c>
      <c r="BW73" s="26">
        <f>IF($O73=BW$2,IF($Q73=$AD$2,2*$P73)) + IF($R73=BW$2,IF($T73=$AD$2,2*$S73)) + IF($U73=BW$2,IF($W73=$AD$2,2*$V73))</f>
        <v>0</v>
      </c>
      <c r="BX73" s="57">
        <f>IF($O73=BX$2,IF($Q73=$AD$2,12*$P73)) + IF($R73=BX$2,IF($T73=$AD$2,12*$S73)) + IF($U73=BX$2,IF($W73=$AD$2,12*$V73))</f>
        <v>0</v>
      </c>
      <c r="BZ73" s="56">
        <f>IF($O73=BZ$2,IF($Q73=Armory,$P73)) + IF($R73=BZ$2,IF($T73=Armory,$S73)) + IF($U73=BZ$2,IF($W73=Armory,$V73))</f>
        <v>0</v>
      </c>
      <c r="CA73" s="26">
        <f>IF($O73=CA$2,IF($Q73=Armory,2*$P73)) + IF($R73=CA$2,IF($T73=Armory,2*$S73)) + IF($U73=CA$2,IF($W73=Armory,2*$V73))</f>
        <v>0</v>
      </c>
      <c r="CB73" s="26">
        <f>IF($O73=CB$2,IF($Q73=Armory,2*$P73)) + IF($R73=CB$2,IF($T73=Armory,2*$S73)) + IF($U73=CB$2,IF($W73=Armory,2*$V73))</f>
        <v>0</v>
      </c>
      <c r="CC73" s="57">
        <f>IF($O73=CC$2,IF($Q73=Armory,12*$P73)) + IF($R73=CC$2,IF($T73=Armory,12*$S73)) + IF($U73=CC$2,IF($W73=Armory,12*$V73))</f>
        <v>0</v>
      </c>
      <c r="CE73" s="56">
        <f>IF($O73=CE$2,IF($Q73=Infirmary,$P73)) + IF($R73=CE$2,IF($T73=Infirmary,$S73)) + IF($U73=CE$2,IF($W73=Infirmary,$V73))</f>
        <v>0</v>
      </c>
      <c r="CF73" s="26">
        <f>IF($O73=CF$2,IF($Q73=Infirmary,2*$P73)) + IF($R73=CF$2,IF($T73=Infirmary,2*$S73)) + IF($U73=CF$2,IF($W73=Infirmary,2*$V73))</f>
        <v>0</v>
      </c>
      <c r="CG73" s="26">
        <f>IF($O73=CG$2,IF($Q73=Infirmary,2*$P73)) + IF($R73=CG$2,IF($T73=Infirmary,2*$S73)) + IF($U73=CG$2,IF($W73=Infirmary,2*$V73))</f>
        <v>0</v>
      </c>
      <c r="CH73" s="57">
        <f>IF($O73=CH$2,IF($Q73=Infirmary,12*$P73)) + IF($R73=CH$2,IF($T73=Infirmary,12*$S73)) + IF($U73=CH$2,IF($W73=Infirmary,12*$V73))</f>
        <v>0</v>
      </c>
      <c r="CJ73" s="52" t="e">
        <f>OR(Production!C73,Construction!N73:'Construction'!AF73,Construction!BV73:CN73,Explore!S73:Z73,Military!AF73:AL73,Military!X73,Military!BE73:BL73,Rezone!L73:R73,Magic!G73:Q73)</f>
        <v>#VALUE!</v>
      </c>
      <c r="CK73" s="525">
        <f>M73</f>
        <v>0</v>
      </c>
      <c r="CL73" s="525"/>
      <c r="CM73" s="555">
        <f t="shared" si="59"/>
        <v>43768.729166666497</v>
      </c>
      <c r="CN73" s="563">
        <f t="shared" si="60"/>
        <v>43768.562499999833</v>
      </c>
      <c r="CO73" s="527"/>
      <c r="CP73" s="803"/>
      <c r="CQ73" s="808"/>
    </row>
    <row r="74" spans="1:98" s="16" customFormat="1" ht="13.8" thickBot="1" x14ac:dyDescent="0.3">
      <c r="A74" s="511">
        <f>Construction!E74</f>
        <v>1000</v>
      </c>
      <c r="C74" s="56">
        <f ca="1">Production!H74</f>
        <v>4831010</v>
      </c>
      <c r="D74" s="26">
        <f ca="1">Production!J74</f>
        <v>301438</v>
      </c>
      <c r="E74" s="26">
        <f ca="1">Production!L74</f>
        <v>300000</v>
      </c>
      <c r="F74" s="57">
        <f ca="1">Production!M74</f>
        <v>20000</v>
      </c>
      <c r="G74" s="26"/>
      <c r="H74" s="56">
        <f ca="1">Military!Z74</f>
        <v>5295</v>
      </c>
      <c r="I74" s="538">
        <f ca="1">Population!I74</f>
        <v>1</v>
      </c>
      <c r="J74" s="165">
        <f ca="1">Population!F74/Population!U74</f>
        <v>1</v>
      </c>
      <c r="K74" s="1000">
        <f>Rezone!J74</f>
        <v>72</v>
      </c>
      <c r="L74" s="582">
        <f t="shared" si="58"/>
        <v>43768.739583333161</v>
      </c>
      <c r="M74" s="316">
        <f t="shared" si="22"/>
        <v>0</v>
      </c>
      <c r="N74" s="638">
        <f t="shared" si="46"/>
        <v>1000</v>
      </c>
      <c r="O74" s="423" t="s">
        <v>4</v>
      </c>
      <c r="P74" s="370"/>
      <c r="Q74" s="424" t="s">
        <v>223</v>
      </c>
      <c r="R74" s="423" t="s">
        <v>7</v>
      </c>
      <c r="S74" s="370"/>
      <c r="T74" s="425" t="s">
        <v>223</v>
      </c>
      <c r="U74" s="424" t="s">
        <v>3</v>
      </c>
      <c r="V74" s="370"/>
      <c r="W74" s="425" t="s">
        <v>223</v>
      </c>
      <c r="Y74" s="522">
        <f ca="1">science_cap*(1-EXP(-AH74/(science_param*($A75-Explore!$S75*20)+15000)))*(1+(mason_bonus*Construction!BB74/Construction!BS74))+IF(Overview!$B$14="Beastfolk",Construction!DA74/Construction!E74,0)*(1 + Production!O74/100*prestige_pop_multiplier)</f>
        <v>0</v>
      </c>
      <c r="Z74" s="284">
        <f ca="1">keep_cap*(1-EXP(-AI74/(keep_param*($A75-Explore!$S75*20)+15000)))*(1+(mason_bonus*Construction!BB74/Construction!BS74))+IF(Overview!$B$14="Beastfolk",Construction!DF74/Construction!E74,0)*(1 + Production!O74/100*prestige_pop_multiplier)</f>
        <v>0</v>
      </c>
      <c r="AA74" s="284">
        <f ca="1">harbor_towers_cap*(1-EXP(-AJ74/(harbor_towers_param*($A75-Explore!$S75*20)+15000)))*(1+(mason_bonus*Construction!BB74/Construction!BS74))+IF(Overview!$B$14="Beastfolk",2*Construction!DC74/Construction!E74,0)*(1 + Production!O74/100*prestige_pop_multiplier)</f>
        <v>0</v>
      </c>
      <c r="AB74" s="284">
        <f ca="1">walls_forges_cap*(1-EXP(-AK74/(walls_forges_param*($A75-Explore!$S75*20)+15000)))*(1+(mason_bonus*Construction!BB74/Construction!BS74))+IF(Overview!$B$14="Beastfolk",0.2*Construction!CY74/Construction!E74,0)</f>
        <v>0</v>
      </c>
      <c r="AC74" s="284">
        <f ca="1">walls_forges_cap*(1-EXP(-AL74/(walls_forges_param*($A75-Explore!$S75*20)+15000)))*(1+(mason_bonus*Construction!BB74/Construction!BS74))+IF(Overview!$B$14="Beastfolk",5*Construction!DB74/Construction!E74,0)</f>
        <v>0</v>
      </c>
      <c r="AD74" s="97">
        <f ca="1">harbor_towers_cap*(1-EXP(-AM74/(harbor_towers_param*($A75-Explore!$S75*20)+15000)))*(1+(mason_bonus*Construction!BB74/Construction!BS74))+IF(Overview!$B$14="Beastfolk",Construction!DE74/Construction!E74)*(1 + Production!O74/100*prestige_pop_multiplier)</f>
        <v>0</v>
      </c>
      <c r="AE74" s="97">
        <f ca="1">armory_cap*(1-EXP(-AN74/(armory_param*($A75-Explore!$S75*20)+15000)))*(1+(mason_bonus*Construction!$BB74/Construction!$BS74))</f>
        <v>0</v>
      </c>
      <c r="AF74" s="97">
        <f ca="1">infirmary_cap*(1-EXP(-AO74/(infirmary_param*($A75-Explore!$S75*20)+15000)))*(1+(mason_bonus*Construction!$BB74/Construction!$BS74))</f>
        <v>0</v>
      </c>
      <c r="AH74" s="56">
        <f ca="1">(1+Overview!$O$28+IF(Magic!BA74&gt;0,0.1,0))*SUM(AV74:AY74) + AH73</f>
        <v>0</v>
      </c>
      <c r="AI74" s="26">
        <f ca="1">(1+Overview!$O$28+IF(Magic!BA74&gt;0,0.1,0))*SUM(BA74:BD74) + AI73</f>
        <v>0</v>
      </c>
      <c r="AJ74" s="164">
        <f ca="1">(1+Overview!$O$28+IF(Magic!BA74&gt;0,0.1,0))*SUM(BF74:BI74) + AJ73</f>
        <v>0</v>
      </c>
      <c r="AK74" s="164">
        <f ca="1">(1+Overview!$O$28+IF(Magic!BA74&gt;0,0.1,0))*SUM(BK74:BN74) + AK73</f>
        <v>0</v>
      </c>
      <c r="AL74" s="164">
        <f ca="1">(1+Overview!$O$28+IF(Magic!BA74&gt;0,0.1,0))*SUM(BP74:BS74) + AL73</f>
        <v>0</v>
      </c>
      <c r="AM74" s="166">
        <f ca="1">(1+Overview!$O$28+IF(Magic!BA74&gt;0,0.1,0))*SUM(BU74:BX74) + AM73</f>
        <v>0</v>
      </c>
      <c r="AN74" s="166">
        <f ca="1">(1+Overview!$O$28+IF(Magic!BA74&gt;0,0.1,0))*SUM(BZ74:CC74)+AN73</f>
        <v>0</v>
      </c>
      <c r="AO74" s="164">
        <f ca="1">(1+Overview!$O$28+IF(Magic!BA74&gt;0,0.1,0))*SUM(CE74:CH74)+AO73</f>
        <v>0</v>
      </c>
      <c r="AQ74" s="52">
        <f t="shared" si="41"/>
        <v>0</v>
      </c>
      <c r="AR74" s="16">
        <f t="shared" si="41"/>
        <v>0</v>
      </c>
      <c r="AS74" s="16">
        <f t="shared" si="41"/>
        <v>0</v>
      </c>
      <c r="AT74" s="53">
        <f t="shared" si="41"/>
        <v>0</v>
      </c>
      <c r="AV74" s="56">
        <f t="shared" si="47"/>
        <v>0</v>
      </c>
      <c r="AW74" s="26">
        <f t="shared" si="42"/>
        <v>0</v>
      </c>
      <c r="AX74" s="26">
        <f t="shared" si="42"/>
        <v>0</v>
      </c>
      <c r="AY74" s="57">
        <f t="shared" si="48"/>
        <v>0</v>
      </c>
      <c r="BA74" s="56">
        <f t="shared" si="49"/>
        <v>0</v>
      </c>
      <c r="BB74" s="26">
        <f t="shared" si="43"/>
        <v>0</v>
      </c>
      <c r="BC74" s="26">
        <f t="shared" si="43"/>
        <v>0</v>
      </c>
      <c r="BD74" s="57">
        <f t="shared" si="50"/>
        <v>0</v>
      </c>
      <c r="BF74" s="56">
        <f t="shared" si="51"/>
        <v>0</v>
      </c>
      <c r="BG74" s="26">
        <f t="shared" si="52"/>
        <v>0</v>
      </c>
      <c r="BH74" s="26">
        <f t="shared" si="40"/>
        <v>0</v>
      </c>
      <c r="BI74" s="57">
        <f t="shared" si="53"/>
        <v>0</v>
      </c>
      <c r="BK74" s="56">
        <f t="shared" si="54"/>
        <v>0</v>
      </c>
      <c r="BL74" s="26">
        <f t="shared" si="44"/>
        <v>0</v>
      </c>
      <c r="BM74" s="26">
        <f t="shared" si="44"/>
        <v>0</v>
      </c>
      <c r="BN74" s="57">
        <f t="shared" si="55"/>
        <v>0</v>
      </c>
      <c r="BP74" s="56">
        <f t="shared" si="56"/>
        <v>0</v>
      </c>
      <c r="BQ74" s="26">
        <f t="shared" si="45"/>
        <v>0</v>
      </c>
      <c r="BR74" s="26">
        <f t="shared" si="45"/>
        <v>0</v>
      </c>
      <c r="BS74" s="57">
        <f t="shared" si="57"/>
        <v>0</v>
      </c>
      <c r="BU74" s="56">
        <f>IF($O74=BU$2,IF($Q74=$AD$2,$P74)) + IF($R74=BU$2,IF($T74=$AD$2,$S74)) + IF($U74=BU$2,IF($W74=$AD$2,$V74))</f>
        <v>0</v>
      </c>
      <c r="BV74" s="26">
        <f>IF($O74=BV$2,IF($Q74=$AD$2,2*$P74)) + IF($R74=BV$2,IF($T74=$AD$2,2*$S74)) + IF($U74=BV$2,IF($W74=$AD$2,2*$V74))</f>
        <v>0</v>
      </c>
      <c r="BW74" s="26">
        <f>IF($O74=BW$2,IF($Q74=$AD$2,2*$P74)) + IF($R74=BW$2,IF($T74=$AD$2,2*$S74)) + IF($U74=BW$2,IF($W74=$AD$2,2*$V74))</f>
        <v>0</v>
      </c>
      <c r="BX74" s="57">
        <f>IF($O74=BX$2,IF($Q74=$AD$2,12*$P74)) + IF($R74=BX$2,IF($T74=$AD$2,12*$S74)) + IF($U74=BX$2,IF($W74=$AD$2,12*$V74))</f>
        <v>0</v>
      </c>
      <c r="BZ74" s="56">
        <f>IF($O74=BZ$2,IF($Q74=Armory,$P74)) + IF($R74=BZ$2,IF($T74=Armory,$S74)) + IF($U74=BZ$2,IF($W74=Armory,$V74))</f>
        <v>0</v>
      </c>
      <c r="CA74" s="26">
        <f>IF($O74=CA$2,IF($Q74=Armory,2*$P74)) + IF($R74=CA$2,IF($T74=Armory,2*$S74)) + IF($U74=CA$2,IF($W74=Armory,2*$V74))</f>
        <v>0</v>
      </c>
      <c r="CB74" s="26">
        <f>IF($O74=CB$2,IF($Q74=Armory,2*$P74)) + IF($R74=CB$2,IF($T74=Armory,2*$S74)) + IF($U74=CB$2,IF($W74=Armory,2*$V74))</f>
        <v>0</v>
      </c>
      <c r="CC74" s="57">
        <f>IF($O74=CC$2,IF($Q74=Armory,12*$P74)) + IF($R74=CC$2,IF($T74=Armory,12*$S74)) + IF($U74=CC$2,IF($W74=Armory,12*$V74))</f>
        <v>0</v>
      </c>
      <c r="CE74" s="56">
        <f>IF($O74=CE$2,IF($Q74=Infirmary,$P74)) + IF($R74=CE$2,IF($T74=Infirmary,$S74)) + IF($U74=CE$2,IF($W74=Infirmary,$V74))</f>
        <v>0</v>
      </c>
      <c r="CF74" s="26">
        <f>IF($O74=CF$2,IF($Q74=Infirmary,2*$P74)) + IF($R74=CF$2,IF($T74=Infirmary,2*$S74)) + IF($U74=CF$2,IF($W74=Infirmary,2*$V74))</f>
        <v>0</v>
      </c>
      <c r="CG74" s="26">
        <f>IF($O74=CG$2,IF($Q74=Infirmary,2*$P74)) + IF($R74=CG$2,IF($T74=Infirmary,2*$S74)) + IF($U74=CG$2,IF($W74=Infirmary,2*$V74))</f>
        <v>0</v>
      </c>
      <c r="CH74" s="57">
        <f>IF($O74=CH$2,IF($Q74=Infirmary,12*$P74)) + IF($R74=CH$2,IF($T74=Infirmary,12*$S74)) + IF($U74=CH$2,IF($W74=Infirmary,12*$V74))</f>
        <v>0</v>
      </c>
      <c r="CJ74" s="52" t="e">
        <f>OR(Production!C74,Construction!N74:'Construction'!AF74,Construction!BV74:CN74,Explore!S74:Z74,Military!AF74:AL74,Military!X74,Military!BE74:BL74,Rezone!L74:R74,Magic!G74:Q74)</f>
        <v>#VALUE!</v>
      </c>
      <c r="CK74" s="525">
        <f>M74</f>
        <v>0</v>
      </c>
      <c r="CL74" s="525"/>
      <c r="CM74" s="555">
        <f t="shared" si="59"/>
        <v>43768.739583333161</v>
      </c>
      <c r="CN74" s="563">
        <f t="shared" si="60"/>
        <v>43768.572916666497</v>
      </c>
      <c r="CO74" s="527"/>
      <c r="CP74" s="803"/>
      <c r="CQ74" s="808"/>
    </row>
    <row r="75" spans="1:98" s="931" customFormat="1" ht="13.8" thickBot="1" x14ac:dyDescent="0.3">
      <c r="A75" s="1299">
        <f>Construction!E75</f>
        <v>1000</v>
      </c>
      <c r="C75" s="1169">
        <f ca="1">Production!H75</f>
        <v>4835991</v>
      </c>
      <c r="D75" s="279">
        <f ca="1">Production!J75</f>
        <v>300924</v>
      </c>
      <c r="E75" s="279">
        <f ca="1">Production!L75</f>
        <v>300000</v>
      </c>
      <c r="F75" s="1298">
        <f ca="1">Production!M75</f>
        <v>20000</v>
      </c>
      <c r="G75" s="279"/>
      <c r="H75" s="1169">
        <f ca="1">Military!Z75</f>
        <v>5295</v>
      </c>
      <c r="I75" s="539">
        <f ca="1">Population!I75</f>
        <v>1</v>
      </c>
      <c r="J75" s="176">
        <f ca="1">Population!F75/Population!U75</f>
        <v>1</v>
      </c>
      <c r="K75" s="1002">
        <f>Rezone!J75</f>
        <v>73</v>
      </c>
      <c r="L75" s="583">
        <f t="shared" si="58"/>
        <v>43768.749999999825</v>
      </c>
      <c r="M75" s="1300">
        <f t="shared" si="22"/>
        <v>0</v>
      </c>
      <c r="N75" s="1301">
        <f t="shared" si="46"/>
        <v>1000</v>
      </c>
      <c r="O75" s="813" t="s">
        <v>4</v>
      </c>
      <c r="P75" s="506"/>
      <c r="Q75" s="1302" t="s">
        <v>223</v>
      </c>
      <c r="R75" s="813" t="s">
        <v>7</v>
      </c>
      <c r="S75" s="506"/>
      <c r="T75" s="1303" t="s">
        <v>223</v>
      </c>
      <c r="U75" s="1302" t="s">
        <v>3</v>
      </c>
      <c r="V75" s="506"/>
      <c r="W75" s="1303" t="s">
        <v>223</v>
      </c>
      <c r="Y75" s="1304">
        <f ca="1">science_cap*(1-EXP(-AH75/(science_param*($A76-Explore!$S76*20)+15000)))*(1+(mason_bonus*Construction!BB75/Construction!BS75))+IF(Overview!$B$14="Beastfolk",Construction!DA75/Construction!E75,0)*(1 + Production!O75/100*prestige_pop_multiplier)</f>
        <v>0</v>
      </c>
      <c r="Z75" s="1305">
        <f ca="1">keep_cap*(1-EXP(-AI75/(keep_param*($A76-Explore!$S76*20)+15000)))*(1+(mason_bonus*Construction!BB75/Construction!BS75))+IF(Overview!$B$14="Beastfolk",Construction!DF75/Construction!E75,0)*(1 + Production!O75/100*prestige_pop_multiplier)</f>
        <v>0</v>
      </c>
      <c r="AA75" s="1305">
        <f ca="1">harbor_towers_cap*(1-EXP(-AJ75/(harbor_towers_param*($A76-Explore!$S76*20)+15000)))*(1+(mason_bonus*Construction!BB75/Construction!BS75))+IF(Overview!$B$14="Beastfolk",2*Construction!DC75/Construction!E75,0)*(1 + Production!O75/100*prestige_pop_multiplier)</f>
        <v>0</v>
      </c>
      <c r="AB75" s="1305">
        <f ca="1">walls_forges_cap*(1-EXP(-AK75/(walls_forges_param*($A76-Explore!$S76*20)+15000)))*(1+(mason_bonus*Construction!BB75/Construction!BS75))+IF(Overview!$B$14="Beastfolk",0.2*Construction!CY75/Construction!E75,0)</f>
        <v>0</v>
      </c>
      <c r="AC75" s="1305">
        <f ca="1">walls_forges_cap*(1-EXP(-AL75/(walls_forges_param*($A76-Explore!$S76*20)+15000)))*(1+(mason_bonus*Construction!BB75/Construction!BS75))+IF(Overview!$B$14="Beastfolk",5*Construction!DB75/Construction!E75,0)</f>
        <v>0</v>
      </c>
      <c r="AD75" s="1306">
        <f ca="1">harbor_towers_cap*(1-EXP(-AM75/(harbor_towers_param*($A76-Explore!$S76*20)+15000)))*(1+(mason_bonus*Construction!BB75/Construction!BS75))+IF(Overview!$B$14="Beastfolk",Construction!DE75/Construction!E75)*(1 + Production!O75/100*prestige_pop_multiplier)</f>
        <v>0</v>
      </c>
      <c r="AE75" s="1306">
        <f ca="1">armory_cap*(1-EXP(-AN75/(armory_param*($A76-Explore!$S76*20)+15000)))*(1+(mason_bonus*Construction!$BB75/Construction!$BS75))</f>
        <v>0</v>
      </c>
      <c r="AF75" s="1306">
        <f ca="1">infirmary_cap*(1-EXP(-AO75/(infirmary_param*($A76-Explore!$S76*20)+15000)))*(1+(mason_bonus*Construction!$BB75/Construction!$BS75))</f>
        <v>0</v>
      </c>
      <c r="AH75" s="1169">
        <f ca="1">(1+Overview!$O$28+IF(Magic!BA75&gt;0,0.1,0))*SUM(AV75:AY75) + AH74</f>
        <v>0</v>
      </c>
      <c r="AI75" s="279">
        <f ca="1">(1+Overview!$O$28+IF(Magic!BA75&gt;0,0.1,0))*SUM(BA75:BD75) + AI74</f>
        <v>0</v>
      </c>
      <c r="AJ75" s="174">
        <f ca="1">(1+Overview!$O$28+IF(Magic!BA75&gt;0,0.1,0))*SUM(BF75:BI75) + AJ74</f>
        <v>0</v>
      </c>
      <c r="AK75" s="174">
        <f ca="1">(1+Overview!$O$28+IF(Magic!BA75&gt;0,0.1,0))*SUM(BK75:BN75) + AK74</f>
        <v>0</v>
      </c>
      <c r="AL75" s="174">
        <f ca="1">(1+Overview!$O$28+IF(Magic!BA75&gt;0,0.1,0))*SUM(BP75:BS75) + AL74</f>
        <v>0</v>
      </c>
      <c r="AM75" s="179">
        <f ca="1">(1+Overview!$O$28+IF(Magic!BA75&gt;0,0.1,0))*SUM(BU75:BX75) + AM74</f>
        <v>0</v>
      </c>
      <c r="AN75" s="179">
        <f ca="1">(1+Overview!$O$28+IF(Magic!BA75&gt;0,0.1,0))*SUM(BZ75:CC75)+AN74</f>
        <v>0</v>
      </c>
      <c r="AO75" s="174">
        <f ca="1">(1+Overview!$O$28+IF(Magic!BA75&gt;0,0.1,0))*SUM(CE75:CH75)+AO74</f>
        <v>0</v>
      </c>
      <c r="AQ75" s="932">
        <f t="shared" si="41"/>
        <v>0</v>
      </c>
      <c r="AR75" s="931">
        <f t="shared" si="41"/>
        <v>0</v>
      </c>
      <c r="AS75" s="931">
        <f t="shared" si="41"/>
        <v>0</v>
      </c>
      <c r="AT75" s="933">
        <f t="shared" si="41"/>
        <v>0</v>
      </c>
      <c r="AV75" s="1169">
        <f t="shared" si="47"/>
        <v>0</v>
      </c>
      <c r="AW75" s="279">
        <f t="shared" si="42"/>
        <v>0</v>
      </c>
      <c r="AX75" s="279">
        <f t="shared" si="42"/>
        <v>0</v>
      </c>
      <c r="AY75" s="1298">
        <f t="shared" si="48"/>
        <v>0</v>
      </c>
      <c r="BA75" s="1169">
        <f t="shared" si="49"/>
        <v>0</v>
      </c>
      <c r="BB75" s="279">
        <f t="shared" si="43"/>
        <v>0</v>
      </c>
      <c r="BC75" s="279">
        <f t="shared" si="43"/>
        <v>0</v>
      </c>
      <c r="BD75" s="1298">
        <f t="shared" si="50"/>
        <v>0</v>
      </c>
      <c r="BF75" s="1169">
        <f t="shared" si="51"/>
        <v>0</v>
      </c>
      <c r="BG75" s="279">
        <f t="shared" si="52"/>
        <v>0</v>
      </c>
      <c r="BH75" s="279">
        <f>IF($O75=BJ$2,IF($Q75=$AA$2,2*$P75)) + IF($R75=BJ$2,IF($T75=$AA$2,2*$S75)) + IF($U75=BJ$2,IF($W75=$AA$2,2*$V75))</f>
        <v>0</v>
      </c>
      <c r="BI75" s="1298">
        <f t="shared" si="53"/>
        <v>0</v>
      </c>
      <c r="BK75" s="1169">
        <f t="shared" si="54"/>
        <v>0</v>
      </c>
      <c r="BL75" s="279">
        <f t="shared" si="44"/>
        <v>0</v>
      </c>
      <c r="BM75" s="279">
        <f t="shared" si="44"/>
        <v>0</v>
      </c>
      <c r="BN75" s="1298">
        <f t="shared" si="55"/>
        <v>0</v>
      </c>
      <c r="BP75" s="1169">
        <f t="shared" si="56"/>
        <v>0</v>
      </c>
      <c r="BQ75" s="279">
        <f t="shared" si="45"/>
        <v>0</v>
      </c>
      <c r="BR75" s="279">
        <f t="shared" si="45"/>
        <v>0</v>
      </c>
      <c r="BS75" s="1298">
        <f t="shared" si="57"/>
        <v>0</v>
      </c>
      <c r="BU75" s="1169">
        <f>IF($O75=BU$2,IF($Q75=$AD$2,$P75)) + IF($R75=BU$2,IF($T75=$AD$2,$S75)) + IF($U75=BU$2,IF($W75=$AD$2,$V75))</f>
        <v>0</v>
      </c>
      <c r="BV75" s="279">
        <f>IF($O75=BV$2,IF($Q75=$AD$2,2*$P75)) + IF($R75=BV$2,IF($T75=$AD$2,2*$S75)) + IF($U75=BV$2,IF($W75=$AD$2,2*$V75))</f>
        <v>0</v>
      </c>
      <c r="BW75" s="279">
        <f>IF($O75=BW$2,IF($Q75=$AD$2,2*$P75)) + IF($R75=BW$2,IF($T75=$AD$2,2*$S75)) + IF($U75=BW$2,IF($W75=$AD$2,2*$V75))</f>
        <v>0</v>
      </c>
      <c r="BX75" s="1298">
        <f>IF($O75=BX$2,IF($Q75=$AD$2,12*$P75)) + IF($R75=BX$2,IF($T75=$AD$2,12*$S75)) + IF($U75=BX$2,IF($W75=$AD$2,12*$V75))</f>
        <v>0</v>
      </c>
      <c r="BZ75" s="1169">
        <f>IF($O75=BZ$2,IF($Q75=Armory,$P75)) + IF($R75=BZ$2,IF($T75=Armory,$S75)) + IF($U75=BZ$2,IF($W75=Armory,$V75))</f>
        <v>0</v>
      </c>
      <c r="CA75" s="279">
        <f>IF($O75=CA$2,IF($Q75=Armory,2*$P75)) + IF($R75=CA$2,IF($T75=Armory,2*$S75)) + IF($U75=CA$2,IF($W75=Armory,2*$V75))</f>
        <v>0</v>
      </c>
      <c r="CB75" s="279">
        <f>IF($O75=CB$2,IF($Q75=Armory,2*$P75)) + IF($R75=CB$2,IF($T75=Armory,2*$S75)) + IF($U75=CB$2,IF($W75=Armory,2*$V75))</f>
        <v>0</v>
      </c>
      <c r="CC75" s="1298">
        <f>IF($O75=CC$2,IF($Q75=Armory,12*$P75)) + IF($R75=CC$2,IF($T75=Armory,12*$S75)) + IF($U75=CC$2,IF($W75=Armory,12*$V75))</f>
        <v>0</v>
      </c>
      <c r="CE75" s="1169">
        <f>IF($O75=CE$2,IF($Q75=Infirmary,$P75)) + IF($R75=CE$2,IF($T75=Infirmary,$S75)) + IF($U75=CE$2,IF($W75=Infirmary,$V75))</f>
        <v>0</v>
      </c>
      <c r="CF75" s="279">
        <f>IF($O75=CF$2,IF($Q75=Infirmary,2*$P75)) + IF($R75=CF$2,IF($T75=Infirmary,2*$S75)) + IF($U75=CF$2,IF($W75=Infirmary,2*$V75))</f>
        <v>0</v>
      </c>
      <c r="CG75" s="279">
        <f>IF($O75=CG$2,IF($Q75=Infirmary,2*$P75)) + IF($R75=CG$2,IF($T75=Infirmary,2*$S75)) + IF($U75=CG$2,IF($W75=Infirmary,2*$V75))</f>
        <v>0</v>
      </c>
      <c r="CH75" s="1298">
        <f>IF($O75=CH$2,IF($Q75=Infirmary,12*$P75)) + IF($R75=CH$2,IF($T75=Infirmary,12*$S75)) + IF($U75=CH$2,IF($W75=Infirmary,12*$V75))</f>
        <v>0</v>
      </c>
      <c r="CJ75" s="932" t="e">
        <f>OR(Production!C75,Construction!N75:'Construction'!AF75,Construction!BV75:CN75,Explore!S75:Z75,Military!AF75:AL75,Military!X75,Military!BE75:BL75,Rezone!L75:R75,Magic!G75:Q75)</f>
        <v>#VALUE!</v>
      </c>
      <c r="CK75" s="1293">
        <f>M75</f>
        <v>0</v>
      </c>
      <c r="CL75" s="1293"/>
      <c r="CM75" s="1307">
        <f t="shared" si="59"/>
        <v>43768.749999999825</v>
      </c>
      <c r="CN75" s="1308">
        <f t="shared" si="60"/>
        <v>43768.583333333161</v>
      </c>
      <c r="CO75" s="1292"/>
      <c r="CP75" s="806"/>
      <c r="CQ75" s="1309"/>
    </row>
    <row r="76" spans="1:98" s="170" customFormat="1" x14ac:dyDescent="0.25">
      <c r="A76" s="508">
        <f>Construction!E76</f>
        <v>1000</v>
      </c>
      <c r="C76" s="152">
        <f ca="1">Production!H76</f>
        <v>4840972</v>
      </c>
      <c r="D76" s="164">
        <f ca="1">Production!J76</f>
        <v>300415</v>
      </c>
      <c r="E76" s="164">
        <f ca="1">Production!L76</f>
        <v>300000</v>
      </c>
      <c r="F76" s="166">
        <f ca="1">Production!M76</f>
        <v>20000</v>
      </c>
      <c r="G76" s="164"/>
      <c r="H76" s="152">
        <f ca="1">Military!Z76</f>
        <v>5295</v>
      </c>
      <c r="I76" s="538">
        <f ca="1">Population!I76</f>
        <v>1</v>
      </c>
      <c r="J76" s="165">
        <f ca="1">Population!F76/Population!U76</f>
        <v>1</v>
      </c>
      <c r="K76" s="1000">
        <f>Rezone!J76</f>
        <v>74</v>
      </c>
      <c r="L76" s="582">
        <f t="shared" si="58"/>
        <v>43768.76041666649</v>
      </c>
      <c r="M76" s="646">
        <f t="shared" si="22"/>
        <v>0</v>
      </c>
      <c r="N76" s="529">
        <f t="shared" si="46"/>
        <v>1000</v>
      </c>
      <c r="O76" s="406" t="s">
        <v>4</v>
      </c>
      <c r="P76" s="370"/>
      <c r="Q76" s="408" t="s">
        <v>223</v>
      </c>
      <c r="R76" s="406" t="s">
        <v>7</v>
      </c>
      <c r="S76" s="370"/>
      <c r="T76" s="408" t="s">
        <v>223</v>
      </c>
      <c r="U76" s="406" t="s">
        <v>3</v>
      </c>
      <c r="V76" s="407"/>
      <c r="W76" s="409" t="s">
        <v>223</v>
      </c>
      <c r="Y76" s="501">
        <f ca="1">science_cap*(1-EXP(-AH76/(science_param*($A77-Explore!$S77*20)+15000)))*(1+(mason_bonus*Construction!BB76/Construction!BS76))+IF(Overview!$B$14="Beastfolk",Construction!DA76/Construction!E76,0)*(1 + Production!O76/100*prestige_pop_multiplier)</f>
        <v>0</v>
      </c>
      <c r="Z76" s="454">
        <f ca="1">keep_cap*(1-EXP(-AI76/(keep_param*($A77-Explore!$S77*20)+15000)))*(1+(mason_bonus*Construction!BB76/Construction!BS76))+IF(Overview!$B$14="Beastfolk",Construction!DF76/Construction!E76,0)*(1 + Production!O76/100*prestige_pop_multiplier)</f>
        <v>0</v>
      </c>
      <c r="AA76" s="454">
        <f ca="1">harbor_towers_cap*(1-EXP(-AJ76/(harbor_towers_param*($A77-Explore!$S77*20)+15000)))*(1+(mason_bonus*Construction!BB76/Construction!BS76))+IF(Overview!$B$14="Beastfolk",2*Construction!DC76/Construction!E76,0)*(1 + Production!O76/100*prestige_pop_multiplier)</f>
        <v>0</v>
      </c>
      <c r="AB76" s="454">
        <f ca="1">walls_forges_cap*(1-EXP(-AK76/(walls_forges_param*($A77-Explore!$S77*20)+15000)))*(1+(mason_bonus*Construction!BB76/Construction!BS76))+IF(Overview!$B$14="Beastfolk",0.2*Construction!CY76/Construction!E76,0)</f>
        <v>0</v>
      </c>
      <c r="AC76" s="454">
        <f ca="1">walls_forges_cap*(1-EXP(-AL76/(walls_forges_param*($A77-Explore!$S77*20)+15000)))*(1+(mason_bonus*Construction!BB76/Construction!BS76))+IF(Overview!$B$14="Beastfolk",5*Construction!DB76/Construction!E76,0)</f>
        <v>0</v>
      </c>
      <c r="AD76" s="171">
        <f ca="1">harbor_towers_cap*(1-EXP(-AM76/(harbor_towers_param*($A77-Explore!$S77*20)+15000)))*(1+(mason_bonus*Construction!BB76/Construction!BS76))+IF(Overview!$B$14="Beastfolk",Construction!DE76/Construction!E76)*(1 + Production!O76/100*prestige_pop_multiplier)</f>
        <v>0</v>
      </c>
      <c r="AE76" s="171">
        <f ca="1">armory_cap*(1-EXP(-AN76/(armory_param*($A77-Explore!$S77*20)+15000)))*(1+(mason_bonus*Construction!$BB76/Construction!$BS76))</f>
        <v>0</v>
      </c>
      <c r="AF76" s="171">
        <f ca="1">infirmary_cap*(1-EXP(-AO76/(infirmary_param*($A77-Explore!$S77*20)+15000)))*(1+(mason_bonus*Construction!$BB76/Construction!$BS76))</f>
        <v>0</v>
      </c>
      <c r="AH76" s="56">
        <f ca="1">(1+Overview!$O$28+IF(Magic!BA76&gt;0,0.1,0))*SUM(AV76:AY76) + AH75</f>
        <v>0</v>
      </c>
      <c r="AI76" s="26">
        <f ca="1">(1+Overview!$O$28+IF(Magic!BA76&gt;0,0.1,0))*SUM(BA76:BD76) + AI75</f>
        <v>0</v>
      </c>
      <c r="AJ76" s="164">
        <f ca="1">(1+Overview!$O$28+IF(Magic!BA76&gt;0,0.1,0))*SUM(BF76:BI76) + AJ75</f>
        <v>0</v>
      </c>
      <c r="AK76" s="164">
        <f ca="1">(1+Overview!$O$28+IF(Magic!BA76&gt;0,0.1,0))*SUM(BK76:BN76) + AK75</f>
        <v>0</v>
      </c>
      <c r="AL76" s="164">
        <f ca="1">(1+Overview!$O$28+IF(Magic!BA76&gt;0,0.1,0))*SUM(BP76:BS76) + AL75</f>
        <v>0</v>
      </c>
      <c r="AM76" s="166">
        <f ca="1">(1+Overview!$O$28+IF(Magic!BA76&gt;0,0.1,0))*SUM(BU76:BX76) + AM75</f>
        <v>0</v>
      </c>
      <c r="AN76" s="166">
        <f ca="1">(1+Overview!$O$28+IF(Magic!BA76&gt;0,0.1,0))*SUM(BZ76:CC76)+AN75</f>
        <v>0</v>
      </c>
      <c r="AO76" s="164">
        <f ca="1">(1+Overview!$O$28+IF(Magic!BA76&gt;0,0.1,0))*SUM(CE76:CH76)+AO75</f>
        <v>0</v>
      </c>
      <c r="AQ76" s="156">
        <f t="shared" si="41"/>
        <v>0</v>
      </c>
      <c r="AR76" s="170">
        <f t="shared" si="41"/>
        <v>0</v>
      </c>
      <c r="AS76" s="170">
        <f t="shared" si="41"/>
        <v>0</v>
      </c>
      <c r="AT76" s="157">
        <f t="shared" si="41"/>
        <v>0</v>
      </c>
      <c r="AV76" s="152">
        <f t="shared" si="47"/>
        <v>0</v>
      </c>
      <c r="AW76" s="164">
        <f t="shared" si="42"/>
        <v>0</v>
      </c>
      <c r="AX76" s="164">
        <f t="shared" si="42"/>
        <v>0</v>
      </c>
      <c r="AY76" s="166">
        <f t="shared" si="48"/>
        <v>0</v>
      </c>
      <c r="BA76" s="152">
        <f t="shared" si="49"/>
        <v>0</v>
      </c>
      <c r="BB76" s="164">
        <f t="shared" si="43"/>
        <v>0</v>
      </c>
      <c r="BC76" s="164">
        <f t="shared" si="43"/>
        <v>0</v>
      </c>
      <c r="BD76" s="166">
        <f t="shared" si="50"/>
        <v>0</v>
      </c>
      <c r="BF76" s="152">
        <f t="shared" si="51"/>
        <v>0</v>
      </c>
      <c r="BG76" s="164">
        <f t="shared" si="52"/>
        <v>0</v>
      </c>
      <c r="BH76" s="164">
        <f t="shared" ref="BH76:BH86" si="61">IF($O76=BJ$2,IF($Q76=$AA$2,2*$P76)) + IF($R76=BJ$2,IF($T76=$AA$2,2*$S76)) + IF($U76=BJ$2,IF($W76=$AA$2,2*$V76))</f>
        <v>0</v>
      </c>
      <c r="BI76" s="166">
        <f t="shared" si="53"/>
        <v>0</v>
      </c>
      <c r="BK76" s="152">
        <f t="shared" si="54"/>
        <v>0</v>
      </c>
      <c r="BL76" s="164">
        <f t="shared" si="44"/>
        <v>0</v>
      </c>
      <c r="BM76" s="164">
        <f t="shared" si="44"/>
        <v>0</v>
      </c>
      <c r="BN76" s="166">
        <f t="shared" si="55"/>
        <v>0</v>
      </c>
      <c r="BP76" s="152">
        <f t="shared" si="56"/>
        <v>0</v>
      </c>
      <c r="BQ76" s="164">
        <f t="shared" si="45"/>
        <v>0</v>
      </c>
      <c r="BR76" s="164">
        <f t="shared" si="45"/>
        <v>0</v>
      </c>
      <c r="BS76" s="166">
        <f t="shared" si="57"/>
        <v>0</v>
      </c>
      <c r="BU76" s="152">
        <f>IF($O76=BU$2,IF($Q76=$AD$2,$P76)) + IF($R76=BU$2,IF($T76=$AD$2,$S76)) + IF($U76=BU$2,IF($W76=$AD$2,$V76))</f>
        <v>0</v>
      </c>
      <c r="BV76" s="164">
        <f>IF($O76=BV$2,IF($Q76=$AD$2,2*$P76)) + IF($R76=BV$2,IF($T76=$AD$2,2*$S76)) + IF($U76=BV$2,IF($W76=$AD$2,2*$V76))</f>
        <v>0</v>
      </c>
      <c r="BW76" s="164">
        <f>IF($O76=BW$2,IF($Q76=$AD$2,2*$P76)) + IF($R76=BW$2,IF($T76=$AD$2,2*$S76)) + IF($U76=BW$2,IF($W76=$AD$2,2*$V76))</f>
        <v>0</v>
      </c>
      <c r="BX76" s="166">
        <f>IF($O76=BX$2,IF($Q76=$AD$2,12*$P76)) + IF($R76=BX$2,IF($T76=$AD$2,12*$S76)) + IF($U76=BX$2,IF($W76=$AD$2,12*$V76))</f>
        <v>0</v>
      </c>
      <c r="BZ76" s="152">
        <f>IF($O76=BZ$2,IF($Q76=Armory,$P76)) + IF($R76=BZ$2,IF($T76=Armory,$S76)) + IF($U76=BZ$2,IF($W76=Armory,$V76))</f>
        <v>0</v>
      </c>
      <c r="CA76" s="164">
        <f>IF($O76=CA$2,IF($Q76=Armory,2*$P76)) + IF($R76=CA$2,IF($T76=Armory,2*$S76)) + IF($U76=CA$2,IF($W76=Armory,2*$V76))</f>
        <v>0</v>
      </c>
      <c r="CB76" s="164">
        <f>IF($O76=CB$2,IF($Q76=Armory,2*$P76)) + IF($R76=CB$2,IF($T76=Armory,2*$S76)) + IF($U76=CB$2,IF($W76=Armory,2*$V76))</f>
        <v>0</v>
      </c>
      <c r="CC76" s="166">
        <f>IF($O76=CC$2,IF($Q76=Armory,12*$P76)) + IF($R76=CC$2,IF($T76=Armory,12*$S76)) + IF($U76=CC$2,IF($W76=Armory,12*$V76))</f>
        <v>0</v>
      </c>
      <c r="CE76" s="152">
        <f>IF($O76=CE$2,IF($Q76=Infirmary,$P76)) + IF($R76=CE$2,IF($T76=Infirmary,$S76)) + IF($U76=CE$2,IF($W76=Infirmary,$V76))</f>
        <v>0</v>
      </c>
      <c r="CF76" s="164">
        <f>IF($O76=CF$2,IF($Q76=Infirmary,2*$P76)) + IF($R76=CF$2,IF($T76=Infirmary,2*$S76)) + IF($U76=CF$2,IF($W76=Infirmary,2*$V76))</f>
        <v>0</v>
      </c>
      <c r="CG76" s="164">
        <f>IF($O76=CG$2,IF($Q76=Infirmary,2*$P76)) + IF($R76=CG$2,IF($T76=Infirmary,2*$S76)) + IF($U76=CG$2,IF($W76=Infirmary,2*$V76))</f>
        <v>0</v>
      </c>
      <c r="CH76" s="166">
        <f>IF($O76=CH$2,IF($Q76=Infirmary,12*$P76)) + IF($R76=CH$2,IF($T76=Infirmary,12*$S76)) + IF($U76=CH$2,IF($W76=Infirmary,12*$V76))</f>
        <v>0</v>
      </c>
      <c r="CJ76" s="156" t="e">
        <f>OR(Production!C76,Construction!N76:'Construction'!AF76,Construction!BV76:CN76,Explore!S76:Z76,Military!AF76:AL76,Military!X76,Military!BE76:BL76,Rezone!L76:R76,Magic!G76:Q76)</f>
        <v>#VALUE!</v>
      </c>
      <c r="CK76" s="546">
        <f>M76</f>
        <v>0</v>
      </c>
      <c r="CL76" s="546"/>
      <c r="CM76" s="552">
        <f t="shared" si="59"/>
        <v>43768.76041666649</v>
      </c>
      <c r="CN76" s="560">
        <f t="shared" si="60"/>
        <v>43768.593749999825</v>
      </c>
      <c r="CO76" s="627"/>
      <c r="CP76" s="803"/>
      <c r="CQ76" s="770"/>
    </row>
    <row r="77" spans="1:98" s="170" customFormat="1" x14ac:dyDescent="0.25">
      <c r="A77" s="508">
        <f>Construction!E77</f>
        <v>1000</v>
      </c>
      <c r="C77" s="152">
        <f ca="1">Production!H77</f>
        <v>4845953</v>
      </c>
      <c r="D77" s="164">
        <f ca="1">Production!J77</f>
        <v>299911</v>
      </c>
      <c r="E77" s="164">
        <f ca="1">Production!L77</f>
        <v>300000</v>
      </c>
      <c r="F77" s="166">
        <f ca="1">Production!M77</f>
        <v>20000</v>
      </c>
      <c r="G77" s="164"/>
      <c r="H77" s="152">
        <f ca="1">Military!Z77</f>
        <v>5295</v>
      </c>
      <c r="I77" s="538">
        <f ca="1">Population!I77</f>
        <v>1</v>
      </c>
      <c r="J77" s="165">
        <f ca="1">Population!F77/Population!U77</f>
        <v>1</v>
      </c>
      <c r="K77" s="1000">
        <f>Rezone!J77</f>
        <v>75</v>
      </c>
      <c r="L77" s="582">
        <f t="shared" si="58"/>
        <v>43768.770833333154</v>
      </c>
      <c r="M77" s="646">
        <f t="shared" si="22"/>
        <v>0</v>
      </c>
      <c r="N77" s="529">
        <f t="shared" si="46"/>
        <v>1000</v>
      </c>
      <c r="O77" s="406" t="s">
        <v>4</v>
      </c>
      <c r="P77" s="370"/>
      <c r="Q77" s="408" t="s">
        <v>223</v>
      </c>
      <c r="R77" s="406" t="s">
        <v>7</v>
      </c>
      <c r="S77" s="370"/>
      <c r="T77" s="408" t="s">
        <v>223</v>
      </c>
      <c r="U77" s="406" t="s">
        <v>3</v>
      </c>
      <c r="V77" s="407"/>
      <c r="W77" s="409" t="s">
        <v>223</v>
      </c>
      <c r="Y77" s="501">
        <f ca="1">science_cap*(1-EXP(-AH77/(science_param*($A78-Explore!$S78*20)+15000)))*(1+(mason_bonus*Construction!BB77/Construction!BS77))+IF(Overview!$B$14="Beastfolk",Construction!DA77/Construction!E77,0)*(1 + Production!O77/100*prestige_pop_multiplier)</f>
        <v>0</v>
      </c>
      <c r="Z77" s="454">
        <f ca="1">keep_cap*(1-EXP(-AI77/(keep_param*($A78-Explore!$S78*20)+15000)))*(1+(mason_bonus*Construction!BB77/Construction!BS77))+IF(Overview!$B$14="Beastfolk",Construction!DF77/Construction!E77,0)*(1 + Production!O77/100*prestige_pop_multiplier)</f>
        <v>0</v>
      </c>
      <c r="AA77" s="454">
        <f ca="1">harbor_towers_cap*(1-EXP(-AJ77/(harbor_towers_param*($A78-Explore!$S78*20)+15000)))*(1+(mason_bonus*Construction!BB77/Construction!BS77))+IF(Overview!$B$14="Beastfolk",2*Construction!DC77/Construction!E77,0)*(1 + Production!O77/100*prestige_pop_multiplier)</f>
        <v>0</v>
      </c>
      <c r="AB77" s="454">
        <f ca="1">walls_forges_cap*(1-EXP(-AK77/(walls_forges_param*($A78-Explore!$S78*20)+15000)))*(1+(mason_bonus*Construction!BB77/Construction!BS77))+IF(Overview!$B$14="Beastfolk",0.2*Construction!CY77/Construction!E77,0)</f>
        <v>0</v>
      </c>
      <c r="AC77" s="454">
        <f ca="1">walls_forges_cap*(1-EXP(-AL77/(walls_forges_param*($A78-Explore!$S78*20)+15000)))*(1+(mason_bonus*Construction!BB77/Construction!BS77))+IF(Overview!$B$14="Beastfolk",5*Construction!DB77/Construction!E77,0)</f>
        <v>0</v>
      </c>
      <c r="AD77" s="171">
        <f ca="1">harbor_towers_cap*(1-EXP(-AM77/(harbor_towers_param*($A78-Explore!$S78*20)+15000)))*(1+(mason_bonus*Construction!BB77/Construction!BS77))+IF(Overview!$B$14="Beastfolk",Construction!DE77/Construction!E77)*(1 + Production!O77/100*prestige_pop_multiplier)</f>
        <v>0</v>
      </c>
      <c r="AE77" s="171">
        <f ca="1">armory_cap*(1-EXP(-AN77/(armory_param*($A78-Explore!$S78*20)+15000)))*(1+(mason_bonus*Construction!$BB77/Construction!$BS77))</f>
        <v>0</v>
      </c>
      <c r="AF77" s="171">
        <f ca="1">infirmary_cap*(1-EXP(-AO77/(infirmary_param*($A78-Explore!$S78*20)+15000)))*(1+(mason_bonus*Construction!$BB77/Construction!$BS77))</f>
        <v>0</v>
      </c>
      <c r="AH77" s="56">
        <f ca="1">(1+Overview!$O$28+IF(Magic!BA77&gt;0,0.1,0))*SUM(AV77:AY77) + AH76</f>
        <v>0</v>
      </c>
      <c r="AI77" s="26">
        <f ca="1">(1+Overview!$O$28+IF(Magic!BA77&gt;0,0.1,0))*SUM(BA77:BD77) + AI76</f>
        <v>0</v>
      </c>
      <c r="AJ77" s="164">
        <f ca="1">(1+Overview!$O$28+IF(Magic!BA77&gt;0,0.1,0))*SUM(BF77:BI77) + AJ76</f>
        <v>0</v>
      </c>
      <c r="AK77" s="164">
        <f ca="1">(1+Overview!$O$28+IF(Magic!BA77&gt;0,0.1,0))*SUM(BK77:BN77) + AK76</f>
        <v>0</v>
      </c>
      <c r="AL77" s="164">
        <f ca="1">(1+Overview!$O$28+IF(Magic!BA77&gt;0,0.1,0))*SUM(BP77:BS77) + AL76</f>
        <v>0</v>
      </c>
      <c r="AM77" s="166">
        <f ca="1">(1+Overview!$O$28+IF(Magic!BA77&gt;0,0.1,0))*SUM(BU77:BX77) + AM76</f>
        <v>0</v>
      </c>
      <c r="AN77" s="166">
        <f ca="1">(1+Overview!$O$28+IF(Magic!BA77&gt;0,0.1,0))*SUM(BZ77:CC77)+AN76</f>
        <v>0</v>
      </c>
      <c r="AO77" s="164">
        <f ca="1">(1+Overview!$O$28+IF(Magic!BA77&gt;0,0.1,0))*SUM(CE77:CH77)+AO76</f>
        <v>0</v>
      </c>
      <c r="AQ77" s="156">
        <f t="shared" ref="AQ77:AT92" si="62">IF(AND($O77=AQ$2,$Q77&lt;&gt;""),$P77) + IF(AND($R77=AQ$2,$T77&lt;&gt;""),$S77) + IF(AND($U77=AQ$2,$W77&lt;&gt;""),$V77)</f>
        <v>0</v>
      </c>
      <c r="AR77" s="170">
        <f t="shared" si="62"/>
        <v>0</v>
      </c>
      <c r="AS77" s="170">
        <f t="shared" si="62"/>
        <v>0</v>
      </c>
      <c r="AT77" s="157">
        <f t="shared" si="62"/>
        <v>0</v>
      </c>
      <c r="AV77" s="152">
        <f t="shared" si="47"/>
        <v>0</v>
      </c>
      <c r="AW77" s="164">
        <f t="shared" ref="AW77:AX92" si="63">IF($O77=AW$2,IF($Q77=$Y$2,2*$P77)) + IF($R77=AW$2,IF($T77=$Y$2,2*$S77)) + IF($U77=AW$2,IF($W77=$Y$2,2*$V77))</f>
        <v>0</v>
      </c>
      <c r="AX77" s="164">
        <f t="shared" si="63"/>
        <v>0</v>
      </c>
      <c r="AY77" s="166">
        <f t="shared" si="48"/>
        <v>0</v>
      </c>
      <c r="BA77" s="152">
        <f t="shared" si="49"/>
        <v>0</v>
      </c>
      <c r="BB77" s="164">
        <f t="shared" ref="BB77:BC92" si="64">IF($O77=BB$2,IF($Q77=$Z$2,2*$P77)) + IF($R77=BB$2,IF($T77=$Z$2,2*$S77)) + IF($U77=BB$2,IF($W77=$Z$2,2*$V77))</f>
        <v>0</v>
      </c>
      <c r="BC77" s="164">
        <f t="shared" si="64"/>
        <v>0</v>
      </c>
      <c r="BD77" s="166">
        <f t="shared" si="50"/>
        <v>0</v>
      </c>
      <c r="BF77" s="152">
        <f t="shared" si="51"/>
        <v>0</v>
      </c>
      <c r="BG77" s="164">
        <f t="shared" si="52"/>
        <v>0</v>
      </c>
      <c r="BH77" s="164">
        <f t="shared" si="61"/>
        <v>0</v>
      </c>
      <c r="BI77" s="166">
        <f t="shared" si="53"/>
        <v>0</v>
      </c>
      <c r="BK77" s="152">
        <f t="shared" si="54"/>
        <v>0</v>
      </c>
      <c r="BL77" s="164">
        <f t="shared" ref="BL77:BM92" si="65">IF($O77=BL$2,IF($Q77=$AB$2,2*$P77)) + IF($R77=BL$2,IF($T77=$AB$2,2*$S77)) + IF($U77=BL$2,IF($W77=$AB$2,2*$V77))</f>
        <v>0</v>
      </c>
      <c r="BM77" s="164">
        <f t="shared" si="65"/>
        <v>0</v>
      </c>
      <c r="BN77" s="166">
        <f t="shared" si="55"/>
        <v>0</v>
      </c>
      <c r="BP77" s="152">
        <f t="shared" si="56"/>
        <v>0</v>
      </c>
      <c r="BQ77" s="164">
        <f t="shared" ref="BQ77:BR92" si="66">IF($O77=BQ$2,IF($Q77=$AC$2,2*$P77)) + IF($R77=BQ$2,IF($T77=$AC$2,2*$S77)) + IF($U77=BQ$2,IF($W77=$AC$2,2*$V77))</f>
        <v>0</v>
      </c>
      <c r="BR77" s="164">
        <f t="shared" si="66"/>
        <v>0</v>
      </c>
      <c r="BS77" s="166">
        <f t="shared" si="57"/>
        <v>0</v>
      </c>
      <c r="BU77" s="152">
        <f>IF($O77=BU$2,IF($Q77=$AD$2,$P77)) + IF($R77=BU$2,IF($T77=$AD$2,$S77)) + IF($U77=BU$2,IF($W77=$AD$2,$V77))</f>
        <v>0</v>
      </c>
      <c r="BV77" s="164">
        <f>IF($O77=BV$2,IF($Q77=$AD$2,2*$P77)) + IF($R77=BV$2,IF($T77=$AD$2,2*$S77)) + IF($U77=BV$2,IF($W77=$AD$2,2*$V77))</f>
        <v>0</v>
      </c>
      <c r="BW77" s="164">
        <f>IF($O77=BW$2,IF($Q77=$AD$2,2*$P77)) + IF($R77=BW$2,IF($T77=$AD$2,2*$S77)) + IF($U77=BW$2,IF($W77=$AD$2,2*$V77))</f>
        <v>0</v>
      </c>
      <c r="BX77" s="166">
        <f>IF($O77=BX$2,IF($Q77=$AD$2,12*$P77)) + IF($R77=BX$2,IF($T77=$AD$2,12*$S77)) + IF($U77=BX$2,IF($W77=$AD$2,12*$V77))</f>
        <v>0</v>
      </c>
      <c r="BZ77" s="152">
        <f>IF($O77=BZ$2,IF($Q77=Armory,$P77)) + IF($R77=BZ$2,IF($T77=Armory,$S77)) + IF($U77=BZ$2,IF($W77=Armory,$V77))</f>
        <v>0</v>
      </c>
      <c r="CA77" s="164">
        <f>IF($O77=CA$2,IF($Q77=Armory,2*$P77)) + IF($R77=CA$2,IF($T77=Armory,2*$S77)) + IF($U77=CA$2,IF($W77=Armory,2*$V77))</f>
        <v>0</v>
      </c>
      <c r="CB77" s="164">
        <f>IF($O77=CB$2,IF($Q77=Armory,2*$P77)) + IF($R77=CB$2,IF($T77=Armory,2*$S77)) + IF($U77=CB$2,IF($W77=Armory,2*$V77))</f>
        <v>0</v>
      </c>
      <c r="CC77" s="166">
        <f>IF($O77=CC$2,IF($Q77=Armory,12*$P77)) + IF($R77=CC$2,IF($T77=Armory,12*$S77)) + IF($U77=CC$2,IF($W77=Armory,12*$V77))</f>
        <v>0</v>
      </c>
      <c r="CE77" s="152">
        <f>IF($O77=CE$2,IF($Q77=Infirmary,$P77)) + IF($R77=CE$2,IF($T77=Infirmary,$S77)) + IF($U77=CE$2,IF($W77=Infirmary,$V77))</f>
        <v>0</v>
      </c>
      <c r="CF77" s="164">
        <f>IF($O77=CF$2,IF($Q77=Infirmary,2*$P77)) + IF($R77=CF$2,IF($T77=Infirmary,2*$S77)) + IF($U77=CF$2,IF($W77=Infirmary,2*$V77))</f>
        <v>0</v>
      </c>
      <c r="CG77" s="164">
        <f>IF($O77=CG$2,IF($Q77=Infirmary,2*$P77)) + IF($R77=CG$2,IF($T77=Infirmary,2*$S77)) + IF($U77=CG$2,IF($W77=Infirmary,2*$V77))</f>
        <v>0</v>
      </c>
      <c r="CH77" s="166">
        <f>IF($O77=CH$2,IF($Q77=Infirmary,12*$P77)) + IF($R77=CH$2,IF($T77=Infirmary,12*$S77)) + IF($U77=CH$2,IF($W77=Infirmary,12*$V77))</f>
        <v>0</v>
      </c>
      <c r="CJ77" s="156" t="e">
        <f>OR(Production!C77,Construction!N77:'Construction'!AF77,Construction!BV77:CN77,Explore!S77:Z77,Military!AF77:AL77,Military!X77,Military!BE77:BL77,Rezone!L77:R77,Magic!G77:Q77)</f>
        <v>#VALUE!</v>
      </c>
      <c r="CK77" s="546">
        <f>M77</f>
        <v>0</v>
      </c>
      <c r="CL77" s="546"/>
      <c r="CM77" s="552">
        <f t="shared" si="59"/>
        <v>43768.770833333154</v>
      </c>
      <c r="CN77" s="560">
        <f t="shared" si="60"/>
        <v>43768.60416666649</v>
      </c>
      <c r="CO77" s="627"/>
      <c r="CP77" s="803"/>
      <c r="CQ77" s="770"/>
      <c r="CT77" s="670"/>
    </row>
    <row r="78" spans="1:98" s="16" customFormat="1" x14ac:dyDescent="0.25">
      <c r="A78" s="511">
        <f>Construction!E78</f>
        <v>1000</v>
      </c>
      <c r="C78" s="56">
        <f ca="1">Production!H78</f>
        <v>4850934</v>
      </c>
      <c r="D78" s="26">
        <f ca="1">Production!J78</f>
        <v>299412</v>
      </c>
      <c r="E78" s="26">
        <f ca="1">Production!L78</f>
        <v>300000</v>
      </c>
      <c r="F78" s="57">
        <f ca="1">Production!M78</f>
        <v>20000</v>
      </c>
      <c r="G78" s="26"/>
      <c r="H78" s="56">
        <f ca="1">Military!Z78</f>
        <v>5295</v>
      </c>
      <c r="I78" s="538">
        <f ca="1">Population!I78</f>
        <v>1</v>
      </c>
      <c r="J78" s="165">
        <f ca="1">Population!F78/Population!U78</f>
        <v>1</v>
      </c>
      <c r="K78" s="1000">
        <f>Rezone!J78</f>
        <v>76</v>
      </c>
      <c r="L78" s="582">
        <f t="shared" si="58"/>
        <v>43768.781249999818</v>
      </c>
      <c r="M78" s="316">
        <f t="shared" si="22"/>
        <v>0</v>
      </c>
      <c r="N78" s="638">
        <f t="shared" si="46"/>
        <v>1000</v>
      </c>
      <c r="O78" s="423" t="s">
        <v>4</v>
      </c>
      <c r="P78" s="370"/>
      <c r="Q78" s="424" t="s">
        <v>223</v>
      </c>
      <c r="R78" s="423" t="s">
        <v>7</v>
      </c>
      <c r="S78" s="370"/>
      <c r="T78" s="424" t="s">
        <v>223</v>
      </c>
      <c r="U78" s="406" t="s">
        <v>3</v>
      </c>
      <c r="V78" s="407"/>
      <c r="W78" s="409" t="s">
        <v>223</v>
      </c>
      <c r="Y78" s="501">
        <f ca="1">science_cap*(1-EXP(-AH78/(science_param*($A79-Explore!$S79*20)+15000)))*(1+(mason_bonus*Construction!BB78/Construction!BS78))+IF(Overview!$B$14="Beastfolk",Construction!DA78/Construction!E78,0)*(1 + Production!O78/100*prestige_pop_multiplier)</f>
        <v>0</v>
      </c>
      <c r="Z78" s="454">
        <f ca="1">keep_cap*(1-EXP(-AI78/(keep_param*($A79-Explore!$S79*20)+15000)))*(1+(mason_bonus*Construction!BB78/Construction!BS78))+IF(Overview!$B$14="Beastfolk",Construction!DF78/Construction!E78,0)*(1 + Production!O78/100*prestige_pop_multiplier)</f>
        <v>0</v>
      </c>
      <c r="AA78" s="454">
        <f ca="1">harbor_towers_cap*(1-EXP(-AJ78/(harbor_towers_param*($A79-Explore!$S79*20)+15000)))*(1+(mason_bonus*Construction!BB78/Construction!BS78))+IF(Overview!$B$14="Beastfolk",2*Construction!DC78/Construction!E78,0)*(1 + Production!O78/100*prestige_pop_multiplier)</f>
        <v>0</v>
      </c>
      <c r="AB78" s="454">
        <f ca="1">walls_forges_cap*(1-EXP(-AK78/(walls_forges_param*($A79-Explore!$S79*20)+15000)))*(1+(mason_bonus*Construction!BB78/Construction!BS78))+IF(Overview!$B$14="Beastfolk",0.2*Construction!CY78/Construction!E78,0)</f>
        <v>0</v>
      </c>
      <c r="AC78" s="454">
        <f ca="1">walls_forges_cap*(1-EXP(-AL78/(walls_forges_param*($A79-Explore!$S79*20)+15000)))*(1+(mason_bonus*Construction!BB78/Construction!BS78))+IF(Overview!$B$14="Beastfolk",5*Construction!DB78/Construction!E78,0)</f>
        <v>0</v>
      </c>
      <c r="AD78" s="171">
        <f ca="1">harbor_towers_cap*(1-EXP(-AM78/(harbor_towers_param*($A79-Explore!$S79*20)+15000)))*(1+(mason_bonus*Construction!BB78/Construction!BS78))+IF(Overview!$B$14="Beastfolk",Construction!DE78/Construction!E78)*(1 + Production!O78/100*prestige_pop_multiplier)</f>
        <v>0</v>
      </c>
      <c r="AE78" s="171">
        <f ca="1">armory_cap*(1-EXP(-AN78/(armory_param*($A79-Explore!$S79*20)+15000)))*(1+(mason_bonus*Construction!$BB78/Construction!$BS78))</f>
        <v>0</v>
      </c>
      <c r="AF78" s="171">
        <f ca="1">infirmary_cap*(1-EXP(-AO78/(infirmary_param*($A79-Explore!$S79*20)+15000)))*(1+(mason_bonus*Construction!$BB78/Construction!$BS78))</f>
        <v>0</v>
      </c>
      <c r="AH78" s="56">
        <f ca="1">(1+Overview!$O$28+IF(Magic!BA78&gt;0,0.1,0))*SUM(AV78:AY78) + AH77</f>
        <v>0</v>
      </c>
      <c r="AI78" s="26">
        <f ca="1">(1+Overview!$O$28+IF(Magic!BA78&gt;0,0.1,0))*SUM(BA78:BD78) + AI77</f>
        <v>0</v>
      </c>
      <c r="AJ78" s="164">
        <f ca="1">(1+Overview!$O$28+IF(Magic!BA78&gt;0,0.1,0))*SUM(BF78:BI78) + AJ77</f>
        <v>0</v>
      </c>
      <c r="AK78" s="164">
        <f ca="1">(1+Overview!$O$28+IF(Magic!BA78&gt;0,0.1,0))*SUM(BK78:BN78) + AK77</f>
        <v>0</v>
      </c>
      <c r="AL78" s="164">
        <f ca="1">(1+Overview!$O$28+IF(Magic!BA78&gt;0,0.1,0))*SUM(BP78:BS78) + AL77</f>
        <v>0</v>
      </c>
      <c r="AM78" s="166">
        <f ca="1">(1+Overview!$O$28+IF(Magic!BA78&gt;0,0.1,0))*SUM(BU78:BX78) + AM77</f>
        <v>0</v>
      </c>
      <c r="AN78" s="166">
        <f ca="1">(1+Overview!$O$28+IF(Magic!BA78&gt;0,0.1,0))*SUM(BZ78:CC78)+AN77</f>
        <v>0</v>
      </c>
      <c r="AO78" s="164">
        <f ca="1">(1+Overview!$O$28+IF(Magic!BA78&gt;0,0.1,0))*SUM(CE78:CH78)+AO77</f>
        <v>0</v>
      </c>
      <c r="AQ78" s="52">
        <f t="shared" si="62"/>
        <v>0</v>
      </c>
      <c r="AR78" s="16">
        <f t="shared" si="62"/>
        <v>0</v>
      </c>
      <c r="AS78" s="16">
        <f t="shared" si="62"/>
        <v>0</v>
      </c>
      <c r="AT78" s="53">
        <f t="shared" si="62"/>
        <v>0</v>
      </c>
      <c r="AV78" s="56">
        <f t="shared" si="47"/>
        <v>0</v>
      </c>
      <c r="AW78" s="26">
        <f t="shared" si="63"/>
        <v>0</v>
      </c>
      <c r="AX78" s="26">
        <f t="shared" si="63"/>
        <v>0</v>
      </c>
      <c r="AY78" s="57">
        <f t="shared" si="48"/>
        <v>0</v>
      </c>
      <c r="BA78" s="56">
        <f t="shared" si="49"/>
        <v>0</v>
      </c>
      <c r="BB78" s="26">
        <f t="shared" si="64"/>
        <v>0</v>
      </c>
      <c r="BC78" s="26">
        <f t="shared" si="64"/>
        <v>0</v>
      </c>
      <c r="BD78" s="57">
        <f t="shared" si="50"/>
        <v>0</v>
      </c>
      <c r="BF78" s="56">
        <f t="shared" si="51"/>
        <v>0</v>
      </c>
      <c r="BG78" s="26">
        <f t="shared" si="52"/>
        <v>0</v>
      </c>
      <c r="BH78" s="26">
        <f t="shared" si="61"/>
        <v>0</v>
      </c>
      <c r="BI78" s="57">
        <f t="shared" si="53"/>
        <v>0</v>
      </c>
      <c r="BK78" s="56">
        <f t="shared" si="54"/>
        <v>0</v>
      </c>
      <c r="BL78" s="26">
        <f t="shared" si="65"/>
        <v>0</v>
      </c>
      <c r="BM78" s="26">
        <f t="shared" si="65"/>
        <v>0</v>
      </c>
      <c r="BN78" s="57">
        <f t="shared" si="55"/>
        <v>0</v>
      </c>
      <c r="BP78" s="56">
        <f t="shared" si="56"/>
        <v>0</v>
      </c>
      <c r="BQ78" s="26">
        <f t="shared" si="66"/>
        <v>0</v>
      </c>
      <c r="BR78" s="26">
        <f t="shared" si="66"/>
        <v>0</v>
      </c>
      <c r="BS78" s="57">
        <f t="shared" si="57"/>
        <v>0</v>
      </c>
      <c r="BU78" s="56">
        <f>IF($O78=BU$2,IF($Q78=$AD$2,$P78)) + IF($R78=BU$2,IF($T78=$AD$2,$S78)) + IF($U78=BU$2,IF($W78=$AD$2,$V78))</f>
        <v>0</v>
      </c>
      <c r="BV78" s="26">
        <f>IF($O78=BV$2,IF($Q78=$AD$2,2*$P78)) + IF($R78=BV$2,IF($T78=$AD$2,2*$S78)) + IF($U78=BV$2,IF($W78=$AD$2,2*$V78))</f>
        <v>0</v>
      </c>
      <c r="BW78" s="26">
        <f>IF($O78=BW$2,IF($Q78=$AD$2,2*$P78)) + IF($R78=BW$2,IF($T78=$AD$2,2*$S78)) + IF($U78=BW$2,IF($W78=$AD$2,2*$V78))</f>
        <v>0</v>
      </c>
      <c r="BX78" s="57">
        <f>IF($O78=BX$2,IF($Q78=$AD$2,12*$P78)) + IF($R78=BX$2,IF($T78=$AD$2,12*$S78)) + IF($U78=BX$2,IF($W78=$AD$2,12*$V78))</f>
        <v>0</v>
      </c>
      <c r="BZ78" s="56">
        <f>IF($O78=BZ$2,IF($Q78=Armory,$P78)) + IF($R78=BZ$2,IF($T78=Armory,$S78)) + IF($U78=BZ$2,IF($W78=Armory,$V78))</f>
        <v>0</v>
      </c>
      <c r="CA78" s="26">
        <f>IF($O78=CA$2,IF($Q78=Armory,2*$P78)) + IF($R78=CA$2,IF($T78=Armory,2*$S78)) + IF($U78=CA$2,IF($W78=Armory,2*$V78))</f>
        <v>0</v>
      </c>
      <c r="CB78" s="26">
        <f>IF($O78=CB$2,IF($Q78=Armory,2*$P78)) + IF($R78=CB$2,IF($T78=Armory,2*$S78)) + IF($U78=CB$2,IF($W78=Armory,2*$V78))</f>
        <v>0</v>
      </c>
      <c r="CC78" s="57">
        <f>IF($O78=CC$2,IF($Q78=Armory,12*$P78)) + IF($R78=CC$2,IF($T78=Armory,12*$S78)) + IF($U78=CC$2,IF($W78=Armory,12*$V78))</f>
        <v>0</v>
      </c>
      <c r="CE78" s="56">
        <f>IF($O78=CE$2,IF($Q78=Infirmary,$P78)) + IF($R78=CE$2,IF($T78=Infirmary,$S78)) + IF($U78=CE$2,IF($W78=Infirmary,$V78))</f>
        <v>0</v>
      </c>
      <c r="CF78" s="26">
        <f>IF($O78=CF$2,IF($Q78=Infirmary,2*$P78)) + IF($R78=CF$2,IF($T78=Infirmary,2*$S78)) + IF($U78=CF$2,IF($W78=Infirmary,2*$V78))</f>
        <v>0</v>
      </c>
      <c r="CG78" s="26">
        <f>IF($O78=CG$2,IF($Q78=Infirmary,2*$P78)) + IF($R78=CG$2,IF($T78=Infirmary,2*$S78)) + IF($U78=CG$2,IF($W78=Infirmary,2*$V78))</f>
        <v>0</v>
      </c>
      <c r="CH78" s="57">
        <f>IF($O78=CH$2,IF($Q78=Infirmary,12*$P78)) + IF($R78=CH$2,IF($T78=Infirmary,12*$S78)) + IF($U78=CH$2,IF($W78=Infirmary,12*$V78))</f>
        <v>0</v>
      </c>
      <c r="CJ78" s="52" t="e">
        <f>OR(Production!C78,Construction!N78:'Construction'!AF78,Construction!BV78:CN78,Explore!S78:Z78,Military!AF78:AL78,Military!X78,Military!BE78:BL78,Rezone!L78:R78,Magic!G78:Q78)</f>
        <v>#VALUE!</v>
      </c>
      <c r="CK78" s="525">
        <f>M78</f>
        <v>0</v>
      </c>
      <c r="CL78" s="525"/>
      <c r="CM78" s="555">
        <f t="shared" si="59"/>
        <v>43768.781249999818</v>
      </c>
      <c r="CN78" s="563">
        <f t="shared" si="60"/>
        <v>43768.614583333154</v>
      </c>
      <c r="CO78" s="527"/>
      <c r="CP78" s="803"/>
      <c r="CQ78" s="808"/>
      <c r="CR78" s="170"/>
      <c r="CT78" s="671"/>
    </row>
    <row r="79" spans="1:98" s="16" customFormat="1" x14ac:dyDescent="0.25">
      <c r="A79" s="511">
        <f>Construction!E79</f>
        <v>1000</v>
      </c>
      <c r="C79" s="56">
        <f ca="1">Production!H79</f>
        <v>4855915</v>
      </c>
      <c r="D79" s="26">
        <f ca="1">Production!J79</f>
        <v>298918</v>
      </c>
      <c r="E79" s="26">
        <f ca="1">Production!L79</f>
        <v>300000</v>
      </c>
      <c r="F79" s="57">
        <f ca="1">Production!M79</f>
        <v>20000</v>
      </c>
      <c r="G79" s="26"/>
      <c r="H79" s="56">
        <f ca="1">Military!Z79</f>
        <v>5295</v>
      </c>
      <c r="I79" s="538">
        <f ca="1">Population!I79</f>
        <v>1</v>
      </c>
      <c r="J79" s="165">
        <f ca="1">Population!F79/Population!U79</f>
        <v>1</v>
      </c>
      <c r="K79" s="1000">
        <f>Rezone!J79</f>
        <v>77</v>
      </c>
      <c r="L79" s="582">
        <f t="shared" si="58"/>
        <v>43768.791666666482</v>
      </c>
      <c r="M79" s="316">
        <f t="shared" ref="M79:M135" si="67">IF(ISERROR(CJ79),0,CJ79*1)</f>
        <v>0</v>
      </c>
      <c r="N79" s="638">
        <f t="shared" si="46"/>
        <v>1000</v>
      </c>
      <c r="O79" s="423" t="s">
        <v>4</v>
      </c>
      <c r="P79" s="370"/>
      <c r="Q79" s="424" t="s">
        <v>223</v>
      </c>
      <c r="R79" s="423" t="s">
        <v>7</v>
      </c>
      <c r="S79" s="370"/>
      <c r="T79" s="424" t="s">
        <v>223</v>
      </c>
      <c r="U79" s="406" t="s">
        <v>3</v>
      </c>
      <c r="V79" s="407"/>
      <c r="W79" s="409" t="s">
        <v>223</v>
      </c>
      <c r="Y79" s="501">
        <f ca="1">science_cap*(1-EXP(-AH79/(science_param*($A80-Explore!$S80*20)+15000)))*(1+(mason_bonus*Construction!BB79/Construction!BS79))+IF(Overview!$B$14="Beastfolk",Construction!DA79/Construction!E79,0)*(1 + Production!O79/100*prestige_pop_multiplier)</f>
        <v>0</v>
      </c>
      <c r="Z79" s="454">
        <f ca="1">keep_cap*(1-EXP(-AI79/(keep_param*($A80-Explore!$S80*20)+15000)))*(1+(mason_bonus*Construction!BB79/Construction!BS79))+IF(Overview!$B$14="Beastfolk",Construction!DF79/Construction!E79,0)*(1 + Production!O79/100*prestige_pop_multiplier)</f>
        <v>0</v>
      </c>
      <c r="AA79" s="454">
        <f ca="1">harbor_towers_cap*(1-EXP(-AJ79/(harbor_towers_param*($A80-Explore!$S80*20)+15000)))*(1+(mason_bonus*Construction!BB79/Construction!BS79))+IF(Overview!$B$14="Beastfolk",2*Construction!DC79/Construction!E79,0)*(1 + Production!O79/100*prestige_pop_multiplier)</f>
        <v>0</v>
      </c>
      <c r="AB79" s="454">
        <f ca="1">walls_forges_cap*(1-EXP(-AK79/(walls_forges_param*($A80-Explore!$S80*20)+15000)))*(1+(mason_bonus*Construction!BB79/Construction!BS79))+IF(Overview!$B$14="Beastfolk",0.2*Construction!CY79/Construction!E79,0)</f>
        <v>0</v>
      </c>
      <c r="AC79" s="454">
        <f ca="1">walls_forges_cap*(1-EXP(-AL79/(walls_forges_param*($A80-Explore!$S80*20)+15000)))*(1+(mason_bonus*Construction!BB79/Construction!BS79))+IF(Overview!$B$14="Beastfolk",5*Construction!DB79/Construction!E79,0)</f>
        <v>0</v>
      </c>
      <c r="AD79" s="171">
        <f ca="1">harbor_towers_cap*(1-EXP(-AM79/(harbor_towers_param*($A80-Explore!$S80*20)+15000)))*(1+(mason_bonus*Construction!BB79/Construction!BS79))+IF(Overview!$B$14="Beastfolk",Construction!DE79/Construction!E79)*(1 + Production!O79/100*prestige_pop_multiplier)</f>
        <v>0</v>
      </c>
      <c r="AE79" s="171">
        <f ca="1">armory_cap*(1-EXP(-AN79/(armory_param*($A80-Explore!$S80*20)+15000)))*(1+(mason_bonus*Construction!$BB79/Construction!$BS79))</f>
        <v>0</v>
      </c>
      <c r="AF79" s="171">
        <f ca="1">infirmary_cap*(1-EXP(-AO79/(infirmary_param*($A80-Explore!$S80*20)+15000)))*(1+(mason_bonus*Construction!$BB79/Construction!$BS79))</f>
        <v>0</v>
      </c>
      <c r="AH79" s="56">
        <f ca="1">(1+Overview!$O$28+IF(Magic!BA79&gt;0,0.1,0))*SUM(AV79:AY79) + AH78</f>
        <v>0</v>
      </c>
      <c r="AI79" s="26">
        <f ca="1">(1+Overview!$O$28+IF(Magic!BA79&gt;0,0.1,0))*SUM(BA79:BD79) + AI78</f>
        <v>0</v>
      </c>
      <c r="AJ79" s="164">
        <f ca="1">(1+Overview!$O$28+IF(Magic!BA79&gt;0,0.1,0))*SUM(BF79:BI79) + AJ78</f>
        <v>0</v>
      </c>
      <c r="AK79" s="164">
        <f ca="1">(1+Overview!$O$28+IF(Magic!BA79&gt;0,0.1,0))*SUM(BK79:BN79) + AK78</f>
        <v>0</v>
      </c>
      <c r="AL79" s="164">
        <f ca="1">(1+Overview!$O$28+IF(Magic!BA79&gt;0,0.1,0))*SUM(BP79:BS79) + AL78</f>
        <v>0</v>
      </c>
      <c r="AM79" s="166">
        <f ca="1">(1+Overview!$O$28+IF(Magic!BA79&gt;0,0.1,0))*SUM(BU79:BX79) + AM78</f>
        <v>0</v>
      </c>
      <c r="AN79" s="166">
        <f ca="1">(1+Overview!$O$28+IF(Magic!BA79&gt;0,0.1,0))*SUM(BZ79:CC79)+AN78</f>
        <v>0</v>
      </c>
      <c r="AO79" s="164">
        <f ca="1">(1+Overview!$O$28+IF(Magic!BA79&gt;0,0.1,0))*SUM(CE79:CH79)+AO78</f>
        <v>0</v>
      </c>
      <c r="AQ79" s="52">
        <f t="shared" si="62"/>
        <v>0</v>
      </c>
      <c r="AR79" s="16">
        <f t="shared" si="62"/>
        <v>0</v>
      </c>
      <c r="AS79" s="16">
        <f t="shared" si="62"/>
        <v>0</v>
      </c>
      <c r="AT79" s="53">
        <f t="shared" si="62"/>
        <v>0</v>
      </c>
      <c r="AV79" s="56">
        <f t="shared" si="47"/>
        <v>0</v>
      </c>
      <c r="AW79" s="26">
        <f t="shared" si="63"/>
        <v>0</v>
      </c>
      <c r="AX79" s="26">
        <f t="shared" si="63"/>
        <v>0</v>
      </c>
      <c r="AY79" s="57">
        <f t="shared" si="48"/>
        <v>0</v>
      </c>
      <c r="BA79" s="56">
        <f t="shared" si="49"/>
        <v>0</v>
      </c>
      <c r="BB79" s="26">
        <f t="shared" si="64"/>
        <v>0</v>
      </c>
      <c r="BC79" s="26">
        <f t="shared" si="64"/>
        <v>0</v>
      </c>
      <c r="BD79" s="57">
        <f t="shared" si="50"/>
        <v>0</v>
      </c>
      <c r="BF79" s="56">
        <f t="shared" si="51"/>
        <v>0</v>
      </c>
      <c r="BG79" s="26">
        <f t="shared" si="52"/>
        <v>0</v>
      </c>
      <c r="BH79" s="26">
        <f t="shared" si="61"/>
        <v>0</v>
      </c>
      <c r="BI79" s="57">
        <f t="shared" si="53"/>
        <v>0</v>
      </c>
      <c r="BK79" s="56">
        <f t="shared" si="54"/>
        <v>0</v>
      </c>
      <c r="BL79" s="26">
        <f t="shared" si="65"/>
        <v>0</v>
      </c>
      <c r="BM79" s="26">
        <f t="shared" si="65"/>
        <v>0</v>
      </c>
      <c r="BN79" s="57">
        <f t="shared" si="55"/>
        <v>0</v>
      </c>
      <c r="BP79" s="56">
        <f t="shared" si="56"/>
        <v>0</v>
      </c>
      <c r="BQ79" s="26">
        <f t="shared" si="66"/>
        <v>0</v>
      </c>
      <c r="BR79" s="26">
        <f t="shared" si="66"/>
        <v>0</v>
      </c>
      <c r="BS79" s="57">
        <f t="shared" si="57"/>
        <v>0</v>
      </c>
      <c r="BU79" s="56">
        <f>IF($O79=BU$2,IF($Q79=$AD$2,$P79)) + IF($R79=BU$2,IF($T79=$AD$2,$S79)) + IF($U79=BU$2,IF($W79=$AD$2,$V79))</f>
        <v>0</v>
      </c>
      <c r="BV79" s="26">
        <f>IF($O79=BV$2,IF($Q79=$AD$2,2*$P79)) + IF($R79=BV$2,IF($T79=$AD$2,2*$S79)) + IF($U79=BV$2,IF($W79=$AD$2,2*$V79))</f>
        <v>0</v>
      </c>
      <c r="BW79" s="26">
        <f>IF($O79=BW$2,IF($Q79=$AD$2,2*$P79)) + IF($R79=BW$2,IF($T79=$AD$2,2*$S79)) + IF($U79=BW$2,IF($W79=$AD$2,2*$V79))</f>
        <v>0</v>
      </c>
      <c r="BX79" s="57">
        <f>IF($O79=BX$2,IF($Q79=$AD$2,12*$P79)) + IF($R79=BX$2,IF($T79=$AD$2,12*$S79)) + IF($U79=BX$2,IF($W79=$AD$2,12*$V79))</f>
        <v>0</v>
      </c>
      <c r="BZ79" s="56">
        <f>IF($O79=BZ$2,IF($Q79=Armory,$P79)) + IF($R79=BZ$2,IF($T79=Armory,$S79)) + IF($U79=BZ$2,IF($W79=Armory,$V79))</f>
        <v>0</v>
      </c>
      <c r="CA79" s="26">
        <f>IF($O79=CA$2,IF($Q79=Armory,2*$P79)) + IF($R79=CA$2,IF($T79=Armory,2*$S79)) + IF($U79=CA$2,IF($W79=Armory,2*$V79))</f>
        <v>0</v>
      </c>
      <c r="CB79" s="26">
        <f>IF($O79=CB$2,IF($Q79=Armory,2*$P79)) + IF($R79=CB$2,IF($T79=Armory,2*$S79)) + IF($U79=CB$2,IF($W79=Armory,2*$V79))</f>
        <v>0</v>
      </c>
      <c r="CC79" s="57">
        <f>IF($O79=CC$2,IF($Q79=Armory,12*$P79)) + IF($R79=CC$2,IF($T79=Armory,12*$S79)) + IF($U79=CC$2,IF($W79=Armory,12*$V79))</f>
        <v>0</v>
      </c>
      <c r="CE79" s="56">
        <f>IF($O79=CE$2,IF($Q79=Infirmary,$P79)) + IF($R79=CE$2,IF($T79=Infirmary,$S79)) + IF($U79=CE$2,IF($W79=Infirmary,$V79))</f>
        <v>0</v>
      </c>
      <c r="CF79" s="26">
        <f>IF($O79=CF$2,IF($Q79=Infirmary,2*$P79)) + IF($R79=CF$2,IF($T79=Infirmary,2*$S79)) + IF($U79=CF$2,IF($W79=Infirmary,2*$V79))</f>
        <v>0</v>
      </c>
      <c r="CG79" s="26">
        <f>IF($O79=CG$2,IF($Q79=Infirmary,2*$P79)) + IF($R79=CG$2,IF($T79=Infirmary,2*$S79)) + IF($U79=CG$2,IF($W79=Infirmary,2*$V79))</f>
        <v>0</v>
      </c>
      <c r="CH79" s="57">
        <f>IF($O79=CH$2,IF($Q79=Infirmary,12*$P79)) + IF($R79=CH$2,IF($T79=Infirmary,12*$S79)) + IF($U79=CH$2,IF($W79=Infirmary,12*$V79))</f>
        <v>0</v>
      </c>
      <c r="CJ79" s="52" t="e">
        <f>OR(Production!C79,Construction!N79:'Construction'!AF79,Construction!BV79:CN79,Explore!S79:Z79,Military!AF79:AL79,Military!X79,Military!BE79:BL79,Rezone!L79:R79,Magic!G79:Q79)</f>
        <v>#VALUE!</v>
      </c>
      <c r="CK79" s="525">
        <f>M79</f>
        <v>0</v>
      </c>
      <c r="CL79" s="525"/>
      <c r="CM79" s="555">
        <f t="shared" si="59"/>
        <v>43768.791666666482</v>
      </c>
      <c r="CN79" s="563">
        <f t="shared" si="60"/>
        <v>43768.624999999818</v>
      </c>
      <c r="CO79" s="527"/>
      <c r="CP79" s="803"/>
      <c r="CQ79" s="808"/>
      <c r="CR79" s="170"/>
      <c r="CT79" s="672"/>
    </row>
    <row r="80" spans="1:98" s="16" customFormat="1" x14ac:dyDescent="0.25">
      <c r="A80" s="511">
        <f>Construction!E80</f>
        <v>1000</v>
      </c>
      <c r="C80" s="56">
        <f ca="1">Production!H80</f>
        <v>4860896</v>
      </c>
      <c r="D80" s="26">
        <f ca="1">Production!J80</f>
        <v>298429</v>
      </c>
      <c r="E80" s="26">
        <f ca="1">Production!L80</f>
        <v>300000</v>
      </c>
      <c r="F80" s="57">
        <f ca="1">Production!M80</f>
        <v>20000</v>
      </c>
      <c r="G80" s="26"/>
      <c r="H80" s="56">
        <f ca="1">Military!Z80</f>
        <v>5295</v>
      </c>
      <c r="I80" s="538">
        <f ca="1">Population!I80</f>
        <v>1</v>
      </c>
      <c r="J80" s="165">
        <f ca="1">Population!F80/Population!U80</f>
        <v>1</v>
      </c>
      <c r="K80" s="1000">
        <f>Rezone!J80</f>
        <v>78</v>
      </c>
      <c r="L80" s="582">
        <f t="shared" si="58"/>
        <v>43768.802083333147</v>
      </c>
      <c r="M80" s="316">
        <f t="shared" si="67"/>
        <v>0</v>
      </c>
      <c r="N80" s="638">
        <f t="shared" si="46"/>
        <v>1000</v>
      </c>
      <c r="O80" s="423" t="s">
        <v>4</v>
      </c>
      <c r="P80" s="370"/>
      <c r="Q80" s="424" t="s">
        <v>223</v>
      </c>
      <c r="R80" s="423" t="s">
        <v>7</v>
      </c>
      <c r="S80" s="370"/>
      <c r="T80" s="424" t="s">
        <v>223</v>
      </c>
      <c r="U80" s="406" t="s">
        <v>3</v>
      </c>
      <c r="V80" s="407"/>
      <c r="W80" s="409" t="s">
        <v>223</v>
      </c>
      <c r="Y80" s="501">
        <f ca="1">science_cap*(1-EXP(-AH80/(science_param*($A81-Explore!$S81*20)+15000)))*(1+(mason_bonus*Construction!BB80/Construction!BS80))+IF(Overview!$B$14="Beastfolk",Construction!DA80/Construction!E80,0)*(1 + Production!O80/100*prestige_pop_multiplier)</f>
        <v>0</v>
      </c>
      <c r="Z80" s="454">
        <f ca="1">keep_cap*(1-EXP(-AI80/(keep_param*($A81-Explore!$S81*20)+15000)))*(1+(mason_bonus*Construction!BB80/Construction!BS80))+IF(Overview!$B$14="Beastfolk",Construction!DF80/Construction!E80,0)*(1 + Production!O80/100*prestige_pop_multiplier)</f>
        <v>0</v>
      </c>
      <c r="AA80" s="454">
        <f ca="1">harbor_towers_cap*(1-EXP(-AJ80/(harbor_towers_param*($A81-Explore!$S81*20)+15000)))*(1+(mason_bonus*Construction!BB80/Construction!BS80))+IF(Overview!$B$14="Beastfolk",2*Construction!DC80/Construction!E80,0)*(1 + Production!O80/100*prestige_pop_multiplier)</f>
        <v>0</v>
      </c>
      <c r="AB80" s="454">
        <f ca="1">walls_forges_cap*(1-EXP(-AK80/(walls_forges_param*($A81-Explore!$S81*20)+15000)))*(1+(mason_bonus*Construction!BB80/Construction!BS80))+IF(Overview!$B$14="Beastfolk",0.2*Construction!CY80/Construction!E80,0)</f>
        <v>0</v>
      </c>
      <c r="AC80" s="454">
        <f ca="1">walls_forges_cap*(1-EXP(-AL80/(walls_forges_param*($A81-Explore!$S81*20)+15000)))*(1+(mason_bonus*Construction!BB80/Construction!BS80))+IF(Overview!$B$14="Beastfolk",5*Construction!DB80/Construction!E80,0)</f>
        <v>0</v>
      </c>
      <c r="AD80" s="171">
        <f ca="1">harbor_towers_cap*(1-EXP(-AM80/(harbor_towers_param*($A81-Explore!$S81*20)+15000)))*(1+(mason_bonus*Construction!BB80/Construction!BS80))+IF(Overview!$B$14="Beastfolk",Construction!DE80/Construction!E80)*(1 + Production!O80/100*prestige_pop_multiplier)</f>
        <v>0</v>
      </c>
      <c r="AE80" s="171">
        <f ca="1">armory_cap*(1-EXP(-AN80/(armory_param*($A81-Explore!$S81*20)+15000)))*(1+(mason_bonus*Construction!$BB80/Construction!$BS80))</f>
        <v>0</v>
      </c>
      <c r="AF80" s="171">
        <f ca="1">infirmary_cap*(1-EXP(-AO80/(infirmary_param*($A81-Explore!$S81*20)+15000)))*(1+(mason_bonus*Construction!$BB80/Construction!$BS80))</f>
        <v>0</v>
      </c>
      <c r="AH80" s="56">
        <f ca="1">(1+Overview!$O$28+IF(Magic!BA80&gt;0,0.1,0))*SUM(AV80:AY80) + AH79</f>
        <v>0</v>
      </c>
      <c r="AI80" s="26">
        <f ca="1">(1+Overview!$O$28+IF(Magic!BA80&gt;0,0.1,0))*SUM(BA80:BD80) + AI79</f>
        <v>0</v>
      </c>
      <c r="AJ80" s="164">
        <f ca="1">(1+Overview!$O$28+IF(Magic!BA80&gt;0,0.1,0))*SUM(BF80:BI80) + AJ79</f>
        <v>0</v>
      </c>
      <c r="AK80" s="164">
        <f ca="1">(1+Overview!$O$28+IF(Magic!BA80&gt;0,0.1,0))*SUM(BK80:BN80) + AK79</f>
        <v>0</v>
      </c>
      <c r="AL80" s="164">
        <f ca="1">(1+Overview!$O$28+IF(Magic!BA80&gt;0,0.1,0))*SUM(BP80:BS80) + AL79</f>
        <v>0</v>
      </c>
      <c r="AM80" s="166">
        <f ca="1">(1+Overview!$O$28+IF(Magic!BA80&gt;0,0.1,0))*SUM(BU80:BX80) + AM79</f>
        <v>0</v>
      </c>
      <c r="AN80" s="166">
        <f ca="1">(1+Overview!$O$28+IF(Magic!BA80&gt;0,0.1,0))*SUM(BZ80:CC80)+AN79</f>
        <v>0</v>
      </c>
      <c r="AO80" s="164">
        <f ca="1">(1+Overview!$O$28+IF(Magic!BA80&gt;0,0.1,0))*SUM(CE80:CH80)+AO79</f>
        <v>0</v>
      </c>
      <c r="AQ80" s="52">
        <f t="shared" si="62"/>
        <v>0</v>
      </c>
      <c r="AR80" s="16">
        <f t="shared" si="62"/>
        <v>0</v>
      </c>
      <c r="AS80" s="16">
        <f t="shared" si="62"/>
        <v>0</v>
      </c>
      <c r="AT80" s="53">
        <f t="shared" si="62"/>
        <v>0</v>
      </c>
      <c r="AV80" s="56">
        <f t="shared" si="47"/>
        <v>0</v>
      </c>
      <c r="AW80" s="26">
        <f t="shared" si="63"/>
        <v>0</v>
      </c>
      <c r="AX80" s="26">
        <f t="shared" si="63"/>
        <v>0</v>
      </c>
      <c r="AY80" s="57">
        <f t="shared" si="48"/>
        <v>0</v>
      </c>
      <c r="BA80" s="56">
        <f t="shared" si="49"/>
        <v>0</v>
      </c>
      <c r="BB80" s="26">
        <f t="shared" si="64"/>
        <v>0</v>
      </c>
      <c r="BC80" s="26">
        <f t="shared" si="64"/>
        <v>0</v>
      </c>
      <c r="BD80" s="57">
        <f t="shared" si="50"/>
        <v>0</v>
      </c>
      <c r="BF80" s="56">
        <f t="shared" si="51"/>
        <v>0</v>
      </c>
      <c r="BG80" s="26">
        <f t="shared" si="52"/>
        <v>0</v>
      </c>
      <c r="BH80" s="26">
        <f t="shared" si="61"/>
        <v>0</v>
      </c>
      <c r="BI80" s="57">
        <f t="shared" si="53"/>
        <v>0</v>
      </c>
      <c r="BK80" s="56">
        <f t="shared" si="54"/>
        <v>0</v>
      </c>
      <c r="BL80" s="26">
        <f t="shared" si="65"/>
        <v>0</v>
      </c>
      <c r="BM80" s="26">
        <f t="shared" si="65"/>
        <v>0</v>
      </c>
      <c r="BN80" s="57">
        <f t="shared" si="55"/>
        <v>0</v>
      </c>
      <c r="BP80" s="56">
        <f t="shared" si="56"/>
        <v>0</v>
      </c>
      <c r="BQ80" s="26">
        <f t="shared" si="66"/>
        <v>0</v>
      </c>
      <c r="BR80" s="26">
        <f t="shared" si="66"/>
        <v>0</v>
      </c>
      <c r="BS80" s="57">
        <f t="shared" si="57"/>
        <v>0</v>
      </c>
      <c r="BU80" s="56">
        <f>IF($O80=BU$2,IF($Q80=$AD$2,$P80)) + IF($R80=BU$2,IF($T80=$AD$2,$S80)) + IF($U80=BU$2,IF($W80=$AD$2,$V80))</f>
        <v>0</v>
      </c>
      <c r="BV80" s="26">
        <f>IF($O80=BV$2,IF($Q80=$AD$2,2*$P80)) + IF($R80=BV$2,IF($T80=$AD$2,2*$S80)) + IF($U80=BV$2,IF($W80=$AD$2,2*$V80))</f>
        <v>0</v>
      </c>
      <c r="BW80" s="26">
        <f>IF($O80=BW$2,IF($Q80=$AD$2,2*$P80)) + IF($R80=BW$2,IF($T80=$AD$2,2*$S80)) + IF($U80=BW$2,IF($W80=$AD$2,2*$V80))</f>
        <v>0</v>
      </c>
      <c r="BX80" s="57">
        <f>IF($O80=BX$2,IF($Q80=$AD$2,12*$P80)) + IF($R80=BX$2,IF($T80=$AD$2,12*$S80)) + IF($U80=BX$2,IF($W80=$AD$2,12*$V80))</f>
        <v>0</v>
      </c>
      <c r="BZ80" s="56">
        <f>IF($O80=BZ$2,IF($Q80=Armory,$P80)) + IF($R80=BZ$2,IF($T80=Armory,$S80)) + IF($U80=BZ$2,IF($W80=Armory,$V80))</f>
        <v>0</v>
      </c>
      <c r="CA80" s="26">
        <f>IF($O80=CA$2,IF($Q80=Armory,2*$P80)) + IF($R80=CA$2,IF($T80=Armory,2*$S80)) + IF($U80=CA$2,IF($W80=Armory,2*$V80))</f>
        <v>0</v>
      </c>
      <c r="CB80" s="26">
        <f>IF($O80=CB$2,IF($Q80=Armory,2*$P80)) + IF($R80=CB$2,IF($T80=Armory,2*$S80)) + IF($U80=CB$2,IF($W80=Armory,2*$V80))</f>
        <v>0</v>
      </c>
      <c r="CC80" s="57">
        <f>IF($O80=CC$2,IF($Q80=Armory,12*$P80)) + IF($R80=CC$2,IF($T80=Armory,12*$S80)) + IF($U80=CC$2,IF($W80=Armory,12*$V80))</f>
        <v>0</v>
      </c>
      <c r="CE80" s="56">
        <f>IF($O80=CE$2,IF($Q80=Infirmary,$P80)) + IF($R80=CE$2,IF($T80=Infirmary,$S80)) + IF($U80=CE$2,IF($W80=Infirmary,$V80))</f>
        <v>0</v>
      </c>
      <c r="CF80" s="26">
        <f>IF($O80=CF$2,IF($Q80=Infirmary,2*$P80)) + IF($R80=CF$2,IF($T80=Infirmary,2*$S80)) + IF($U80=CF$2,IF($W80=Infirmary,2*$V80))</f>
        <v>0</v>
      </c>
      <c r="CG80" s="26">
        <f>IF($O80=CG$2,IF($Q80=Infirmary,2*$P80)) + IF($R80=CG$2,IF($T80=Infirmary,2*$S80)) + IF($U80=CG$2,IF($W80=Infirmary,2*$V80))</f>
        <v>0</v>
      </c>
      <c r="CH80" s="57">
        <f>IF($O80=CH$2,IF($Q80=Infirmary,12*$P80)) + IF($R80=CH$2,IF($T80=Infirmary,12*$S80)) + IF($U80=CH$2,IF($W80=Infirmary,12*$V80))</f>
        <v>0</v>
      </c>
      <c r="CJ80" s="52" t="e">
        <f>OR(Production!C80,Construction!N80:'Construction'!AF80,Construction!BV80:CN80,Explore!S80:Z80,Military!AF80:AL80,Military!X80,Military!BE80:BL80,Rezone!L80:R80,Magic!G80:Q80)</f>
        <v>#VALUE!</v>
      </c>
      <c r="CK80" s="525">
        <f>M80</f>
        <v>0</v>
      </c>
      <c r="CL80" s="525"/>
      <c r="CM80" s="555">
        <f t="shared" si="59"/>
        <v>43768.802083333147</v>
      </c>
      <c r="CN80" s="563">
        <f t="shared" si="60"/>
        <v>43768.635416666482</v>
      </c>
      <c r="CO80" s="527"/>
      <c r="CP80" s="803"/>
      <c r="CQ80" s="808"/>
      <c r="CR80" s="170"/>
      <c r="CT80" s="672"/>
    </row>
    <row r="81" spans="1:98" s="16" customFormat="1" x14ac:dyDescent="0.25">
      <c r="A81" s="511">
        <f>Construction!E81</f>
        <v>1000</v>
      </c>
      <c r="C81" s="56">
        <f ca="1">Production!H81</f>
        <v>4865877</v>
      </c>
      <c r="D81" s="26">
        <f ca="1">Production!J81</f>
        <v>297945</v>
      </c>
      <c r="E81" s="26">
        <f ca="1">Production!L81</f>
        <v>300000</v>
      </c>
      <c r="F81" s="57">
        <f ca="1">Production!M81</f>
        <v>20000</v>
      </c>
      <c r="G81" s="26"/>
      <c r="H81" s="56">
        <f ca="1">Military!Z81</f>
        <v>5295</v>
      </c>
      <c r="I81" s="538">
        <f ca="1">Population!I81</f>
        <v>1</v>
      </c>
      <c r="J81" s="165">
        <f ca="1">Population!F81/Population!U81</f>
        <v>1</v>
      </c>
      <c r="K81" s="1000">
        <f>Rezone!J81</f>
        <v>79</v>
      </c>
      <c r="L81" s="582">
        <f t="shared" si="58"/>
        <v>43768.812499999811</v>
      </c>
      <c r="M81" s="316">
        <f t="shared" si="67"/>
        <v>0</v>
      </c>
      <c r="N81" s="638">
        <f t="shared" si="46"/>
        <v>1000</v>
      </c>
      <c r="O81" s="423" t="s">
        <v>4</v>
      </c>
      <c r="P81" s="370"/>
      <c r="Q81" s="424" t="s">
        <v>223</v>
      </c>
      <c r="R81" s="423" t="s">
        <v>7</v>
      </c>
      <c r="S81" s="370"/>
      <c r="T81" s="424" t="s">
        <v>223</v>
      </c>
      <c r="U81" s="406" t="s">
        <v>3</v>
      </c>
      <c r="V81" s="407"/>
      <c r="W81" s="409" t="s">
        <v>223</v>
      </c>
      <c r="Y81" s="501">
        <f ca="1">science_cap*(1-EXP(-AH81/(science_param*($A82-Explore!$S82*20)+15000)))*(1+(mason_bonus*Construction!BB81/Construction!BS81))+IF(Overview!$B$14="Beastfolk",Construction!DA81/Construction!E81,0)*(1 + Production!O81/100*prestige_pop_multiplier)</f>
        <v>0</v>
      </c>
      <c r="Z81" s="454">
        <f ca="1">keep_cap*(1-EXP(-AI81/(keep_param*($A82-Explore!$S82*20)+15000)))*(1+(mason_bonus*Construction!BB81/Construction!BS81))+IF(Overview!$B$14="Beastfolk",Construction!DF81/Construction!E81,0)*(1 + Production!O81/100*prestige_pop_multiplier)</f>
        <v>0</v>
      </c>
      <c r="AA81" s="454">
        <f ca="1">harbor_towers_cap*(1-EXP(-AJ81/(harbor_towers_param*($A82-Explore!$S82*20)+15000)))*(1+(mason_bonus*Construction!BB81/Construction!BS81))+IF(Overview!$B$14="Beastfolk",2*Construction!DC81/Construction!E81,0)*(1 + Production!O81/100*prestige_pop_multiplier)</f>
        <v>0</v>
      </c>
      <c r="AB81" s="454">
        <f ca="1">walls_forges_cap*(1-EXP(-AK81/(walls_forges_param*($A82-Explore!$S82*20)+15000)))*(1+(mason_bonus*Construction!BB81/Construction!BS81))+IF(Overview!$B$14="Beastfolk",0.2*Construction!CY81/Construction!E81,0)</f>
        <v>0</v>
      </c>
      <c r="AC81" s="454">
        <f ca="1">walls_forges_cap*(1-EXP(-AL81/(walls_forges_param*($A82-Explore!$S82*20)+15000)))*(1+(mason_bonus*Construction!BB81/Construction!BS81))+IF(Overview!$B$14="Beastfolk",5*Construction!DB81/Construction!E81,0)</f>
        <v>0</v>
      </c>
      <c r="AD81" s="171">
        <f ca="1">harbor_towers_cap*(1-EXP(-AM81/(harbor_towers_param*($A82-Explore!$S82*20)+15000)))*(1+(mason_bonus*Construction!BB81/Construction!BS81))+IF(Overview!$B$14="Beastfolk",Construction!DE81/Construction!E81)*(1 + Production!O81/100*prestige_pop_multiplier)</f>
        <v>0</v>
      </c>
      <c r="AE81" s="171">
        <f ca="1">armory_cap*(1-EXP(-AN81/(armory_param*($A82-Explore!$S82*20)+15000)))*(1+(mason_bonus*Construction!$BB81/Construction!$BS81))</f>
        <v>0</v>
      </c>
      <c r="AF81" s="171">
        <f ca="1">infirmary_cap*(1-EXP(-AO81/(infirmary_param*($A82-Explore!$S82*20)+15000)))*(1+(mason_bonus*Construction!$BB81/Construction!$BS81))</f>
        <v>0</v>
      </c>
      <c r="AH81" s="56">
        <f ca="1">(1+Overview!$O$28+IF(Magic!BA81&gt;0,0.1,0))*SUM(AV81:AY81) + AH80</f>
        <v>0</v>
      </c>
      <c r="AI81" s="26">
        <f ca="1">(1+Overview!$O$28+IF(Magic!BA81&gt;0,0.1,0))*SUM(BA81:BD81) + AI80</f>
        <v>0</v>
      </c>
      <c r="AJ81" s="164">
        <f ca="1">(1+Overview!$O$28+IF(Magic!BA81&gt;0,0.1,0))*SUM(BF81:BI81) + AJ80</f>
        <v>0</v>
      </c>
      <c r="AK81" s="164">
        <f ca="1">(1+Overview!$O$28+IF(Magic!BA81&gt;0,0.1,0))*SUM(BK81:BN81) + AK80</f>
        <v>0</v>
      </c>
      <c r="AL81" s="164">
        <f ca="1">(1+Overview!$O$28+IF(Magic!BA81&gt;0,0.1,0))*SUM(BP81:BS81) + AL80</f>
        <v>0</v>
      </c>
      <c r="AM81" s="166">
        <f ca="1">(1+Overview!$O$28+IF(Magic!BA81&gt;0,0.1,0))*SUM(BU81:BX81) + AM80</f>
        <v>0</v>
      </c>
      <c r="AN81" s="166">
        <f ca="1">(1+Overview!$O$28+IF(Magic!BA81&gt;0,0.1,0))*SUM(BZ81:CC81)+AN80</f>
        <v>0</v>
      </c>
      <c r="AO81" s="164">
        <f ca="1">(1+Overview!$O$28+IF(Magic!BA81&gt;0,0.1,0))*SUM(CE81:CH81)+AO80</f>
        <v>0</v>
      </c>
      <c r="AQ81" s="52">
        <f t="shared" si="62"/>
        <v>0</v>
      </c>
      <c r="AR81" s="16">
        <f t="shared" si="62"/>
        <v>0</v>
      </c>
      <c r="AS81" s="16">
        <f t="shared" si="62"/>
        <v>0</v>
      </c>
      <c r="AT81" s="53">
        <f t="shared" si="62"/>
        <v>0</v>
      </c>
      <c r="AV81" s="56">
        <f t="shared" si="47"/>
        <v>0</v>
      </c>
      <c r="AW81" s="26">
        <f t="shared" si="63"/>
        <v>0</v>
      </c>
      <c r="AX81" s="26">
        <f t="shared" si="63"/>
        <v>0</v>
      </c>
      <c r="AY81" s="57">
        <f t="shared" si="48"/>
        <v>0</v>
      </c>
      <c r="BA81" s="56">
        <f t="shared" si="49"/>
        <v>0</v>
      </c>
      <c r="BB81" s="26">
        <f t="shared" si="64"/>
        <v>0</v>
      </c>
      <c r="BC81" s="26">
        <f t="shared" si="64"/>
        <v>0</v>
      </c>
      <c r="BD81" s="57">
        <f t="shared" si="50"/>
        <v>0</v>
      </c>
      <c r="BF81" s="56">
        <f t="shared" si="51"/>
        <v>0</v>
      </c>
      <c r="BG81" s="26">
        <f t="shared" si="52"/>
        <v>0</v>
      </c>
      <c r="BH81" s="26">
        <f t="shared" si="61"/>
        <v>0</v>
      </c>
      <c r="BI81" s="57">
        <f t="shared" si="53"/>
        <v>0</v>
      </c>
      <c r="BK81" s="56">
        <f t="shared" si="54"/>
        <v>0</v>
      </c>
      <c r="BL81" s="26">
        <f t="shared" si="65"/>
        <v>0</v>
      </c>
      <c r="BM81" s="26">
        <f t="shared" si="65"/>
        <v>0</v>
      </c>
      <c r="BN81" s="57">
        <f t="shared" si="55"/>
        <v>0</v>
      </c>
      <c r="BP81" s="56">
        <f t="shared" si="56"/>
        <v>0</v>
      </c>
      <c r="BQ81" s="26">
        <f t="shared" si="66"/>
        <v>0</v>
      </c>
      <c r="BR81" s="26">
        <f t="shared" si="66"/>
        <v>0</v>
      </c>
      <c r="BS81" s="57">
        <f t="shared" si="57"/>
        <v>0</v>
      </c>
      <c r="BU81" s="56">
        <f>IF($O81=BU$2,IF($Q81=$AD$2,$P81)) + IF($R81=BU$2,IF($T81=$AD$2,$S81)) + IF($U81=BU$2,IF($W81=$AD$2,$V81))</f>
        <v>0</v>
      </c>
      <c r="BV81" s="26">
        <f>IF($O81=BV$2,IF($Q81=$AD$2,2*$P81)) + IF($R81=BV$2,IF($T81=$AD$2,2*$S81)) + IF($U81=BV$2,IF($W81=$AD$2,2*$V81))</f>
        <v>0</v>
      </c>
      <c r="BW81" s="26">
        <f>IF($O81=BW$2,IF($Q81=$AD$2,2*$P81)) + IF($R81=BW$2,IF($T81=$AD$2,2*$S81)) + IF($U81=BW$2,IF($W81=$AD$2,2*$V81))</f>
        <v>0</v>
      </c>
      <c r="BX81" s="57">
        <f>IF($O81=BX$2,IF($Q81=$AD$2,12*$P81)) + IF($R81=BX$2,IF($T81=$AD$2,12*$S81)) + IF($U81=BX$2,IF($W81=$AD$2,12*$V81))</f>
        <v>0</v>
      </c>
      <c r="BZ81" s="56">
        <f>IF($O81=BZ$2,IF($Q81=Armory,$P81)) + IF($R81=BZ$2,IF($T81=Armory,$S81)) + IF($U81=BZ$2,IF($W81=Armory,$V81))</f>
        <v>0</v>
      </c>
      <c r="CA81" s="26">
        <f>IF($O81=CA$2,IF($Q81=Armory,2*$P81)) + IF($R81=CA$2,IF($T81=Armory,2*$S81)) + IF($U81=CA$2,IF($W81=Armory,2*$V81))</f>
        <v>0</v>
      </c>
      <c r="CB81" s="26">
        <f>IF($O81=CB$2,IF($Q81=Armory,2*$P81)) + IF($R81=CB$2,IF($T81=Armory,2*$S81)) + IF($U81=CB$2,IF($W81=Armory,2*$V81))</f>
        <v>0</v>
      </c>
      <c r="CC81" s="57">
        <f>IF($O81=CC$2,IF($Q81=Armory,12*$P81)) + IF($R81=CC$2,IF($T81=Armory,12*$S81)) + IF($U81=CC$2,IF($W81=Armory,12*$V81))</f>
        <v>0</v>
      </c>
      <c r="CE81" s="56">
        <f>IF($O81=CE$2,IF($Q81=Infirmary,$P81)) + IF($R81=CE$2,IF($T81=Infirmary,$S81)) + IF($U81=CE$2,IF($W81=Infirmary,$V81))</f>
        <v>0</v>
      </c>
      <c r="CF81" s="26">
        <f>IF($O81=CF$2,IF($Q81=Infirmary,2*$P81)) + IF($R81=CF$2,IF($T81=Infirmary,2*$S81)) + IF($U81=CF$2,IF($W81=Infirmary,2*$V81))</f>
        <v>0</v>
      </c>
      <c r="CG81" s="26">
        <f>IF($O81=CG$2,IF($Q81=Infirmary,2*$P81)) + IF($R81=CG$2,IF($T81=Infirmary,2*$S81)) + IF($U81=CG$2,IF($W81=Infirmary,2*$V81))</f>
        <v>0</v>
      </c>
      <c r="CH81" s="57">
        <f>IF($O81=CH$2,IF($Q81=Infirmary,12*$P81)) + IF($R81=CH$2,IF($T81=Infirmary,12*$S81)) + IF($U81=CH$2,IF($W81=Infirmary,12*$V81))</f>
        <v>0</v>
      </c>
      <c r="CJ81" s="52" t="e">
        <f>OR(Production!C81,Construction!N81:'Construction'!AF81,Construction!BV81:CN81,Explore!S81:Z81,Military!AF81:AL81,Military!X81,Military!BE81:BL81,Rezone!L81:R81,Magic!G81:Q81)</f>
        <v>#VALUE!</v>
      </c>
      <c r="CK81" s="525">
        <f>M81</f>
        <v>0</v>
      </c>
      <c r="CL81" s="525"/>
      <c r="CM81" s="555">
        <f t="shared" si="59"/>
        <v>43768.812499999811</v>
      </c>
      <c r="CN81" s="563">
        <f t="shared" si="60"/>
        <v>43768.645833333147</v>
      </c>
      <c r="CO81" s="527"/>
      <c r="CP81" s="803"/>
      <c r="CQ81" s="808"/>
      <c r="CR81" s="170"/>
    </row>
    <row r="82" spans="1:98" s="16" customFormat="1" x14ac:dyDescent="0.25">
      <c r="A82" s="511">
        <f>Construction!E82</f>
        <v>1000</v>
      </c>
      <c r="C82" s="56">
        <f ca="1">Production!H82</f>
        <v>4870858</v>
      </c>
      <c r="D82" s="26">
        <f ca="1">Production!J82</f>
        <v>297466</v>
      </c>
      <c r="E82" s="26">
        <f ca="1">Production!L82</f>
        <v>300000</v>
      </c>
      <c r="F82" s="57">
        <f ca="1">Production!M82</f>
        <v>20000</v>
      </c>
      <c r="G82" s="26"/>
      <c r="H82" s="56">
        <f ca="1">Military!Z82</f>
        <v>5295</v>
      </c>
      <c r="I82" s="538">
        <f ca="1">Population!I82</f>
        <v>1</v>
      </c>
      <c r="J82" s="165">
        <f ca="1">Population!F82/Population!U82</f>
        <v>1</v>
      </c>
      <c r="K82" s="1000">
        <f>Rezone!J82</f>
        <v>80</v>
      </c>
      <c r="L82" s="582">
        <f t="shared" si="58"/>
        <v>43768.822916666475</v>
      </c>
      <c r="M82" s="316">
        <f t="shared" si="67"/>
        <v>0</v>
      </c>
      <c r="N82" s="638">
        <f t="shared" si="46"/>
        <v>1000</v>
      </c>
      <c r="O82" s="423" t="s">
        <v>4</v>
      </c>
      <c r="P82" s="370"/>
      <c r="Q82" s="424" t="s">
        <v>223</v>
      </c>
      <c r="R82" s="423" t="s">
        <v>7</v>
      </c>
      <c r="S82" s="370"/>
      <c r="T82" s="424" t="s">
        <v>223</v>
      </c>
      <c r="U82" s="406" t="s">
        <v>3</v>
      </c>
      <c r="V82" s="407"/>
      <c r="W82" s="409" t="s">
        <v>223</v>
      </c>
      <c r="Y82" s="501">
        <f ca="1">science_cap*(1-EXP(-AH82/(science_param*($A83-Explore!$S83*20)+15000)))*(1+(mason_bonus*Construction!BB82/Construction!BS82))+IF(Overview!$B$14="Beastfolk",Construction!DA82/Construction!E82,0)*(1 + Production!O82/100*prestige_pop_multiplier)</f>
        <v>0</v>
      </c>
      <c r="Z82" s="454">
        <f ca="1">keep_cap*(1-EXP(-AI82/(keep_param*($A83-Explore!$S83*20)+15000)))*(1+(mason_bonus*Construction!BB82/Construction!BS82))+IF(Overview!$B$14="Beastfolk",Construction!DF82/Construction!E82,0)*(1 + Production!O82/100*prestige_pop_multiplier)</f>
        <v>0</v>
      </c>
      <c r="AA82" s="454">
        <f ca="1">harbor_towers_cap*(1-EXP(-AJ82/(harbor_towers_param*($A83-Explore!$S83*20)+15000)))*(1+(mason_bonus*Construction!BB82/Construction!BS82))+IF(Overview!$B$14="Beastfolk",2*Construction!DC82/Construction!E82,0)*(1 + Production!O82/100*prestige_pop_multiplier)</f>
        <v>0</v>
      </c>
      <c r="AB82" s="454">
        <f ca="1">walls_forges_cap*(1-EXP(-AK82/(walls_forges_param*($A83-Explore!$S83*20)+15000)))*(1+(mason_bonus*Construction!BB82/Construction!BS82))+IF(Overview!$B$14="Beastfolk",0.2*Construction!CY82/Construction!E82,0)</f>
        <v>0</v>
      </c>
      <c r="AC82" s="454">
        <f ca="1">walls_forges_cap*(1-EXP(-AL82/(walls_forges_param*($A83-Explore!$S83*20)+15000)))*(1+(mason_bonus*Construction!BB82/Construction!BS82))+IF(Overview!$B$14="Beastfolk",5*Construction!DB82/Construction!E82,0)</f>
        <v>0</v>
      </c>
      <c r="AD82" s="171">
        <f ca="1">harbor_towers_cap*(1-EXP(-AM82/(harbor_towers_param*($A83-Explore!$S83*20)+15000)))*(1+(mason_bonus*Construction!BB82/Construction!BS82))+IF(Overview!$B$14="Beastfolk",Construction!DE82/Construction!E82)*(1 + Production!O82/100*prestige_pop_multiplier)</f>
        <v>0</v>
      </c>
      <c r="AE82" s="171">
        <f ca="1">armory_cap*(1-EXP(-AN82/(armory_param*($A83-Explore!$S83*20)+15000)))*(1+(mason_bonus*Construction!$BB82/Construction!$BS82))</f>
        <v>0</v>
      </c>
      <c r="AF82" s="171">
        <f ca="1">infirmary_cap*(1-EXP(-AO82/(infirmary_param*($A83-Explore!$S83*20)+15000)))*(1+(mason_bonus*Construction!$BB82/Construction!$BS82))</f>
        <v>0</v>
      </c>
      <c r="AH82" s="56">
        <f ca="1">(1+Overview!$O$28+IF(Magic!BA82&gt;0,0.1,0))*SUM(AV82:AY82) + AH81</f>
        <v>0</v>
      </c>
      <c r="AI82" s="26">
        <f ca="1">(1+Overview!$O$28+IF(Magic!BA82&gt;0,0.1,0))*SUM(BA82:BD82) + AI81</f>
        <v>0</v>
      </c>
      <c r="AJ82" s="164">
        <f ca="1">(1+Overview!$O$28+IF(Magic!BA82&gt;0,0.1,0))*SUM(BF82:BI82) + AJ81</f>
        <v>0</v>
      </c>
      <c r="AK82" s="164">
        <f ca="1">(1+Overview!$O$28+IF(Magic!BA82&gt;0,0.1,0))*SUM(BK82:BN82) + AK81</f>
        <v>0</v>
      </c>
      <c r="AL82" s="164">
        <f ca="1">(1+Overview!$O$28+IF(Magic!BA82&gt;0,0.1,0))*SUM(BP82:BS82) + AL81</f>
        <v>0</v>
      </c>
      <c r="AM82" s="166">
        <f ca="1">(1+Overview!$O$28+IF(Magic!BA82&gt;0,0.1,0))*SUM(BU82:BX82) + AM81</f>
        <v>0</v>
      </c>
      <c r="AN82" s="166">
        <f ca="1">(1+Overview!$O$28+IF(Magic!BA82&gt;0,0.1,0))*SUM(BZ82:CC82)+AN81</f>
        <v>0</v>
      </c>
      <c r="AO82" s="164">
        <f ca="1">(1+Overview!$O$28+IF(Magic!BA82&gt;0,0.1,0))*SUM(CE82:CH82)+AO81</f>
        <v>0</v>
      </c>
      <c r="AQ82" s="52">
        <f t="shared" si="62"/>
        <v>0</v>
      </c>
      <c r="AR82" s="16">
        <f t="shared" si="62"/>
        <v>0</v>
      </c>
      <c r="AS82" s="16">
        <f t="shared" si="62"/>
        <v>0</v>
      </c>
      <c r="AT82" s="53">
        <f t="shared" si="62"/>
        <v>0</v>
      </c>
      <c r="AV82" s="56">
        <f t="shared" si="47"/>
        <v>0</v>
      </c>
      <c r="AW82" s="26">
        <f t="shared" si="63"/>
        <v>0</v>
      </c>
      <c r="AX82" s="26">
        <f t="shared" si="63"/>
        <v>0</v>
      </c>
      <c r="AY82" s="57">
        <f t="shared" si="48"/>
        <v>0</v>
      </c>
      <c r="BA82" s="56">
        <f t="shared" si="49"/>
        <v>0</v>
      </c>
      <c r="BB82" s="26">
        <f t="shared" si="64"/>
        <v>0</v>
      </c>
      <c r="BC82" s="26">
        <f t="shared" si="64"/>
        <v>0</v>
      </c>
      <c r="BD82" s="57">
        <f t="shared" si="50"/>
        <v>0</v>
      </c>
      <c r="BF82" s="56">
        <f t="shared" si="51"/>
        <v>0</v>
      </c>
      <c r="BG82" s="26">
        <f t="shared" si="52"/>
        <v>0</v>
      </c>
      <c r="BH82" s="26">
        <f t="shared" si="61"/>
        <v>0</v>
      </c>
      <c r="BI82" s="57">
        <f t="shared" si="53"/>
        <v>0</v>
      </c>
      <c r="BK82" s="56">
        <f t="shared" si="54"/>
        <v>0</v>
      </c>
      <c r="BL82" s="26">
        <f t="shared" si="65"/>
        <v>0</v>
      </c>
      <c r="BM82" s="26">
        <f t="shared" si="65"/>
        <v>0</v>
      </c>
      <c r="BN82" s="57">
        <f t="shared" si="55"/>
        <v>0</v>
      </c>
      <c r="BP82" s="56">
        <f t="shared" si="56"/>
        <v>0</v>
      </c>
      <c r="BQ82" s="26">
        <f t="shared" si="66"/>
        <v>0</v>
      </c>
      <c r="BR82" s="26">
        <f t="shared" si="66"/>
        <v>0</v>
      </c>
      <c r="BS82" s="57">
        <f t="shared" si="57"/>
        <v>0</v>
      </c>
      <c r="BU82" s="56">
        <f>IF($O82=BU$2,IF($Q82=$AD$2,$P82)) + IF($R82=BU$2,IF($T82=$AD$2,$S82)) + IF($U82=BU$2,IF($W82=$AD$2,$V82))</f>
        <v>0</v>
      </c>
      <c r="BV82" s="26">
        <f>IF($O82=BV$2,IF($Q82=$AD$2,2*$P82)) + IF($R82=BV$2,IF($T82=$AD$2,2*$S82)) + IF($U82=BV$2,IF($W82=$AD$2,2*$V82))</f>
        <v>0</v>
      </c>
      <c r="BW82" s="26">
        <f>IF($O82=BW$2,IF($Q82=$AD$2,2*$P82)) + IF($R82=BW$2,IF($T82=$AD$2,2*$S82)) + IF($U82=BW$2,IF($W82=$AD$2,2*$V82))</f>
        <v>0</v>
      </c>
      <c r="BX82" s="57">
        <f>IF($O82=BX$2,IF($Q82=$AD$2,12*$P82)) + IF($R82=BX$2,IF($T82=$AD$2,12*$S82)) + IF($U82=BX$2,IF($W82=$AD$2,12*$V82))</f>
        <v>0</v>
      </c>
      <c r="BZ82" s="56">
        <f>IF($O82=BZ$2,IF($Q82=Armory,$P82)) + IF($R82=BZ$2,IF($T82=Armory,$S82)) + IF($U82=BZ$2,IF($W82=Armory,$V82))</f>
        <v>0</v>
      </c>
      <c r="CA82" s="26">
        <f>IF($O82=CA$2,IF($Q82=Armory,2*$P82)) + IF($R82=CA$2,IF($T82=Armory,2*$S82)) + IF($U82=CA$2,IF($W82=Armory,2*$V82))</f>
        <v>0</v>
      </c>
      <c r="CB82" s="26">
        <f>IF($O82=CB$2,IF($Q82=Armory,2*$P82)) + IF($R82=CB$2,IF($T82=Armory,2*$S82)) + IF($U82=CB$2,IF($W82=Armory,2*$V82))</f>
        <v>0</v>
      </c>
      <c r="CC82" s="57">
        <f>IF($O82=CC$2,IF($Q82=Armory,12*$P82)) + IF($R82=CC$2,IF($T82=Armory,12*$S82)) + IF($U82=CC$2,IF($W82=Armory,12*$V82))</f>
        <v>0</v>
      </c>
      <c r="CE82" s="56">
        <f>IF($O82=CE$2,IF($Q82=Infirmary,$P82)) + IF($R82=CE$2,IF($T82=Infirmary,$S82)) + IF($U82=CE$2,IF($W82=Infirmary,$V82))</f>
        <v>0</v>
      </c>
      <c r="CF82" s="26">
        <f>IF($O82=CF$2,IF($Q82=Infirmary,2*$P82)) + IF($R82=CF$2,IF($T82=Infirmary,2*$S82)) + IF($U82=CF$2,IF($W82=Infirmary,2*$V82))</f>
        <v>0</v>
      </c>
      <c r="CG82" s="26">
        <f>IF($O82=CG$2,IF($Q82=Infirmary,2*$P82)) + IF($R82=CG$2,IF($T82=Infirmary,2*$S82)) + IF($U82=CG$2,IF($W82=Infirmary,2*$V82))</f>
        <v>0</v>
      </c>
      <c r="CH82" s="57">
        <f>IF($O82=CH$2,IF($Q82=Infirmary,12*$P82)) + IF($R82=CH$2,IF($T82=Infirmary,12*$S82)) + IF($U82=CH$2,IF($W82=Infirmary,12*$V82))</f>
        <v>0</v>
      </c>
      <c r="CJ82" s="52" t="e">
        <f>OR(Production!C82,Construction!N82:'Construction'!AF82,Construction!BV82:CN82,Explore!S82:Z82,Military!AF82:AL82,Military!X82,Military!BE82:BL82,Rezone!L82:R82,Magic!G82:Q82)</f>
        <v>#VALUE!</v>
      </c>
      <c r="CK82" s="525">
        <f>M82</f>
        <v>0</v>
      </c>
      <c r="CL82" s="525"/>
      <c r="CM82" s="555">
        <f t="shared" si="59"/>
        <v>43768.822916666475</v>
      </c>
      <c r="CN82" s="563">
        <f t="shared" si="60"/>
        <v>43768.656249999811</v>
      </c>
      <c r="CO82" s="527"/>
      <c r="CP82" s="803"/>
      <c r="CQ82" s="808"/>
      <c r="CR82" s="170"/>
    </row>
    <row r="83" spans="1:98" s="16" customFormat="1" x14ac:dyDescent="0.25">
      <c r="A83" s="511">
        <f>Construction!E83</f>
        <v>1000</v>
      </c>
      <c r="C83" s="56">
        <f ca="1">Production!H83</f>
        <v>4875839</v>
      </c>
      <c r="D83" s="26">
        <f ca="1">Production!J83</f>
        <v>296991</v>
      </c>
      <c r="E83" s="26">
        <f ca="1">Production!L83</f>
        <v>300000</v>
      </c>
      <c r="F83" s="57">
        <f ca="1">Production!M83</f>
        <v>20000</v>
      </c>
      <c r="G83" s="26"/>
      <c r="H83" s="56">
        <f ca="1">Military!Z83</f>
        <v>5295</v>
      </c>
      <c r="I83" s="538">
        <f ca="1">Population!I83</f>
        <v>1</v>
      </c>
      <c r="J83" s="165">
        <f ca="1">Population!F83/Population!U83</f>
        <v>1</v>
      </c>
      <c r="K83" s="1000">
        <f>Rezone!J83</f>
        <v>81</v>
      </c>
      <c r="L83" s="582">
        <f t="shared" si="58"/>
        <v>43768.833333333139</v>
      </c>
      <c r="M83" s="316">
        <f t="shared" si="67"/>
        <v>0</v>
      </c>
      <c r="N83" s="638">
        <f t="shared" si="46"/>
        <v>1000</v>
      </c>
      <c r="O83" s="423" t="s">
        <v>4</v>
      </c>
      <c r="P83" s="370"/>
      <c r="Q83" s="424" t="s">
        <v>223</v>
      </c>
      <c r="R83" s="423" t="s">
        <v>7</v>
      </c>
      <c r="S83" s="370"/>
      <c r="T83" s="424" t="s">
        <v>223</v>
      </c>
      <c r="U83" s="406" t="s">
        <v>3</v>
      </c>
      <c r="V83" s="407"/>
      <c r="W83" s="409" t="s">
        <v>223</v>
      </c>
      <c r="Y83" s="501">
        <f ca="1">science_cap*(1-EXP(-AH83/(science_param*($A84-Explore!$S84*20)+15000)))*(1+(mason_bonus*Construction!BB83/Construction!BS83))+IF(Overview!$B$14="Beastfolk",Construction!DA83/Construction!E83,0)*(1 + Production!O83/100*prestige_pop_multiplier)</f>
        <v>0</v>
      </c>
      <c r="Z83" s="454">
        <f ca="1">keep_cap*(1-EXP(-AI83/(keep_param*($A84-Explore!$S84*20)+15000)))*(1+(mason_bonus*Construction!BB83/Construction!BS83))+IF(Overview!$B$14="Beastfolk",Construction!DF83/Construction!E83,0)*(1 + Production!O83/100*prestige_pop_multiplier)</f>
        <v>0</v>
      </c>
      <c r="AA83" s="454">
        <f ca="1">harbor_towers_cap*(1-EXP(-AJ83/(harbor_towers_param*($A84-Explore!$S84*20)+15000)))*(1+(mason_bonus*Construction!BB83/Construction!BS83))+IF(Overview!$B$14="Beastfolk",2*Construction!DC83/Construction!E83,0)*(1 + Production!O83/100*prestige_pop_multiplier)</f>
        <v>0</v>
      </c>
      <c r="AB83" s="454">
        <f ca="1">walls_forges_cap*(1-EXP(-AK83/(walls_forges_param*($A84-Explore!$S84*20)+15000)))*(1+(mason_bonus*Construction!BB83/Construction!BS83))+IF(Overview!$B$14="Beastfolk",0.2*Construction!CY83/Construction!E83,0)</f>
        <v>0</v>
      </c>
      <c r="AC83" s="454">
        <f ca="1">walls_forges_cap*(1-EXP(-AL83/(walls_forges_param*($A84-Explore!$S84*20)+15000)))*(1+(mason_bonus*Construction!BB83/Construction!BS83))+IF(Overview!$B$14="Beastfolk",5*Construction!DB83/Construction!E83,0)</f>
        <v>0</v>
      </c>
      <c r="AD83" s="171">
        <f ca="1">harbor_towers_cap*(1-EXP(-AM83/(harbor_towers_param*($A84-Explore!$S84*20)+15000)))*(1+(mason_bonus*Construction!BB83/Construction!BS83))+IF(Overview!$B$14="Beastfolk",Construction!DE83/Construction!E83)*(1 + Production!O83/100*prestige_pop_multiplier)</f>
        <v>0</v>
      </c>
      <c r="AE83" s="171">
        <f ca="1">armory_cap*(1-EXP(-AN83/(armory_param*($A84-Explore!$S84*20)+15000)))*(1+(mason_bonus*Construction!$BB83/Construction!$BS83))</f>
        <v>0</v>
      </c>
      <c r="AF83" s="171">
        <f ca="1">infirmary_cap*(1-EXP(-AO83/(infirmary_param*($A84-Explore!$S84*20)+15000)))*(1+(mason_bonus*Construction!$BB83/Construction!$BS83))</f>
        <v>0</v>
      </c>
      <c r="AH83" s="56">
        <f ca="1">(1+Overview!$O$28+IF(Magic!BA83&gt;0,0.1,0))*SUM(AV83:AY83) + AH82</f>
        <v>0</v>
      </c>
      <c r="AI83" s="26">
        <f ca="1">(1+Overview!$O$28+IF(Magic!BA83&gt;0,0.1,0))*SUM(BA83:BD83) + AI82</f>
        <v>0</v>
      </c>
      <c r="AJ83" s="164">
        <f ca="1">(1+Overview!$O$28+IF(Magic!BA83&gt;0,0.1,0))*SUM(BF83:BI83) + AJ82</f>
        <v>0</v>
      </c>
      <c r="AK83" s="164">
        <f ca="1">(1+Overview!$O$28+IF(Magic!BA83&gt;0,0.1,0))*SUM(BK83:BN83) + AK82</f>
        <v>0</v>
      </c>
      <c r="AL83" s="164">
        <f ca="1">(1+Overview!$O$28+IF(Magic!BA83&gt;0,0.1,0))*SUM(BP83:BS83) + AL82</f>
        <v>0</v>
      </c>
      <c r="AM83" s="166">
        <f ca="1">(1+Overview!$O$28+IF(Magic!BA83&gt;0,0.1,0))*SUM(BU83:BX83) + AM82</f>
        <v>0</v>
      </c>
      <c r="AN83" s="166">
        <f ca="1">(1+Overview!$O$28+IF(Magic!BA83&gt;0,0.1,0))*SUM(BZ83:CC83)+AN82</f>
        <v>0</v>
      </c>
      <c r="AO83" s="164">
        <f ca="1">(1+Overview!$O$28+IF(Magic!BA83&gt;0,0.1,0))*SUM(CE83:CH83)+AO82</f>
        <v>0</v>
      </c>
      <c r="AQ83" s="52">
        <f t="shared" si="62"/>
        <v>0</v>
      </c>
      <c r="AR83" s="16">
        <f t="shared" si="62"/>
        <v>0</v>
      </c>
      <c r="AS83" s="16">
        <f t="shared" si="62"/>
        <v>0</v>
      </c>
      <c r="AT83" s="53">
        <f t="shared" si="62"/>
        <v>0</v>
      </c>
      <c r="AV83" s="56">
        <f t="shared" si="47"/>
        <v>0</v>
      </c>
      <c r="AW83" s="26">
        <f t="shared" si="63"/>
        <v>0</v>
      </c>
      <c r="AX83" s="26">
        <f t="shared" si="63"/>
        <v>0</v>
      </c>
      <c r="AY83" s="57">
        <f t="shared" si="48"/>
        <v>0</v>
      </c>
      <c r="BA83" s="56">
        <f t="shared" si="49"/>
        <v>0</v>
      </c>
      <c r="BB83" s="26">
        <f t="shared" si="64"/>
        <v>0</v>
      </c>
      <c r="BC83" s="26">
        <f t="shared" si="64"/>
        <v>0</v>
      </c>
      <c r="BD83" s="57">
        <f t="shared" si="50"/>
        <v>0</v>
      </c>
      <c r="BF83" s="56">
        <f t="shared" si="51"/>
        <v>0</v>
      </c>
      <c r="BG83" s="26">
        <f t="shared" si="52"/>
        <v>0</v>
      </c>
      <c r="BH83" s="26">
        <f t="shared" si="61"/>
        <v>0</v>
      </c>
      <c r="BI83" s="57">
        <f t="shared" si="53"/>
        <v>0</v>
      </c>
      <c r="BK83" s="56">
        <f t="shared" si="54"/>
        <v>0</v>
      </c>
      <c r="BL83" s="26">
        <f t="shared" si="65"/>
        <v>0</v>
      </c>
      <c r="BM83" s="26">
        <f t="shared" si="65"/>
        <v>0</v>
      </c>
      <c r="BN83" s="57">
        <f t="shared" si="55"/>
        <v>0</v>
      </c>
      <c r="BP83" s="56">
        <f t="shared" si="56"/>
        <v>0</v>
      </c>
      <c r="BQ83" s="26">
        <f t="shared" si="66"/>
        <v>0</v>
      </c>
      <c r="BR83" s="26">
        <f t="shared" si="66"/>
        <v>0</v>
      </c>
      <c r="BS83" s="57">
        <f t="shared" si="57"/>
        <v>0</v>
      </c>
      <c r="BU83" s="56">
        <f>IF($O83=BU$2,IF($Q83=$AD$2,$P83)) + IF($R83=BU$2,IF($T83=$AD$2,$S83)) + IF($U83=BU$2,IF($W83=$AD$2,$V83))</f>
        <v>0</v>
      </c>
      <c r="BV83" s="26">
        <f>IF($O83=BV$2,IF($Q83=$AD$2,2*$P83)) + IF($R83=BV$2,IF($T83=$AD$2,2*$S83)) + IF($U83=BV$2,IF($W83=$AD$2,2*$V83))</f>
        <v>0</v>
      </c>
      <c r="BW83" s="26">
        <f>IF($O83=BW$2,IF($Q83=$AD$2,2*$P83)) + IF($R83=BW$2,IF($T83=$AD$2,2*$S83)) + IF($U83=BW$2,IF($W83=$AD$2,2*$V83))</f>
        <v>0</v>
      </c>
      <c r="BX83" s="57">
        <f>IF($O83=BX$2,IF($Q83=$AD$2,12*$P83)) + IF($R83=BX$2,IF($T83=$AD$2,12*$S83)) + IF($U83=BX$2,IF($W83=$AD$2,12*$V83))</f>
        <v>0</v>
      </c>
      <c r="BZ83" s="56">
        <f>IF($O83=BZ$2,IF($Q83=Armory,$P83)) + IF($R83=BZ$2,IF($T83=Armory,$S83)) + IF($U83=BZ$2,IF($W83=Armory,$V83))</f>
        <v>0</v>
      </c>
      <c r="CA83" s="26">
        <f>IF($O83=CA$2,IF($Q83=Armory,2*$P83)) + IF($R83=CA$2,IF($T83=Armory,2*$S83)) + IF($U83=CA$2,IF($W83=Armory,2*$V83))</f>
        <v>0</v>
      </c>
      <c r="CB83" s="26">
        <f>IF($O83=CB$2,IF($Q83=Armory,2*$P83)) + IF($R83=CB$2,IF($T83=Armory,2*$S83)) + IF($U83=CB$2,IF($W83=Armory,2*$V83))</f>
        <v>0</v>
      </c>
      <c r="CC83" s="57">
        <f>IF($O83=CC$2,IF($Q83=Armory,12*$P83)) + IF($R83=CC$2,IF($T83=Armory,12*$S83)) + IF($U83=CC$2,IF($W83=Armory,12*$V83))</f>
        <v>0</v>
      </c>
      <c r="CE83" s="56">
        <f>IF($O83=CE$2,IF($Q83=Infirmary,$P83)) + IF($R83=CE$2,IF($T83=Infirmary,$S83)) + IF($U83=CE$2,IF($W83=Infirmary,$V83))</f>
        <v>0</v>
      </c>
      <c r="CF83" s="26">
        <f>IF($O83=CF$2,IF($Q83=Infirmary,2*$P83)) + IF($R83=CF$2,IF($T83=Infirmary,2*$S83)) + IF($U83=CF$2,IF($W83=Infirmary,2*$V83))</f>
        <v>0</v>
      </c>
      <c r="CG83" s="26">
        <f>IF($O83=CG$2,IF($Q83=Infirmary,2*$P83)) + IF($R83=CG$2,IF($T83=Infirmary,2*$S83)) + IF($U83=CG$2,IF($W83=Infirmary,2*$V83))</f>
        <v>0</v>
      </c>
      <c r="CH83" s="57">
        <f>IF($O83=CH$2,IF($Q83=Infirmary,12*$P83)) + IF($R83=CH$2,IF($T83=Infirmary,12*$S83)) + IF($U83=CH$2,IF($W83=Infirmary,12*$V83))</f>
        <v>0</v>
      </c>
      <c r="CJ83" s="52" t="e">
        <f>OR(Production!C83,Construction!N83:'Construction'!AF83,Construction!BV83:CN83,Explore!S83:Z83,Military!AF83:AL83,Military!X83,Military!BE83:BL83,Rezone!L83:R83,Magic!G83:Q83)</f>
        <v>#VALUE!</v>
      </c>
      <c r="CK83" s="525">
        <f>M83</f>
        <v>0</v>
      </c>
      <c r="CL83" s="525"/>
      <c r="CM83" s="555">
        <f t="shared" si="59"/>
        <v>43768.833333333139</v>
      </c>
      <c r="CN83" s="563">
        <f t="shared" si="60"/>
        <v>43768.666666666475</v>
      </c>
      <c r="CO83" s="527"/>
      <c r="CP83" s="803"/>
      <c r="CQ83" s="808"/>
      <c r="CR83" s="170"/>
    </row>
    <row r="84" spans="1:98" s="16" customFormat="1" x14ac:dyDescent="0.25">
      <c r="A84" s="511">
        <f>Construction!E84</f>
        <v>1000</v>
      </c>
      <c r="C84" s="56">
        <f ca="1">Production!H84</f>
        <v>4880820</v>
      </c>
      <c r="D84" s="26">
        <f ca="1">Production!J84</f>
        <v>296521</v>
      </c>
      <c r="E84" s="26">
        <f ca="1">Production!L84</f>
        <v>300000</v>
      </c>
      <c r="F84" s="57">
        <f ca="1">Production!M84</f>
        <v>20000</v>
      </c>
      <c r="G84" s="26"/>
      <c r="H84" s="56">
        <f ca="1">Military!Z84</f>
        <v>5295</v>
      </c>
      <c r="I84" s="538">
        <f ca="1">Population!I84</f>
        <v>1</v>
      </c>
      <c r="J84" s="165">
        <f ca="1">Population!F84/Population!U84</f>
        <v>1</v>
      </c>
      <c r="K84" s="1000">
        <f>Rezone!J84</f>
        <v>82</v>
      </c>
      <c r="L84" s="582">
        <f t="shared" si="58"/>
        <v>43768.843749999804</v>
      </c>
      <c r="M84" s="316">
        <f t="shared" si="67"/>
        <v>0</v>
      </c>
      <c r="N84" s="638">
        <f t="shared" si="46"/>
        <v>1000</v>
      </c>
      <c r="O84" s="423" t="s">
        <v>4</v>
      </c>
      <c r="P84" s="370"/>
      <c r="Q84" s="424" t="s">
        <v>223</v>
      </c>
      <c r="R84" s="423" t="s">
        <v>7</v>
      </c>
      <c r="S84" s="370"/>
      <c r="T84" s="425" t="s">
        <v>223</v>
      </c>
      <c r="U84" s="408" t="s">
        <v>3</v>
      </c>
      <c r="V84" s="407"/>
      <c r="W84" s="409" t="s">
        <v>223</v>
      </c>
      <c r="Y84" s="501">
        <f ca="1">science_cap*(1-EXP(-AH84/(science_param*($A85-Explore!$S85*20)+15000)))*(1+(mason_bonus*Construction!BB84/Construction!BS84))+IF(Overview!$B$14="Beastfolk",Construction!DA84/Construction!E84,0)*(1 + Production!O84/100*prestige_pop_multiplier)</f>
        <v>0</v>
      </c>
      <c r="Z84" s="454">
        <f ca="1">keep_cap*(1-EXP(-AI84/(keep_param*($A85-Explore!$S85*20)+15000)))*(1+(mason_bonus*Construction!BB84/Construction!BS84))+IF(Overview!$B$14="Beastfolk",Construction!DF84/Construction!E84,0)*(1 + Production!O84/100*prestige_pop_multiplier)</f>
        <v>0</v>
      </c>
      <c r="AA84" s="454">
        <f ca="1">harbor_towers_cap*(1-EXP(-AJ84/(harbor_towers_param*($A85-Explore!$S85*20)+15000)))*(1+(mason_bonus*Construction!BB84/Construction!BS84))+IF(Overview!$B$14="Beastfolk",2*Construction!DC84/Construction!E84,0)*(1 + Production!O84/100*prestige_pop_multiplier)</f>
        <v>0</v>
      </c>
      <c r="AB84" s="454">
        <f ca="1">walls_forges_cap*(1-EXP(-AK84/(walls_forges_param*($A85-Explore!$S85*20)+15000)))*(1+(mason_bonus*Construction!BB84/Construction!BS84))+IF(Overview!$B$14="Beastfolk",0.2*Construction!CY84/Construction!E84,0)</f>
        <v>0</v>
      </c>
      <c r="AC84" s="454">
        <f ca="1">walls_forges_cap*(1-EXP(-AL84/(walls_forges_param*($A85-Explore!$S85*20)+15000)))*(1+(mason_bonus*Construction!BB84/Construction!BS84))+IF(Overview!$B$14="Beastfolk",5*Construction!DB84/Construction!E84,0)</f>
        <v>0</v>
      </c>
      <c r="AD84" s="171">
        <f ca="1">harbor_towers_cap*(1-EXP(-AM84/(harbor_towers_param*($A85-Explore!$S85*20)+15000)))*(1+(mason_bonus*Construction!BB84/Construction!BS84))+IF(Overview!$B$14="Beastfolk",Construction!DE84/Construction!E84)*(1 + Production!O84/100*prestige_pop_multiplier)</f>
        <v>0</v>
      </c>
      <c r="AE84" s="171">
        <f ca="1">armory_cap*(1-EXP(-AN84/(armory_param*($A85-Explore!$S85*20)+15000)))*(1+(mason_bonus*Construction!$BB84/Construction!$BS84))</f>
        <v>0</v>
      </c>
      <c r="AF84" s="171">
        <f ca="1">infirmary_cap*(1-EXP(-AO84/(infirmary_param*($A85-Explore!$S85*20)+15000)))*(1+(mason_bonus*Construction!$BB84/Construction!$BS84))</f>
        <v>0</v>
      </c>
      <c r="AH84" s="56">
        <f ca="1">(1+Overview!$O$28+IF(Magic!BA84&gt;0,0.1,0))*SUM(AV84:AY84) + AH83</f>
        <v>0</v>
      </c>
      <c r="AI84" s="26">
        <f ca="1">(1+Overview!$O$28+IF(Magic!BA84&gt;0,0.1,0))*SUM(BA84:BD84) + AI83</f>
        <v>0</v>
      </c>
      <c r="AJ84" s="164">
        <f ca="1">(1+Overview!$O$28+IF(Magic!BA84&gt;0,0.1,0))*SUM(BF84:BI84) + AJ83</f>
        <v>0</v>
      </c>
      <c r="AK84" s="164">
        <f ca="1">(1+Overview!$O$28+IF(Magic!BA84&gt;0,0.1,0))*SUM(BK84:BN84) + AK83</f>
        <v>0</v>
      </c>
      <c r="AL84" s="164">
        <f ca="1">(1+Overview!$O$28+IF(Magic!BA84&gt;0,0.1,0))*SUM(BP84:BS84) + AL83</f>
        <v>0</v>
      </c>
      <c r="AM84" s="166">
        <f ca="1">(1+Overview!$O$28+IF(Magic!BA84&gt;0,0.1,0))*SUM(BU84:BX84) + AM83</f>
        <v>0</v>
      </c>
      <c r="AN84" s="166">
        <f ca="1">(1+Overview!$O$28+IF(Magic!BA84&gt;0,0.1,0))*SUM(BZ84:CC84)+AN83</f>
        <v>0</v>
      </c>
      <c r="AO84" s="164">
        <f ca="1">(1+Overview!$O$28+IF(Magic!BA84&gt;0,0.1,0))*SUM(CE84:CH84)+AO83</f>
        <v>0</v>
      </c>
      <c r="AQ84" s="52">
        <f t="shared" si="62"/>
        <v>0</v>
      </c>
      <c r="AR84" s="16">
        <f t="shared" si="62"/>
        <v>0</v>
      </c>
      <c r="AS84" s="16">
        <f t="shared" si="62"/>
        <v>0</v>
      </c>
      <c r="AT84" s="53">
        <f t="shared" si="62"/>
        <v>0</v>
      </c>
      <c r="AV84" s="56">
        <f t="shared" si="47"/>
        <v>0</v>
      </c>
      <c r="AW84" s="26">
        <f t="shared" si="63"/>
        <v>0</v>
      </c>
      <c r="AX84" s="26">
        <f t="shared" si="63"/>
        <v>0</v>
      </c>
      <c r="AY84" s="57">
        <f t="shared" si="48"/>
        <v>0</v>
      </c>
      <c r="BA84" s="56">
        <f t="shared" si="49"/>
        <v>0</v>
      </c>
      <c r="BB84" s="26">
        <f t="shared" si="64"/>
        <v>0</v>
      </c>
      <c r="BC84" s="26">
        <f t="shared" si="64"/>
        <v>0</v>
      </c>
      <c r="BD84" s="57">
        <f t="shared" si="50"/>
        <v>0</v>
      </c>
      <c r="BF84" s="56">
        <f t="shared" si="51"/>
        <v>0</v>
      </c>
      <c r="BG84" s="26">
        <f t="shared" si="52"/>
        <v>0</v>
      </c>
      <c r="BH84" s="26">
        <f t="shared" si="61"/>
        <v>0</v>
      </c>
      <c r="BI84" s="57">
        <f t="shared" si="53"/>
        <v>0</v>
      </c>
      <c r="BK84" s="56">
        <f t="shared" si="54"/>
        <v>0</v>
      </c>
      <c r="BL84" s="26">
        <f t="shared" si="65"/>
        <v>0</v>
      </c>
      <c r="BM84" s="26">
        <f t="shared" si="65"/>
        <v>0</v>
      </c>
      <c r="BN84" s="57">
        <f t="shared" si="55"/>
        <v>0</v>
      </c>
      <c r="BP84" s="56">
        <f t="shared" si="56"/>
        <v>0</v>
      </c>
      <c r="BQ84" s="26">
        <f t="shared" si="66"/>
        <v>0</v>
      </c>
      <c r="BR84" s="26">
        <f t="shared" si="66"/>
        <v>0</v>
      </c>
      <c r="BS84" s="57">
        <f t="shared" si="57"/>
        <v>0</v>
      </c>
      <c r="BU84" s="56">
        <f>IF($O84=BU$2,IF($Q84=$AD$2,$P84)) + IF($R84=BU$2,IF($T84=$AD$2,$S84)) + IF($U84=BU$2,IF($W84=$AD$2,$V84))</f>
        <v>0</v>
      </c>
      <c r="BV84" s="26">
        <f>IF($O84=BV$2,IF($Q84=$AD$2,2*$P84)) + IF($R84=BV$2,IF($T84=$AD$2,2*$S84)) + IF($U84=BV$2,IF($W84=$AD$2,2*$V84))</f>
        <v>0</v>
      </c>
      <c r="BW84" s="26">
        <f>IF($O84=BW$2,IF($Q84=$AD$2,2*$P84)) + IF($R84=BW$2,IF($T84=$AD$2,2*$S84)) + IF($U84=BW$2,IF($W84=$AD$2,2*$V84))</f>
        <v>0</v>
      </c>
      <c r="BX84" s="57">
        <f>IF($O84=BX$2,IF($Q84=$AD$2,12*$P84)) + IF($R84=BX$2,IF($T84=$AD$2,12*$S84)) + IF($U84=BX$2,IF($W84=$AD$2,12*$V84))</f>
        <v>0</v>
      </c>
      <c r="BZ84" s="56">
        <f>IF($O84=BZ$2,IF($Q84=Armory,$P84)) + IF($R84=BZ$2,IF($T84=Armory,$S84)) + IF($U84=BZ$2,IF($W84=Armory,$V84))</f>
        <v>0</v>
      </c>
      <c r="CA84" s="26">
        <f>IF($O84=CA$2,IF($Q84=Armory,2*$P84)) + IF($R84=CA$2,IF($T84=Armory,2*$S84)) + IF($U84=CA$2,IF($W84=Armory,2*$V84))</f>
        <v>0</v>
      </c>
      <c r="CB84" s="26">
        <f>IF($O84=CB$2,IF($Q84=Armory,2*$P84)) + IF($R84=CB$2,IF($T84=Armory,2*$S84)) + IF($U84=CB$2,IF($W84=Armory,2*$V84))</f>
        <v>0</v>
      </c>
      <c r="CC84" s="57">
        <f>IF($O84=CC$2,IF($Q84=Armory,12*$P84)) + IF($R84=CC$2,IF($T84=Armory,12*$S84)) + IF($U84=CC$2,IF($W84=Armory,12*$V84))</f>
        <v>0</v>
      </c>
      <c r="CE84" s="56">
        <f>IF($O84=CE$2,IF($Q84=Infirmary,$P84)) + IF($R84=CE$2,IF($T84=Infirmary,$S84)) + IF($U84=CE$2,IF($W84=Infirmary,$V84))</f>
        <v>0</v>
      </c>
      <c r="CF84" s="26">
        <f>IF($O84=CF$2,IF($Q84=Infirmary,2*$P84)) + IF($R84=CF$2,IF($T84=Infirmary,2*$S84)) + IF($U84=CF$2,IF($W84=Infirmary,2*$V84))</f>
        <v>0</v>
      </c>
      <c r="CG84" s="26">
        <f>IF($O84=CG$2,IF($Q84=Infirmary,2*$P84)) + IF($R84=CG$2,IF($T84=Infirmary,2*$S84)) + IF($U84=CG$2,IF($W84=Infirmary,2*$V84))</f>
        <v>0</v>
      </c>
      <c r="CH84" s="57">
        <f>IF($O84=CH$2,IF($Q84=Infirmary,12*$P84)) + IF($R84=CH$2,IF($T84=Infirmary,12*$S84)) + IF($U84=CH$2,IF($W84=Infirmary,12*$V84))</f>
        <v>0</v>
      </c>
      <c r="CJ84" s="52" t="e">
        <f>OR(Production!C84,Construction!N84:'Construction'!AF84,Construction!BV84:CN84,Explore!S84:Z84,Military!AF84:AL84,Military!X84,Military!BE84:BL84,Rezone!L84:R84,Magic!G84:Q84)</f>
        <v>#VALUE!</v>
      </c>
      <c r="CK84" s="525">
        <f>M84</f>
        <v>0</v>
      </c>
      <c r="CL84" s="525"/>
      <c r="CM84" s="555">
        <f t="shared" si="59"/>
        <v>43768.843749999804</v>
      </c>
      <c r="CN84" s="563">
        <f t="shared" si="60"/>
        <v>43768.677083333139</v>
      </c>
      <c r="CO84" s="527"/>
      <c r="CP84" s="803"/>
      <c r="CQ84" s="808"/>
      <c r="CR84" s="170"/>
    </row>
    <row r="85" spans="1:98" s="16" customFormat="1" x14ac:dyDescent="0.25">
      <c r="A85" s="511">
        <f>Construction!E85</f>
        <v>1000</v>
      </c>
      <c r="C85" s="56">
        <f ca="1">Production!H85</f>
        <v>4885801</v>
      </c>
      <c r="D85" s="26">
        <f ca="1">Production!J85</f>
        <v>296056</v>
      </c>
      <c r="E85" s="26">
        <f ca="1">Production!L85</f>
        <v>300000</v>
      </c>
      <c r="F85" s="57">
        <f ca="1">Production!M85</f>
        <v>20000</v>
      </c>
      <c r="G85" s="26"/>
      <c r="H85" s="56">
        <f ca="1">Military!Z85</f>
        <v>5295</v>
      </c>
      <c r="I85" s="538">
        <f ca="1">Population!I85</f>
        <v>1</v>
      </c>
      <c r="J85" s="165">
        <f ca="1">Population!F85/Population!U85</f>
        <v>1</v>
      </c>
      <c r="K85" s="1000">
        <f>Rezone!J85</f>
        <v>83</v>
      </c>
      <c r="L85" s="582">
        <f t="shared" si="58"/>
        <v>43768.854166666468</v>
      </c>
      <c r="M85" s="316">
        <f t="shared" si="67"/>
        <v>0</v>
      </c>
      <c r="N85" s="638">
        <f t="shared" si="46"/>
        <v>1000</v>
      </c>
      <c r="O85" s="423" t="s">
        <v>4</v>
      </c>
      <c r="P85" s="370"/>
      <c r="Q85" s="424" t="s">
        <v>223</v>
      </c>
      <c r="R85" s="423" t="s">
        <v>7</v>
      </c>
      <c r="S85" s="370"/>
      <c r="T85" s="425" t="s">
        <v>223</v>
      </c>
      <c r="U85" s="408" t="s">
        <v>3</v>
      </c>
      <c r="V85" s="407"/>
      <c r="W85" s="409" t="s">
        <v>223</v>
      </c>
      <c r="Y85" s="501">
        <f ca="1">science_cap*(1-EXP(-AH85/(science_param*($A86-Explore!$S86*20)+15000)))*(1+(mason_bonus*Construction!BB85/Construction!BS85))+IF(Overview!$B$14="Beastfolk",Construction!DA85/Construction!E85,0)*(1 + Production!O85/100*prestige_pop_multiplier)</f>
        <v>0</v>
      </c>
      <c r="Z85" s="454">
        <f ca="1">keep_cap*(1-EXP(-AI85/(keep_param*($A86-Explore!$S86*20)+15000)))*(1+(mason_bonus*Construction!BB85/Construction!BS85))+IF(Overview!$B$14="Beastfolk",Construction!DF85/Construction!E85,0)*(1 + Production!O85/100*prestige_pop_multiplier)</f>
        <v>0</v>
      </c>
      <c r="AA85" s="454">
        <f ca="1">harbor_towers_cap*(1-EXP(-AJ85/(harbor_towers_param*($A86-Explore!$S86*20)+15000)))*(1+(mason_bonus*Construction!BB85/Construction!BS85))+IF(Overview!$B$14="Beastfolk",2*Construction!DC85/Construction!E85,0)*(1 + Production!O85/100*prestige_pop_multiplier)</f>
        <v>0</v>
      </c>
      <c r="AB85" s="454">
        <f ca="1">walls_forges_cap*(1-EXP(-AK85/(walls_forges_param*($A86-Explore!$S86*20)+15000)))*(1+(mason_bonus*Construction!BB85/Construction!BS85))+IF(Overview!$B$14="Beastfolk",0.2*Construction!CY85/Construction!E85,0)</f>
        <v>0</v>
      </c>
      <c r="AC85" s="454">
        <f ca="1">walls_forges_cap*(1-EXP(-AL85/(walls_forges_param*($A86-Explore!$S86*20)+15000)))*(1+(mason_bonus*Construction!BB85/Construction!BS85))+IF(Overview!$B$14="Beastfolk",5*Construction!DB85/Construction!E85,0)</f>
        <v>0</v>
      </c>
      <c r="AD85" s="171">
        <f ca="1">harbor_towers_cap*(1-EXP(-AM85/(harbor_towers_param*($A86-Explore!$S86*20)+15000)))*(1+(mason_bonus*Construction!BB85/Construction!BS85))+IF(Overview!$B$14="Beastfolk",Construction!DE85/Construction!E85)*(1 + Production!O85/100*prestige_pop_multiplier)</f>
        <v>0</v>
      </c>
      <c r="AE85" s="171">
        <f ca="1">armory_cap*(1-EXP(-AN85/(armory_param*($A86-Explore!$S86*20)+15000)))*(1+(mason_bonus*Construction!$BB85/Construction!$BS85))</f>
        <v>0</v>
      </c>
      <c r="AF85" s="171">
        <f ca="1">infirmary_cap*(1-EXP(-AO85/(infirmary_param*($A86-Explore!$S86*20)+15000)))*(1+(mason_bonus*Construction!$BB85/Construction!$BS85))</f>
        <v>0</v>
      </c>
      <c r="AH85" s="56">
        <f ca="1">(1+Overview!$O$28+IF(Magic!BA85&gt;0,0.1,0))*SUM(AV85:AY85) + AH84</f>
        <v>0</v>
      </c>
      <c r="AI85" s="26">
        <f ca="1">(1+Overview!$O$28+IF(Magic!BA85&gt;0,0.1,0))*SUM(BA85:BD85) + AI84</f>
        <v>0</v>
      </c>
      <c r="AJ85" s="164">
        <f ca="1">(1+Overview!$O$28+IF(Magic!BA85&gt;0,0.1,0))*SUM(BF85:BI85) + AJ84</f>
        <v>0</v>
      </c>
      <c r="AK85" s="164">
        <f ca="1">(1+Overview!$O$28+IF(Magic!BA85&gt;0,0.1,0))*SUM(BK85:BN85) + AK84</f>
        <v>0</v>
      </c>
      <c r="AL85" s="164">
        <f ca="1">(1+Overview!$O$28+IF(Magic!BA85&gt;0,0.1,0))*SUM(BP85:BS85) + AL84</f>
        <v>0</v>
      </c>
      <c r="AM85" s="166">
        <f ca="1">(1+Overview!$O$28+IF(Magic!BA85&gt;0,0.1,0))*SUM(BU85:BX85) + AM84</f>
        <v>0</v>
      </c>
      <c r="AN85" s="166">
        <f ca="1">(1+Overview!$O$28+IF(Magic!BA85&gt;0,0.1,0))*SUM(BZ85:CC85)+AN84</f>
        <v>0</v>
      </c>
      <c r="AO85" s="164">
        <f ca="1">(1+Overview!$O$28+IF(Magic!BA85&gt;0,0.1,0))*SUM(CE85:CH85)+AO84</f>
        <v>0</v>
      </c>
      <c r="AQ85" s="52">
        <f t="shared" si="62"/>
        <v>0</v>
      </c>
      <c r="AR85" s="16">
        <f t="shared" si="62"/>
        <v>0</v>
      </c>
      <c r="AS85" s="16">
        <f t="shared" si="62"/>
        <v>0</v>
      </c>
      <c r="AT85" s="53">
        <f t="shared" si="62"/>
        <v>0</v>
      </c>
      <c r="AV85" s="56">
        <f t="shared" si="47"/>
        <v>0</v>
      </c>
      <c r="AW85" s="26">
        <f t="shared" si="63"/>
        <v>0</v>
      </c>
      <c r="AX85" s="26">
        <f t="shared" si="63"/>
        <v>0</v>
      </c>
      <c r="AY85" s="57">
        <f t="shared" si="48"/>
        <v>0</v>
      </c>
      <c r="BA85" s="56">
        <f t="shared" si="49"/>
        <v>0</v>
      </c>
      <c r="BB85" s="26">
        <f t="shared" si="64"/>
        <v>0</v>
      </c>
      <c r="BC85" s="26">
        <f t="shared" si="64"/>
        <v>0</v>
      </c>
      <c r="BD85" s="57">
        <f t="shared" si="50"/>
        <v>0</v>
      </c>
      <c r="BF85" s="56">
        <f t="shared" si="51"/>
        <v>0</v>
      </c>
      <c r="BG85" s="26">
        <f t="shared" si="52"/>
        <v>0</v>
      </c>
      <c r="BH85" s="26">
        <f t="shared" si="61"/>
        <v>0</v>
      </c>
      <c r="BI85" s="57">
        <f t="shared" si="53"/>
        <v>0</v>
      </c>
      <c r="BK85" s="56">
        <f t="shared" si="54"/>
        <v>0</v>
      </c>
      <c r="BL85" s="26">
        <f t="shared" si="65"/>
        <v>0</v>
      </c>
      <c r="BM85" s="26">
        <f t="shared" si="65"/>
        <v>0</v>
      </c>
      <c r="BN85" s="57">
        <f t="shared" si="55"/>
        <v>0</v>
      </c>
      <c r="BP85" s="56">
        <f t="shared" si="56"/>
        <v>0</v>
      </c>
      <c r="BQ85" s="26">
        <f t="shared" si="66"/>
        <v>0</v>
      </c>
      <c r="BR85" s="26">
        <f t="shared" si="66"/>
        <v>0</v>
      </c>
      <c r="BS85" s="57">
        <f t="shared" si="57"/>
        <v>0</v>
      </c>
      <c r="BU85" s="56">
        <f>IF($O85=BU$2,IF($Q85=$AD$2,$P85)) + IF($R85=BU$2,IF($T85=$AD$2,$S85)) + IF($U85=BU$2,IF($W85=$AD$2,$V85))</f>
        <v>0</v>
      </c>
      <c r="BV85" s="26">
        <f>IF($O85=BV$2,IF($Q85=$AD$2,2*$P85)) + IF($R85=BV$2,IF($T85=$AD$2,2*$S85)) + IF($U85=BV$2,IF($W85=$AD$2,2*$V85))</f>
        <v>0</v>
      </c>
      <c r="BW85" s="26">
        <f>IF($O85=BW$2,IF($Q85=$AD$2,2*$P85)) + IF($R85=BW$2,IF($T85=$AD$2,2*$S85)) + IF($U85=BW$2,IF($W85=$AD$2,2*$V85))</f>
        <v>0</v>
      </c>
      <c r="BX85" s="57">
        <f>IF($O85=BX$2,IF($Q85=$AD$2,12*$P85)) + IF($R85=BX$2,IF($T85=$AD$2,12*$S85)) + IF($U85=BX$2,IF($W85=$AD$2,12*$V85))</f>
        <v>0</v>
      </c>
      <c r="BZ85" s="56">
        <f>IF($O85=BZ$2,IF($Q85=Armory,$P85)) + IF($R85=BZ$2,IF($T85=Armory,$S85)) + IF($U85=BZ$2,IF($W85=Armory,$V85))</f>
        <v>0</v>
      </c>
      <c r="CA85" s="26">
        <f>IF($O85=CA$2,IF($Q85=Armory,2*$P85)) + IF($R85=CA$2,IF($T85=Armory,2*$S85)) + IF($U85=CA$2,IF($W85=Armory,2*$V85))</f>
        <v>0</v>
      </c>
      <c r="CB85" s="26">
        <f>IF($O85=CB$2,IF($Q85=Armory,2*$P85)) + IF($R85=CB$2,IF($T85=Armory,2*$S85)) + IF($U85=CB$2,IF($W85=Armory,2*$V85))</f>
        <v>0</v>
      </c>
      <c r="CC85" s="57">
        <f>IF($O85=CC$2,IF($Q85=Armory,12*$P85)) + IF($R85=CC$2,IF($T85=Armory,12*$S85)) + IF($U85=CC$2,IF($W85=Armory,12*$V85))</f>
        <v>0</v>
      </c>
      <c r="CE85" s="56">
        <f>IF($O85=CE$2,IF($Q85=Infirmary,$P85)) + IF($R85=CE$2,IF($T85=Infirmary,$S85)) + IF($U85=CE$2,IF($W85=Infirmary,$V85))</f>
        <v>0</v>
      </c>
      <c r="CF85" s="26">
        <f>IF($O85=CF$2,IF($Q85=Infirmary,2*$P85)) + IF($R85=CF$2,IF($T85=Infirmary,2*$S85)) + IF($U85=CF$2,IF($W85=Infirmary,2*$V85))</f>
        <v>0</v>
      </c>
      <c r="CG85" s="26">
        <f>IF($O85=CG$2,IF($Q85=Infirmary,2*$P85)) + IF($R85=CG$2,IF($T85=Infirmary,2*$S85)) + IF($U85=CG$2,IF($W85=Infirmary,2*$V85))</f>
        <v>0</v>
      </c>
      <c r="CH85" s="57">
        <f>IF($O85=CH$2,IF($Q85=Infirmary,12*$P85)) + IF($R85=CH$2,IF($T85=Infirmary,12*$S85)) + IF($U85=CH$2,IF($W85=Infirmary,12*$V85))</f>
        <v>0</v>
      </c>
      <c r="CJ85" s="52" t="e">
        <f>OR(Production!C85,Construction!N85:'Construction'!AF85,Construction!BV85:CN85,Explore!S85:Z85,Military!AF85:AL85,Military!X85,Military!BE85:BL85,Rezone!L85:R85,Magic!G85:Q85)</f>
        <v>#VALUE!</v>
      </c>
      <c r="CK85" s="525">
        <f>M85</f>
        <v>0</v>
      </c>
      <c r="CL85" s="525"/>
      <c r="CM85" s="555">
        <f t="shared" si="59"/>
        <v>43768.854166666468</v>
      </c>
      <c r="CN85" s="563">
        <f t="shared" si="60"/>
        <v>43768.687499999804</v>
      </c>
      <c r="CO85" s="527"/>
      <c r="CP85" s="803"/>
      <c r="CQ85" s="808"/>
      <c r="CR85" s="170"/>
    </row>
    <row r="86" spans="1:98" s="170" customFormat="1" x14ac:dyDescent="0.25">
      <c r="A86" s="508">
        <f>Construction!E86</f>
        <v>1000</v>
      </c>
      <c r="C86" s="152">
        <f ca="1">Production!H86</f>
        <v>4890782</v>
      </c>
      <c r="D86" s="164">
        <f ca="1">Production!J86</f>
        <v>295595</v>
      </c>
      <c r="E86" s="164">
        <f ca="1">Production!L86</f>
        <v>300000</v>
      </c>
      <c r="F86" s="166">
        <f ca="1">Production!M86</f>
        <v>20000</v>
      </c>
      <c r="G86" s="164"/>
      <c r="H86" s="152">
        <f ca="1">Military!Z86</f>
        <v>5295</v>
      </c>
      <c r="I86" s="538">
        <f ca="1">Population!I86</f>
        <v>1</v>
      </c>
      <c r="J86" s="165">
        <f ca="1">Population!F86/Population!U86</f>
        <v>1</v>
      </c>
      <c r="K86" s="1000">
        <f>Rezone!J86</f>
        <v>84</v>
      </c>
      <c r="L86" s="582">
        <f t="shared" si="58"/>
        <v>43768.864583333132</v>
      </c>
      <c r="M86" s="646">
        <f t="shared" si="67"/>
        <v>0</v>
      </c>
      <c r="N86" s="529">
        <f t="shared" si="46"/>
        <v>1000</v>
      </c>
      <c r="O86" s="406" t="s">
        <v>4</v>
      </c>
      <c r="P86" s="370"/>
      <c r="Q86" s="408" t="s">
        <v>223</v>
      </c>
      <c r="R86" s="423" t="s">
        <v>7</v>
      </c>
      <c r="S86" s="370"/>
      <c r="T86" s="408" t="s">
        <v>223</v>
      </c>
      <c r="U86" s="406" t="s">
        <v>3</v>
      </c>
      <c r="V86" s="407"/>
      <c r="W86" s="409" t="s">
        <v>223</v>
      </c>
      <c r="Y86" s="501">
        <f ca="1">science_cap*(1-EXP(-AH86/(science_param*($A87-Explore!$S87*20)+15000)))*(1+(mason_bonus*Construction!BB86/Construction!BS86))+IF(Overview!$B$14="Beastfolk",Construction!DA86/Construction!E86,0)*(1 + Production!O86/100*prestige_pop_multiplier)</f>
        <v>0</v>
      </c>
      <c r="Z86" s="454">
        <f ca="1">keep_cap*(1-EXP(-AI86/(keep_param*($A87-Explore!$S87*20)+15000)))*(1+(mason_bonus*Construction!BB86/Construction!BS86))+IF(Overview!$B$14="Beastfolk",Construction!DF86/Construction!E86,0)*(1 + Production!O86/100*prestige_pop_multiplier)</f>
        <v>0</v>
      </c>
      <c r="AA86" s="454">
        <f ca="1">harbor_towers_cap*(1-EXP(-AJ86/(harbor_towers_param*($A87-Explore!$S87*20)+15000)))*(1+(mason_bonus*Construction!BB86/Construction!BS86))+IF(Overview!$B$14="Beastfolk",2*Construction!DC86/Construction!E86,0)*(1 + Production!O86/100*prestige_pop_multiplier)</f>
        <v>0</v>
      </c>
      <c r="AB86" s="454">
        <f ca="1">walls_forges_cap*(1-EXP(-AK86/(walls_forges_param*($A87-Explore!$S87*20)+15000)))*(1+(mason_bonus*Construction!BB86/Construction!BS86))+IF(Overview!$B$14="Beastfolk",0.2*Construction!CY86/Construction!E86,0)</f>
        <v>0</v>
      </c>
      <c r="AC86" s="454">
        <f ca="1">walls_forges_cap*(1-EXP(-AL86/(walls_forges_param*($A87-Explore!$S87*20)+15000)))*(1+(mason_bonus*Construction!BB86/Construction!BS86))+IF(Overview!$B$14="Beastfolk",5*Construction!DB86/Construction!E86,0)</f>
        <v>0</v>
      </c>
      <c r="AD86" s="171">
        <f ca="1">harbor_towers_cap*(1-EXP(-AM86/(harbor_towers_param*($A87-Explore!$S87*20)+15000)))*(1+(mason_bonus*Construction!BB86/Construction!BS86))+IF(Overview!$B$14="Beastfolk",Construction!DE86/Construction!E86)*(1 + Production!O86/100*prestige_pop_multiplier)</f>
        <v>0</v>
      </c>
      <c r="AE86" s="171">
        <f ca="1">armory_cap*(1-EXP(-AN86/(armory_param*($A87-Explore!$S87*20)+15000)))*(1+(mason_bonus*Construction!$BB86/Construction!$BS86))</f>
        <v>0</v>
      </c>
      <c r="AF86" s="171">
        <f ca="1">infirmary_cap*(1-EXP(-AO86/(infirmary_param*($A87-Explore!$S87*20)+15000)))*(1+(mason_bonus*Construction!$BB86/Construction!$BS86))</f>
        <v>0</v>
      </c>
      <c r="AH86" s="56">
        <f ca="1">(1+Overview!$O$28+IF(Magic!BA86&gt;0,0.1,0))*SUM(AV86:AY86) + AH85</f>
        <v>0</v>
      </c>
      <c r="AI86" s="26">
        <f ca="1">(1+Overview!$O$28+IF(Magic!BA86&gt;0,0.1,0))*SUM(BA86:BD86) + AI85</f>
        <v>0</v>
      </c>
      <c r="AJ86" s="164">
        <f ca="1">(1+Overview!$O$28+IF(Magic!BA86&gt;0,0.1,0))*SUM(BF86:BI86) + AJ85</f>
        <v>0</v>
      </c>
      <c r="AK86" s="164">
        <f ca="1">(1+Overview!$O$28+IF(Magic!BA86&gt;0,0.1,0))*SUM(BK86:BN86) + AK85</f>
        <v>0</v>
      </c>
      <c r="AL86" s="164">
        <f ca="1">(1+Overview!$O$28+IF(Magic!BA86&gt;0,0.1,0))*SUM(BP86:BS86) + AL85</f>
        <v>0</v>
      </c>
      <c r="AM86" s="166">
        <f ca="1">(1+Overview!$O$28+IF(Magic!BA86&gt;0,0.1,0))*SUM(BU86:BX86) + AM85</f>
        <v>0</v>
      </c>
      <c r="AN86" s="166">
        <f ca="1">(1+Overview!$O$28+IF(Magic!BA86&gt;0,0.1,0))*SUM(BZ86:CC86)+AN85</f>
        <v>0</v>
      </c>
      <c r="AO86" s="164">
        <f ca="1">(1+Overview!$O$28+IF(Magic!BA86&gt;0,0.1,0))*SUM(CE86:CH86)+AO85</f>
        <v>0</v>
      </c>
      <c r="AQ86" s="156">
        <f t="shared" si="62"/>
        <v>0</v>
      </c>
      <c r="AR86" s="170">
        <f t="shared" si="62"/>
        <v>0</v>
      </c>
      <c r="AS86" s="170">
        <f t="shared" si="62"/>
        <v>0</v>
      </c>
      <c r="AT86" s="157">
        <f t="shared" si="62"/>
        <v>0</v>
      </c>
      <c r="AV86" s="152">
        <f t="shared" si="47"/>
        <v>0</v>
      </c>
      <c r="AW86" s="164">
        <f t="shared" si="63"/>
        <v>0</v>
      </c>
      <c r="AX86" s="164">
        <f t="shared" si="63"/>
        <v>0</v>
      </c>
      <c r="AY86" s="166">
        <f t="shared" si="48"/>
        <v>0</v>
      </c>
      <c r="BA86" s="152">
        <f t="shared" si="49"/>
        <v>0</v>
      </c>
      <c r="BB86" s="164">
        <f t="shared" si="64"/>
        <v>0</v>
      </c>
      <c r="BC86" s="164">
        <f t="shared" si="64"/>
        <v>0</v>
      </c>
      <c r="BD86" s="166">
        <f t="shared" si="50"/>
        <v>0</v>
      </c>
      <c r="BF86" s="152">
        <f t="shared" si="51"/>
        <v>0</v>
      </c>
      <c r="BG86" s="164">
        <f t="shared" si="52"/>
        <v>0</v>
      </c>
      <c r="BH86" s="164">
        <f t="shared" si="61"/>
        <v>0</v>
      </c>
      <c r="BI86" s="166">
        <f t="shared" si="53"/>
        <v>0</v>
      </c>
      <c r="BK86" s="152">
        <f t="shared" si="54"/>
        <v>0</v>
      </c>
      <c r="BL86" s="164">
        <f t="shared" si="65"/>
        <v>0</v>
      </c>
      <c r="BM86" s="164">
        <f t="shared" si="65"/>
        <v>0</v>
      </c>
      <c r="BN86" s="166">
        <f t="shared" si="55"/>
        <v>0</v>
      </c>
      <c r="BP86" s="152">
        <f t="shared" si="56"/>
        <v>0</v>
      </c>
      <c r="BQ86" s="164">
        <f t="shared" si="66"/>
        <v>0</v>
      </c>
      <c r="BR86" s="164">
        <f t="shared" si="66"/>
        <v>0</v>
      </c>
      <c r="BS86" s="166">
        <f t="shared" si="57"/>
        <v>0</v>
      </c>
      <c r="BU86" s="152">
        <f>IF($O86=BU$2,IF($Q86=$AD$2,$P86)) + IF($R86=BU$2,IF($T86=$AD$2,$S86)) + IF($U86=BU$2,IF($W86=$AD$2,$V86))</f>
        <v>0</v>
      </c>
      <c r="BV86" s="164">
        <f>IF($O86=BV$2,IF($Q86=$AD$2,2*$P86)) + IF($R86=BV$2,IF($T86=$AD$2,2*$S86)) + IF($U86=BV$2,IF($W86=$AD$2,2*$V86))</f>
        <v>0</v>
      </c>
      <c r="BW86" s="164">
        <f>IF($O86=BW$2,IF($Q86=$AD$2,2*$P86)) + IF($R86=BW$2,IF($T86=$AD$2,2*$S86)) + IF($U86=BW$2,IF($W86=$AD$2,2*$V86))</f>
        <v>0</v>
      </c>
      <c r="BX86" s="166">
        <f>IF($O86=BX$2,IF($Q86=$AD$2,12*$P86)) + IF($R86=BX$2,IF($T86=$AD$2,12*$S86)) + IF($U86=BX$2,IF($W86=$AD$2,12*$V86))</f>
        <v>0</v>
      </c>
      <c r="BZ86" s="152">
        <f>IF($O86=BZ$2,IF($Q86=Armory,$P86)) + IF($R86=BZ$2,IF($T86=Armory,$S86)) + IF($U86=BZ$2,IF($W86=Armory,$V86))</f>
        <v>0</v>
      </c>
      <c r="CA86" s="164">
        <f>IF($O86=CA$2,IF($Q86=Armory,2*$P86)) + IF($R86=CA$2,IF($T86=Armory,2*$S86)) + IF($U86=CA$2,IF($W86=Armory,2*$V86))</f>
        <v>0</v>
      </c>
      <c r="CB86" s="164">
        <f>IF($O86=CB$2,IF($Q86=Armory,2*$P86)) + IF($R86=CB$2,IF($T86=Armory,2*$S86)) + IF($U86=CB$2,IF($W86=Armory,2*$V86))</f>
        <v>0</v>
      </c>
      <c r="CC86" s="166">
        <f>IF($O86=CC$2,IF($Q86=Armory,12*$P86)) + IF($R86=CC$2,IF($T86=Armory,12*$S86)) + IF($U86=CC$2,IF($W86=Armory,12*$V86))</f>
        <v>0</v>
      </c>
      <c r="CE86" s="152">
        <f>IF($O86=CE$2,IF($Q86=Infirmary,$P86)) + IF($R86=CE$2,IF($T86=Infirmary,$S86)) + IF($U86=CE$2,IF($W86=Infirmary,$V86))</f>
        <v>0</v>
      </c>
      <c r="CF86" s="164">
        <f>IF($O86=CF$2,IF($Q86=Infirmary,2*$P86)) + IF($R86=CF$2,IF($T86=Infirmary,2*$S86)) + IF($U86=CF$2,IF($W86=Infirmary,2*$V86))</f>
        <v>0</v>
      </c>
      <c r="CG86" s="164">
        <f>IF($O86=CG$2,IF($Q86=Infirmary,2*$P86)) + IF($R86=CG$2,IF($T86=Infirmary,2*$S86)) + IF($U86=CG$2,IF($W86=Infirmary,2*$V86))</f>
        <v>0</v>
      </c>
      <c r="CH86" s="166">
        <f>IF($O86=CH$2,IF($Q86=Infirmary,12*$P86)) + IF($R86=CH$2,IF($T86=Infirmary,12*$S86)) + IF($U86=CH$2,IF($W86=Infirmary,12*$V86))</f>
        <v>0</v>
      </c>
      <c r="CJ86" s="156" t="e">
        <f>OR(Production!C86,Construction!N86:'Construction'!AF86,Construction!BV86:CN86,Explore!S86:Z86,Military!AF86:AL86,Military!X86,Military!BE86:BL86,Rezone!L86:R86,Magic!G86:Q86)</f>
        <v>#VALUE!</v>
      </c>
      <c r="CK86" s="546">
        <f>M86</f>
        <v>0</v>
      </c>
      <c r="CL86" s="546"/>
      <c r="CM86" s="552">
        <f t="shared" si="59"/>
        <v>43768.864583333132</v>
      </c>
      <c r="CN86" s="560">
        <f t="shared" si="60"/>
        <v>43768.697916666468</v>
      </c>
      <c r="CO86" s="627"/>
      <c r="CP86" s="803"/>
      <c r="CQ86" s="770"/>
    </row>
    <row r="87" spans="1:98" s="163" customFormat="1" x14ac:dyDescent="0.25">
      <c r="A87" s="507">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1">
        <f>Rezone!J87</f>
        <v>85</v>
      </c>
      <c r="L87" s="581">
        <f t="shared" si="58"/>
        <v>43768.874999999796</v>
      </c>
      <c r="M87" s="644">
        <f t="shared" si="67"/>
        <v>0</v>
      </c>
      <c r="N87" s="637">
        <f t="shared" si="46"/>
        <v>1000</v>
      </c>
      <c r="O87" s="706" t="s">
        <v>4</v>
      </c>
      <c r="P87" s="428"/>
      <c r="Q87" s="411" t="s">
        <v>223</v>
      </c>
      <c r="R87" s="427" t="s">
        <v>7</v>
      </c>
      <c r="S87" s="428"/>
      <c r="T87" s="412" t="s">
        <v>223</v>
      </c>
      <c r="U87" s="706" t="s">
        <v>3</v>
      </c>
      <c r="V87" s="410"/>
      <c r="W87" s="412" t="s">
        <v>223</v>
      </c>
      <c r="Y87" s="500">
        <f ca="1">science_cap*(1-EXP(-AH87/(science_param*($A88-Explore!$S88*20)+15000)))*(1+(mason_bonus*Construction!BB87/Construction!BS87))+IF(Overview!$B$14="Beastfolk",Construction!DA87/Construction!E87,0)*(1 + Production!O87/100*prestige_pop_multiplier)</f>
        <v>0</v>
      </c>
      <c r="Z87" s="446">
        <f ca="1">keep_cap*(1-EXP(-AI87/(keep_param*($A88-Explore!$S88*20)+15000)))*(1+(mason_bonus*Construction!BB87/Construction!BS87))+IF(Overview!$B$14="Beastfolk",Construction!DF87/Construction!E87,0)*(1 + Production!O87/100*prestige_pop_multiplier)</f>
        <v>0</v>
      </c>
      <c r="AA87" s="446">
        <f ca="1">harbor_towers_cap*(1-EXP(-AJ87/(harbor_towers_param*($A88-Explore!$S88*20)+15000)))*(1+(mason_bonus*Construction!BB87/Construction!BS87))+IF(Overview!$B$14="Beastfolk",2*Construction!DC87/Construction!E87,0)*(1 + Production!O87/100*prestige_pop_multiplier)</f>
        <v>0</v>
      </c>
      <c r="AB87" s="446">
        <f ca="1">walls_forges_cap*(1-EXP(-AK87/(walls_forges_param*($A88-Explore!$S88*20)+15000)))*(1+(mason_bonus*Construction!BB87/Construction!BS87))+IF(Overview!$B$14="Beastfolk",0.2*Construction!CY87/Construction!E87,0)</f>
        <v>0</v>
      </c>
      <c r="AC87" s="446">
        <f ca="1">walls_forges_cap*(1-EXP(-AL87/(walls_forges_param*($A88-Explore!$S88*20)+15000)))*(1+(mason_bonus*Construction!BB87/Construction!BS87))+IF(Overview!$B$14="Beastfolk",5*Construction!DB87/Construction!E87,0)</f>
        <v>0</v>
      </c>
      <c r="AD87" s="162">
        <f ca="1">harbor_towers_cap*(1-EXP(-AM87/(harbor_towers_param*($A88-Explore!$S88*20)+15000)))*(1+(mason_bonus*Construction!BB87/Construction!BS87))+IF(Overview!$B$14="Beastfolk",Construction!DE87/Construction!E87)*(1 + Production!O87/100*prestige_pop_multiplier)</f>
        <v>0</v>
      </c>
      <c r="AE87" s="162">
        <f ca="1">armory_cap*(1-EXP(-AN87/(armory_param*($A88-Explore!$S88*20)+15000)))*(1+(mason_bonus*Construction!$BB87/Construction!$BS87))</f>
        <v>0</v>
      </c>
      <c r="AF87" s="162">
        <f ca="1">infirmary_cap*(1-EXP(-AO87/(infirmary_param*($A88-Explore!$S88*20)+15000)))*(1+(mason_bonus*Construction!$BB87/Construction!$BS87))</f>
        <v>0</v>
      </c>
      <c r="AH87" s="54">
        <f ca="1">(1+Overview!$O$28+IF(Magic!BA87&gt;0,0.1,0))*SUM(AV87:AY87) + AH86</f>
        <v>0</v>
      </c>
      <c r="AI87" s="13">
        <f ca="1">(1+Overview!$O$28+IF(Magic!BA87&gt;0,0.1,0))*SUM(BA87:BD87) + AI86</f>
        <v>0</v>
      </c>
      <c r="AJ87" s="153">
        <f ca="1">(1+Overview!$O$28+IF(Magic!BA87&gt;0,0.1,0))*SUM(BF87:BI87) + AJ86</f>
        <v>0</v>
      </c>
      <c r="AK87" s="153">
        <f ca="1">(1+Overview!$O$28+IF(Magic!BA87&gt;0,0.1,0))*SUM(BK87:BN87) + AK86</f>
        <v>0</v>
      </c>
      <c r="AL87" s="153">
        <f ca="1">(1+Overview!$O$28+IF(Magic!BA87&gt;0,0.1,0))*SUM(BP87:BS87) + AL86</f>
        <v>0</v>
      </c>
      <c r="AM87" s="158">
        <f ca="1">(1+Overview!$O$28+IF(Magic!BA87&gt;0,0.1,0))*SUM(BU87:BX87) + AM86</f>
        <v>0</v>
      </c>
      <c r="AN87" s="158">
        <f ca="1">(1+Overview!$O$28+IF(Magic!BA87&gt;0,0.1,0))*SUM(BZ87:CC87)+AN86</f>
        <v>0</v>
      </c>
      <c r="AO87" s="153">
        <f ca="1">(1+Overview!$O$28+IF(Magic!BA87&gt;0,0.1,0))*SUM(CE87:CH87)+AO86</f>
        <v>0</v>
      </c>
      <c r="AQ87" s="184">
        <f t="shared" si="62"/>
        <v>0</v>
      </c>
      <c r="AR87" s="163">
        <f t="shared" si="62"/>
        <v>0</v>
      </c>
      <c r="AS87" s="163">
        <f t="shared" si="62"/>
        <v>0</v>
      </c>
      <c r="AT87" s="185">
        <f t="shared" si="62"/>
        <v>0</v>
      </c>
      <c r="AV87" s="151">
        <f t="shared" si="47"/>
        <v>0</v>
      </c>
      <c r="AW87" s="153">
        <f t="shared" si="63"/>
        <v>0</v>
      </c>
      <c r="AX87" s="153">
        <f t="shared" si="63"/>
        <v>0</v>
      </c>
      <c r="AY87" s="158">
        <f t="shared" si="48"/>
        <v>0</v>
      </c>
      <c r="BA87" s="151">
        <f t="shared" si="49"/>
        <v>0</v>
      </c>
      <c r="BB87" s="153">
        <f t="shared" si="64"/>
        <v>0</v>
      </c>
      <c r="BC87" s="153">
        <f t="shared" si="64"/>
        <v>0</v>
      </c>
      <c r="BD87" s="158">
        <f t="shared" si="50"/>
        <v>0</v>
      </c>
      <c r="BF87" s="151">
        <f t="shared" si="51"/>
        <v>0</v>
      </c>
      <c r="BG87" s="153">
        <f t="shared" si="52"/>
        <v>0</v>
      </c>
      <c r="BH87" s="153">
        <f>IF($O87=BJ$2,IF($Q87=$AA$2,2*$P87)) + IF($R87=BJ$2,IF($T87=$AA$2,2*$S87)) + IF($U87=BJ$2,IF($W87=$AA$2,2*$V87))</f>
        <v>0</v>
      </c>
      <c r="BI87" s="158">
        <f t="shared" si="53"/>
        <v>0</v>
      </c>
      <c r="BK87" s="151">
        <f t="shared" si="54"/>
        <v>0</v>
      </c>
      <c r="BL87" s="153">
        <f t="shared" si="65"/>
        <v>0</v>
      </c>
      <c r="BM87" s="153">
        <f t="shared" si="65"/>
        <v>0</v>
      </c>
      <c r="BN87" s="158">
        <f t="shared" si="55"/>
        <v>0</v>
      </c>
      <c r="BP87" s="151">
        <f t="shared" si="56"/>
        <v>0</v>
      </c>
      <c r="BQ87" s="153">
        <f t="shared" si="66"/>
        <v>0</v>
      </c>
      <c r="BR87" s="153">
        <f t="shared" si="66"/>
        <v>0</v>
      </c>
      <c r="BS87" s="158">
        <f t="shared" si="57"/>
        <v>0</v>
      </c>
      <c r="BU87" s="151">
        <f>IF($O87=BU$2,IF($Q87=$AD$2,$P87)) + IF($R87=BU$2,IF($T87=$AD$2,$S87)) + IF($U87=BU$2,IF($W87=$AD$2,$V87))</f>
        <v>0</v>
      </c>
      <c r="BV87" s="153">
        <f>IF($O87=BV$2,IF($Q87=$AD$2,2*$P87)) + IF($R87=BV$2,IF($T87=$AD$2,2*$S87)) + IF($U87=BV$2,IF($W87=$AD$2,2*$V87))</f>
        <v>0</v>
      </c>
      <c r="BW87" s="153">
        <f>IF($O87=BW$2,IF($Q87=$AD$2,2*$P87)) + IF($R87=BW$2,IF($T87=$AD$2,2*$S87)) + IF($U87=BW$2,IF($W87=$AD$2,2*$V87))</f>
        <v>0</v>
      </c>
      <c r="BX87" s="158">
        <f>IF($O87=BX$2,IF($Q87=$AD$2,12*$P87)) + IF($R87=BX$2,IF($T87=$AD$2,12*$S87)) + IF($U87=BX$2,IF($W87=$AD$2,12*$V87))</f>
        <v>0</v>
      </c>
      <c r="BZ87" s="151">
        <f>IF($O87=BZ$2,IF($Q87=Armory,$P87)) + IF($R87=BZ$2,IF($T87=Armory,$S87)) + IF($U87=BZ$2,IF($W87=Armory,$V87))</f>
        <v>0</v>
      </c>
      <c r="CA87" s="153">
        <f>IF($O87=CA$2,IF($Q87=Armory,2*$P87)) + IF($R87=CA$2,IF($T87=Armory,2*$S87)) + IF($U87=CA$2,IF($W87=Armory,2*$V87))</f>
        <v>0</v>
      </c>
      <c r="CB87" s="153">
        <f>IF($O87=CB$2,IF($Q87=Armory,2*$P87)) + IF($R87=CB$2,IF($T87=Armory,2*$S87)) + IF($U87=CB$2,IF($W87=Armory,2*$V87))</f>
        <v>0</v>
      </c>
      <c r="CC87" s="158">
        <f>IF($O87=CC$2,IF($Q87=Armory,12*$P87)) + IF($R87=CC$2,IF($T87=Armory,12*$S87)) + IF($U87=CC$2,IF($W87=Armory,12*$V87))</f>
        <v>0</v>
      </c>
      <c r="CE87" s="151">
        <f>IF($O87=CE$2,IF($Q87=Infirmary,$P87)) + IF($R87=CE$2,IF($T87=Infirmary,$S87)) + IF($U87=CE$2,IF($W87=Infirmary,$V87))</f>
        <v>0</v>
      </c>
      <c r="CF87" s="153">
        <f>IF($O87=CF$2,IF($Q87=Infirmary,2*$P87)) + IF($R87=CF$2,IF($T87=Infirmary,2*$S87)) + IF($U87=CF$2,IF($W87=Infirmary,2*$V87))</f>
        <v>0</v>
      </c>
      <c r="CG87" s="153">
        <f>IF($O87=CG$2,IF($Q87=Infirmary,2*$P87)) + IF($R87=CG$2,IF($T87=Infirmary,2*$S87)) + IF($U87=CG$2,IF($W87=Infirmary,2*$V87))</f>
        <v>0</v>
      </c>
      <c r="CH87" s="158">
        <f>IF($O87=CH$2,IF($Q87=Infirmary,12*$P87)) + IF($R87=CH$2,IF($T87=Infirmary,12*$S87)) + IF($U87=CH$2,IF($W87=Infirmary,12*$V87))</f>
        <v>0</v>
      </c>
      <c r="CJ87" s="184" t="e">
        <f>OR(Production!C87,Construction!N87:'Construction'!AF87,Construction!BV87:CN87,Explore!S87:Z87,Military!AF87:AL87,Military!X87,Military!BE87:BL87,Rezone!L87:R87,Magic!G87:Q87)</f>
        <v>#VALUE!</v>
      </c>
      <c r="CK87" s="319">
        <f>M87</f>
        <v>0</v>
      </c>
      <c r="CL87" s="319"/>
      <c r="CM87" s="551">
        <f t="shared" si="59"/>
        <v>43768.874999999796</v>
      </c>
      <c r="CN87" s="559">
        <f t="shared" si="60"/>
        <v>43768.708333333132</v>
      </c>
      <c r="CO87" s="625"/>
      <c r="CP87" s="804"/>
      <c r="CQ87" s="769"/>
    </row>
    <row r="88" spans="1:98" s="170" customFormat="1" x14ac:dyDescent="0.25">
      <c r="A88" s="508">
        <f>Construction!E88</f>
        <v>1000</v>
      </c>
      <c r="C88" s="152">
        <f ca="1">Production!H88</f>
        <v>4900744</v>
      </c>
      <c r="D88" s="164">
        <f ca="1">Production!J88</f>
        <v>294688</v>
      </c>
      <c r="E88" s="164">
        <f ca="1">Production!L88</f>
        <v>300000</v>
      </c>
      <c r="F88" s="166">
        <f ca="1">Production!M88</f>
        <v>20000</v>
      </c>
      <c r="G88" s="164"/>
      <c r="H88" s="152">
        <f ca="1">Military!Z88</f>
        <v>5295</v>
      </c>
      <c r="I88" s="538">
        <f ca="1">Population!I88</f>
        <v>1</v>
      </c>
      <c r="J88" s="165">
        <f ca="1">Population!F88/Population!U88</f>
        <v>1</v>
      </c>
      <c r="K88" s="1000">
        <f>Rezone!J88</f>
        <v>86</v>
      </c>
      <c r="L88" s="582">
        <f t="shared" si="58"/>
        <v>43768.885416666461</v>
      </c>
      <c r="M88" s="646">
        <f t="shared" si="67"/>
        <v>0</v>
      </c>
      <c r="N88" s="529">
        <f t="shared" si="46"/>
        <v>1000</v>
      </c>
      <c r="O88" s="406" t="s">
        <v>4</v>
      </c>
      <c r="P88" s="370"/>
      <c r="Q88" s="408" t="s">
        <v>223</v>
      </c>
      <c r="R88" s="423" t="s">
        <v>7</v>
      </c>
      <c r="S88" s="370"/>
      <c r="T88" s="408" t="s">
        <v>223</v>
      </c>
      <c r="U88" s="406" t="s">
        <v>3</v>
      </c>
      <c r="V88" s="407"/>
      <c r="W88" s="409" t="s">
        <v>223</v>
      </c>
      <c r="Y88" s="501">
        <f ca="1">science_cap*(1-EXP(-AH88/(science_param*($A89-Explore!$S89*20)+15000)))*(1+(mason_bonus*Construction!BB88/Construction!BS88))+IF(Overview!$B$14="Beastfolk",Construction!DA88/Construction!E88,0)*(1 + Production!O88/100*prestige_pop_multiplier)</f>
        <v>0</v>
      </c>
      <c r="Z88" s="454">
        <f ca="1">keep_cap*(1-EXP(-AI88/(keep_param*($A89-Explore!$S89*20)+15000)))*(1+(mason_bonus*Construction!BB88/Construction!BS88))+IF(Overview!$B$14="Beastfolk",Construction!DF88/Construction!E88,0)*(1 + Production!O88/100*prestige_pop_multiplier)</f>
        <v>0</v>
      </c>
      <c r="AA88" s="454">
        <f ca="1">harbor_towers_cap*(1-EXP(-AJ88/(harbor_towers_param*($A89-Explore!$S89*20)+15000)))*(1+(mason_bonus*Construction!BB88/Construction!BS88))+IF(Overview!$B$14="Beastfolk",2*Construction!DC88/Construction!E88,0)*(1 + Production!O88/100*prestige_pop_multiplier)</f>
        <v>0</v>
      </c>
      <c r="AB88" s="454">
        <f ca="1">walls_forges_cap*(1-EXP(-AK88/(walls_forges_param*($A89-Explore!$S89*20)+15000)))*(1+(mason_bonus*Construction!BB88/Construction!BS88))+IF(Overview!$B$14="Beastfolk",0.2*Construction!CY88/Construction!E88,0)</f>
        <v>0</v>
      </c>
      <c r="AC88" s="454">
        <f ca="1">walls_forges_cap*(1-EXP(-AL88/(walls_forges_param*($A89-Explore!$S89*20)+15000)))*(1+(mason_bonus*Construction!BB88/Construction!BS88))+IF(Overview!$B$14="Beastfolk",5*Construction!DB88/Construction!E88,0)</f>
        <v>0</v>
      </c>
      <c r="AD88" s="171">
        <f ca="1">harbor_towers_cap*(1-EXP(-AM88/(harbor_towers_param*($A89-Explore!$S89*20)+15000)))*(1+(mason_bonus*Construction!BB88/Construction!BS88))+IF(Overview!$B$14="Beastfolk",Construction!DE88/Construction!E88)*(1 + Production!O88/100*prestige_pop_multiplier)</f>
        <v>0</v>
      </c>
      <c r="AE88" s="171">
        <f ca="1">armory_cap*(1-EXP(-AN88/(armory_param*($A89-Explore!$S89*20)+15000)))*(1+(mason_bonus*Construction!$BB88/Construction!$BS88))</f>
        <v>0</v>
      </c>
      <c r="AF88" s="171">
        <f ca="1">infirmary_cap*(1-EXP(-AO88/(infirmary_param*($A89-Explore!$S89*20)+15000)))*(1+(mason_bonus*Construction!$BB88/Construction!$BS88))</f>
        <v>0</v>
      </c>
      <c r="AH88" s="56">
        <f ca="1">(1+Overview!$O$28+IF(Magic!BA88&gt;0,0.1,0))*SUM(AV88:AY88) + AH87</f>
        <v>0</v>
      </c>
      <c r="AI88" s="26">
        <f ca="1">(1+Overview!$O$28+IF(Magic!BA88&gt;0,0.1,0))*SUM(BA88:BD88) + AI87</f>
        <v>0</v>
      </c>
      <c r="AJ88" s="164">
        <f ca="1">(1+Overview!$O$28+IF(Magic!BA88&gt;0,0.1,0))*SUM(BF88:BI88) + AJ87</f>
        <v>0</v>
      </c>
      <c r="AK88" s="164">
        <f ca="1">(1+Overview!$O$28+IF(Magic!BA88&gt;0,0.1,0))*SUM(BK88:BN88) + AK87</f>
        <v>0</v>
      </c>
      <c r="AL88" s="164">
        <f ca="1">(1+Overview!$O$28+IF(Magic!BA88&gt;0,0.1,0))*SUM(BP88:BS88) + AL87</f>
        <v>0</v>
      </c>
      <c r="AM88" s="166">
        <f ca="1">(1+Overview!$O$28+IF(Magic!BA88&gt;0,0.1,0))*SUM(BU88:BX88) + AM87</f>
        <v>0</v>
      </c>
      <c r="AN88" s="166">
        <f ca="1">(1+Overview!$O$28+IF(Magic!BA88&gt;0,0.1,0))*SUM(BZ88:CC88)+AN87</f>
        <v>0</v>
      </c>
      <c r="AO88" s="164">
        <f ca="1">(1+Overview!$O$28+IF(Magic!BA88&gt;0,0.1,0))*SUM(CE88:CH88)+AO87</f>
        <v>0</v>
      </c>
      <c r="AQ88" s="156">
        <f t="shared" si="62"/>
        <v>0</v>
      </c>
      <c r="AR88" s="170">
        <f t="shared" si="62"/>
        <v>0</v>
      </c>
      <c r="AS88" s="170">
        <f t="shared" si="62"/>
        <v>0</v>
      </c>
      <c r="AT88" s="157">
        <f t="shared" si="62"/>
        <v>0</v>
      </c>
      <c r="AV88" s="152">
        <f t="shared" si="47"/>
        <v>0</v>
      </c>
      <c r="AW88" s="164">
        <f t="shared" si="63"/>
        <v>0</v>
      </c>
      <c r="AX88" s="164">
        <f t="shared" si="63"/>
        <v>0</v>
      </c>
      <c r="AY88" s="166">
        <f t="shared" si="48"/>
        <v>0</v>
      </c>
      <c r="BA88" s="152">
        <f t="shared" si="49"/>
        <v>0</v>
      </c>
      <c r="BB88" s="164">
        <f t="shared" si="64"/>
        <v>0</v>
      </c>
      <c r="BC88" s="164">
        <f t="shared" si="64"/>
        <v>0</v>
      </c>
      <c r="BD88" s="166">
        <f t="shared" si="50"/>
        <v>0</v>
      </c>
      <c r="BF88" s="152">
        <f t="shared" si="51"/>
        <v>0</v>
      </c>
      <c r="BG88" s="164">
        <f t="shared" si="52"/>
        <v>0</v>
      </c>
      <c r="BH88" s="164">
        <f t="shared" ref="BH88:BH135" si="68">IF($O88=BJ$2,IF($Q88=$AA$2,2*$P88)) + IF($R88=BJ$2,IF($T88=$AA$2,2*$S88)) + IF($U88=BJ$2,IF($W88=$AA$2,2*$V88))</f>
        <v>0</v>
      </c>
      <c r="BI88" s="166">
        <f t="shared" si="53"/>
        <v>0</v>
      </c>
      <c r="BK88" s="152">
        <f t="shared" si="54"/>
        <v>0</v>
      </c>
      <c r="BL88" s="164">
        <f t="shared" si="65"/>
        <v>0</v>
      </c>
      <c r="BM88" s="164">
        <f t="shared" si="65"/>
        <v>0</v>
      </c>
      <c r="BN88" s="166">
        <f t="shared" si="55"/>
        <v>0</v>
      </c>
      <c r="BP88" s="152">
        <f t="shared" si="56"/>
        <v>0</v>
      </c>
      <c r="BQ88" s="164">
        <f t="shared" si="66"/>
        <v>0</v>
      </c>
      <c r="BR88" s="164">
        <f t="shared" si="66"/>
        <v>0</v>
      </c>
      <c r="BS88" s="166">
        <f t="shared" si="57"/>
        <v>0</v>
      </c>
      <c r="BU88" s="152">
        <f>IF($O88=BU$2,IF($Q88=$AD$2,$P88)) + IF($R88=BU$2,IF($T88=$AD$2,$S88)) + IF($U88=BU$2,IF($W88=$AD$2,$V88))</f>
        <v>0</v>
      </c>
      <c r="BV88" s="164">
        <f>IF($O88=BV$2,IF($Q88=$AD$2,2*$P88)) + IF($R88=BV$2,IF($T88=$AD$2,2*$S88)) + IF($U88=BV$2,IF($W88=$AD$2,2*$V88))</f>
        <v>0</v>
      </c>
      <c r="BW88" s="164">
        <f>IF($O88=BW$2,IF($Q88=$AD$2,2*$P88)) + IF($R88=BW$2,IF($T88=$AD$2,2*$S88)) + IF($U88=BW$2,IF($W88=$AD$2,2*$V88))</f>
        <v>0</v>
      </c>
      <c r="BX88" s="166">
        <f>IF($O88=BX$2,IF($Q88=$AD$2,12*$P88)) + IF($R88=BX$2,IF($T88=$AD$2,12*$S88)) + IF($U88=BX$2,IF($W88=$AD$2,12*$V88))</f>
        <v>0</v>
      </c>
      <c r="BZ88" s="152">
        <f>IF($O88=BZ$2,IF($Q88=Armory,$P88)) + IF($R88=BZ$2,IF($T88=Armory,$S88)) + IF($U88=BZ$2,IF($W88=Armory,$V88))</f>
        <v>0</v>
      </c>
      <c r="CA88" s="164">
        <f>IF($O88=CA$2,IF($Q88=Armory,2*$P88)) + IF($R88=CA$2,IF($T88=Armory,2*$S88)) + IF($U88=CA$2,IF($W88=Armory,2*$V88))</f>
        <v>0</v>
      </c>
      <c r="CB88" s="164">
        <f>IF($O88=CB$2,IF($Q88=Armory,2*$P88)) + IF($R88=CB$2,IF($T88=Armory,2*$S88)) + IF($U88=CB$2,IF($W88=Armory,2*$V88))</f>
        <v>0</v>
      </c>
      <c r="CC88" s="166">
        <f>IF($O88=CC$2,IF($Q88=Armory,12*$P88)) + IF($R88=CC$2,IF($T88=Armory,12*$S88)) + IF($U88=CC$2,IF($W88=Armory,12*$V88))</f>
        <v>0</v>
      </c>
      <c r="CE88" s="152">
        <f>IF($O88=CE$2,IF($Q88=Infirmary,$P88)) + IF($R88=CE$2,IF($T88=Infirmary,$S88)) + IF($U88=CE$2,IF($W88=Infirmary,$V88))</f>
        <v>0</v>
      </c>
      <c r="CF88" s="164">
        <f>IF($O88=CF$2,IF($Q88=Infirmary,2*$P88)) + IF($R88=CF$2,IF($T88=Infirmary,2*$S88)) + IF($U88=CF$2,IF($W88=Infirmary,2*$V88))</f>
        <v>0</v>
      </c>
      <c r="CG88" s="164">
        <f>IF($O88=CG$2,IF($Q88=Infirmary,2*$P88)) + IF($R88=CG$2,IF($T88=Infirmary,2*$S88)) + IF($U88=CG$2,IF($W88=Infirmary,2*$V88))</f>
        <v>0</v>
      </c>
      <c r="CH88" s="166">
        <f>IF($O88=CH$2,IF($Q88=Infirmary,12*$P88)) + IF($R88=CH$2,IF($T88=Infirmary,12*$S88)) + IF($U88=CH$2,IF($W88=Infirmary,12*$V88))</f>
        <v>0</v>
      </c>
      <c r="CJ88" s="156" t="e">
        <f>OR(Production!C88,Construction!N88:'Construction'!AF88,Construction!BV88:CN88,Explore!S88:Z88,Military!AF88:AL88,Military!X88,Military!BE88:BL88,Rezone!L88:R88,Magic!G88:Q88)</f>
        <v>#VALUE!</v>
      </c>
      <c r="CK88" s="546">
        <f>M88</f>
        <v>0</v>
      </c>
      <c r="CL88" s="546"/>
      <c r="CM88" s="552">
        <f t="shared" si="59"/>
        <v>43768.885416666461</v>
      </c>
      <c r="CN88" s="560">
        <f t="shared" si="60"/>
        <v>43768.718749999796</v>
      </c>
      <c r="CO88" s="627"/>
      <c r="CP88" s="805"/>
      <c r="CQ88" s="770"/>
      <c r="CR88" s="530"/>
    </row>
    <row r="89" spans="1:98" s="170" customFormat="1" x14ac:dyDescent="0.25">
      <c r="A89" s="508">
        <f>Construction!E89</f>
        <v>1000</v>
      </c>
      <c r="C89" s="152">
        <f ca="1">Production!H89</f>
        <v>4905725</v>
      </c>
      <c r="D89" s="164">
        <f ca="1">Production!J89</f>
        <v>294241</v>
      </c>
      <c r="E89" s="164">
        <f ca="1">Production!L89</f>
        <v>300000</v>
      </c>
      <c r="F89" s="166">
        <f ca="1">Production!M89</f>
        <v>20000</v>
      </c>
      <c r="G89" s="164"/>
      <c r="H89" s="152">
        <f ca="1">Military!Z89</f>
        <v>5295</v>
      </c>
      <c r="I89" s="538">
        <f ca="1">Population!I89</f>
        <v>1</v>
      </c>
      <c r="J89" s="165">
        <f ca="1">Population!F89/Population!U89</f>
        <v>1</v>
      </c>
      <c r="K89" s="1000">
        <f>Rezone!J89</f>
        <v>87</v>
      </c>
      <c r="L89" s="582">
        <f t="shared" si="58"/>
        <v>43768.895833333125</v>
      </c>
      <c r="M89" s="646">
        <f t="shared" si="67"/>
        <v>0</v>
      </c>
      <c r="N89" s="529">
        <f t="shared" si="46"/>
        <v>1000</v>
      </c>
      <c r="O89" s="406" t="s">
        <v>4</v>
      </c>
      <c r="P89" s="370"/>
      <c r="Q89" s="408" t="s">
        <v>223</v>
      </c>
      <c r="R89" s="423" t="s">
        <v>7</v>
      </c>
      <c r="S89" s="370"/>
      <c r="T89" s="408" t="s">
        <v>223</v>
      </c>
      <c r="U89" s="406" t="s">
        <v>3</v>
      </c>
      <c r="V89" s="407"/>
      <c r="W89" s="409" t="s">
        <v>223</v>
      </c>
      <c r="Y89" s="501">
        <f ca="1">science_cap*(1-EXP(-AH89/(science_param*($A90-Explore!$S90*20)+15000)))*(1+(mason_bonus*Construction!BB89/Construction!BS89))+IF(Overview!$B$14="Beastfolk",Construction!DA89/Construction!E89,0)*(1 + Production!O89/100*prestige_pop_multiplier)</f>
        <v>0</v>
      </c>
      <c r="Z89" s="454">
        <f ca="1">keep_cap*(1-EXP(-AI89/(keep_param*($A90-Explore!$S90*20)+15000)))*(1+(mason_bonus*Construction!BB89/Construction!BS89))+IF(Overview!$B$14="Beastfolk",Construction!DF89/Construction!E89,0)*(1 + Production!O89/100*prestige_pop_multiplier)</f>
        <v>0</v>
      </c>
      <c r="AA89" s="454">
        <f ca="1">harbor_towers_cap*(1-EXP(-AJ89/(harbor_towers_param*($A90-Explore!$S90*20)+15000)))*(1+(mason_bonus*Construction!BB89/Construction!BS89))+IF(Overview!$B$14="Beastfolk",2*Construction!DC89/Construction!E89,0)*(1 + Production!O89/100*prestige_pop_multiplier)</f>
        <v>0</v>
      </c>
      <c r="AB89" s="454">
        <f ca="1">walls_forges_cap*(1-EXP(-AK89/(walls_forges_param*($A90-Explore!$S90*20)+15000)))*(1+(mason_bonus*Construction!BB89/Construction!BS89))+IF(Overview!$B$14="Beastfolk",0.2*Construction!CY89/Construction!E89,0)</f>
        <v>0</v>
      </c>
      <c r="AC89" s="454">
        <f ca="1">walls_forges_cap*(1-EXP(-AL89/(walls_forges_param*($A90-Explore!$S90*20)+15000)))*(1+(mason_bonus*Construction!BB89/Construction!BS89))+IF(Overview!$B$14="Beastfolk",5*Construction!DB89/Construction!E89,0)</f>
        <v>0</v>
      </c>
      <c r="AD89" s="171">
        <f ca="1">harbor_towers_cap*(1-EXP(-AM89/(harbor_towers_param*($A90-Explore!$S90*20)+15000)))*(1+(mason_bonus*Construction!BB89/Construction!BS89))+IF(Overview!$B$14="Beastfolk",Construction!DE89/Construction!E89)*(1 + Production!O89/100*prestige_pop_multiplier)</f>
        <v>0</v>
      </c>
      <c r="AE89" s="171">
        <f ca="1">armory_cap*(1-EXP(-AN89/(armory_param*($A90-Explore!$S90*20)+15000)))*(1+(mason_bonus*Construction!$BB89/Construction!$BS89))</f>
        <v>0</v>
      </c>
      <c r="AF89" s="171">
        <f ca="1">infirmary_cap*(1-EXP(-AO89/(infirmary_param*($A90-Explore!$S90*20)+15000)))*(1+(mason_bonus*Construction!$BB89/Construction!$BS89))</f>
        <v>0</v>
      </c>
      <c r="AH89" s="56">
        <f ca="1">(1+Overview!$O$28+IF(Magic!BA89&gt;0,0.1,0))*SUM(AV89:AY89) + AH88</f>
        <v>0</v>
      </c>
      <c r="AI89" s="26">
        <f ca="1">(1+Overview!$O$28+IF(Magic!BA89&gt;0,0.1,0))*SUM(BA89:BD89) + AI88</f>
        <v>0</v>
      </c>
      <c r="AJ89" s="164">
        <f ca="1">(1+Overview!$O$28+IF(Magic!BA89&gt;0,0.1,0))*SUM(BF89:BI89) + AJ88</f>
        <v>0</v>
      </c>
      <c r="AK89" s="164">
        <f ca="1">(1+Overview!$O$28+IF(Magic!BA89&gt;0,0.1,0))*SUM(BK89:BN89) + AK88</f>
        <v>0</v>
      </c>
      <c r="AL89" s="164">
        <f ca="1">(1+Overview!$O$28+IF(Magic!BA89&gt;0,0.1,0))*SUM(BP89:BS89) + AL88</f>
        <v>0</v>
      </c>
      <c r="AM89" s="166">
        <f ca="1">(1+Overview!$O$28+IF(Magic!BA89&gt;0,0.1,0))*SUM(BU89:BX89) + AM88</f>
        <v>0</v>
      </c>
      <c r="AN89" s="166">
        <f ca="1">(1+Overview!$O$28+IF(Magic!BA89&gt;0,0.1,0))*SUM(BZ89:CC89)+AN88</f>
        <v>0</v>
      </c>
      <c r="AO89" s="164">
        <f ca="1">(1+Overview!$O$28+IF(Magic!BA89&gt;0,0.1,0))*SUM(CE89:CH89)+AO88</f>
        <v>0</v>
      </c>
      <c r="AQ89" s="156">
        <f t="shared" si="62"/>
        <v>0</v>
      </c>
      <c r="AR89" s="170">
        <f t="shared" si="62"/>
        <v>0</v>
      </c>
      <c r="AS89" s="170">
        <f t="shared" si="62"/>
        <v>0</v>
      </c>
      <c r="AT89" s="157">
        <f t="shared" si="62"/>
        <v>0</v>
      </c>
      <c r="AV89" s="152">
        <f t="shared" si="47"/>
        <v>0</v>
      </c>
      <c r="AW89" s="164">
        <f t="shared" si="63"/>
        <v>0</v>
      </c>
      <c r="AX89" s="164">
        <f t="shared" si="63"/>
        <v>0</v>
      </c>
      <c r="AY89" s="166">
        <f t="shared" si="48"/>
        <v>0</v>
      </c>
      <c r="BA89" s="152">
        <f t="shared" si="49"/>
        <v>0</v>
      </c>
      <c r="BB89" s="164">
        <f t="shared" si="64"/>
        <v>0</v>
      </c>
      <c r="BC89" s="164">
        <f t="shared" si="64"/>
        <v>0</v>
      </c>
      <c r="BD89" s="166">
        <f t="shared" si="50"/>
        <v>0</v>
      </c>
      <c r="BF89" s="152">
        <f t="shared" si="51"/>
        <v>0</v>
      </c>
      <c r="BG89" s="164">
        <f t="shared" si="52"/>
        <v>0</v>
      </c>
      <c r="BH89" s="164">
        <f t="shared" si="68"/>
        <v>0</v>
      </c>
      <c r="BI89" s="166">
        <f t="shared" si="53"/>
        <v>0</v>
      </c>
      <c r="BK89" s="152">
        <f t="shared" si="54"/>
        <v>0</v>
      </c>
      <c r="BL89" s="164">
        <f t="shared" si="65"/>
        <v>0</v>
      </c>
      <c r="BM89" s="164">
        <f t="shared" si="65"/>
        <v>0</v>
      </c>
      <c r="BN89" s="166">
        <f t="shared" si="55"/>
        <v>0</v>
      </c>
      <c r="BP89" s="152">
        <f t="shared" si="56"/>
        <v>0</v>
      </c>
      <c r="BQ89" s="164">
        <f t="shared" si="66"/>
        <v>0</v>
      </c>
      <c r="BR89" s="164">
        <f t="shared" si="66"/>
        <v>0</v>
      </c>
      <c r="BS89" s="166">
        <f t="shared" si="57"/>
        <v>0</v>
      </c>
      <c r="BU89" s="152">
        <f>IF($O89=BU$2,IF($Q89=$AD$2,$P89)) + IF($R89=BU$2,IF($T89=$AD$2,$S89)) + IF($U89=BU$2,IF($W89=$AD$2,$V89))</f>
        <v>0</v>
      </c>
      <c r="BV89" s="164">
        <f>IF($O89=BV$2,IF($Q89=$AD$2,2*$P89)) + IF($R89=BV$2,IF($T89=$AD$2,2*$S89)) + IF($U89=BV$2,IF($W89=$AD$2,2*$V89))</f>
        <v>0</v>
      </c>
      <c r="BW89" s="164">
        <f>IF($O89=BW$2,IF($Q89=$AD$2,2*$P89)) + IF($R89=BW$2,IF($T89=$AD$2,2*$S89)) + IF($U89=BW$2,IF($W89=$AD$2,2*$V89))</f>
        <v>0</v>
      </c>
      <c r="BX89" s="166">
        <f>IF($O89=BX$2,IF($Q89=$AD$2,12*$P89)) + IF($R89=BX$2,IF($T89=$AD$2,12*$S89)) + IF($U89=BX$2,IF($W89=$AD$2,12*$V89))</f>
        <v>0</v>
      </c>
      <c r="BZ89" s="152">
        <f>IF($O89=BZ$2,IF($Q89=Armory,$P89)) + IF($R89=BZ$2,IF($T89=Armory,$S89)) + IF($U89=BZ$2,IF($W89=Armory,$V89))</f>
        <v>0</v>
      </c>
      <c r="CA89" s="164">
        <f>IF($O89=CA$2,IF($Q89=Armory,2*$P89)) + IF($R89=CA$2,IF($T89=Armory,2*$S89)) + IF($U89=CA$2,IF($W89=Armory,2*$V89))</f>
        <v>0</v>
      </c>
      <c r="CB89" s="164">
        <f>IF($O89=CB$2,IF($Q89=Armory,2*$P89)) + IF($R89=CB$2,IF($T89=Armory,2*$S89)) + IF($U89=CB$2,IF($W89=Armory,2*$V89))</f>
        <v>0</v>
      </c>
      <c r="CC89" s="166">
        <f>IF($O89=CC$2,IF($Q89=Armory,12*$P89)) + IF($R89=CC$2,IF($T89=Armory,12*$S89)) + IF($U89=CC$2,IF($W89=Armory,12*$V89))</f>
        <v>0</v>
      </c>
      <c r="CE89" s="152">
        <f>IF($O89=CE$2,IF($Q89=Infirmary,$P89)) + IF($R89=CE$2,IF($T89=Infirmary,$S89)) + IF($U89=CE$2,IF($W89=Infirmary,$V89))</f>
        <v>0</v>
      </c>
      <c r="CF89" s="164">
        <f>IF($O89=CF$2,IF($Q89=Infirmary,2*$P89)) + IF($R89=CF$2,IF($T89=Infirmary,2*$S89)) + IF($U89=CF$2,IF($W89=Infirmary,2*$V89))</f>
        <v>0</v>
      </c>
      <c r="CG89" s="164">
        <f>IF($O89=CG$2,IF($Q89=Infirmary,2*$P89)) + IF($R89=CG$2,IF($T89=Infirmary,2*$S89)) + IF($U89=CG$2,IF($W89=Infirmary,2*$V89))</f>
        <v>0</v>
      </c>
      <c r="CH89" s="166">
        <f>IF($O89=CH$2,IF($Q89=Infirmary,12*$P89)) + IF($R89=CH$2,IF($T89=Infirmary,12*$S89)) + IF($U89=CH$2,IF($W89=Infirmary,12*$V89))</f>
        <v>0</v>
      </c>
      <c r="CJ89" s="156" t="e">
        <f>OR(Production!C89,Construction!N89:'Construction'!AF89,Construction!BV89:CN89,Explore!S89:Z89,Military!AF89:AL89,Military!X89,Military!BE89:BL89,Rezone!L89:R89,Magic!G89:Q89)</f>
        <v>#VALUE!</v>
      </c>
      <c r="CK89" s="546">
        <f>M89</f>
        <v>0</v>
      </c>
      <c r="CL89" s="546"/>
      <c r="CM89" s="552">
        <f t="shared" si="59"/>
        <v>43768.895833333125</v>
      </c>
      <c r="CN89" s="560">
        <f t="shared" si="60"/>
        <v>43768.729166666461</v>
      </c>
      <c r="CO89" s="802"/>
      <c r="CP89" s="803"/>
      <c r="CQ89" s="770"/>
      <c r="CT89" s="670"/>
    </row>
    <row r="90" spans="1:98" s="16" customFormat="1" x14ac:dyDescent="0.25">
      <c r="A90" s="511">
        <f>Construction!E90</f>
        <v>1000</v>
      </c>
      <c r="C90" s="56">
        <f ca="1">Production!H90</f>
        <v>4910706</v>
      </c>
      <c r="D90" s="26">
        <f ca="1">Production!J90</f>
        <v>293799</v>
      </c>
      <c r="E90" s="26">
        <f ca="1">Production!L90</f>
        <v>300000</v>
      </c>
      <c r="F90" s="57">
        <f ca="1">Production!M90</f>
        <v>20000</v>
      </c>
      <c r="G90" s="26"/>
      <c r="H90" s="56">
        <f ca="1">Military!Z90</f>
        <v>5295</v>
      </c>
      <c r="I90" s="538">
        <f ca="1">Population!I90</f>
        <v>1</v>
      </c>
      <c r="J90" s="165">
        <f ca="1">Population!F90/Population!U90</f>
        <v>1</v>
      </c>
      <c r="K90" s="1000">
        <f>Rezone!J90</f>
        <v>88</v>
      </c>
      <c r="L90" s="582">
        <f t="shared" si="58"/>
        <v>43768.906249999789</v>
      </c>
      <c r="M90" s="316">
        <f t="shared" si="67"/>
        <v>0</v>
      </c>
      <c r="N90" s="638">
        <f t="shared" si="46"/>
        <v>1000</v>
      </c>
      <c r="O90" s="423" t="s">
        <v>4</v>
      </c>
      <c r="P90" s="370"/>
      <c r="Q90" s="424" t="s">
        <v>223</v>
      </c>
      <c r="R90" s="423" t="s">
        <v>7</v>
      </c>
      <c r="S90" s="370"/>
      <c r="T90" s="424" t="s">
        <v>223</v>
      </c>
      <c r="U90" s="406" t="s">
        <v>3</v>
      </c>
      <c r="V90" s="407"/>
      <c r="W90" s="409" t="s">
        <v>223</v>
      </c>
      <c r="Y90" s="501">
        <f ca="1">science_cap*(1-EXP(-AH90/(science_param*($A91-Explore!$S91*20)+15000)))*(1+(mason_bonus*Construction!BB90/Construction!BS90))+IF(Overview!$B$14="Beastfolk",Construction!DA90/Construction!E90,0)*(1 + Production!O90/100*prestige_pop_multiplier)</f>
        <v>0</v>
      </c>
      <c r="Z90" s="454">
        <f ca="1">keep_cap*(1-EXP(-AI90/(keep_param*($A91-Explore!$S91*20)+15000)))*(1+(mason_bonus*Construction!BB90/Construction!BS90))+IF(Overview!$B$14="Beastfolk",Construction!DF90/Construction!E90,0)*(1 + Production!O90/100*prestige_pop_multiplier)</f>
        <v>0</v>
      </c>
      <c r="AA90" s="454">
        <f ca="1">harbor_towers_cap*(1-EXP(-AJ90/(harbor_towers_param*($A91-Explore!$S91*20)+15000)))*(1+(mason_bonus*Construction!BB90/Construction!BS90))+IF(Overview!$B$14="Beastfolk",2*Construction!DC90/Construction!E90,0)*(1 + Production!O90/100*prestige_pop_multiplier)</f>
        <v>0</v>
      </c>
      <c r="AB90" s="454">
        <f ca="1">walls_forges_cap*(1-EXP(-AK90/(walls_forges_param*($A91-Explore!$S91*20)+15000)))*(1+(mason_bonus*Construction!BB90/Construction!BS90))+IF(Overview!$B$14="Beastfolk",0.2*Construction!CY90/Construction!E90,0)</f>
        <v>0</v>
      </c>
      <c r="AC90" s="454">
        <f ca="1">walls_forges_cap*(1-EXP(-AL90/(walls_forges_param*($A91-Explore!$S91*20)+15000)))*(1+(mason_bonus*Construction!BB90/Construction!BS90))+IF(Overview!$B$14="Beastfolk",5*Construction!DB90/Construction!E90,0)</f>
        <v>0</v>
      </c>
      <c r="AD90" s="171">
        <f ca="1">harbor_towers_cap*(1-EXP(-AM90/(harbor_towers_param*($A91-Explore!$S91*20)+15000)))*(1+(mason_bonus*Construction!BB90/Construction!BS90))+IF(Overview!$B$14="Beastfolk",Construction!DE90/Construction!E90)*(1 + Production!O90/100*prestige_pop_multiplier)</f>
        <v>0</v>
      </c>
      <c r="AE90" s="171">
        <f ca="1">armory_cap*(1-EXP(-AN90/(armory_param*($A91-Explore!$S91*20)+15000)))*(1+(mason_bonus*Construction!$BB90/Construction!$BS90))</f>
        <v>0</v>
      </c>
      <c r="AF90" s="171">
        <f ca="1">infirmary_cap*(1-EXP(-AO90/(infirmary_param*($A91-Explore!$S91*20)+15000)))*(1+(mason_bonus*Construction!$BB90/Construction!$BS90))</f>
        <v>0</v>
      </c>
      <c r="AH90" s="56">
        <f ca="1">(1+Overview!$O$28+IF(Magic!BA90&gt;0,0.1,0))*SUM(AV90:AY90) + AH89</f>
        <v>0</v>
      </c>
      <c r="AI90" s="26">
        <f ca="1">(1+Overview!$O$28+IF(Magic!BA90&gt;0,0.1,0))*SUM(BA90:BD90) + AI89</f>
        <v>0</v>
      </c>
      <c r="AJ90" s="164">
        <f ca="1">(1+Overview!$O$28+IF(Magic!BA90&gt;0,0.1,0))*SUM(BF90:BI90) + AJ89</f>
        <v>0</v>
      </c>
      <c r="AK90" s="164">
        <f ca="1">(1+Overview!$O$28+IF(Magic!BA90&gt;0,0.1,0))*SUM(BK90:BN90) + AK89</f>
        <v>0</v>
      </c>
      <c r="AL90" s="164">
        <f ca="1">(1+Overview!$O$28+IF(Magic!BA90&gt;0,0.1,0))*SUM(BP90:BS90) + AL89</f>
        <v>0</v>
      </c>
      <c r="AM90" s="166">
        <f ca="1">(1+Overview!$O$28+IF(Magic!BA90&gt;0,0.1,0))*SUM(BU90:BX90) + AM89</f>
        <v>0</v>
      </c>
      <c r="AN90" s="166">
        <f ca="1">(1+Overview!$O$28+IF(Magic!BA90&gt;0,0.1,0))*SUM(BZ90:CC90)+AN89</f>
        <v>0</v>
      </c>
      <c r="AO90" s="164">
        <f ca="1">(1+Overview!$O$28+IF(Magic!BA90&gt;0,0.1,0))*SUM(CE90:CH90)+AO89</f>
        <v>0</v>
      </c>
      <c r="AQ90" s="52">
        <f t="shared" si="62"/>
        <v>0</v>
      </c>
      <c r="AR90" s="16">
        <f t="shared" si="62"/>
        <v>0</v>
      </c>
      <c r="AS90" s="16">
        <f t="shared" si="62"/>
        <v>0</v>
      </c>
      <c r="AT90" s="53">
        <f t="shared" si="62"/>
        <v>0</v>
      </c>
      <c r="AV90" s="56">
        <f t="shared" si="47"/>
        <v>0</v>
      </c>
      <c r="AW90" s="26">
        <f t="shared" si="63"/>
        <v>0</v>
      </c>
      <c r="AX90" s="26">
        <f t="shared" si="63"/>
        <v>0</v>
      </c>
      <c r="AY90" s="57">
        <f t="shared" si="48"/>
        <v>0</v>
      </c>
      <c r="BA90" s="56">
        <f t="shared" si="49"/>
        <v>0</v>
      </c>
      <c r="BB90" s="26">
        <f t="shared" si="64"/>
        <v>0</v>
      </c>
      <c r="BC90" s="26">
        <f t="shared" si="64"/>
        <v>0</v>
      </c>
      <c r="BD90" s="57">
        <f t="shared" si="50"/>
        <v>0</v>
      </c>
      <c r="BF90" s="56">
        <f t="shared" si="51"/>
        <v>0</v>
      </c>
      <c r="BG90" s="26">
        <f t="shared" si="52"/>
        <v>0</v>
      </c>
      <c r="BH90" s="26">
        <f t="shared" si="68"/>
        <v>0</v>
      </c>
      <c r="BI90" s="57">
        <f t="shared" si="53"/>
        <v>0</v>
      </c>
      <c r="BK90" s="56">
        <f t="shared" si="54"/>
        <v>0</v>
      </c>
      <c r="BL90" s="26">
        <f t="shared" si="65"/>
        <v>0</v>
      </c>
      <c r="BM90" s="26">
        <f t="shared" si="65"/>
        <v>0</v>
      </c>
      <c r="BN90" s="57">
        <f t="shared" si="55"/>
        <v>0</v>
      </c>
      <c r="BP90" s="56">
        <f t="shared" si="56"/>
        <v>0</v>
      </c>
      <c r="BQ90" s="26">
        <f t="shared" si="66"/>
        <v>0</v>
      </c>
      <c r="BR90" s="26">
        <f t="shared" si="66"/>
        <v>0</v>
      </c>
      <c r="BS90" s="57">
        <f t="shared" si="57"/>
        <v>0</v>
      </c>
      <c r="BU90" s="56">
        <f>IF($O90=BU$2,IF($Q90=$AD$2,$P90)) + IF($R90=BU$2,IF($T90=$AD$2,$S90)) + IF($U90=BU$2,IF($W90=$AD$2,$V90))</f>
        <v>0</v>
      </c>
      <c r="BV90" s="26">
        <f>IF($O90=BV$2,IF($Q90=$AD$2,2*$P90)) + IF($R90=BV$2,IF($T90=$AD$2,2*$S90)) + IF($U90=BV$2,IF($W90=$AD$2,2*$V90))</f>
        <v>0</v>
      </c>
      <c r="BW90" s="26">
        <f>IF($O90=BW$2,IF($Q90=$AD$2,2*$P90)) + IF($R90=BW$2,IF($T90=$AD$2,2*$S90)) + IF($U90=BW$2,IF($W90=$AD$2,2*$V90))</f>
        <v>0</v>
      </c>
      <c r="BX90" s="57">
        <f>IF($O90=BX$2,IF($Q90=$AD$2,12*$P90)) + IF($R90=BX$2,IF($T90=$AD$2,12*$S90)) + IF($U90=BX$2,IF($W90=$AD$2,12*$V90))</f>
        <v>0</v>
      </c>
      <c r="BZ90" s="56">
        <f>IF($O90=BZ$2,IF($Q90=Armory,$P90)) + IF($R90=BZ$2,IF($T90=Armory,$S90)) + IF($U90=BZ$2,IF($W90=Armory,$V90))</f>
        <v>0</v>
      </c>
      <c r="CA90" s="26">
        <f>IF($O90=CA$2,IF($Q90=Armory,2*$P90)) + IF($R90=CA$2,IF($T90=Armory,2*$S90)) + IF($U90=CA$2,IF($W90=Armory,2*$V90))</f>
        <v>0</v>
      </c>
      <c r="CB90" s="26">
        <f>IF($O90=CB$2,IF($Q90=Armory,2*$P90)) + IF($R90=CB$2,IF($T90=Armory,2*$S90)) + IF($U90=CB$2,IF($W90=Armory,2*$V90))</f>
        <v>0</v>
      </c>
      <c r="CC90" s="57">
        <f>IF($O90=CC$2,IF($Q90=Armory,12*$P90)) + IF($R90=CC$2,IF($T90=Armory,12*$S90)) + IF($U90=CC$2,IF($W90=Armory,12*$V90))</f>
        <v>0</v>
      </c>
      <c r="CE90" s="56">
        <f>IF($O90=CE$2,IF($Q90=Infirmary,$P90)) + IF($R90=CE$2,IF($T90=Infirmary,$S90)) + IF($U90=CE$2,IF($W90=Infirmary,$V90))</f>
        <v>0</v>
      </c>
      <c r="CF90" s="26">
        <f>IF($O90=CF$2,IF($Q90=Infirmary,2*$P90)) + IF($R90=CF$2,IF($T90=Infirmary,2*$S90)) + IF($U90=CF$2,IF($W90=Infirmary,2*$V90))</f>
        <v>0</v>
      </c>
      <c r="CG90" s="26">
        <f>IF($O90=CG$2,IF($Q90=Infirmary,2*$P90)) + IF($R90=CG$2,IF($T90=Infirmary,2*$S90)) + IF($U90=CG$2,IF($W90=Infirmary,2*$V90))</f>
        <v>0</v>
      </c>
      <c r="CH90" s="57">
        <f>IF($O90=CH$2,IF($Q90=Infirmary,12*$P90)) + IF($R90=CH$2,IF($T90=Infirmary,12*$S90)) + IF($U90=CH$2,IF($W90=Infirmary,12*$V90))</f>
        <v>0</v>
      </c>
      <c r="CJ90" s="52" t="e">
        <f>OR(Production!C90,Construction!N90:'Construction'!AF90,Construction!BV90:CN90,Explore!S90:Z90,Military!AF90:AL90,Military!X90,Military!BE90:BL90,Rezone!L90:R90,Magic!G90:Q90)</f>
        <v>#VALUE!</v>
      </c>
      <c r="CK90" s="525">
        <f>M90</f>
        <v>0</v>
      </c>
      <c r="CL90" s="525"/>
      <c r="CM90" s="555">
        <f t="shared" si="59"/>
        <v>43768.906249999789</v>
      </c>
      <c r="CN90" s="563">
        <f t="shared" si="60"/>
        <v>43768.739583333125</v>
      </c>
      <c r="CO90" s="527"/>
      <c r="CP90" s="803"/>
      <c r="CQ90" s="808"/>
      <c r="CR90" s="170"/>
      <c r="CT90" s="671"/>
    </row>
    <row r="91" spans="1:98" s="16" customFormat="1" x14ac:dyDescent="0.25">
      <c r="A91" s="511">
        <f>Construction!E91</f>
        <v>1000</v>
      </c>
      <c r="C91" s="56">
        <f ca="1">Production!H91</f>
        <v>4915687</v>
      </c>
      <c r="D91" s="26">
        <f ca="1">Production!J91</f>
        <v>293361</v>
      </c>
      <c r="E91" s="26">
        <f ca="1">Production!L91</f>
        <v>300000</v>
      </c>
      <c r="F91" s="57">
        <f ca="1">Production!M91</f>
        <v>20000</v>
      </c>
      <c r="G91" s="26"/>
      <c r="H91" s="56">
        <f ca="1">Military!Z91</f>
        <v>5295</v>
      </c>
      <c r="I91" s="538">
        <f ca="1">Population!I91</f>
        <v>1</v>
      </c>
      <c r="J91" s="165">
        <f ca="1">Population!F91/Population!U91</f>
        <v>1</v>
      </c>
      <c r="K91" s="1000">
        <f>Rezone!J91</f>
        <v>89</v>
      </c>
      <c r="L91" s="582">
        <f t="shared" si="58"/>
        <v>43768.916666666453</v>
      </c>
      <c r="M91" s="316">
        <f t="shared" si="67"/>
        <v>0</v>
      </c>
      <c r="N91" s="638">
        <f t="shared" si="46"/>
        <v>1000</v>
      </c>
      <c r="O91" s="423" t="s">
        <v>4</v>
      </c>
      <c r="P91" s="370"/>
      <c r="Q91" s="424" t="s">
        <v>223</v>
      </c>
      <c r="R91" s="406" t="s">
        <v>7</v>
      </c>
      <c r="S91" s="370"/>
      <c r="T91" s="424" t="s">
        <v>223</v>
      </c>
      <c r="U91" s="406" t="s">
        <v>3</v>
      </c>
      <c r="V91" s="407"/>
      <c r="W91" s="409" t="s">
        <v>223</v>
      </c>
      <c r="Y91" s="501">
        <f ca="1">science_cap*(1-EXP(-AH91/(science_param*($A92-Explore!$S92*20)+15000)))*(1+(mason_bonus*Construction!BB91/Construction!BS91))+IF(Overview!$B$14="Beastfolk",Construction!DA91/Construction!E91,0)*(1 + Production!O91/100*prestige_pop_multiplier)</f>
        <v>0</v>
      </c>
      <c r="Z91" s="454">
        <f ca="1">keep_cap*(1-EXP(-AI91/(keep_param*($A92-Explore!$S92*20)+15000)))*(1+(mason_bonus*Construction!BB91/Construction!BS91))+IF(Overview!$B$14="Beastfolk",Construction!DF91/Construction!E91,0)*(1 + Production!O91/100*prestige_pop_multiplier)</f>
        <v>0</v>
      </c>
      <c r="AA91" s="454">
        <f ca="1">harbor_towers_cap*(1-EXP(-AJ91/(harbor_towers_param*($A92-Explore!$S92*20)+15000)))*(1+(mason_bonus*Construction!BB91/Construction!BS91))+IF(Overview!$B$14="Beastfolk",2*Construction!DC91/Construction!E91,0)*(1 + Production!O91/100*prestige_pop_multiplier)</f>
        <v>0</v>
      </c>
      <c r="AB91" s="454">
        <f ca="1">walls_forges_cap*(1-EXP(-AK91/(walls_forges_param*($A92-Explore!$S92*20)+15000)))*(1+(mason_bonus*Construction!BB91/Construction!BS91))+IF(Overview!$B$14="Beastfolk",0.2*Construction!CY91/Construction!E91,0)</f>
        <v>0</v>
      </c>
      <c r="AC91" s="454">
        <f ca="1">walls_forges_cap*(1-EXP(-AL91/(walls_forges_param*($A92-Explore!$S92*20)+15000)))*(1+(mason_bonus*Construction!BB91/Construction!BS91))+IF(Overview!$B$14="Beastfolk",5*Construction!DB91/Construction!E91,0)</f>
        <v>0</v>
      </c>
      <c r="AD91" s="171">
        <f ca="1">harbor_towers_cap*(1-EXP(-AM91/(harbor_towers_param*($A92-Explore!$S92*20)+15000)))*(1+(mason_bonus*Construction!BB91/Construction!BS91))+IF(Overview!$B$14="Beastfolk",Construction!DE91/Construction!E91)*(1 + Production!O91/100*prestige_pop_multiplier)</f>
        <v>0</v>
      </c>
      <c r="AE91" s="171">
        <f ca="1">armory_cap*(1-EXP(-AN91/(armory_param*($A92-Explore!$S92*20)+15000)))*(1+(mason_bonus*Construction!$BB91/Construction!$BS91))</f>
        <v>0</v>
      </c>
      <c r="AF91" s="171">
        <f ca="1">infirmary_cap*(1-EXP(-AO91/(infirmary_param*($A92-Explore!$S92*20)+15000)))*(1+(mason_bonus*Construction!$BB91/Construction!$BS91))</f>
        <v>0</v>
      </c>
      <c r="AH91" s="56">
        <f ca="1">(1+Overview!$O$28+IF(Magic!BA91&gt;0,0.1,0))*SUM(AV91:AY91) + AH90</f>
        <v>0</v>
      </c>
      <c r="AI91" s="26">
        <f ca="1">(1+Overview!$O$28+IF(Magic!BA91&gt;0,0.1,0))*SUM(BA91:BD91) + AI90</f>
        <v>0</v>
      </c>
      <c r="AJ91" s="164">
        <f ca="1">(1+Overview!$O$28+IF(Magic!BA91&gt;0,0.1,0))*SUM(BF91:BI91) + AJ90</f>
        <v>0</v>
      </c>
      <c r="AK91" s="164">
        <f ca="1">(1+Overview!$O$28+IF(Magic!BA91&gt;0,0.1,0))*SUM(BK91:BN91) + AK90</f>
        <v>0</v>
      </c>
      <c r="AL91" s="164">
        <f ca="1">(1+Overview!$O$28+IF(Magic!BA91&gt;0,0.1,0))*SUM(BP91:BS91) + AL90</f>
        <v>0</v>
      </c>
      <c r="AM91" s="166">
        <f ca="1">(1+Overview!$O$28+IF(Magic!BA91&gt;0,0.1,0))*SUM(BU91:BX91) + AM90</f>
        <v>0</v>
      </c>
      <c r="AN91" s="166">
        <f ca="1">(1+Overview!$O$28+IF(Magic!BA91&gt;0,0.1,0))*SUM(BZ91:CC91)+AN90</f>
        <v>0</v>
      </c>
      <c r="AO91" s="164">
        <f ca="1">(1+Overview!$O$28+IF(Magic!BA91&gt;0,0.1,0))*SUM(CE91:CH91)+AO90</f>
        <v>0</v>
      </c>
      <c r="AQ91" s="52">
        <f t="shared" si="62"/>
        <v>0</v>
      </c>
      <c r="AR91" s="16">
        <f t="shared" si="62"/>
        <v>0</v>
      </c>
      <c r="AS91" s="16">
        <f t="shared" si="62"/>
        <v>0</v>
      </c>
      <c r="AT91" s="53">
        <f t="shared" si="62"/>
        <v>0</v>
      </c>
      <c r="AV91" s="56">
        <f t="shared" si="47"/>
        <v>0</v>
      </c>
      <c r="AW91" s="26">
        <f t="shared" si="63"/>
        <v>0</v>
      </c>
      <c r="AX91" s="26">
        <f t="shared" si="63"/>
        <v>0</v>
      </c>
      <c r="AY91" s="57">
        <f t="shared" si="48"/>
        <v>0</v>
      </c>
      <c r="BA91" s="56">
        <f t="shared" si="49"/>
        <v>0</v>
      </c>
      <c r="BB91" s="26">
        <f t="shared" si="64"/>
        <v>0</v>
      </c>
      <c r="BC91" s="26">
        <f t="shared" si="64"/>
        <v>0</v>
      </c>
      <c r="BD91" s="57">
        <f t="shared" si="50"/>
        <v>0</v>
      </c>
      <c r="BF91" s="56">
        <f t="shared" si="51"/>
        <v>0</v>
      </c>
      <c r="BG91" s="26">
        <f t="shared" si="52"/>
        <v>0</v>
      </c>
      <c r="BH91" s="26">
        <f t="shared" si="68"/>
        <v>0</v>
      </c>
      <c r="BI91" s="57">
        <f t="shared" si="53"/>
        <v>0</v>
      </c>
      <c r="BK91" s="56">
        <f t="shared" si="54"/>
        <v>0</v>
      </c>
      <c r="BL91" s="26">
        <f t="shared" si="65"/>
        <v>0</v>
      </c>
      <c r="BM91" s="26">
        <f t="shared" si="65"/>
        <v>0</v>
      </c>
      <c r="BN91" s="57">
        <f t="shared" si="55"/>
        <v>0</v>
      </c>
      <c r="BP91" s="56">
        <f t="shared" si="56"/>
        <v>0</v>
      </c>
      <c r="BQ91" s="26">
        <f t="shared" si="66"/>
        <v>0</v>
      </c>
      <c r="BR91" s="26">
        <f t="shared" si="66"/>
        <v>0</v>
      </c>
      <c r="BS91" s="57">
        <f t="shared" si="57"/>
        <v>0</v>
      </c>
      <c r="BU91" s="56">
        <f>IF($O91=BU$2,IF($Q91=$AD$2,$P91)) + IF($R91=BU$2,IF($T91=$AD$2,$S91)) + IF($U91=BU$2,IF($W91=$AD$2,$V91))</f>
        <v>0</v>
      </c>
      <c r="BV91" s="26">
        <f>IF($O91=BV$2,IF($Q91=$AD$2,2*$P91)) + IF($R91=BV$2,IF($T91=$AD$2,2*$S91)) + IF($U91=BV$2,IF($W91=$AD$2,2*$V91))</f>
        <v>0</v>
      </c>
      <c r="BW91" s="26">
        <f>IF($O91=BW$2,IF($Q91=$AD$2,2*$P91)) + IF($R91=BW$2,IF($T91=$AD$2,2*$S91)) + IF($U91=BW$2,IF($W91=$AD$2,2*$V91))</f>
        <v>0</v>
      </c>
      <c r="BX91" s="57">
        <f>IF($O91=BX$2,IF($Q91=$AD$2,12*$P91)) + IF($R91=BX$2,IF($T91=$AD$2,12*$S91)) + IF($U91=BX$2,IF($W91=$AD$2,12*$V91))</f>
        <v>0</v>
      </c>
      <c r="BZ91" s="56">
        <f>IF($O91=BZ$2,IF($Q91=Armory,$P91)) + IF($R91=BZ$2,IF($T91=Armory,$S91)) + IF($U91=BZ$2,IF($W91=Armory,$V91))</f>
        <v>0</v>
      </c>
      <c r="CA91" s="26">
        <f>IF($O91=CA$2,IF($Q91=Armory,2*$P91)) + IF($R91=CA$2,IF($T91=Armory,2*$S91)) + IF($U91=CA$2,IF($W91=Armory,2*$V91))</f>
        <v>0</v>
      </c>
      <c r="CB91" s="26">
        <f>IF($O91=CB$2,IF($Q91=Armory,2*$P91)) + IF($R91=CB$2,IF($T91=Armory,2*$S91)) + IF($U91=CB$2,IF($W91=Armory,2*$V91))</f>
        <v>0</v>
      </c>
      <c r="CC91" s="57">
        <f>IF($O91=CC$2,IF($Q91=Armory,12*$P91)) + IF($R91=CC$2,IF($T91=Armory,12*$S91)) + IF($U91=CC$2,IF($W91=Armory,12*$V91))</f>
        <v>0</v>
      </c>
      <c r="CE91" s="56">
        <f>IF($O91=CE$2,IF($Q91=Infirmary,$P91)) + IF($R91=CE$2,IF($T91=Infirmary,$S91)) + IF($U91=CE$2,IF($W91=Infirmary,$V91))</f>
        <v>0</v>
      </c>
      <c r="CF91" s="26">
        <f>IF($O91=CF$2,IF($Q91=Infirmary,2*$P91)) + IF($R91=CF$2,IF($T91=Infirmary,2*$S91)) + IF($U91=CF$2,IF($W91=Infirmary,2*$V91))</f>
        <v>0</v>
      </c>
      <c r="CG91" s="26">
        <f>IF($O91=CG$2,IF($Q91=Infirmary,2*$P91)) + IF($R91=CG$2,IF($T91=Infirmary,2*$S91)) + IF($U91=CG$2,IF($W91=Infirmary,2*$V91))</f>
        <v>0</v>
      </c>
      <c r="CH91" s="57">
        <f>IF($O91=CH$2,IF($Q91=Infirmary,12*$P91)) + IF($R91=CH$2,IF($T91=Infirmary,12*$S91)) + IF($U91=CH$2,IF($W91=Infirmary,12*$V91))</f>
        <v>0</v>
      </c>
      <c r="CJ91" s="52" t="e">
        <f>OR(Production!C91,Construction!N91:'Construction'!AF91,Construction!BV91:CN91,Explore!S91:Z91,Military!AF91:AL91,Military!X91,Military!BE91:BL91,Rezone!L91:R91,Magic!G91:Q91)</f>
        <v>#VALUE!</v>
      </c>
      <c r="CK91" s="525">
        <f>M91</f>
        <v>0</v>
      </c>
      <c r="CL91" s="525"/>
      <c r="CM91" s="555">
        <f t="shared" si="59"/>
        <v>43768.916666666453</v>
      </c>
      <c r="CN91" s="563">
        <f t="shared" si="60"/>
        <v>43768.749999999789</v>
      </c>
      <c r="CO91" s="527"/>
      <c r="CP91" s="803"/>
      <c r="CQ91" s="808"/>
      <c r="CR91" s="170"/>
      <c r="CT91" s="672"/>
    </row>
    <row r="92" spans="1:98" s="16" customFormat="1" x14ac:dyDescent="0.25">
      <c r="A92" s="511">
        <f>Construction!E92</f>
        <v>1000</v>
      </c>
      <c r="C92" s="56">
        <f ca="1">Production!H92</f>
        <v>4920668</v>
      </c>
      <c r="D92" s="26">
        <f ca="1">Production!J92</f>
        <v>292927</v>
      </c>
      <c r="E92" s="26">
        <f ca="1">Production!L92</f>
        <v>300000</v>
      </c>
      <c r="F92" s="57">
        <f ca="1">Production!M92</f>
        <v>20000</v>
      </c>
      <c r="G92" s="26"/>
      <c r="H92" s="56">
        <f ca="1">Military!Z92</f>
        <v>5295</v>
      </c>
      <c r="I92" s="538">
        <f ca="1">Population!I92</f>
        <v>1</v>
      </c>
      <c r="J92" s="165">
        <f ca="1">Population!F92/Population!U92</f>
        <v>1</v>
      </c>
      <c r="K92" s="1000">
        <f>Rezone!J92</f>
        <v>90</v>
      </c>
      <c r="L92" s="582">
        <f t="shared" si="58"/>
        <v>43768.927083333117</v>
      </c>
      <c r="M92" s="316">
        <f t="shared" si="67"/>
        <v>0</v>
      </c>
      <c r="N92" s="638">
        <f t="shared" si="46"/>
        <v>1000</v>
      </c>
      <c r="O92" s="423" t="s">
        <v>4</v>
      </c>
      <c r="P92" s="370"/>
      <c r="Q92" s="424" t="s">
        <v>223</v>
      </c>
      <c r="R92" s="423" t="s">
        <v>7</v>
      </c>
      <c r="S92" s="370"/>
      <c r="T92" s="424" t="s">
        <v>223</v>
      </c>
      <c r="U92" s="406" t="s">
        <v>3</v>
      </c>
      <c r="V92" s="407"/>
      <c r="W92" s="409" t="s">
        <v>223</v>
      </c>
      <c r="Y92" s="501">
        <f ca="1">science_cap*(1-EXP(-AH92/(science_param*($A93-Explore!$S93*20)+15000)))*(1+(mason_bonus*Construction!BB92/Construction!BS92))+IF(Overview!$B$14="Beastfolk",Construction!DA92/Construction!E92,0)*(1 + Production!O92/100*prestige_pop_multiplier)</f>
        <v>0</v>
      </c>
      <c r="Z92" s="454">
        <f ca="1">keep_cap*(1-EXP(-AI92/(keep_param*($A93-Explore!$S93*20)+15000)))*(1+(mason_bonus*Construction!BB92/Construction!BS92))+IF(Overview!$B$14="Beastfolk",Construction!DF92/Construction!E92,0)*(1 + Production!O92/100*prestige_pop_multiplier)</f>
        <v>0</v>
      </c>
      <c r="AA92" s="454">
        <f ca="1">harbor_towers_cap*(1-EXP(-AJ92/(harbor_towers_param*($A93-Explore!$S93*20)+15000)))*(1+(mason_bonus*Construction!BB92/Construction!BS92))+IF(Overview!$B$14="Beastfolk",2*Construction!DC92/Construction!E92,0)*(1 + Production!O92/100*prestige_pop_multiplier)</f>
        <v>0</v>
      </c>
      <c r="AB92" s="454">
        <f ca="1">walls_forges_cap*(1-EXP(-AK92/(walls_forges_param*($A93-Explore!$S93*20)+15000)))*(1+(mason_bonus*Construction!BB92/Construction!BS92))+IF(Overview!$B$14="Beastfolk",0.2*Construction!CY92/Construction!E92,0)</f>
        <v>0</v>
      </c>
      <c r="AC92" s="454">
        <f ca="1">walls_forges_cap*(1-EXP(-AL92/(walls_forges_param*($A93-Explore!$S93*20)+15000)))*(1+(mason_bonus*Construction!BB92/Construction!BS92))+IF(Overview!$B$14="Beastfolk",5*Construction!DB92/Construction!E92,0)</f>
        <v>0</v>
      </c>
      <c r="AD92" s="171">
        <f ca="1">harbor_towers_cap*(1-EXP(-AM92/(harbor_towers_param*($A93-Explore!$S93*20)+15000)))*(1+(mason_bonus*Construction!BB92/Construction!BS92))+IF(Overview!$B$14="Beastfolk",Construction!DE92/Construction!E92)*(1 + Production!O92/100*prestige_pop_multiplier)</f>
        <v>0</v>
      </c>
      <c r="AE92" s="171">
        <f ca="1">armory_cap*(1-EXP(-AN92/(armory_param*($A93-Explore!$S93*20)+15000)))*(1+(mason_bonus*Construction!$BB92/Construction!$BS92))</f>
        <v>0</v>
      </c>
      <c r="AF92" s="171">
        <f ca="1">infirmary_cap*(1-EXP(-AO92/(infirmary_param*($A93-Explore!$S93*20)+15000)))*(1+(mason_bonus*Construction!$BB92/Construction!$BS92))</f>
        <v>0</v>
      </c>
      <c r="AH92" s="56">
        <f ca="1">(1+Overview!$O$28+IF(Magic!BA92&gt;0,0.1,0))*SUM(AV92:AY92) + AH91</f>
        <v>0</v>
      </c>
      <c r="AI92" s="26">
        <f ca="1">(1+Overview!$O$28+IF(Magic!BA92&gt;0,0.1,0))*SUM(BA92:BD92) + AI91</f>
        <v>0</v>
      </c>
      <c r="AJ92" s="164">
        <f ca="1">(1+Overview!$O$28+IF(Magic!BA92&gt;0,0.1,0))*SUM(BF92:BI92) + AJ91</f>
        <v>0</v>
      </c>
      <c r="AK92" s="164">
        <f ca="1">(1+Overview!$O$28+IF(Magic!BA92&gt;0,0.1,0))*SUM(BK92:BN92) + AK91</f>
        <v>0</v>
      </c>
      <c r="AL92" s="164">
        <f ca="1">(1+Overview!$O$28+IF(Magic!BA92&gt;0,0.1,0))*SUM(BP92:BS92) + AL91</f>
        <v>0</v>
      </c>
      <c r="AM92" s="166">
        <f ca="1">(1+Overview!$O$28+IF(Magic!BA92&gt;0,0.1,0))*SUM(BU92:BX92) + AM91</f>
        <v>0</v>
      </c>
      <c r="AN92" s="166">
        <f ca="1">(1+Overview!$O$28+IF(Magic!BA92&gt;0,0.1,0))*SUM(BZ92:CC92)+AN91</f>
        <v>0</v>
      </c>
      <c r="AO92" s="164">
        <f ca="1">(1+Overview!$O$28+IF(Magic!BA92&gt;0,0.1,0))*SUM(CE92:CH92)+AO91</f>
        <v>0</v>
      </c>
      <c r="AQ92" s="52">
        <f t="shared" si="62"/>
        <v>0</v>
      </c>
      <c r="AR92" s="16">
        <f t="shared" si="62"/>
        <v>0</v>
      </c>
      <c r="AS92" s="16">
        <f t="shared" si="62"/>
        <v>0</v>
      </c>
      <c r="AT92" s="53">
        <f t="shared" si="62"/>
        <v>0</v>
      </c>
      <c r="AV92" s="56">
        <f t="shared" si="47"/>
        <v>0</v>
      </c>
      <c r="AW92" s="26">
        <f t="shared" si="63"/>
        <v>0</v>
      </c>
      <c r="AX92" s="26">
        <f t="shared" si="63"/>
        <v>0</v>
      </c>
      <c r="AY92" s="57">
        <f t="shared" si="48"/>
        <v>0</v>
      </c>
      <c r="BA92" s="56">
        <f t="shared" si="49"/>
        <v>0</v>
      </c>
      <c r="BB92" s="26">
        <f t="shared" si="64"/>
        <v>0</v>
      </c>
      <c r="BC92" s="26">
        <f t="shared" si="64"/>
        <v>0</v>
      </c>
      <c r="BD92" s="57">
        <f t="shared" si="50"/>
        <v>0</v>
      </c>
      <c r="BF92" s="56">
        <f t="shared" si="51"/>
        <v>0</v>
      </c>
      <c r="BG92" s="26">
        <f t="shared" si="52"/>
        <v>0</v>
      </c>
      <c r="BH92" s="26">
        <f t="shared" si="68"/>
        <v>0</v>
      </c>
      <c r="BI92" s="57">
        <f t="shared" si="53"/>
        <v>0</v>
      </c>
      <c r="BK92" s="56">
        <f t="shared" si="54"/>
        <v>0</v>
      </c>
      <c r="BL92" s="26">
        <f t="shared" si="65"/>
        <v>0</v>
      </c>
      <c r="BM92" s="26">
        <f t="shared" si="65"/>
        <v>0</v>
      </c>
      <c r="BN92" s="57">
        <f t="shared" si="55"/>
        <v>0</v>
      </c>
      <c r="BP92" s="56">
        <f t="shared" si="56"/>
        <v>0</v>
      </c>
      <c r="BQ92" s="26">
        <f t="shared" si="66"/>
        <v>0</v>
      </c>
      <c r="BR92" s="26">
        <f t="shared" si="66"/>
        <v>0</v>
      </c>
      <c r="BS92" s="57">
        <f t="shared" si="57"/>
        <v>0</v>
      </c>
      <c r="BU92" s="56">
        <f>IF($O92=BU$2,IF($Q92=$AD$2,$P92)) + IF($R92=BU$2,IF($T92=$AD$2,$S92)) + IF($U92=BU$2,IF($W92=$AD$2,$V92))</f>
        <v>0</v>
      </c>
      <c r="BV92" s="26">
        <f>IF($O92=BV$2,IF($Q92=$AD$2,2*$P92)) + IF($R92=BV$2,IF($T92=$AD$2,2*$S92)) + IF($U92=BV$2,IF($W92=$AD$2,2*$V92))</f>
        <v>0</v>
      </c>
      <c r="BW92" s="26">
        <f>IF($O92=BW$2,IF($Q92=$AD$2,2*$P92)) + IF($R92=BW$2,IF($T92=$AD$2,2*$S92)) + IF($U92=BW$2,IF($W92=$AD$2,2*$V92))</f>
        <v>0</v>
      </c>
      <c r="BX92" s="57">
        <f>IF($O92=BX$2,IF($Q92=$AD$2,12*$P92)) + IF($R92=BX$2,IF($T92=$AD$2,12*$S92)) + IF($U92=BX$2,IF($W92=$AD$2,12*$V92))</f>
        <v>0</v>
      </c>
      <c r="BZ92" s="56">
        <f>IF($O92=BZ$2,IF($Q92=Armory,$P92)) + IF($R92=BZ$2,IF($T92=Armory,$S92)) + IF($U92=BZ$2,IF($W92=Armory,$V92))</f>
        <v>0</v>
      </c>
      <c r="CA92" s="26">
        <f>IF($O92=CA$2,IF($Q92=Armory,2*$P92)) + IF($R92=CA$2,IF($T92=Armory,2*$S92)) + IF($U92=CA$2,IF($W92=Armory,2*$V92))</f>
        <v>0</v>
      </c>
      <c r="CB92" s="26">
        <f>IF($O92=CB$2,IF($Q92=Armory,2*$P92)) + IF($R92=CB$2,IF($T92=Armory,2*$S92)) + IF($U92=CB$2,IF($W92=Armory,2*$V92))</f>
        <v>0</v>
      </c>
      <c r="CC92" s="57">
        <f>IF($O92=CC$2,IF($Q92=Armory,12*$P92)) + IF($R92=CC$2,IF($T92=Armory,12*$S92)) + IF($U92=CC$2,IF($W92=Armory,12*$V92))</f>
        <v>0</v>
      </c>
      <c r="CE92" s="56">
        <f>IF($O92=CE$2,IF($Q92=Infirmary,$P92)) + IF($R92=CE$2,IF($T92=Infirmary,$S92)) + IF($U92=CE$2,IF($W92=Infirmary,$V92))</f>
        <v>0</v>
      </c>
      <c r="CF92" s="26">
        <f>IF($O92=CF$2,IF($Q92=Infirmary,2*$P92)) + IF($R92=CF$2,IF($T92=Infirmary,2*$S92)) + IF($U92=CF$2,IF($W92=Infirmary,2*$V92))</f>
        <v>0</v>
      </c>
      <c r="CG92" s="26">
        <f>IF($O92=CG$2,IF($Q92=Infirmary,2*$P92)) + IF($R92=CG$2,IF($T92=Infirmary,2*$S92)) + IF($U92=CG$2,IF($W92=Infirmary,2*$V92))</f>
        <v>0</v>
      </c>
      <c r="CH92" s="57">
        <f>IF($O92=CH$2,IF($Q92=Infirmary,12*$P92)) + IF($R92=CH$2,IF($T92=Infirmary,12*$S92)) + IF($U92=CH$2,IF($W92=Infirmary,12*$V92))</f>
        <v>0</v>
      </c>
      <c r="CJ92" s="52" t="e">
        <f>OR(Production!C92,Construction!N92:'Construction'!AF92,Construction!BV92:CN92,Explore!S92:Z92,Military!AF92:AL92,Military!X92,Military!BE92:BL92,Rezone!L92:R92,Magic!G92:Q92)</f>
        <v>#VALUE!</v>
      </c>
      <c r="CK92" s="525">
        <f>M92</f>
        <v>0</v>
      </c>
      <c r="CL92" s="525"/>
      <c r="CM92" s="555">
        <f t="shared" si="59"/>
        <v>43768.927083333117</v>
      </c>
      <c r="CN92" s="563">
        <f t="shared" si="60"/>
        <v>43768.760416666453</v>
      </c>
      <c r="CO92" s="527"/>
      <c r="CP92" s="803"/>
      <c r="CQ92" s="808"/>
      <c r="CR92" s="170"/>
      <c r="CT92" s="672"/>
    </row>
    <row r="93" spans="1:98" s="16" customFormat="1" x14ac:dyDescent="0.25">
      <c r="A93" s="511">
        <f>Construction!E93</f>
        <v>1000</v>
      </c>
      <c r="C93" s="56">
        <f ca="1">Production!H93</f>
        <v>4925649</v>
      </c>
      <c r="D93" s="26">
        <f ca="1">Production!J93</f>
        <v>292498</v>
      </c>
      <c r="E93" s="26">
        <f ca="1">Production!L93</f>
        <v>300000</v>
      </c>
      <c r="F93" s="57">
        <f ca="1">Production!M93</f>
        <v>20000</v>
      </c>
      <c r="G93" s="26"/>
      <c r="H93" s="56">
        <f ca="1">Military!Z93</f>
        <v>5295</v>
      </c>
      <c r="I93" s="538">
        <f ca="1">Population!I93</f>
        <v>1</v>
      </c>
      <c r="J93" s="165">
        <f ca="1">Population!F93/Population!U93</f>
        <v>1</v>
      </c>
      <c r="K93" s="1000">
        <f>Rezone!J93</f>
        <v>91</v>
      </c>
      <c r="L93" s="582">
        <f t="shared" si="58"/>
        <v>43768.937499999782</v>
      </c>
      <c r="M93" s="316">
        <f t="shared" si="67"/>
        <v>0</v>
      </c>
      <c r="N93" s="638">
        <f t="shared" si="46"/>
        <v>1000</v>
      </c>
      <c r="O93" s="423" t="s">
        <v>4</v>
      </c>
      <c r="P93" s="370"/>
      <c r="Q93" s="424" t="s">
        <v>223</v>
      </c>
      <c r="R93" s="423" t="s">
        <v>7</v>
      </c>
      <c r="S93" s="370"/>
      <c r="T93" s="424" t="s">
        <v>223</v>
      </c>
      <c r="U93" s="406" t="s">
        <v>3</v>
      </c>
      <c r="V93" s="407"/>
      <c r="W93" s="409" t="s">
        <v>223</v>
      </c>
      <c r="Y93" s="501">
        <f ca="1">science_cap*(1-EXP(-AH93/(science_param*($A94-Explore!$S94*20)+15000)))*(1+(mason_bonus*Construction!BB93/Construction!BS93))+IF(Overview!$B$14="Beastfolk",Construction!DA93/Construction!E93,0)*(1 + Production!O93/100*prestige_pop_multiplier)</f>
        <v>0</v>
      </c>
      <c r="Z93" s="454">
        <f ca="1">keep_cap*(1-EXP(-AI93/(keep_param*($A94-Explore!$S94*20)+15000)))*(1+(mason_bonus*Construction!BB93/Construction!BS93))+IF(Overview!$B$14="Beastfolk",Construction!DF93/Construction!E93,0)*(1 + Production!O93/100*prestige_pop_multiplier)</f>
        <v>0</v>
      </c>
      <c r="AA93" s="454">
        <f ca="1">harbor_towers_cap*(1-EXP(-AJ93/(harbor_towers_param*($A94-Explore!$S94*20)+15000)))*(1+(mason_bonus*Construction!BB93/Construction!BS93))+IF(Overview!$B$14="Beastfolk",2*Construction!DC93/Construction!E93,0)*(1 + Production!O93/100*prestige_pop_multiplier)</f>
        <v>0</v>
      </c>
      <c r="AB93" s="454">
        <f ca="1">walls_forges_cap*(1-EXP(-AK93/(walls_forges_param*($A94-Explore!$S94*20)+15000)))*(1+(mason_bonus*Construction!BB93/Construction!BS93))+IF(Overview!$B$14="Beastfolk",0.2*Construction!CY93/Construction!E93,0)</f>
        <v>0</v>
      </c>
      <c r="AC93" s="454">
        <f ca="1">walls_forges_cap*(1-EXP(-AL93/(walls_forges_param*($A94-Explore!$S94*20)+15000)))*(1+(mason_bonus*Construction!BB93/Construction!BS93))+IF(Overview!$B$14="Beastfolk",5*Construction!DB93/Construction!E93,0)</f>
        <v>0</v>
      </c>
      <c r="AD93" s="171">
        <f ca="1">harbor_towers_cap*(1-EXP(-AM93/(harbor_towers_param*($A94-Explore!$S94*20)+15000)))*(1+(mason_bonus*Construction!BB93/Construction!BS93))+IF(Overview!$B$14="Beastfolk",Construction!DE93/Construction!E93)*(1 + Production!O93/100*prestige_pop_multiplier)</f>
        <v>0</v>
      </c>
      <c r="AE93" s="171">
        <f ca="1">armory_cap*(1-EXP(-AN93/(armory_param*($A94-Explore!$S94*20)+15000)))*(1+(mason_bonus*Construction!$BB93/Construction!$BS93))</f>
        <v>0</v>
      </c>
      <c r="AF93" s="171">
        <f ca="1">infirmary_cap*(1-EXP(-AO93/(infirmary_param*($A94-Explore!$S94*20)+15000)))*(1+(mason_bonus*Construction!$BB93/Construction!$BS93))</f>
        <v>0</v>
      </c>
      <c r="AH93" s="56">
        <f ca="1">(1+Overview!$O$28+IF(Magic!BA93&gt;0,0.1,0))*SUM(AV93:AY93) + AH92</f>
        <v>0</v>
      </c>
      <c r="AI93" s="26">
        <f ca="1">(1+Overview!$O$28+IF(Magic!BA93&gt;0,0.1,0))*SUM(BA93:BD93) + AI92</f>
        <v>0</v>
      </c>
      <c r="AJ93" s="164">
        <f ca="1">(1+Overview!$O$28+IF(Magic!BA93&gt;0,0.1,0))*SUM(BF93:BI93) + AJ92</f>
        <v>0</v>
      </c>
      <c r="AK93" s="164">
        <f ca="1">(1+Overview!$O$28+IF(Magic!BA93&gt;0,0.1,0))*SUM(BK93:BN93) + AK92</f>
        <v>0</v>
      </c>
      <c r="AL93" s="164">
        <f ca="1">(1+Overview!$O$28+IF(Magic!BA93&gt;0,0.1,0))*SUM(BP93:BS93) + AL92</f>
        <v>0</v>
      </c>
      <c r="AM93" s="166">
        <f ca="1">(1+Overview!$O$28+IF(Magic!BA93&gt;0,0.1,0))*SUM(BU93:BX93) + AM92</f>
        <v>0</v>
      </c>
      <c r="AN93" s="166">
        <f ca="1">(1+Overview!$O$28+IF(Magic!BA93&gt;0,0.1,0))*SUM(BZ93:CC93)+AN92</f>
        <v>0</v>
      </c>
      <c r="AO93" s="164">
        <f ca="1">(1+Overview!$O$28+IF(Magic!BA93&gt;0,0.1,0))*SUM(CE93:CH93)+AO92</f>
        <v>0</v>
      </c>
      <c r="AQ93" s="52">
        <f t="shared" ref="AQ93:AT135" si="69">IF(AND($O93=AQ$2,$Q93&lt;&gt;""),$P93) + IF(AND($R93=AQ$2,$T93&lt;&gt;""),$S93) + IF(AND($U93=AQ$2,$W93&lt;&gt;""),$V93)</f>
        <v>0</v>
      </c>
      <c r="AR93" s="16">
        <f t="shared" si="69"/>
        <v>0</v>
      </c>
      <c r="AS93" s="16">
        <f t="shared" si="69"/>
        <v>0</v>
      </c>
      <c r="AT93" s="53">
        <f t="shared" si="69"/>
        <v>0</v>
      </c>
      <c r="AV93" s="56">
        <f t="shared" si="47"/>
        <v>0</v>
      </c>
      <c r="AW93" s="26">
        <f t="shared" ref="AW93:AX135" si="70">IF($O93=AW$2,IF($Q93=$Y$2,2*$P93)) + IF($R93=AW$2,IF($T93=$Y$2,2*$S93)) + IF($U93=AW$2,IF($W93=$Y$2,2*$V93))</f>
        <v>0</v>
      </c>
      <c r="AX93" s="26">
        <f t="shared" si="70"/>
        <v>0</v>
      </c>
      <c r="AY93" s="57">
        <f t="shared" si="48"/>
        <v>0</v>
      </c>
      <c r="BA93" s="56">
        <f t="shared" si="49"/>
        <v>0</v>
      </c>
      <c r="BB93" s="26">
        <f t="shared" ref="BB93:BC135" si="71">IF($O93=BB$2,IF($Q93=$Z$2,2*$P93)) + IF($R93=BB$2,IF($T93=$Z$2,2*$S93)) + IF($U93=BB$2,IF($W93=$Z$2,2*$V93))</f>
        <v>0</v>
      </c>
      <c r="BC93" s="26">
        <f t="shared" si="71"/>
        <v>0</v>
      </c>
      <c r="BD93" s="57">
        <f t="shared" si="50"/>
        <v>0</v>
      </c>
      <c r="BF93" s="56">
        <f t="shared" si="51"/>
        <v>0</v>
      </c>
      <c r="BG93" s="26">
        <f t="shared" si="52"/>
        <v>0</v>
      </c>
      <c r="BH93" s="26">
        <f t="shared" si="68"/>
        <v>0</v>
      </c>
      <c r="BI93" s="57">
        <f t="shared" si="53"/>
        <v>0</v>
      </c>
      <c r="BK93" s="56">
        <f t="shared" si="54"/>
        <v>0</v>
      </c>
      <c r="BL93" s="26">
        <f t="shared" ref="BL93:BM135" si="72">IF($O93=BL$2,IF($Q93=$AB$2,2*$P93)) + IF($R93=BL$2,IF($T93=$AB$2,2*$S93)) + IF($U93=BL$2,IF($W93=$AB$2,2*$V93))</f>
        <v>0</v>
      </c>
      <c r="BM93" s="26">
        <f t="shared" si="72"/>
        <v>0</v>
      </c>
      <c r="BN93" s="57">
        <f t="shared" si="55"/>
        <v>0</v>
      </c>
      <c r="BP93" s="56">
        <f t="shared" si="56"/>
        <v>0</v>
      </c>
      <c r="BQ93" s="26">
        <f t="shared" ref="BQ93:BR135" si="73">IF($O93=BQ$2,IF($Q93=$AC$2,2*$P93)) + IF($R93=BQ$2,IF($T93=$AC$2,2*$S93)) + IF($U93=BQ$2,IF($W93=$AC$2,2*$V93))</f>
        <v>0</v>
      </c>
      <c r="BR93" s="26">
        <f t="shared" si="73"/>
        <v>0</v>
      </c>
      <c r="BS93" s="57">
        <f t="shared" si="57"/>
        <v>0</v>
      </c>
      <c r="BU93" s="56">
        <f>IF($O93=BU$2,IF($Q93=$AD$2,$P93)) + IF($R93=BU$2,IF($T93=$AD$2,$S93)) + IF($U93=BU$2,IF($W93=$AD$2,$V93))</f>
        <v>0</v>
      </c>
      <c r="BV93" s="26">
        <f>IF($O93=BV$2,IF($Q93=$AD$2,2*$P93)) + IF($R93=BV$2,IF($T93=$AD$2,2*$S93)) + IF($U93=BV$2,IF($W93=$AD$2,2*$V93))</f>
        <v>0</v>
      </c>
      <c r="BW93" s="26">
        <f>IF($O93=BW$2,IF($Q93=$AD$2,2*$P93)) + IF($R93=BW$2,IF($T93=$AD$2,2*$S93)) + IF($U93=BW$2,IF($W93=$AD$2,2*$V93))</f>
        <v>0</v>
      </c>
      <c r="BX93" s="57">
        <f>IF($O93=BX$2,IF($Q93=$AD$2,12*$P93)) + IF($R93=BX$2,IF($T93=$AD$2,12*$S93)) + IF($U93=BX$2,IF($W93=$AD$2,12*$V93))</f>
        <v>0</v>
      </c>
      <c r="BZ93" s="56">
        <f>IF($O93=BZ$2,IF($Q93=Armory,$P93)) + IF($R93=BZ$2,IF($T93=Armory,$S93)) + IF($U93=BZ$2,IF($W93=Armory,$V93))</f>
        <v>0</v>
      </c>
      <c r="CA93" s="26">
        <f>IF($O93=CA$2,IF($Q93=Armory,2*$P93)) + IF($R93=CA$2,IF($T93=Armory,2*$S93)) + IF($U93=CA$2,IF($W93=Armory,2*$V93))</f>
        <v>0</v>
      </c>
      <c r="CB93" s="26">
        <f>IF($O93=CB$2,IF($Q93=Armory,2*$P93)) + IF($R93=CB$2,IF($T93=Armory,2*$S93)) + IF($U93=CB$2,IF($W93=Armory,2*$V93))</f>
        <v>0</v>
      </c>
      <c r="CC93" s="57">
        <f>IF($O93=CC$2,IF($Q93=Armory,12*$P93)) + IF($R93=CC$2,IF($T93=Armory,12*$S93)) + IF($U93=CC$2,IF($W93=Armory,12*$V93))</f>
        <v>0</v>
      </c>
      <c r="CE93" s="56">
        <f>IF($O93=CE$2,IF($Q93=Infirmary,$P93)) + IF($R93=CE$2,IF($T93=Infirmary,$S93)) + IF($U93=CE$2,IF($W93=Infirmary,$V93))</f>
        <v>0</v>
      </c>
      <c r="CF93" s="26">
        <f>IF($O93=CF$2,IF($Q93=Infirmary,2*$P93)) + IF($R93=CF$2,IF($T93=Infirmary,2*$S93)) + IF($U93=CF$2,IF($W93=Infirmary,2*$V93))</f>
        <v>0</v>
      </c>
      <c r="CG93" s="26">
        <f>IF($O93=CG$2,IF($Q93=Infirmary,2*$P93)) + IF($R93=CG$2,IF($T93=Infirmary,2*$S93)) + IF($U93=CG$2,IF($W93=Infirmary,2*$V93))</f>
        <v>0</v>
      </c>
      <c r="CH93" s="57">
        <f>IF($O93=CH$2,IF($Q93=Infirmary,12*$P93)) + IF($R93=CH$2,IF($T93=Infirmary,12*$S93)) + IF($U93=CH$2,IF($W93=Infirmary,12*$V93))</f>
        <v>0</v>
      </c>
      <c r="CJ93" s="52" t="e">
        <f>OR(Production!C93,Construction!N93:'Construction'!AF93,Construction!BV93:CN93,Explore!S93:Z93,Military!AF93:AL93,Military!X93,Military!BE93:BL93,Rezone!L93:R93,Magic!G93:Q93)</f>
        <v>#VALUE!</v>
      </c>
      <c r="CK93" s="525">
        <f>M93</f>
        <v>0</v>
      </c>
      <c r="CL93" s="525"/>
      <c r="CM93" s="555">
        <f t="shared" si="59"/>
        <v>43768.937499999782</v>
      </c>
      <c r="CN93" s="563">
        <f t="shared" si="60"/>
        <v>43768.770833333117</v>
      </c>
      <c r="CO93" s="527"/>
      <c r="CP93" s="803"/>
      <c r="CQ93" s="808"/>
      <c r="CR93" s="170"/>
    </row>
    <row r="94" spans="1:98" s="16" customFormat="1" x14ac:dyDescent="0.25">
      <c r="A94" s="511">
        <f>Construction!E94</f>
        <v>1000</v>
      </c>
      <c r="C94" s="56">
        <f ca="1">Production!H94</f>
        <v>4930630</v>
      </c>
      <c r="D94" s="26">
        <f ca="1">Production!J94</f>
        <v>292073</v>
      </c>
      <c r="E94" s="26">
        <f ca="1">Production!L94</f>
        <v>300000</v>
      </c>
      <c r="F94" s="57">
        <f ca="1">Production!M94</f>
        <v>20000</v>
      </c>
      <c r="G94" s="26"/>
      <c r="H94" s="56">
        <f ca="1">Military!Z94</f>
        <v>5295</v>
      </c>
      <c r="I94" s="538">
        <f ca="1">Population!I94</f>
        <v>1</v>
      </c>
      <c r="J94" s="165">
        <f ca="1">Population!F94/Population!U94</f>
        <v>1</v>
      </c>
      <c r="K94" s="1000">
        <f>Rezone!J94</f>
        <v>92</v>
      </c>
      <c r="L94" s="582">
        <f t="shared" si="58"/>
        <v>43768.947916666446</v>
      </c>
      <c r="M94" s="316">
        <f t="shared" si="67"/>
        <v>0</v>
      </c>
      <c r="N94" s="638">
        <f t="shared" si="46"/>
        <v>1000</v>
      </c>
      <c r="O94" s="423" t="s">
        <v>4</v>
      </c>
      <c r="P94" s="370"/>
      <c r="Q94" s="424" t="s">
        <v>223</v>
      </c>
      <c r="R94" s="423" t="s">
        <v>7</v>
      </c>
      <c r="S94" s="370"/>
      <c r="T94" s="424" t="s">
        <v>223</v>
      </c>
      <c r="U94" s="406" t="s">
        <v>3</v>
      </c>
      <c r="V94" s="407"/>
      <c r="W94" s="409" t="s">
        <v>223</v>
      </c>
      <c r="Y94" s="501">
        <f ca="1">science_cap*(1-EXP(-AH94/(science_param*($A95-Explore!$S95*20)+15000)))*(1+(mason_bonus*Construction!BB94/Construction!BS94))+IF(Overview!$B$14="Beastfolk",Construction!DA94/Construction!E94,0)*(1 + Production!O94/100*prestige_pop_multiplier)</f>
        <v>0</v>
      </c>
      <c r="Z94" s="454">
        <f ca="1">keep_cap*(1-EXP(-AI94/(keep_param*($A95-Explore!$S95*20)+15000)))*(1+(mason_bonus*Construction!BB94/Construction!BS94))+IF(Overview!$B$14="Beastfolk",Construction!DF94/Construction!E94,0)*(1 + Production!O94/100*prestige_pop_multiplier)</f>
        <v>0</v>
      </c>
      <c r="AA94" s="454">
        <f ca="1">harbor_towers_cap*(1-EXP(-AJ94/(harbor_towers_param*($A95-Explore!$S95*20)+15000)))*(1+(mason_bonus*Construction!BB94/Construction!BS94))+IF(Overview!$B$14="Beastfolk",2*Construction!DC94/Construction!E94,0)*(1 + Production!O94/100*prestige_pop_multiplier)</f>
        <v>0</v>
      </c>
      <c r="AB94" s="454">
        <f ca="1">walls_forges_cap*(1-EXP(-AK94/(walls_forges_param*($A95-Explore!$S95*20)+15000)))*(1+(mason_bonus*Construction!BB94/Construction!BS94))+IF(Overview!$B$14="Beastfolk",0.2*Construction!CY94/Construction!E94,0)</f>
        <v>0</v>
      </c>
      <c r="AC94" s="454">
        <f ca="1">walls_forges_cap*(1-EXP(-AL94/(walls_forges_param*($A95-Explore!$S95*20)+15000)))*(1+(mason_bonus*Construction!BB94/Construction!BS94))+IF(Overview!$B$14="Beastfolk",5*Construction!DB94/Construction!E94,0)</f>
        <v>0</v>
      </c>
      <c r="AD94" s="171">
        <f ca="1">harbor_towers_cap*(1-EXP(-AM94/(harbor_towers_param*($A95-Explore!$S95*20)+15000)))*(1+(mason_bonus*Construction!BB94/Construction!BS94))+IF(Overview!$B$14="Beastfolk",Construction!DE94/Construction!E94)*(1 + Production!O94/100*prestige_pop_multiplier)</f>
        <v>0</v>
      </c>
      <c r="AE94" s="171">
        <f ca="1">armory_cap*(1-EXP(-AN94/(armory_param*($A95-Explore!$S95*20)+15000)))*(1+(mason_bonus*Construction!$BB94/Construction!$BS94))</f>
        <v>0</v>
      </c>
      <c r="AF94" s="171">
        <f ca="1">infirmary_cap*(1-EXP(-AO94/(infirmary_param*($A95-Explore!$S95*20)+15000)))*(1+(mason_bonus*Construction!$BB94/Construction!$BS94))</f>
        <v>0</v>
      </c>
      <c r="AH94" s="56">
        <f ca="1">(1+Overview!$O$28+IF(Magic!BA94&gt;0,0.1,0))*SUM(AV94:AY94) + AH93</f>
        <v>0</v>
      </c>
      <c r="AI94" s="26">
        <f ca="1">(1+Overview!$O$28+IF(Magic!BA94&gt;0,0.1,0))*SUM(BA94:BD94) + AI93</f>
        <v>0</v>
      </c>
      <c r="AJ94" s="164">
        <f ca="1">(1+Overview!$O$28+IF(Magic!BA94&gt;0,0.1,0))*SUM(BF94:BI94) + AJ93</f>
        <v>0</v>
      </c>
      <c r="AK94" s="164">
        <f ca="1">(1+Overview!$O$28+IF(Magic!BA94&gt;0,0.1,0))*SUM(BK94:BN94) + AK93</f>
        <v>0</v>
      </c>
      <c r="AL94" s="164">
        <f ca="1">(1+Overview!$O$28+IF(Magic!BA94&gt;0,0.1,0))*SUM(BP94:BS94) + AL93</f>
        <v>0</v>
      </c>
      <c r="AM94" s="166">
        <f ca="1">(1+Overview!$O$28+IF(Magic!BA94&gt;0,0.1,0))*SUM(BU94:BX94) + AM93</f>
        <v>0</v>
      </c>
      <c r="AN94" s="166">
        <f ca="1">(1+Overview!$O$28+IF(Magic!BA94&gt;0,0.1,0))*SUM(BZ94:CC94)+AN93</f>
        <v>0</v>
      </c>
      <c r="AO94" s="164">
        <f ca="1">(1+Overview!$O$28+IF(Magic!BA94&gt;0,0.1,0))*SUM(CE94:CH94)+AO93</f>
        <v>0</v>
      </c>
      <c r="AQ94" s="52">
        <f t="shared" si="69"/>
        <v>0</v>
      </c>
      <c r="AR94" s="16">
        <f t="shared" si="69"/>
        <v>0</v>
      </c>
      <c r="AS94" s="16">
        <f t="shared" si="69"/>
        <v>0</v>
      </c>
      <c r="AT94" s="53">
        <f t="shared" si="69"/>
        <v>0</v>
      </c>
      <c r="AV94" s="56">
        <f t="shared" si="47"/>
        <v>0</v>
      </c>
      <c r="AW94" s="26">
        <f t="shared" si="70"/>
        <v>0</v>
      </c>
      <c r="AX94" s="26">
        <f t="shared" si="70"/>
        <v>0</v>
      </c>
      <c r="AY94" s="57">
        <f t="shared" si="48"/>
        <v>0</v>
      </c>
      <c r="BA94" s="56">
        <f t="shared" si="49"/>
        <v>0</v>
      </c>
      <c r="BB94" s="26">
        <f t="shared" si="71"/>
        <v>0</v>
      </c>
      <c r="BC94" s="26">
        <f t="shared" si="71"/>
        <v>0</v>
      </c>
      <c r="BD94" s="57">
        <f t="shared" si="50"/>
        <v>0</v>
      </c>
      <c r="BF94" s="56">
        <f t="shared" si="51"/>
        <v>0</v>
      </c>
      <c r="BG94" s="26">
        <f t="shared" si="52"/>
        <v>0</v>
      </c>
      <c r="BH94" s="26">
        <f t="shared" si="68"/>
        <v>0</v>
      </c>
      <c r="BI94" s="57">
        <f t="shared" si="53"/>
        <v>0</v>
      </c>
      <c r="BK94" s="56">
        <f t="shared" si="54"/>
        <v>0</v>
      </c>
      <c r="BL94" s="26">
        <f t="shared" si="72"/>
        <v>0</v>
      </c>
      <c r="BM94" s="26">
        <f t="shared" si="72"/>
        <v>0</v>
      </c>
      <c r="BN94" s="57">
        <f t="shared" si="55"/>
        <v>0</v>
      </c>
      <c r="BP94" s="56">
        <f t="shared" si="56"/>
        <v>0</v>
      </c>
      <c r="BQ94" s="26">
        <f t="shared" si="73"/>
        <v>0</v>
      </c>
      <c r="BR94" s="26">
        <f t="shared" si="73"/>
        <v>0</v>
      </c>
      <c r="BS94" s="57">
        <f t="shared" si="57"/>
        <v>0</v>
      </c>
      <c r="BU94" s="56">
        <f>IF($O94=BU$2,IF($Q94=$AD$2,$P94)) + IF($R94=BU$2,IF($T94=$AD$2,$S94)) + IF($U94=BU$2,IF($W94=$AD$2,$V94))</f>
        <v>0</v>
      </c>
      <c r="BV94" s="26">
        <f>IF($O94=BV$2,IF($Q94=$AD$2,2*$P94)) + IF($R94=BV$2,IF($T94=$AD$2,2*$S94)) + IF($U94=BV$2,IF($W94=$AD$2,2*$V94))</f>
        <v>0</v>
      </c>
      <c r="BW94" s="26">
        <f>IF($O94=BW$2,IF($Q94=$AD$2,2*$P94)) + IF($R94=BW$2,IF($T94=$AD$2,2*$S94)) + IF($U94=BW$2,IF($W94=$AD$2,2*$V94))</f>
        <v>0</v>
      </c>
      <c r="BX94" s="57">
        <f>IF($O94=BX$2,IF($Q94=$AD$2,12*$P94)) + IF($R94=BX$2,IF($T94=$AD$2,12*$S94)) + IF($U94=BX$2,IF($W94=$AD$2,12*$V94))</f>
        <v>0</v>
      </c>
      <c r="BZ94" s="56">
        <f>IF($O94=BZ$2,IF($Q94=Armory,$P94)) + IF($R94=BZ$2,IF($T94=Armory,$S94)) + IF($U94=BZ$2,IF($W94=Armory,$V94))</f>
        <v>0</v>
      </c>
      <c r="CA94" s="26">
        <f>IF($O94=CA$2,IF($Q94=Armory,2*$P94)) + IF($R94=CA$2,IF($T94=Armory,2*$S94)) + IF($U94=CA$2,IF($W94=Armory,2*$V94))</f>
        <v>0</v>
      </c>
      <c r="CB94" s="26">
        <f>IF($O94=CB$2,IF($Q94=Armory,2*$P94)) + IF($R94=CB$2,IF($T94=Armory,2*$S94)) + IF($U94=CB$2,IF($W94=Armory,2*$V94))</f>
        <v>0</v>
      </c>
      <c r="CC94" s="57">
        <f>IF($O94=CC$2,IF($Q94=Armory,12*$P94)) + IF($R94=CC$2,IF($T94=Armory,12*$S94)) + IF($U94=CC$2,IF($W94=Armory,12*$V94))</f>
        <v>0</v>
      </c>
      <c r="CE94" s="56">
        <f>IF($O94=CE$2,IF($Q94=Infirmary,$P94)) + IF($R94=CE$2,IF($T94=Infirmary,$S94)) + IF($U94=CE$2,IF($W94=Infirmary,$V94))</f>
        <v>0</v>
      </c>
      <c r="CF94" s="26">
        <f>IF($O94=CF$2,IF($Q94=Infirmary,2*$P94)) + IF($R94=CF$2,IF($T94=Infirmary,2*$S94)) + IF($U94=CF$2,IF($W94=Infirmary,2*$V94))</f>
        <v>0</v>
      </c>
      <c r="CG94" s="26">
        <f>IF($O94=CG$2,IF($Q94=Infirmary,2*$P94)) + IF($R94=CG$2,IF($T94=Infirmary,2*$S94)) + IF($U94=CG$2,IF($W94=Infirmary,2*$V94))</f>
        <v>0</v>
      </c>
      <c r="CH94" s="57">
        <f>IF($O94=CH$2,IF($Q94=Infirmary,12*$P94)) + IF($R94=CH$2,IF($T94=Infirmary,12*$S94)) + IF($U94=CH$2,IF($W94=Infirmary,12*$V94))</f>
        <v>0</v>
      </c>
      <c r="CJ94" s="52" t="e">
        <f>OR(Production!C94,Construction!N94:'Construction'!AF94,Construction!BV94:CN94,Explore!S94:Z94,Military!AF94:AL94,Military!X94,Military!BE94:BL94,Rezone!L94:R94,Magic!G94:Q94)</f>
        <v>#VALUE!</v>
      </c>
      <c r="CK94" s="525">
        <f>M94</f>
        <v>0</v>
      </c>
      <c r="CL94" s="525"/>
      <c r="CM94" s="555">
        <f t="shared" si="59"/>
        <v>43768.947916666446</v>
      </c>
      <c r="CN94" s="563">
        <f t="shared" si="60"/>
        <v>43768.781249999782</v>
      </c>
      <c r="CO94" s="527"/>
      <c r="CP94" s="803"/>
      <c r="CQ94" s="808"/>
      <c r="CR94" s="170"/>
    </row>
    <row r="95" spans="1:98" s="16" customFormat="1" x14ac:dyDescent="0.25">
      <c r="A95" s="511">
        <f>Construction!E95</f>
        <v>1000</v>
      </c>
      <c r="C95" s="56">
        <f ca="1">Production!H95</f>
        <v>4935611</v>
      </c>
      <c r="D95" s="26">
        <f ca="1">Production!J95</f>
        <v>291652</v>
      </c>
      <c r="E95" s="26">
        <f ca="1">Production!L95</f>
        <v>300000</v>
      </c>
      <c r="F95" s="57">
        <f ca="1">Production!M95</f>
        <v>20000</v>
      </c>
      <c r="G95" s="26"/>
      <c r="H95" s="56">
        <f ca="1">Military!Z95</f>
        <v>5295</v>
      </c>
      <c r="I95" s="538">
        <f ca="1">Population!I95</f>
        <v>1</v>
      </c>
      <c r="J95" s="165">
        <f ca="1">Population!F95/Population!U95</f>
        <v>1</v>
      </c>
      <c r="K95" s="1000">
        <f>Rezone!J95</f>
        <v>93</v>
      </c>
      <c r="L95" s="582">
        <f t="shared" si="58"/>
        <v>43768.95833333311</v>
      </c>
      <c r="M95" s="316">
        <f t="shared" si="67"/>
        <v>0</v>
      </c>
      <c r="N95" s="638">
        <f t="shared" si="46"/>
        <v>1000</v>
      </c>
      <c r="O95" s="423" t="s">
        <v>4</v>
      </c>
      <c r="P95" s="370"/>
      <c r="Q95" s="424" t="s">
        <v>223</v>
      </c>
      <c r="R95" s="423" t="s">
        <v>7</v>
      </c>
      <c r="S95" s="370"/>
      <c r="T95" s="424" t="s">
        <v>223</v>
      </c>
      <c r="U95" s="406" t="s">
        <v>3</v>
      </c>
      <c r="V95" s="407"/>
      <c r="W95" s="409" t="s">
        <v>223</v>
      </c>
      <c r="Y95" s="501">
        <f ca="1">science_cap*(1-EXP(-AH95/(science_param*($A96-Explore!$S96*20)+15000)))*(1+(mason_bonus*Construction!BB95/Construction!BS95))+IF(Overview!$B$14="Beastfolk",Construction!DA95/Construction!E95,0)*(1 + Production!O95/100*prestige_pop_multiplier)</f>
        <v>0</v>
      </c>
      <c r="Z95" s="454">
        <f ca="1">keep_cap*(1-EXP(-AI95/(keep_param*($A96-Explore!$S96*20)+15000)))*(1+(mason_bonus*Construction!BB95/Construction!BS95))+IF(Overview!$B$14="Beastfolk",Construction!DF95/Construction!E95,0)*(1 + Production!O95/100*prestige_pop_multiplier)</f>
        <v>0</v>
      </c>
      <c r="AA95" s="454">
        <f ca="1">harbor_towers_cap*(1-EXP(-AJ95/(harbor_towers_param*($A96-Explore!$S96*20)+15000)))*(1+(mason_bonus*Construction!BB95/Construction!BS95))+IF(Overview!$B$14="Beastfolk",2*Construction!DC95/Construction!E95,0)*(1 + Production!O95/100*prestige_pop_multiplier)</f>
        <v>0</v>
      </c>
      <c r="AB95" s="454">
        <f ca="1">walls_forges_cap*(1-EXP(-AK95/(walls_forges_param*($A96-Explore!$S96*20)+15000)))*(1+(mason_bonus*Construction!BB95/Construction!BS95))+IF(Overview!$B$14="Beastfolk",0.2*Construction!CY95/Construction!E95,0)</f>
        <v>0</v>
      </c>
      <c r="AC95" s="454">
        <f ca="1">walls_forges_cap*(1-EXP(-AL95/(walls_forges_param*($A96-Explore!$S96*20)+15000)))*(1+(mason_bonus*Construction!BB95/Construction!BS95))+IF(Overview!$B$14="Beastfolk",5*Construction!DB95/Construction!E95,0)</f>
        <v>0</v>
      </c>
      <c r="AD95" s="171">
        <f ca="1">harbor_towers_cap*(1-EXP(-AM95/(harbor_towers_param*($A96-Explore!$S96*20)+15000)))*(1+(mason_bonus*Construction!BB95/Construction!BS95))+IF(Overview!$B$14="Beastfolk",Construction!DE95/Construction!E95)*(1 + Production!O95/100*prestige_pop_multiplier)</f>
        <v>0</v>
      </c>
      <c r="AE95" s="171">
        <f ca="1">armory_cap*(1-EXP(-AN95/(armory_param*($A96-Explore!$S96*20)+15000)))*(1+(mason_bonus*Construction!$BB95/Construction!$BS95))</f>
        <v>0</v>
      </c>
      <c r="AF95" s="171">
        <f ca="1">infirmary_cap*(1-EXP(-AO95/(infirmary_param*($A96-Explore!$S96*20)+15000)))*(1+(mason_bonus*Construction!$BB95/Construction!$BS95))</f>
        <v>0</v>
      </c>
      <c r="AH95" s="56">
        <f ca="1">(1+Overview!$O$28+IF(Magic!BA95&gt;0,0.1,0))*SUM(AV95:AY95) + AH94</f>
        <v>0</v>
      </c>
      <c r="AI95" s="26">
        <f ca="1">(1+Overview!$O$28+IF(Magic!BA95&gt;0,0.1,0))*SUM(BA95:BD95) + AI94</f>
        <v>0</v>
      </c>
      <c r="AJ95" s="164">
        <f ca="1">(1+Overview!$O$28+IF(Magic!BA95&gt;0,0.1,0))*SUM(BF95:BI95) + AJ94</f>
        <v>0</v>
      </c>
      <c r="AK95" s="164">
        <f ca="1">(1+Overview!$O$28+IF(Magic!BA95&gt;0,0.1,0))*SUM(BK95:BN95) + AK94</f>
        <v>0</v>
      </c>
      <c r="AL95" s="164">
        <f ca="1">(1+Overview!$O$28+IF(Magic!BA95&gt;0,0.1,0))*SUM(BP95:BS95) + AL94</f>
        <v>0</v>
      </c>
      <c r="AM95" s="166">
        <f ca="1">(1+Overview!$O$28+IF(Magic!BA95&gt;0,0.1,0))*SUM(BU95:BX95) + AM94</f>
        <v>0</v>
      </c>
      <c r="AN95" s="166">
        <f ca="1">(1+Overview!$O$28+IF(Magic!BA95&gt;0,0.1,0))*SUM(BZ95:CC95)+AN94</f>
        <v>0</v>
      </c>
      <c r="AO95" s="164">
        <f ca="1">(1+Overview!$O$28+IF(Magic!BA95&gt;0,0.1,0))*SUM(CE95:CH95)+AO94</f>
        <v>0</v>
      </c>
      <c r="AQ95" s="52">
        <f t="shared" si="69"/>
        <v>0</v>
      </c>
      <c r="AR95" s="16">
        <f t="shared" si="69"/>
        <v>0</v>
      </c>
      <c r="AS95" s="16">
        <f t="shared" si="69"/>
        <v>0</v>
      </c>
      <c r="AT95" s="53">
        <f t="shared" si="69"/>
        <v>0</v>
      </c>
      <c r="AV95" s="56">
        <f t="shared" si="47"/>
        <v>0</v>
      </c>
      <c r="AW95" s="26">
        <f t="shared" si="70"/>
        <v>0</v>
      </c>
      <c r="AX95" s="26">
        <f t="shared" si="70"/>
        <v>0</v>
      </c>
      <c r="AY95" s="57">
        <f t="shared" si="48"/>
        <v>0</v>
      </c>
      <c r="BA95" s="56">
        <f t="shared" si="49"/>
        <v>0</v>
      </c>
      <c r="BB95" s="26">
        <f t="shared" si="71"/>
        <v>0</v>
      </c>
      <c r="BC95" s="26">
        <f t="shared" si="71"/>
        <v>0</v>
      </c>
      <c r="BD95" s="57">
        <f t="shared" si="50"/>
        <v>0</v>
      </c>
      <c r="BF95" s="56">
        <f t="shared" si="51"/>
        <v>0</v>
      </c>
      <c r="BG95" s="26">
        <f t="shared" si="52"/>
        <v>0</v>
      </c>
      <c r="BH95" s="26">
        <f t="shared" si="68"/>
        <v>0</v>
      </c>
      <c r="BI95" s="57">
        <f t="shared" si="53"/>
        <v>0</v>
      </c>
      <c r="BK95" s="56">
        <f t="shared" si="54"/>
        <v>0</v>
      </c>
      <c r="BL95" s="26">
        <f t="shared" si="72"/>
        <v>0</v>
      </c>
      <c r="BM95" s="26">
        <f t="shared" si="72"/>
        <v>0</v>
      </c>
      <c r="BN95" s="57">
        <f t="shared" si="55"/>
        <v>0</v>
      </c>
      <c r="BP95" s="56">
        <f t="shared" si="56"/>
        <v>0</v>
      </c>
      <c r="BQ95" s="26">
        <f t="shared" si="73"/>
        <v>0</v>
      </c>
      <c r="BR95" s="26">
        <f t="shared" si="73"/>
        <v>0</v>
      </c>
      <c r="BS95" s="57">
        <f t="shared" si="57"/>
        <v>0</v>
      </c>
      <c r="BU95" s="56">
        <f>IF($O95=BU$2,IF($Q95=$AD$2,$P95)) + IF($R95=BU$2,IF($T95=$AD$2,$S95)) + IF($U95=BU$2,IF($W95=$AD$2,$V95))</f>
        <v>0</v>
      </c>
      <c r="BV95" s="26">
        <f>IF($O95=BV$2,IF($Q95=$AD$2,2*$P95)) + IF($R95=BV$2,IF($T95=$AD$2,2*$S95)) + IF($U95=BV$2,IF($W95=$AD$2,2*$V95))</f>
        <v>0</v>
      </c>
      <c r="BW95" s="26">
        <f>IF($O95=BW$2,IF($Q95=$AD$2,2*$P95)) + IF($R95=BW$2,IF($T95=$AD$2,2*$S95)) + IF($U95=BW$2,IF($W95=$AD$2,2*$V95))</f>
        <v>0</v>
      </c>
      <c r="BX95" s="57">
        <f>IF($O95=BX$2,IF($Q95=$AD$2,12*$P95)) + IF($R95=BX$2,IF($T95=$AD$2,12*$S95)) + IF($U95=BX$2,IF($W95=$AD$2,12*$V95))</f>
        <v>0</v>
      </c>
      <c r="BZ95" s="56">
        <f>IF($O95=BZ$2,IF($Q95=Armory,$P95)) + IF($R95=BZ$2,IF($T95=Armory,$S95)) + IF($U95=BZ$2,IF($W95=Armory,$V95))</f>
        <v>0</v>
      </c>
      <c r="CA95" s="26">
        <f>IF($O95=CA$2,IF($Q95=Armory,2*$P95)) + IF($R95=CA$2,IF($T95=Armory,2*$S95)) + IF($U95=CA$2,IF($W95=Armory,2*$V95))</f>
        <v>0</v>
      </c>
      <c r="CB95" s="26">
        <f>IF($O95=CB$2,IF($Q95=Armory,2*$P95)) + IF($R95=CB$2,IF($T95=Armory,2*$S95)) + IF($U95=CB$2,IF($W95=Armory,2*$V95))</f>
        <v>0</v>
      </c>
      <c r="CC95" s="57">
        <f>IF($O95=CC$2,IF($Q95=Armory,12*$P95)) + IF($R95=CC$2,IF($T95=Armory,12*$S95)) + IF($U95=CC$2,IF($W95=Armory,12*$V95))</f>
        <v>0</v>
      </c>
      <c r="CE95" s="56">
        <f>IF($O95=CE$2,IF($Q95=Infirmary,$P95)) + IF($R95=CE$2,IF($T95=Infirmary,$S95)) + IF($U95=CE$2,IF($W95=Infirmary,$V95))</f>
        <v>0</v>
      </c>
      <c r="CF95" s="26">
        <f>IF($O95=CF$2,IF($Q95=Infirmary,2*$P95)) + IF($R95=CF$2,IF($T95=Infirmary,2*$S95)) + IF($U95=CF$2,IF($W95=Infirmary,2*$V95))</f>
        <v>0</v>
      </c>
      <c r="CG95" s="26">
        <f>IF($O95=CG$2,IF($Q95=Infirmary,2*$P95)) + IF($R95=CG$2,IF($T95=Infirmary,2*$S95)) + IF($U95=CG$2,IF($W95=Infirmary,2*$V95))</f>
        <v>0</v>
      </c>
      <c r="CH95" s="57">
        <f>IF($O95=CH$2,IF($Q95=Infirmary,12*$P95)) + IF($R95=CH$2,IF($T95=Infirmary,12*$S95)) + IF($U95=CH$2,IF($W95=Infirmary,12*$V95))</f>
        <v>0</v>
      </c>
      <c r="CJ95" s="52" t="e">
        <f>OR(Production!C95,Construction!N95:'Construction'!AF95,Construction!BV95:CN95,Explore!S95:Z95,Military!AF95:AL95,Military!X95,Military!BE95:BL95,Rezone!L95:R95,Magic!G95:Q95)</f>
        <v>#VALUE!</v>
      </c>
      <c r="CK95" s="525">
        <f>M95</f>
        <v>0</v>
      </c>
      <c r="CL95" s="525"/>
      <c r="CM95" s="555">
        <f t="shared" si="59"/>
        <v>43768.95833333311</v>
      </c>
      <c r="CN95" s="563">
        <f t="shared" si="60"/>
        <v>43768.791666666446</v>
      </c>
      <c r="CO95" s="527"/>
      <c r="CP95" s="803"/>
      <c r="CQ95" s="808"/>
      <c r="CR95" s="170"/>
    </row>
    <row r="96" spans="1:98" s="16" customFormat="1" x14ac:dyDescent="0.25">
      <c r="A96" s="511">
        <f>Construction!E96</f>
        <v>1000</v>
      </c>
      <c r="C96" s="56">
        <f ca="1">Production!H96</f>
        <v>4940592</v>
      </c>
      <c r="D96" s="26">
        <f ca="1">Production!J96</f>
        <v>291235</v>
      </c>
      <c r="E96" s="26">
        <f ca="1">Production!L96</f>
        <v>300000</v>
      </c>
      <c r="F96" s="57">
        <f ca="1">Production!M96</f>
        <v>20000</v>
      </c>
      <c r="G96" s="26"/>
      <c r="H96" s="56">
        <f ca="1">Military!Z96</f>
        <v>5295</v>
      </c>
      <c r="I96" s="538">
        <f ca="1">Population!I96</f>
        <v>1</v>
      </c>
      <c r="J96" s="165">
        <f ca="1">Population!F96/Population!U96</f>
        <v>1</v>
      </c>
      <c r="K96" s="1000">
        <f>Rezone!J96</f>
        <v>94</v>
      </c>
      <c r="L96" s="582">
        <f t="shared" si="58"/>
        <v>43768.968749999774</v>
      </c>
      <c r="M96" s="316">
        <f t="shared" si="67"/>
        <v>0</v>
      </c>
      <c r="N96" s="638">
        <f t="shared" si="46"/>
        <v>1000</v>
      </c>
      <c r="O96" s="423" t="s">
        <v>4</v>
      </c>
      <c r="P96" s="370"/>
      <c r="Q96" s="424" t="s">
        <v>223</v>
      </c>
      <c r="R96" s="423" t="s">
        <v>7</v>
      </c>
      <c r="S96" s="370"/>
      <c r="T96" s="425" t="s">
        <v>223</v>
      </c>
      <c r="U96" s="408" t="s">
        <v>3</v>
      </c>
      <c r="V96" s="407"/>
      <c r="W96" s="409" t="s">
        <v>223</v>
      </c>
      <c r="Y96" s="501">
        <f ca="1">science_cap*(1-EXP(-AH96/(science_param*($A97-Explore!$S97*20)+15000)))*(1+(mason_bonus*Construction!BB96/Construction!BS96))+IF(Overview!$B$14="Beastfolk",Construction!DA96/Construction!E96,0)*(1 + Production!O96/100*prestige_pop_multiplier)</f>
        <v>0</v>
      </c>
      <c r="Z96" s="454">
        <f ca="1">keep_cap*(1-EXP(-AI96/(keep_param*($A97-Explore!$S97*20)+15000)))*(1+(mason_bonus*Construction!BB96/Construction!BS96))+IF(Overview!$B$14="Beastfolk",Construction!DF96/Construction!E96,0)*(1 + Production!O96/100*prestige_pop_multiplier)</f>
        <v>0</v>
      </c>
      <c r="AA96" s="454">
        <f ca="1">harbor_towers_cap*(1-EXP(-AJ96/(harbor_towers_param*($A97-Explore!$S97*20)+15000)))*(1+(mason_bonus*Construction!BB96/Construction!BS96))+IF(Overview!$B$14="Beastfolk",2*Construction!DC96/Construction!E96,0)*(1 + Production!O96/100*prestige_pop_multiplier)</f>
        <v>0</v>
      </c>
      <c r="AB96" s="454">
        <f ca="1">walls_forges_cap*(1-EXP(-AK96/(walls_forges_param*($A97-Explore!$S97*20)+15000)))*(1+(mason_bonus*Construction!BB96/Construction!BS96))+IF(Overview!$B$14="Beastfolk",0.2*Construction!CY96/Construction!E96,0)</f>
        <v>0</v>
      </c>
      <c r="AC96" s="454">
        <f ca="1">walls_forges_cap*(1-EXP(-AL96/(walls_forges_param*($A97-Explore!$S97*20)+15000)))*(1+(mason_bonus*Construction!BB96/Construction!BS96))+IF(Overview!$B$14="Beastfolk",5*Construction!DB96/Construction!E96,0)</f>
        <v>0</v>
      </c>
      <c r="AD96" s="171">
        <f ca="1">harbor_towers_cap*(1-EXP(-AM96/(harbor_towers_param*($A97-Explore!$S97*20)+15000)))*(1+(mason_bonus*Construction!BB96/Construction!BS96))+IF(Overview!$B$14="Beastfolk",Construction!DE96/Construction!E96)*(1 + Production!O96/100*prestige_pop_multiplier)</f>
        <v>0</v>
      </c>
      <c r="AE96" s="171">
        <f ca="1">armory_cap*(1-EXP(-AN96/(armory_param*($A97-Explore!$S97*20)+15000)))*(1+(mason_bonus*Construction!$BB96/Construction!$BS96))</f>
        <v>0</v>
      </c>
      <c r="AF96" s="171">
        <f ca="1">infirmary_cap*(1-EXP(-AO96/(infirmary_param*($A97-Explore!$S97*20)+15000)))*(1+(mason_bonus*Construction!$BB96/Construction!$BS96))</f>
        <v>0</v>
      </c>
      <c r="AH96" s="56">
        <f ca="1">(1+Overview!$O$28+IF(Magic!BA96&gt;0,0.1,0))*SUM(AV96:AY96) + AH95</f>
        <v>0</v>
      </c>
      <c r="AI96" s="26">
        <f ca="1">(1+Overview!$O$28+IF(Magic!BA96&gt;0,0.1,0))*SUM(BA96:BD96) + AI95</f>
        <v>0</v>
      </c>
      <c r="AJ96" s="164">
        <f ca="1">(1+Overview!$O$28+IF(Magic!BA96&gt;0,0.1,0))*SUM(BF96:BI96) + AJ95</f>
        <v>0</v>
      </c>
      <c r="AK96" s="164">
        <f ca="1">(1+Overview!$O$28+IF(Magic!BA96&gt;0,0.1,0))*SUM(BK96:BN96) + AK95</f>
        <v>0</v>
      </c>
      <c r="AL96" s="164">
        <f ca="1">(1+Overview!$O$28+IF(Magic!BA96&gt;0,0.1,0))*SUM(BP96:BS96) + AL95</f>
        <v>0</v>
      </c>
      <c r="AM96" s="166">
        <f ca="1">(1+Overview!$O$28+IF(Magic!BA96&gt;0,0.1,0))*SUM(BU96:BX96) + AM95</f>
        <v>0</v>
      </c>
      <c r="AN96" s="166">
        <f ca="1">(1+Overview!$O$28+IF(Magic!BA96&gt;0,0.1,0))*SUM(BZ96:CC96)+AN95</f>
        <v>0</v>
      </c>
      <c r="AO96" s="164">
        <f ca="1">(1+Overview!$O$28+IF(Magic!BA96&gt;0,0.1,0))*SUM(CE96:CH96)+AO95</f>
        <v>0</v>
      </c>
      <c r="AQ96" s="52">
        <f t="shared" si="69"/>
        <v>0</v>
      </c>
      <c r="AR96" s="16">
        <f t="shared" si="69"/>
        <v>0</v>
      </c>
      <c r="AS96" s="16">
        <f t="shared" si="69"/>
        <v>0</v>
      </c>
      <c r="AT96" s="53">
        <f t="shared" si="69"/>
        <v>0</v>
      </c>
      <c r="AV96" s="56">
        <f t="shared" si="47"/>
        <v>0</v>
      </c>
      <c r="AW96" s="26">
        <f t="shared" si="70"/>
        <v>0</v>
      </c>
      <c r="AX96" s="26">
        <f t="shared" si="70"/>
        <v>0</v>
      </c>
      <c r="AY96" s="57">
        <f t="shared" si="48"/>
        <v>0</v>
      </c>
      <c r="BA96" s="56">
        <f t="shared" si="49"/>
        <v>0</v>
      </c>
      <c r="BB96" s="26">
        <f t="shared" si="71"/>
        <v>0</v>
      </c>
      <c r="BC96" s="26">
        <f t="shared" si="71"/>
        <v>0</v>
      </c>
      <c r="BD96" s="57">
        <f t="shared" si="50"/>
        <v>0</v>
      </c>
      <c r="BF96" s="56">
        <f t="shared" si="51"/>
        <v>0</v>
      </c>
      <c r="BG96" s="26">
        <f t="shared" si="52"/>
        <v>0</v>
      </c>
      <c r="BH96" s="26">
        <f t="shared" si="68"/>
        <v>0</v>
      </c>
      <c r="BI96" s="57">
        <f t="shared" si="53"/>
        <v>0</v>
      </c>
      <c r="BK96" s="56">
        <f t="shared" si="54"/>
        <v>0</v>
      </c>
      <c r="BL96" s="26">
        <f t="shared" si="72"/>
        <v>0</v>
      </c>
      <c r="BM96" s="26">
        <f t="shared" si="72"/>
        <v>0</v>
      </c>
      <c r="BN96" s="57">
        <f t="shared" si="55"/>
        <v>0</v>
      </c>
      <c r="BP96" s="56">
        <f t="shared" si="56"/>
        <v>0</v>
      </c>
      <c r="BQ96" s="26">
        <f t="shared" si="73"/>
        <v>0</v>
      </c>
      <c r="BR96" s="26">
        <f t="shared" si="73"/>
        <v>0</v>
      </c>
      <c r="BS96" s="57">
        <f t="shared" si="57"/>
        <v>0</v>
      </c>
      <c r="BU96" s="56">
        <f>IF($O96=BU$2,IF($Q96=$AD$2,$P96)) + IF($R96=BU$2,IF($T96=$AD$2,$S96)) + IF($U96=BU$2,IF($W96=$AD$2,$V96))</f>
        <v>0</v>
      </c>
      <c r="BV96" s="26">
        <f>IF($O96=BV$2,IF($Q96=$AD$2,2*$P96)) + IF($R96=BV$2,IF($T96=$AD$2,2*$S96)) + IF($U96=BV$2,IF($W96=$AD$2,2*$V96))</f>
        <v>0</v>
      </c>
      <c r="BW96" s="26">
        <f>IF($O96=BW$2,IF($Q96=$AD$2,2*$P96)) + IF($R96=BW$2,IF($T96=$AD$2,2*$S96)) + IF($U96=BW$2,IF($W96=$AD$2,2*$V96))</f>
        <v>0</v>
      </c>
      <c r="BX96" s="57">
        <f>IF($O96=BX$2,IF($Q96=$AD$2,12*$P96)) + IF($R96=BX$2,IF($T96=$AD$2,12*$S96)) + IF($U96=BX$2,IF($W96=$AD$2,12*$V96))</f>
        <v>0</v>
      </c>
      <c r="BZ96" s="56">
        <f>IF($O96=BZ$2,IF($Q96=Armory,$P96)) + IF($R96=BZ$2,IF($T96=Armory,$S96)) + IF($U96=BZ$2,IF($W96=Armory,$V96))</f>
        <v>0</v>
      </c>
      <c r="CA96" s="26">
        <f>IF($O96=CA$2,IF($Q96=Armory,2*$P96)) + IF($R96=CA$2,IF($T96=Armory,2*$S96)) + IF($U96=CA$2,IF($W96=Armory,2*$V96))</f>
        <v>0</v>
      </c>
      <c r="CB96" s="26">
        <f>IF($O96=CB$2,IF($Q96=Armory,2*$P96)) + IF($R96=CB$2,IF($T96=Armory,2*$S96)) + IF($U96=CB$2,IF($W96=Armory,2*$V96))</f>
        <v>0</v>
      </c>
      <c r="CC96" s="57">
        <f>IF($O96=CC$2,IF($Q96=Armory,12*$P96)) + IF($R96=CC$2,IF($T96=Armory,12*$S96)) + IF($U96=CC$2,IF($W96=Armory,12*$V96))</f>
        <v>0</v>
      </c>
      <c r="CE96" s="56">
        <f>IF($O96=CE$2,IF($Q96=Infirmary,$P96)) + IF($R96=CE$2,IF($T96=Infirmary,$S96)) + IF($U96=CE$2,IF($W96=Infirmary,$V96))</f>
        <v>0</v>
      </c>
      <c r="CF96" s="26">
        <f>IF($O96=CF$2,IF($Q96=Infirmary,2*$P96)) + IF($R96=CF$2,IF($T96=Infirmary,2*$S96)) + IF($U96=CF$2,IF($W96=Infirmary,2*$V96))</f>
        <v>0</v>
      </c>
      <c r="CG96" s="26">
        <f>IF($O96=CG$2,IF($Q96=Infirmary,2*$P96)) + IF($R96=CG$2,IF($T96=Infirmary,2*$S96)) + IF($U96=CG$2,IF($W96=Infirmary,2*$V96))</f>
        <v>0</v>
      </c>
      <c r="CH96" s="57">
        <f>IF($O96=CH$2,IF($Q96=Infirmary,12*$P96)) + IF($R96=CH$2,IF($T96=Infirmary,12*$S96)) + IF($U96=CH$2,IF($W96=Infirmary,12*$V96))</f>
        <v>0</v>
      </c>
      <c r="CJ96" s="52" t="e">
        <f>OR(Production!C96,Construction!N96:'Construction'!AF96,Construction!BV96:CN96,Explore!S96:Z96,Military!AF96:AL96,Military!X96,Military!BE96:BL96,Rezone!L96:R96,Magic!G96:Q96)</f>
        <v>#VALUE!</v>
      </c>
      <c r="CK96" s="525">
        <f>M96</f>
        <v>0</v>
      </c>
      <c r="CL96" s="525"/>
      <c r="CM96" s="555">
        <f t="shared" si="59"/>
        <v>43768.968749999774</v>
      </c>
      <c r="CN96" s="563">
        <f t="shared" si="60"/>
        <v>43768.80208333311</v>
      </c>
      <c r="CO96" s="527"/>
      <c r="CP96" s="803"/>
      <c r="CQ96" s="808"/>
      <c r="CR96" s="170"/>
    </row>
    <row r="97" spans="1:96" s="16" customFormat="1" x14ac:dyDescent="0.25">
      <c r="A97" s="511">
        <f>Construction!E97</f>
        <v>1000</v>
      </c>
      <c r="C97" s="56">
        <f ca="1">Production!H97</f>
        <v>4945573</v>
      </c>
      <c r="D97" s="26">
        <f ca="1">Production!J97</f>
        <v>290823</v>
      </c>
      <c r="E97" s="26">
        <f ca="1">Production!L97</f>
        <v>300000</v>
      </c>
      <c r="F97" s="57">
        <f ca="1">Production!M97</f>
        <v>20000</v>
      </c>
      <c r="G97" s="26"/>
      <c r="H97" s="56">
        <f ca="1">Military!Z97</f>
        <v>5295</v>
      </c>
      <c r="I97" s="538">
        <f ca="1">Population!I97</f>
        <v>1</v>
      </c>
      <c r="J97" s="165">
        <f ca="1">Population!F97/Population!U97</f>
        <v>1</v>
      </c>
      <c r="K97" s="1000">
        <f>Rezone!J97</f>
        <v>95</v>
      </c>
      <c r="L97" s="582">
        <f t="shared" si="58"/>
        <v>43768.979166666439</v>
      </c>
      <c r="M97" s="316">
        <f t="shared" si="67"/>
        <v>0</v>
      </c>
      <c r="N97" s="638">
        <f t="shared" si="46"/>
        <v>1000</v>
      </c>
      <c r="O97" s="423" t="s">
        <v>4</v>
      </c>
      <c r="P97" s="370"/>
      <c r="Q97" s="424" t="s">
        <v>223</v>
      </c>
      <c r="R97" s="423" t="s">
        <v>7</v>
      </c>
      <c r="S97" s="370"/>
      <c r="T97" s="425" t="s">
        <v>223</v>
      </c>
      <c r="U97" s="408" t="s">
        <v>3</v>
      </c>
      <c r="V97" s="407"/>
      <c r="W97" s="409" t="s">
        <v>223</v>
      </c>
      <c r="Y97" s="501">
        <f ca="1">science_cap*(1-EXP(-AH97/(science_param*($A98-Explore!$S98*20)+15000)))*(1+(mason_bonus*Construction!BB97/Construction!BS97))+IF(Overview!$B$14="Beastfolk",Construction!DA97/Construction!E97,0)*(1 + Production!O97/100*prestige_pop_multiplier)</f>
        <v>0</v>
      </c>
      <c r="Z97" s="454">
        <f ca="1">keep_cap*(1-EXP(-AI97/(keep_param*($A98-Explore!$S98*20)+15000)))*(1+(mason_bonus*Construction!BB97/Construction!BS97))+IF(Overview!$B$14="Beastfolk",Construction!DF97/Construction!E97,0)*(1 + Production!O97/100*prestige_pop_multiplier)</f>
        <v>0</v>
      </c>
      <c r="AA97" s="454">
        <f ca="1">harbor_towers_cap*(1-EXP(-AJ97/(harbor_towers_param*($A98-Explore!$S98*20)+15000)))*(1+(mason_bonus*Construction!BB97/Construction!BS97))+IF(Overview!$B$14="Beastfolk",2*Construction!DC97/Construction!E97,0)*(1 + Production!O97/100*prestige_pop_multiplier)</f>
        <v>0</v>
      </c>
      <c r="AB97" s="454">
        <f ca="1">walls_forges_cap*(1-EXP(-AK97/(walls_forges_param*($A98-Explore!$S98*20)+15000)))*(1+(mason_bonus*Construction!BB97/Construction!BS97))+IF(Overview!$B$14="Beastfolk",0.2*Construction!CY97/Construction!E97,0)</f>
        <v>0</v>
      </c>
      <c r="AC97" s="454">
        <f ca="1">walls_forges_cap*(1-EXP(-AL97/(walls_forges_param*($A98-Explore!$S98*20)+15000)))*(1+(mason_bonus*Construction!BB97/Construction!BS97))+IF(Overview!$B$14="Beastfolk",5*Construction!DB97/Construction!E97,0)</f>
        <v>0</v>
      </c>
      <c r="AD97" s="171">
        <f ca="1">harbor_towers_cap*(1-EXP(-AM97/(harbor_towers_param*($A98-Explore!$S98*20)+15000)))*(1+(mason_bonus*Construction!BB97/Construction!BS97))+IF(Overview!$B$14="Beastfolk",Construction!DE97/Construction!E97)*(1 + Production!O97/100*prestige_pop_multiplier)</f>
        <v>0</v>
      </c>
      <c r="AE97" s="171">
        <f ca="1">armory_cap*(1-EXP(-AN97/(armory_param*($A98-Explore!$S98*20)+15000)))*(1+(mason_bonus*Construction!$BB97/Construction!$BS97))</f>
        <v>0</v>
      </c>
      <c r="AF97" s="171">
        <f ca="1">infirmary_cap*(1-EXP(-AO97/(infirmary_param*($A98-Explore!$S98*20)+15000)))*(1+(mason_bonus*Construction!$BB97/Construction!$BS97))</f>
        <v>0</v>
      </c>
      <c r="AH97" s="56">
        <f ca="1">(1+Overview!$O$28+IF(Magic!BA97&gt;0,0.1,0))*SUM(AV97:AY97) + AH96</f>
        <v>0</v>
      </c>
      <c r="AI97" s="26">
        <f ca="1">(1+Overview!$O$28+IF(Magic!BA97&gt;0,0.1,0))*SUM(BA97:BD97) + AI96</f>
        <v>0</v>
      </c>
      <c r="AJ97" s="164">
        <f ca="1">(1+Overview!$O$28+IF(Magic!BA97&gt;0,0.1,0))*SUM(BF97:BI97) + AJ96</f>
        <v>0</v>
      </c>
      <c r="AK97" s="164">
        <f ca="1">(1+Overview!$O$28+IF(Magic!BA97&gt;0,0.1,0))*SUM(BK97:BN97) + AK96</f>
        <v>0</v>
      </c>
      <c r="AL97" s="164">
        <f ca="1">(1+Overview!$O$28+IF(Magic!BA97&gt;0,0.1,0))*SUM(BP97:BS97) + AL96</f>
        <v>0</v>
      </c>
      <c r="AM97" s="166">
        <f ca="1">(1+Overview!$O$28+IF(Magic!BA97&gt;0,0.1,0))*SUM(BU97:BX97) + AM96</f>
        <v>0</v>
      </c>
      <c r="AN97" s="166">
        <f ca="1">(1+Overview!$O$28+IF(Magic!BA97&gt;0,0.1,0))*SUM(BZ97:CC97)+AN96</f>
        <v>0</v>
      </c>
      <c r="AO97" s="164">
        <f ca="1">(1+Overview!$O$28+IF(Magic!BA97&gt;0,0.1,0))*SUM(CE97:CH97)+AO96</f>
        <v>0</v>
      </c>
      <c r="AQ97" s="52">
        <f t="shared" si="69"/>
        <v>0</v>
      </c>
      <c r="AR97" s="16">
        <f t="shared" si="69"/>
        <v>0</v>
      </c>
      <c r="AS97" s="16">
        <f t="shared" si="69"/>
        <v>0</v>
      </c>
      <c r="AT97" s="53">
        <f t="shared" si="69"/>
        <v>0</v>
      </c>
      <c r="AV97" s="56">
        <f t="shared" si="47"/>
        <v>0</v>
      </c>
      <c r="AW97" s="26">
        <f t="shared" si="70"/>
        <v>0</v>
      </c>
      <c r="AX97" s="26">
        <f t="shared" si="70"/>
        <v>0</v>
      </c>
      <c r="AY97" s="57">
        <f t="shared" si="48"/>
        <v>0</v>
      </c>
      <c r="BA97" s="56">
        <f t="shared" si="49"/>
        <v>0</v>
      </c>
      <c r="BB97" s="26">
        <f t="shared" si="71"/>
        <v>0</v>
      </c>
      <c r="BC97" s="26">
        <f t="shared" si="71"/>
        <v>0</v>
      </c>
      <c r="BD97" s="57">
        <f t="shared" si="50"/>
        <v>0</v>
      </c>
      <c r="BF97" s="56">
        <f t="shared" si="51"/>
        <v>0</v>
      </c>
      <c r="BG97" s="26">
        <f t="shared" si="52"/>
        <v>0</v>
      </c>
      <c r="BH97" s="26">
        <f t="shared" si="68"/>
        <v>0</v>
      </c>
      <c r="BI97" s="57">
        <f t="shared" si="53"/>
        <v>0</v>
      </c>
      <c r="BK97" s="56">
        <f t="shared" si="54"/>
        <v>0</v>
      </c>
      <c r="BL97" s="26">
        <f t="shared" si="72"/>
        <v>0</v>
      </c>
      <c r="BM97" s="26">
        <f t="shared" si="72"/>
        <v>0</v>
      </c>
      <c r="BN97" s="57">
        <f t="shared" si="55"/>
        <v>0</v>
      </c>
      <c r="BP97" s="56">
        <f t="shared" si="56"/>
        <v>0</v>
      </c>
      <c r="BQ97" s="26">
        <f t="shared" si="73"/>
        <v>0</v>
      </c>
      <c r="BR97" s="26">
        <f t="shared" si="73"/>
        <v>0</v>
      </c>
      <c r="BS97" s="57">
        <f t="shared" si="57"/>
        <v>0</v>
      </c>
      <c r="BU97" s="56">
        <f>IF($O97=BU$2,IF($Q97=$AD$2,$P97)) + IF($R97=BU$2,IF($T97=$AD$2,$S97)) + IF($U97=BU$2,IF($W97=$AD$2,$V97))</f>
        <v>0</v>
      </c>
      <c r="BV97" s="26">
        <f>IF($O97=BV$2,IF($Q97=$AD$2,2*$P97)) + IF($R97=BV$2,IF($T97=$AD$2,2*$S97)) + IF($U97=BV$2,IF($W97=$AD$2,2*$V97))</f>
        <v>0</v>
      </c>
      <c r="BW97" s="26">
        <f>IF($O97=BW$2,IF($Q97=$AD$2,2*$P97)) + IF($R97=BW$2,IF($T97=$AD$2,2*$S97)) + IF($U97=BW$2,IF($W97=$AD$2,2*$V97))</f>
        <v>0</v>
      </c>
      <c r="BX97" s="57">
        <f>IF($O97=BX$2,IF($Q97=$AD$2,12*$P97)) + IF($R97=BX$2,IF($T97=$AD$2,12*$S97)) + IF($U97=BX$2,IF($W97=$AD$2,12*$V97))</f>
        <v>0</v>
      </c>
      <c r="BZ97" s="56">
        <f>IF($O97=BZ$2,IF($Q97=Armory,$P97)) + IF($R97=BZ$2,IF($T97=Armory,$S97)) + IF($U97=BZ$2,IF($W97=Armory,$V97))</f>
        <v>0</v>
      </c>
      <c r="CA97" s="26">
        <f>IF($O97=CA$2,IF($Q97=Armory,2*$P97)) + IF($R97=CA$2,IF($T97=Armory,2*$S97)) + IF($U97=CA$2,IF($W97=Armory,2*$V97))</f>
        <v>0</v>
      </c>
      <c r="CB97" s="26">
        <f>IF($O97=CB$2,IF($Q97=Armory,2*$P97)) + IF($R97=CB$2,IF($T97=Armory,2*$S97)) + IF($U97=CB$2,IF($W97=Armory,2*$V97))</f>
        <v>0</v>
      </c>
      <c r="CC97" s="57">
        <f>IF($O97=CC$2,IF($Q97=Armory,12*$P97)) + IF($R97=CC$2,IF($T97=Armory,12*$S97)) + IF($U97=CC$2,IF($W97=Armory,12*$V97))</f>
        <v>0</v>
      </c>
      <c r="CE97" s="56">
        <f>IF($O97=CE$2,IF($Q97=Infirmary,$P97)) + IF($R97=CE$2,IF($T97=Infirmary,$S97)) + IF($U97=CE$2,IF($W97=Infirmary,$V97))</f>
        <v>0</v>
      </c>
      <c r="CF97" s="26">
        <f>IF($O97=CF$2,IF($Q97=Infirmary,2*$P97)) + IF($R97=CF$2,IF($T97=Infirmary,2*$S97)) + IF($U97=CF$2,IF($W97=Infirmary,2*$V97))</f>
        <v>0</v>
      </c>
      <c r="CG97" s="26">
        <f>IF($O97=CG$2,IF($Q97=Infirmary,2*$P97)) + IF($R97=CG$2,IF($T97=Infirmary,2*$S97)) + IF($U97=CG$2,IF($W97=Infirmary,2*$V97))</f>
        <v>0</v>
      </c>
      <c r="CH97" s="57">
        <f>IF($O97=CH$2,IF($Q97=Infirmary,12*$P97)) + IF($R97=CH$2,IF($T97=Infirmary,12*$S97)) + IF($U97=CH$2,IF($W97=Infirmary,12*$V97))</f>
        <v>0</v>
      </c>
      <c r="CJ97" s="52" t="e">
        <f>OR(Production!C97,Construction!N97:'Construction'!AF97,Construction!BV97:CN97,Explore!S97:Z97,Military!AF97:AL97,Military!X97,Military!BE97:BL97,Rezone!L97:R97,Magic!G97:Q97)</f>
        <v>#VALUE!</v>
      </c>
      <c r="CK97" s="525">
        <f>M97</f>
        <v>0</v>
      </c>
      <c r="CL97" s="525"/>
      <c r="CM97" s="555">
        <f t="shared" si="59"/>
        <v>43768.979166666439</v>
      </c>
      <c r="CN97" s="563">
        <f t="shared" si="60"/>
        <v>43768.812499999774</v>
      </c>
      <c r="CO97" s="527"/>
      <c r="CP97" s="803"/>
      <c r="CQ97" s="808"/>
      <c r="CR97" s="170"/>
    </row>
    <row r="98" spans="1:96" s="170" customFormat="1" ht="13.8" thickBot="1" x14ac:dyDescent="0.3">
      <c r="A98" s="508">
        <f>Construction!E98</f>
        <v>1000</v>
      </c>
      <c r="C98" s="152">
        <f ca="1">Production!H98</f>
        <v>4950554</v>
      </c>
      <c r="D98" s="164">
        <f ca="1">Production!J98</f>
        <v>290415</v>
      </c>
      <c r="E98" s="164">
        <f ca="1">Production!L98</f>
        <v>300000</v>
      </c>
      <c r="F98" s="166">
        <f ca="1">Production!M98</f>
        <v>20000</v>
      </c>
      <c r="G98" s="164"/>
      <c r="H98" s="152">
        <f ca="1">Military!Z98</f>
        <v>5295</v>
      </c>
      <c r="I98" s="538">
        <f ca="1">Population!I98</f>
        <v>1</v>
      </c>
      <c r="J98" s="165">
        <f ca="1">Population!F98/Population!U98</f>
        <v>1</v>
      </c>
      <c r="K98" s="1000">
        <f>Rezone!J98</f>
        <v>96</v>
      </c>
      <c r="L98" s="582">
        <f t="shared" si="58"/>
        <v>43768.989583333103</v>
      </c>
      <c r="M98" s="646">
        <f t="shared" si="67"/>
        <v>0</v>
      </c>
      <c r="N98" s="529">
        <f t="shared" si="46"/>
        <v>1000</v>
      </c>
      <c r="O98" s="406" t="s">
        <v>4</v>
      </c>
      <c r="P98" s="370"/>
      <c r="Q98" s="408" t="s">
        <v>223</v>
      </c>
      <c r="R98" s="423" t="s">
        <v>7</v>
      </c>
      <c r="S98" s="370"/>
      <c r="T98" s="408" t="s">
        <v>223</v>
      </c>
      <c r="U98" s="406" t="s">
        <v>3</v>
      </c>
      <c r="V98" s="407"/>
      <c r="W98" s="409" t="s">
        <v>223</v>
      </c>
      <c r="Y98" s="501">
        <f ca="1">science_cap*(1-EXP(-AH98/(science_param*($A99-Explore!$S99*20)+15000)))*(1+(mason_bonus*Construction!BB98/Construction!BS98))+IF(Overview!$B$14="Beastfolk",Construction!DA98/Construction!E98,0)*(1 + Production!O98/100*prestige_pop_multiplier)</f>
        <v>0</v>
      </c>
      <c r="Z98" s="454">
        <f ca="1">keep_cap*(1-EXP(-AI98/(keep_param*($A99-Explore!$S99*20)+15000)))*(1+(mason_bonus*Construction!BB98/Construction!BS98))+IF(Overview!$B$14="Beastfolk",Construction!DF98/Construction!E98,0)*(1 + Production!O98/100*prestige_pop_multiplier)</f>
        <v>0</v>
      </c>
      <c r="AA98" s="454">
        <f ca="1">harbor_towers_cap*(1-EXP(-AJ98/(harbor_towers_param*($A99-Explore!$S99*20)+15000)))*(1+(mason_bonus*Construction!BB98/Construction!BS98))+IF(Overview!$B$14="Beastfolk",2*Construction!DC98/Construction!E98,0)*(1 + Production!O98/100*prestige_pop_multiplier)</f>
        <v>0</v>
      </c>
      <c r="AB98" s="454">
        <f ca="1">walls_forges_cap*(1-EXP(-AK98/(walls_forges_param*($A99-Explore!$S99*20)+15000)))*(1+(mason_bonus*Construction!BB98/Construction!BS98))+IF(Overview!$B$14="Beastfolk",0.2*Construction!CY98/Construction!E98,0)</f>
        <v>0</v>
      </c>
      <c r="AC98" s="454">
        <f ca="1">walls_forges_cap*(1-EXP(-AL98/(walls_forges_param*($A99-Explore!$S99*20)+15000)))*(1+(mason_bonus*Construction!BB98/Construction!BS98))+IF(Overview!$B$14="Beastfolk",5*Construction!DB98/Construction!E98,0)</f>
        <v>0</v>
      </c>
      <c r="AD98" s="171">
        <f ca="1">harbor_towers_cap*(1-EXP(-AM98/(harbor_towers_param*($A99-Explore!$S99*20)+15000)))*(1+(mason_bonus*Construction!BB98/Construction!BS98))+IF(Overview!$B$14="Beastfolk",Construction!DE98/Construction!E98)*(1 + Production!O98/100*prestige_pop_multiplier)</f>
        <v>0</v>
      </c>
      <c r="AE98" s="171">
        <f ca="1">armory_cap*(1-EXP(-AN98/(armory_param*($A99-Explore!$S99*20)+15000)))*(1+(mason_bonus*Construction!$BB98/Construction!$BS98))</f>
        <v>0</v>
      </c>
      <c r="AF98" s="171">
        <f ca="1">infirmary_cap*(1-EXP(-AO98/(infirmary_param*($A99-Explore!$S99*20)+15000)))*(1+(mason_bonus*Construction!$BB98/Construction!$BS98))</f>
        <v>0</v>
      </c>
      <c r="AH98" s="56">
        <f ca="1">(1+Overview!$O$28+IF(Magic!BA98&gt;0,0.1,0))*SUM(AV98:AY98) + AH97</f>
        <v>0</v>
      </c>
      <c r="AI98" s="26">
        <f ca="1">(1+Overview!$O$28+IF(Magic!BA98&gt;0,0.1,0))*SUM(BA98:BD98) + AI97</f>
        <v>0</v>
      </c>
      <c r="AJ98" s="164">
        <f ca="1">(1+Overview!$O$28+IF(Magic!BA98&gt;0,0.1,0))*SUM(BF98:BI98) + AJ97</f>
        <v>0</v>
      </c>
      <c r="AK98" s="164">
        <f ca="1">(1+Overview!$O$28+IF(Magic!BA98&gt;0,0.1,0))*SUM(BK98:BN98) + AK97</f>
        <v>0</v>
      </c>
      <c r="AL98" s="164">
        <f ca="1">(1+Overview!$O$28+IF(Magic!BA98&gt;0,0.1,0))*SUM(BP98:BS98) + AL97</f>
        <v>0</v>
      </c>
      <c r="AM98" s="166">
        <f ca="1">(1+Overview!$O$28+IF(Magic!BA98&gt;0,0.1,0))*SUM(BU98:BX98) + AM97</f>
        <v>0</v>
      </c>
      <c r="AN98" s="166">
        <f ca="1">(1+Overview!$O$28+IF(Magic!BA98&gt;0,0.1,0))*SUM(BZ98:CC98)+AN97</f>
        <v>0</v>
      </c>
      <c r="AO98" s="164">
        <f ca="1">(1+Overview!$O$28+IF(Magic!BA98&gt;0,0.1,0))*SUM(CE98:CH98)+AO97</f>
        <v>0</v>
      </c>
      <c r="AQ98" s="156">
        <f t="shared" si="69"/>
        <v>0</v>
      </c>
      <c r="AR98" s="170">
        <f t="shared" si="69"/>
        <v>0</v>
      </c>
      <c r="AS98" s="170">
        <f t="shared" si="69"/>
        <v>0</v>
      </c>
      <c r="AT98" s="157">
        <f t="shared" si="69"/>
        <v>0</v>
      </c>
      <c r="AV98" s="152">
        <f t="shared" si="47"/>
        <v>0</v>
      </c>
      <c r="AW98" s="164">
        <f t="shared" si="70"/>
        <v>0</v>
      </c>
      <c r="AX98" s="164">
        <f t="shared" si="70"/>
        <v>0</v>
      </c>
      <c r="AY98" s="166">
        <f t="shared" si="48"/>
        <v>0</v>
      </c>
      <c r="BA98" s="152">
        <f t="shared" si="49"/>
        <v>0</v>
      </c>
      <c r="BB98" s="164">
        <f t="shared" si="71"/>
        <v>0</v>
      </c>
      <c r="BC98" s="164">
        <f t="shared" si="71"/>
        <v>0</v>
      </c>
      <c r="BD98" s="166">
        <f t="shared" si="50"/>
        <v>0</v>
      </c>
      <c r="BF98" s="152">
        <f t="shared" si="51"/>
        <v>0</v>
      </c>
      <c r="BG98" s="164">
        <f t="shared" si="52"/>
        <v>0</v>
      </c>
      <c r="BH98" s="164">
        <f t="shared" si="68"/>
        <v>0</v>
      </c>
      <c r="BI98" s="166">
        <f t="shared" si="53"/>
        <v>0</v>
      </c>
      <c r="BK98" s="152">
        <f t="shared" si="54"/>
        <v>0</v>
      </c>
      <c r="BL98" s="164">
        <f t="shared" si="72"/>
        <v>0</v>
      </c>
      <c r="BM98" s="164">
        <f t="shared" si="72"/>
        <v>0</v>
      </c>
      <c r="BN98" s="166">
        <f t="shared" si="55"/>
        <v>0</v>
      </c>
      <c r="BP98" s="152">
        <f t="shared" si="56"/>
        <v>0</v>
      </c>
      <c r="BQ98" s="164">
        <f t="shared" si="73"/>
        <v>0</v>
      </c>
      <c r="BR98" s="164">
        <f t="shared" si="73"/>
        <v>0</v>
      </c>
      <c r="BS98" s="166">
        <f t="shared" si="57"/>
        <v>0</v>
      </c>
      <c r="BU98" s="152">
        <f>IF($O98=BU$2,IF($Q98=$AD$2,$P98)) + IF($R98=BU$2,IF($T98=$AD$2,$S98)) + IF($U98=BU$2,IF($W98=$AD$2,$V98))</f>
        <v>0</v>
      </c>
      <c r="BV98" s="164">
        <f>IF($O98=BV$2,IF($Q98=$AD$2,2*$P98)) + IF($R98=BV$2,IF($T98=$AD$2,2*$S98)) + IF($U98=BV$2,IF($W98=$AD$2,2*$V98))</f>
        <v>0</v>
      </c>
      <c r="BW98" s="164">
        <f>IF($O98=BW$2,IF($Q98=$AD$2,2*$P98)) + IF($R98=BW$2,IF($T98=$AD$2,2*$S98)) + IF($U98=BW$2,IF($W98=$AD$2,2*$V98))</f>
        <v>0</v>
      </c>
      <c r="BX98" s="166">
        <f>IF($O98=BX$2,IF($Q98=$AD$2,12*$P98)) + IF($R98=BX$2,IF($T98=$AD$2,12*$S98)) + IF($U98=BX$2,IF($W98=$AD$2,12*$V98))</f>
        <v>0</v>
      </c>
      <c r="BZ98" s="152">
        <f>IF($O98=BZ$2,IF($Q98=Armory,$P98)) + IF($R98=BZ$2,IF($T98=Armory,$S98)) + IF($U98=BZ$2,IF($W98=Armory,$V98))</f>
        <v>0</v>
      </c>
      <c r="CA98" s="164">
        <f>IF($O98=CA$2,IF($Q98=Armory,2*$P98)) + IF($R98=CA$2,IF($T98=Armory,2*$S98)) + IF($U98=CA$2,IF($W98=Armory,2*$V98))</f>
        <v>0</v>
      </c>
      <c r="CB98" s="164">
        <f>IF($O98=CB$2,IF($Q98=Armory,2*$P98)) + IF($R98=CB$2,IF($T98=Armory,2*$S98)) + IF($U98=CB$2,IF($W98=Armory,2*$V98))</f>
        <v>0</v>
      </c>
      <c r="CC98" s="166">
        <f>IF($O98=CC$2,IF($Q98=Armory,12*$P98)) + IF($R98=CC$2,IF($T98=Armory,12*$S98)) + IF($U98=CC$2,IF($W98=Armory,12*$V98))</f>
        <v>0</v>
      </c>
      <c r="CE98" s="152">
        <f>IF($O98=CE$2,IF($Q98=Infirmary,$P98)) + IF($R98=CE$2,IF($T98=Infirmary,$S98)) + IF($U98=CE$2,IF($W98=Infirmary,$V98))</f>
        <v>0</v>
      </c>
      <c r="CF98" s="164">
        <f>IF($O98=CF$2,IF($Q98=Infirmary,2*$P98)) + IF($R98=CF$2,IF($T98=Infirmary,2*$S98)) + IF($U98=CF$2,IF($W98=Infirmary,2*$V98))</f>
        <v>0</v>
      </c>
      <c r="CG98" s="164">
        <f>IF($O98=CG$2,IF($Q98=Infirmary,2*$P98)) + IF($R98=CG$2,IF($T98=Infirmary,2*$S98)) + IF($U98=CG$2,IF($W98=Infirmary,2*$V98))</f>
        <v>0</v>
      </c>
      <c r="CH98" s="166">
        <f>IF($O98=CH$2,IF($Q98=Infirmary,12*$P98)) + IF($R98=CH$2,IF($T98=Infirmary,12*$S98)) + IF($U98=CH$2,IF($W98=Infirmary,12*$V98))</f>
        <v>0</v>
      </c>
      <c r="CJ98" s="156" t="e">
        <f>OR(Production!C98,Construction!N98:'Construction'!AF98,Construction!BV98:CN98,Explore!S98:Z98,Military!AF98:AL98,Military!X98,Military!BE98:BL98,Rezone!L98:R98,Magic!G98:Q98)</f>
        <v>#VALUE!</v>
      </c>
      <c r="CK98" s="546">
        <f>M98</f>
        <v>0</v>
      </c>
      <c r="CL98" s="546"/>
      <c r="CM98" s="552">
        <f t="shared" si="59"/>
        <v>43768.989583333103</v>
      </c>
      <c r="CN98" s="560">
        <f t="shared" si="60"/>
        <v>43768.822916666439</v>
      </c>
      <c r="CO98" s="627"/>
      <c r="CP98" s="803"/>
      <c r="CQ98" s="770"/>
    </row>
    <row r="99" spans="1:96" s="173" customFormat="1" ht="13.8" thickBot="1" x14ac:dyDescent="0.3">
      <c r="A99" s="510">
        <f>Construction!E99</f>
        <v>1000</v>
      </c>
      <c r="C99" s="175">
        <f ca="1">Production!H99</f>
        <v>4955535</v>
      </c>
      <c r="D99" s="174">
        <f ca="1">Production!J99</f>
        <v>290011</v>
      </c>
      <c r="E99" s="174">
        <f ca="1">Production!L99</f>
        <v>300000</v>
      </c>
      <c r="F99" s="179">
        <f ca="1">Production!M99</f>
        <v>20000</v>
      </c>
      <c r="G99" s="174"/>
      <c r="H99" s="175">
        <f ca="1">Military!Z99</f>
        <v>5295</v>
      </c>
      <c r="I99" s="539">
        <f ca="1">Population!I99</f>
        <v>1</v>
      </c>
      <c r="J99" s="176">
        <f ca="1">Population!F99/Population!U99</f>
        <v>1</v>
      </c>
      <c r="K99" s="1002">
        <f>Rezone!J99</f>
        <v>97</v>
      </c>
      <c r="L99" s="583">
        <f t="shared" si="58"/>
        <v>43768.999999999767</v>
      </c>
      <c r="M99" s="647">
        <f t="shared" si="67"/>
        <v>0</v>
      </c>
      <c r="N99" s="639">
        <f t="shared" si="46"/>
        <v>1000</v>
      </c>
      <c r="O99" s="416" t="s">
        <v>4</v>
      </c>
      <c r="P99" s="506"/>
      <c r="Q99" s="418" t="s">
        <v>223</v>
      </c>
      <c r="R99" s="813" t="s">
        <v>7</v>
      </c>
      <c r="S99" s="506"/>
      <c r="T99" s="418" t="s">
        <v>223</v>
      </c>
      <c r="U99" s="416" t="s">
        <v>3</v>
      </c>
      <c r="V99" s="417"/>
      <c r="W99" s="419" t="s">
        <v>223</v>
      </c>
      <c r="Y99" s="502">
        <f ca="1">science_cap*(1-EXP(-AH99/(science_param*($A100-Explore!$S100*20)+15000)))*(1+(mason_bonus*Construction!BB99/Construction!BS99))+IF(Overview!$B$14="Beastfolk",Construction!DA99/Construction!E99,0)*(1 + Production!O99/100*prestige_pop_multiplier)</f>
        <v>0</v>
      </c>
      <c r="Z99" s="455">
        <f ca="1">keep_cap*(1-EXP(-AI99/(keep_param*($A100-Explore!$S100*20)+15000)))*(1+(mason_bonus*Construction!BB99/Construction!BS99))+IF(Overview!$B$14="Beastfolk",Construction!DF99/Construction!E99,0)*(1 + Production!O99/100*prestige_pop_multiplier)</f>
        <v>0</v>
      </c>
      <c r="AA99" s="455">
        <f ca="1">harbor_towers_cap*(1-EXP(-AJ99/(harbor_towers_param*($A100-Explore!$S100*20)+15000)))*(1+(mason_bonus*Construction!BB99/Construction!BS99))+IF(Overview!$B$14="Beastfolk",2*Construction!DC99/Construction!E99,0)*(1 + Production!O99/100*prestige_pop_multiplier)</f>
        <v>0</v>
      </c>
      <c r="AB99" s="455">
        <f ca="1">walls_forges_cap*(1-EXP(-AK99/(walls_forges_param*($A100-Explore!$S100*20)+15000)))*(1+(mason_bonus*Construction!BB99/Construction!BS99))+IF(Overview!$B$14="Beastfolk",0.2*Construction!CY99/Construction!E99,0)</f>
        <v>0</v>
      </c>
      <c r="AC99" s="455">
        <f ca="1">walls_forges_cap*(1-EXP(-AL99/(walls_forges_param*($A100-Explore!$S100*20)+15000)))*(1+(mason_bonus*Construction!BB99/Construction!BS99))+IF(Overview!$B$14="Beastfolk",5*Construction!DB99/Construction!E99,0)</f>
        <v>0</v>
      </c>
      <c r="AD99" s="183">
        <f ca="1">harbor_towers_cap*(1-EXP(-AM99/(harbor_towers_param*($A100-Explore!$S100*20)+15000)))*(1+(mason_bonus*Construction!BB99/Construction!BS99))+IF(Overview!$B$14="Beastfolk",Construction!DE99/Construction!E99)*(1 + Production!O99/100*prestige_pop_multiplier)</f>
        <v>0</v>
      </c>
      <c r="AE99" s="183">
        <f ca="1">armory_cap*(1-EXP(-AN99/(armory_param*($A100-Explore!$S100*20)+15000)))*(1+(mason_bonus*Construction!$BB99/Construction!$BS99))</f>
        <v>0</v>
      </c>
      <c r="AF99" s="183">
        <f ca="1">infirmary_cap*(1-EXP(-AO99/(infirmary_param*($A100-Explore!$S100*20)+15000)))*(1+(mason_bonus*Construction!$BB99/Construction!$BS99))</f>
        <v>0</v>
      </c>
      <c r="AH99" s="1169">
        <f ca="1">(1+Overview!$O$28+IF(Magic!BA99&gt;0,0.1,0))*SUM(AV99:AY99) + AH98</f>
        <v>0</v>
      </c>
      <c r="AI99" s="279">
        <f ca="1">(1+Overview!$O$28+IF(Magic!BA99&gt;0,0.1,0))*SUM(BA99:BD99) + AI98</f>
        <v>0</v>
      </c>
      <c r="AJ99" s="174">
        <f ca="1">(1+Overview!$O$28+IF(Magic!BA99&gt;0,0.1,0))*SUM(BF99:BI99) + AJ98</f>
        <v>0</v>
      </c>
      <c r="AK99" s="174">
        <f ca="1">(1+Overview!$O$28+IF(Magic!BA99&gt;0,0.1,0))*SUM(BK99:BN99) + AK98</f>
        <v>0</v>
      </c>
      <c r="AL99" s="174">
        <f ca="1">(1+Overview!$O$28+IF(Magic!BA99&gt;0,0.1,0))*SUM(BP99:BS99) + AL98</f>
        <v>0</v>
      </c>
      <c r="AM99" s="179">
        <f ca="1">(1+Overview!$O$28+IF(Magic!BA99&gt;0,0.1,0))*SUM(BU99:BX99) + AM98</f>
        <v>0</v>
      </c>
      <c r="AN99" s="179">
        <f ca="1">(1+Overview!$O$28+IF(Magic!BA99&gt;0,0.1,0))*SUM(BZ99:CC99)+AN98</f>
        <v>0</v>
      </c>
      <c r="AO99" s="174">
        <f ca="1">(1+Overview!$O$28+IF(Magic!BA99&gt;0,0.1,0))*SUM(CE99:CH99)+AO98</f>
        <v>0</v>
      </c>
      <c r="AQ99" s="177">
        <f t="shared" si="69"/>
        <v>0</v>
      </c>
      <c r="AR99" s="173">
        <f t="shared" si="69"/>
        <v>0</v>
      </c>
      <c r="AS99" s="173">
        <f t="shared" si="69"/>
        <v>0</v>
      </c>
      <c r="AT99" s="178">
        <f t="shared" si="69"/>
        <v>0</v>
      </c>
      <c r="AV99" s="175">
        <f t="shared" si="47"/>
        <v>0</v>
      </c>
      <c r="AW99" s="174">
        <f t="shared" si="70"/>
        <v>0</v>
      </c>
      <c r="AX99" s="174">
        <f t="shared" si="70"/>
        <v>0</v>
      </c>
      <c r="AY99" s="179">
        <f t="shared" si="48"/>
        <v>0</v>
      </c>
      <c r="BA99" s="175">
        <f t="shared" si="49"/>
        <v>0</v>
      </c>
      <c r="BB99" s="174">
        <f t="shared" si="71"/>
        <v>0</v>
      </c>
      <c r="BC99" s="174">
        <f t="shared" si="71"/>
        <v>0</v>
      </c>
      <c r="BD99" s="179">
        <f t="shared" si="50"/>
        <v>0</v>
      </c>
      <c r="BF99" s="175">
        <f t="shared" si="51"/>
        <v>0</v>
      </c>
      <c r="BG99" s="174">
        <f t="shared" si="52"/>
        <v>0</v>
      </c>
      <c r="BH99" s="174">
        <f t="shared" si="68"/>
        <v>0</v>
      </c>
      <c r="BI99" s="179">
        <f t="shared" si="53"/>
        <v>0</v>
      </c>
      <c r="BK99" s="175">
        <f t="shared" si="54"/>
        <v>0</v>
      </c>
      <c r="BL99" s="174">
        <f t="shared" si="72"/>
        <v>0</v>
      </c>
      <c r="BM99" s="174">
        <f t="shared" si="72"/>
        <v>0</v>
      </c>
      <c r="BN99" s="179">
        <f t="shared" si="55"/>
        <v>0</v>
      </c>
      <c r="BP99" s="175">
        <f t="shared" si="56"/>
        <v>0</v>
      </c>
      <c r="BQ99" s="174">
        <f t="shared" si="73"/>
        <v>0</v>
      </c>
      <c r="BR99" s="174">
        <f t="shared" si="73"/>
        <v>0</v>
      </c>
      <c r="BS99" s="179">
        <f t="shared" si="57"/>
        <v>0</v>
      </c>
      <c r="BU99" s="175">
        <f>IF($O99=BU$2,IF($Q99=$AD$2,$P99)) + IF($R99=BU$2,IF($T99=$AD$2,$S99)) + IF($U99=BU$2,IF($W99=$AD$2,$V99))</f>
        <v>0</v>
      </c>
      <c r="BV99" s="174">
        <f>IF($O99=BV$2,IF($Q99=$AD$2,2*$P99)) + IF($R99=BV$2,IF($T99=$AD$2,2*$S99)) + IF($U99=BV$2,IF($W99=$AD$2,2*$V99))</f>
        <v>0</v>
      </c>
      <c r="BW99" s="174">
        <f>IF($O99=BW$2,IF($Q99=$AD$2,2*$P99)) + IF($R99=BW$2,IF($T99=$AD$2,2*$S99)) + IF($U99=BW$2,IF($W99=$AD$2,2*$V99))</f>
        <v>0</v>
      </c>
      <c r="BX99" s="179">
        <f>IF($O99=BX$2,IF($Q99=$AD$2,12*$P99)) + IF($R99=BX$2,IF($T99=$AD$2,12*$S99)) + IF($U99=BX$2,IF($W99=$AD$2,12*$V99))</f>
        <v>0</v>
      </c>
      <c r="BZ99" s="175">
        <f>IF($O99=BZ$2,IF($Q99=Armory,$P99)) + IF($R99=BZ$2,IF($T99=Armory,$S99)) + IF($U99=BZ$2,IF($W99=Armory,$V99))</f>
        <v>0</v>
      </c>
      <c r="CA99" s="174">
        <f>IF($O99=CA$2,IF($Q99=Armory,2*$P99)) + IF($R99=CA$2,IF($T99=Armory,2*$S99)) + IF($U99=CA$2,IF($W99=Armory,2*$V99))</f>
        <v>0</v>
      </c>
      <c r="CB99" s="174">
        <f>IF($O99=CB$2,IF($Q99=Armory,2*$P99)) + IF($R99=CB$2,IF($T99=Armory,2*$S99)) + IF($U99=CB$2,IF($W99=Armory,2*$V99))</f>
        <v>0</v>
      </c>
      <c r="CC99" s="179">
        <f>IF($O99=CC$2,IF($Q99=Armory,12*$P99)) + IF($R99=CC$2,IF($T99=Armory,12*$S99)) + IF($U99=CC$2,IF($W99=Armory,12*$V99))</f>
        <v>0</v>
      </c>
      <c r="CE99" s="175">
        <f>IF($O99=CE$2,IF($Q99=Infirmary,$P99)) + IF($R99=CE$2,IF($T99=Infirmary,$S99)) + IF($U99=CE$2,IF($W99=Infirmary,$V99))</f>
        <v>0</v>
      </c>
      <c r="CF99" s="174">
        <f>IF($O99=CF$2,IF($Q99=Infirmary,2*$P99)) + IF($R99=CF$2,IF($T99=Infirmary,2*$S99)) + IF($U99=CF$2,IF($W99=Infirmary,2*$V99))</f>
        <v>0</v>
      </c>
      <c r="CG99" s="174">
        <f>IF($O99=CG$2,IF($Q99=Infirmary,2*$P99)) + IF($R99=CG$2,IF($T99=Infirmary,2*$S99)) + IF($U99=CG$2,IF($W99=Infirmary,2*$V99))</f>
        <v>0</v>
      </c>
      <c r="CH99" s="179">
        <f>IF($O99=CH$2,IF($Q99=Infirmary,12*$P99)) + IF($R99=CH$2,IF($T99=Infirmary,12*$S99)) + IF($U99=CH$2,IF($W99=Infirmary,12*$V99))</f>
        <v>0</v>
      </c>
      <c r="CJ99" s="177" t="e">
        <f>OR(Production!C99,Construction!N99:'Construction'!AF99,Construction!BV99:CN99,Explore!S99:Z99,Military!AF99:AL99,Military!X99,Military!BE99:BL99,Rezone!L99:R99,Magic!G99:Q99)</f>
        <v>#VALUE!</v>
      </c>
      <c r="CK99" s="548">
        <f>M99</f>
        <v>0</v>
      </c>
      <c r="CL99" s="548"/>
      <c r="CM99" s="554">
        <f t="shared" si="59"/>
        <v>43768.999999999767</v>
      </c>
      <c r="CN99" s="562">
        <f t="shared" si="60"/>
        <v>43768.833333333103</v>
      </c>
      <c r="CO99" s="628"/>
      <c r="CP99" s="806"/>
      <c r="CQ99" s="771"/>
    </row>
    <row r="100" spans="1:96" s="170" customFormat="1" x14ac:dyDescent="0.25">
      <c r="A100" s="508">
        <f>Construction!E100</f>
        <v>1000</v>
      </c>
      <c r="C100" s="152">
        <f ca="1">Production!H100</f>
        <v>4960516</v>
      </c>
      <c r="D100" s="164">
        <f ca="1">Production!J100</f>
        <v>289611</v>
      </c>
      <c r="E100" s="164">
        <f ca="1">Production!L100</f>
        <v>300000</v>
      </c>
      <c r="F100" s="166">
        <f ca="1">Production!M100</f>
        <v>20000</v>
      </c>
      <c r="G100" s="164"/>
      <c r="H100" s="152">
        <f ca="1">Military!Z100</f>
        <v>5295</v>
      </c>
      <c r="I100" s="538">
        <f ca="1">Population!I100</f>
        <v>1</v>
      </c>
      <c r="J100" s="165">
        <f ca="1">Population!F100/Population!U100</f>
        <v>1</v>
      </c>
      <c r="K100" s="1000">
        <f>Rezone!J100</f>
        <v>98</v>
      </c>
      <c r="L100" s="582">
        <f t="shared" si="58"/>
        <v>43769.010416666431</v>
      </c>
      <c r="M100" s="646">
        <f t="shared" si="67"/>
        <v>0</v>
      </c>
      <c r="N100" s="529">
        <f t="shared" si="46"/>
        <v>1000</v>
      </c>
      <c r="O100" s="406" t="s">
        <v>4</v>
      </c>
      <c r="P100" s="370"/>
      <c r="Q100" s="408" t="s">
        <v>223</v>
      </c>
      <c r="R100" s="423" t="s">
        <v>7</v>
      </c>
      <c r="S100" s="370"/>
      <c r="T100" s="408" t="s">
        <v>223</v>
      </c>
      <c r="U100" s="420" t="s">
        <v>3</v>
      </c>
      <c r="V100" s="421"/>
      <c r="W100" s="422" t="s">
        <v>223</v>
      </c>
      <c r="Y100" s="501">
        <f ca="1">science_cap*(1-EXP(-AH100/(science_param*($A101-Explore!$S101*20)+15000)))*(1+(mason_bonus*Construction!BB100/Construction!BS100))+IF(Overview!$B$14="Beastfolk",Construction!DA100/Construction!E100,0)*(1 + Production!O100/100*prestige_pop_multiplier)</f>
        <v>0</v>
      </c>
      <c r="Z100" s="454">
        <f ca="1">keep_cap*(1-EXP(-AI100/(keep_param*($A101-Explore!$S101*20)+15000)))*(1+(mason_bonus*Construction!BB100/Construction!BS100))+IF(Overview!$B$14="Beastfolk",Construction!DF100/Construction!E100,0)*(1 + Production!O100/100*prestige_pop_multiplier)</f>
        <v>0</v>
      </c>
      <c r="AA100" s="454">
        <f ca="1">harbor_towers_cap*(1-EXP(-AJ100/(harbor_towers_param*($A101-Explore!$S101*20)+15000)))*(1+(mason_bonus*Construction!BB100/Construction!BS100))+IF(Overview!$B$14="Beastfolk",2*Construction!DC100/Construction!E100,0)*(1 + Production!O100/100*prestige_pop_multiplier)</f>
        <v>0</v>
      </c>
      <c r="AB100" s="454">
        <f ca="1">walls_forges_cap*(1-EXP(-AK100/(walls_forges_param*($A101-Explore!$S101*20)+15000)))*(1+(mason_bonus*Construction!BB100/Construction!BS100))+IF(Overview!$B$14="Beastfolk",0.2*Construction!CY100/Construction!E100,0)</f>
        <v>0</v>
      </c>
      <c r="AC100" s="454">
        <f ca="1">walls_forges_cap*(1-EXP(-AL100/(walls_forges_param*($A101-Explore!$S101*20)+15000)))*(1+(mason_bonus*Construction!BB100/Construction!BS100))+IF(Overview!$B$14="Beastfolk",5*Construction!DB100/Construction!E100,0)</f>
        <v>0</v>
      </c>
      <c r="AD100" s="171">
        <f ca="1">harbor_towers_cap*(1-EXP(-AM100/(harbor_towers_param*($A101-Explore!$S101*20)+15000)))*(1+(mason_bonus*Construction!BB100/Construction!BS100))+IF(Overview!$B$14="Beastfolk",Construction!DE100/Construction!E100)*(1 + Production!O100/100*prestige_pop_multiplier)</f>
        <v>0</v>
      </c>
      <c r="AE100" s="171">
        <f ca="1">armory_cap*(1-EXP(-AN100/(armory_param*($A101-Explore!$S101*20)+15000)))*(1+(mason_bonus*Construction!$BB100/Construction!$BS100))</f>
        <v>0</v>
      </c>
      <c r="AF100" s="171">
        <f ca="1">infirmary_cap*(1-EXP(-AO100/(infirmary_param*($A101-Explore!$S101*20)+15000)))*(1+(mason_bonus*Construction!$BB100/Construction!$BS100))</f>
        <v>0</v>
      </c>
      <c r="AH100" s="56">
        <f ca="1">(1+Overview!$O$28+IF(Magic!BA100&gt;0,0.1,0))*SUM(AV100:AY100) + AH99</f>
        <v>0</v>
      </c>
      <c r="AI100" s="26">
        <f ca="1">(1+Overview!$O$28+IF(Magic!BA100&gt;0,0.1,0))*SUM(BA100:BD100) + AI99</f>
        <v>0</v>
      </c>
      <c r="AJ100" s="164">
        <f ca="1">(1+Overview!$O$28+IF(Magic!BA100&gt;0,0.1,0))*SUM(BF100:BI100) + AJ99</f>
        <v>0</v>
      </c>
      <c r="AK100" s="164">
        <f ca="1">(1+Overview!$O$28+IF(Magic!BA100&gt;0,0.1,0))*SUM(BK100:BN100) + AK99</f>
        <v>0</v>
      </c>
      <c r="AL100" s="164">
        <f ca="1">(1+Overview!$O$28+IF(Magic!BA100&gt;0,0.1,0))*SUM(BP100:BS100) + AL99</f>
        <v>0</v>
      </c>
      <c r="AM100" s="166">
        <f ca="1">(1+Overview!$O$28+IF(Magic!BA100&gt;0,0.1,0))*SUM(BU100:BX100) + AM99</f>
        <v>0</v>
      </c>
      <c r="AN100" s="166">
        <f ca="1">(1+Overview!$O$28+IF(Magic!BA100&gt;0,0.1,0))*SUM(BZ100:CC100)+AN99</f>
        <v>0</v>
      </c>
      <c r="AO100" s="164">
        <f ca="1">(1+Overview!$O$28+IF(Magic!BA100&gt;0,0.1,0))*SUM(CE100:CH100)+AO99</f>
        <v>0</v>
      </c>
      <c r="AQ100" s="156">
        <f t="shared" si="69"/>
        <v>0</v>
      </c>
      <c r="AR100" s="170">
        <f t="shared" si="69"/>
        <v>0</v>
      </c>
      <c r="AS100" s="170">
        <f t="shared" si="69"/>
        <v>0</v>
      </c>
      <c r="AT100" s="157">
        <f t="shared" si="69"/>
        <v>0</v>
      </c>
      <c r="AV100" s="152">
        <f t="shared" si="47"/>
        <v>0</v>
      </c>
      <c r="AW100" s="164">
        <f t="shared" si="70"/>
        <v>0</v>
      </c>
      <c r="AX100" s="164">
        <f t="shared" si="70"/>
        <v>0</v>
      </c>
      <c r="AY100" s="166">
        <f t="shared" si="48"/>
        <v>0</v>
      </c>
      <c r="BA100" s="152">
        <f t="shared" si="49"/>
        <v>0</v>
      </c>
      <c r="BB100" s="164">
        <f t="shared" si="71"/>
        <v>0</v>
      </c>
      <c r="BC100" s="164">
        <f t="shared" si="71"/>
        <v>0</v>
      </c>
      <c r="BD100" s="166">
        <f t="shared" si="50"/>
        <v>0</v>
      </c>
      <c r="BF100" s="152">
        <f t="shared" si="51"/>
        <v>0</v>
      </c>
      <c r="BG100" s="164">
        <f t="shared" si="52"/>
        <v>0</v>
      </c>
      <c r="BH100" s="164">
        <f t="shared" si="68"/>
        <v>0</v>
      </c>
      <c r="BI100" s="166">
        <f t="shared" si="53"/>
        <v>0</v>
      </c>
      <c r="BK100" s="152">
        <f t="shared" si="54"/>
        <v>0</v>
      </c>
      <c r="BL100" s="164">
        <f t="shared" si="72"/>
        <v>0</v>
      </c>
      <c r="BM100" s="164">
        <f t="shared" si="72"/>
        <v>0</v>
      </c>
      <c r="BN100" s="166">
        <f t="shared" si="55"/>
        <v>0</v>
      </c>
      <c r="BP100" s="152">
        <f t="shared" si="56"/>
        <v>0</v>
      </c>
      <c r="BQ100" s="164">
        <f t="shared" si="73"/>
        <v>0</v>
      </c>
      <c r="BR100" s="164">
        <f t="shared" si="73"/>
        <v>0</v>
      </c>
      <c r="BS100" s="166">
        <f t="shared" si="57"/>
        <v>0</v>
      </c>
      <c r="BU100" s="152">
        <f>IF($O100=BU$2,IF($Q100=$AD$2,$P100)) + IF($R100=BU$2,IF($T100=$AD$2,$S100)) + IF($U100=BU$2,IF($W100=$AD$2,$V100))</f>
        <v>0</v>
      </c>
      <c r="BV100" s="164">
        <f>IF($O100=BV$2,IF($Q100=$AD$2,2*$P100)) + IF($R100=BV$2,IF($T100=$AD$2,2*$S100)) + IF($U100=BV$2,IF($W100=$AD$2,2*$V100))</f>
        <v>0</v>
      </c>
      <c r="BW100" s="164">
        <f>IF($O100=BW$2,IF($Q100=$AD$2,2*$P100)) + IF($R100=BW$2,IF($T100=$AD$2,2*$S100)) + IF($U100=BW$2,IF($W100=$AD$2,2*$V100))</f>
        <v>0</v>
      </c>
      <c r="BX100" s="166">
        <f>IF($O100=BX$2,IF($Q100=$AD$2,12*$P100)) + IF($R100=BX$2,IF($T100=$AD$2,12*$S100)) + IF($U100=BX$2,IF($W100=$AD$2,12*$V100))</f>
        <v>0</v>
      </c>
      <c r="BZ100" s="152">
        <f>IF($O100=BZ$2,IF($Q100=Armory,$P100)) + IF($R100=BZ$2,IF($T100=Armory,$S100)) + IF($U100=BZ$2,IF($W100=Armory,$V100))</f>
        <v>0</v>
      </c>
      <c r="CA100" s="164">
        <f>IF($O100=CA$2,IF($Q100=Armory,2*$P100)) + IF($R100=CA$2,IF($T100=Armory,2*$S100)) + IF($U100=CA$2,IF($W100=Armory,2*$V100))</f>
        <v>0</v>
      </c>
      <c r="CB100" s="164">
        <f>IF($O100=CB$2,IF($Q100=Armory,2*$P100)) + IF($R100=CB$2,IF($T100=Armory,2*$S100)) + IF($U100=CB$2,IF($W100=Armory,2*$V100))</f>
        <v>0</v>
      </c>
      <c r="CC100" s="166">
        <f>IF($O100=CC$2,IF($Q100=Armory,12*$P100)) + IF($R100=CC$2,IF($T100=Armory,12*$S100)) + IF($U100=CC$2,IF($W100=Armory,12*$V100))</f>
        <v>0</v>
      </c>
      <c r="CE100" s="152">
        <f>IF($O100=CE$2,IF($Q100=Infirmary,$P100)) + IF($R100=CE$2,IF($T100=Infirmary,$S100)) + IF($U100=CE$2,IF($W100=Infirmary,$V100))</f>
        <v>0</v>
      </c>
      <c r="CF100" s="164">
        <f>IF($O100=CF$2,IF($Q100=Infirmary,2*$P100)) + IF($R100=CF$2,IF($T100=Infirmary,2*$S100)) + IF($U100=CF$2,IF($W100=Infirmary,2*$V100))</f>
        <v>0</v>
      </c>
      <c r="CG100" s="164">
        <f>IF($O100=CG$2,IF($Q100=Infirmary,2*$P100)) + IF($R100=CG$2,IF($T100=Infirmary,2*$S100)) + IF($U100=CG$2,IF($W100=Infirmary,2*$V100))</f>
        <v>0</v>
      </c>
      <c r="CH100" s="166">
        <f>IF($O100=CH$2,IF($Q100=Infirmary,12*$P100)) + IF($R100=CH$2,IF($T100=Infirmary,12*$S100)) + IF($U100=CH$2,IF($W100=Infirmary,12*$V100))</f>
        <v>0</v>
      </c>
      <c r="CJ100" s="156" t="e">
        <f>OR(Production!C100,Construction!N100:'Construction'!AF100,Construction!BV100:CN100,Explore!S100:Z100,Military!AF100:AL100,Military!X100,Military!BE100:BL100,Rezone!L100:R100,Magic!G100:Q100)</f>
        <v>#VALUE!</v>
      </c>
      <c r="CK100" s="546">
        <f>M100</f>
        <v>0</v>
      </c>
      <c r="CL100" s="546"/>
      <c r="CM100" s="552">
        <f t="shared" si="59"/>
        <v>43769.010416666431</v>
      </c>
      <c r="CN100" s="560">
        <f t="shared" si="60"/>
        <v>43768.843749999767</v>
      </c>
      <c r="CO100" s="627"/>
      <c r="CP100" s="803"/>
      <c r="CQ100" s="770"/>
    </row>
    <row r="101" spans="1:96" s="170" customFormat="1" x14ac:dyDescent="0.25">
      <c r="A101" s="508">
        <f>Construction!E101</f>
        <v>1000</v>
      </c>
      <c r="C101" s="152">
        <f ca="1">Production!H101</f>
        <v>4965497</v>
      </c>
      <c r="D101" s="164">
        <f ca="1">Production!J101</f>
        <v>289215</v>
      </c>
      <c r="E101" s="164">
        <f ca="1">Production!L101</f>
        <v>300000</v>
      </c>
      <c r="F101" s="166">
        <f ca="1">Production!M101</f>
        <v>20000</v>
      </c>
      <c r="G101" s="164"/>
      <c r="H101" s="152">
        <f ca="1">Military!Z101</f>
        <v>5295</v>
      </c>
      <c r="I101" s="538">
        <f ca="1">Population!I101</f>
        <v>1</v>
      </c>
      <c r="J101" s="165">
        <f ca="1">Population!F101/Population!U101</f>
        <v>1</v>
      </c>
      <c r="K101" s="1000">
        <f>Rezone!J101</f>
        <v>99</v>
      </c>
      <c r="L101" s="582">
        <f t="shared" si="58"/>
        <v>43769.020833333096</v>
      </c>
      <c r="M101" s="646">
        <f t="shared" si="67"/>
        <v>0</v>
      </c>
      <c r="N101" s="529">
        <f t="shared" si="46"/>
        <v>1000</v>
      </c>
      <c r="O101" s="406" t="s">
        <v>4</v>
      </c>
      <c r="P101" s="370"/>
      <c r="Q101" s="408" t="s">
        <v>223</v>
      </c>
      <c r="R101" s="423" t="s">
        <v>7</v>
      </c>
      <c r="S101" s="370"/>
      <c r="T101" s="408" t="s">
        <v>223</v>
      </c>
      <c r="U101" s="406" t="s">
        <v>3</v>
      </c>
      <c r="V101" s="407"/>
      <c r="W101" s="409" t="s">
        <v>223</v>
      </c>
      <c r="Y101" s="501">
        <f ca="1">science_cap*(1-EXP(-AH101/(science_param*($A102-Explore!$S102*20)+15000)))*(1+(mason_bonus*Construction!BB101/Construction!BS101))+IF(Overview!$B$14="Beastfolk",Construction!DA101/Construction!E101,0)*(1 + Production!O101/100*prestige_pop_multiplier)</f>
        <v>0</v>
      </c>
      <c r="Z101" s="454">
        <f ca="1">keep_cap*(1-EXP(-AI101/(keep_param*($A102-Explore!$S102*20)+15000)))*(1+(mason_bonus*Construction!BB101/Construction!BS101))+IF(Overview!$B$14="Beastfolk",Construction!DF101/Construction!E101,0)*(1 + Production!O101/100*prestige_pop_multiplier)</f>
        <v>0</v>
      </c>
      <c r="AA101" s="454">
        <f ca="1">harbor_towers_cap*(1-EXP(-AJ101/(harbor_towers_param*($A102-Explore!$S102*20)+15000)))*(1+(mason_bonus*Construction!BB101/Construction!BS101))+IF(Overview!$B$14="Beastfolk",2*Construction!DC101/Construction!E101,0)*(1 + Production!O101/100*prestige_pop_multiplier)</f>
        <v>0</v>
      </c>
      <c r="AB101" s="454">
        <f ca="1">walls_forges_cap*(1-EXP(-AK101/(walls_forges_param*($A102-Explore!$S102*20)+15000)))*(1+(mason_bonus*Construction!BB101/Construction!BS101))+IF(Overview!$B$14="Beastfolk",0.2*Construction!CY101/Construction!E101,0)</f>
        <v>0</v>
      </c>
      <c r="AC101" s="454">
        <f ca="1">walls_forges_cap*(1-EXP(-AL101/(walls_forges_param*($A102-Explore!$S102*20)+15000)))*(1+(mason_bonus*Construction!BB101/Construction!BS101))+IF(Overview!$B$14="Beastfolk",5*Construction!DB101/Construction!E101,0)</f>
        <v>0</v>
      </c>
      <c r="AD101" s="171">
        <f ca="1">harbor_towers_cap*(1-EXP(-AM101/(harbor_towers_param*($A102-Explore!$S102*20)+15000)))*(1+(mason_bonus*Construction!BB101/Construction!BS101))+IF(Overview!$B$14="Beastfolk",Construction!DE101/Construction!E101)*(1 + Production!O101/100*prestige_pop_multiplier)</f>
        <v>0</v>
      </c>
      <c r="AE101" s="171">
        <f ca="1">armory_cap*(1-EXP(-AN101/(armory_param*($A102-Explore!$S102*20)+15000)))*(1+(mason_bonus*Construction!$BB101/Construction!$BS101))</f>
        <v>0</v>
      </c>
      <c r="AF101" s="171">
        <f ca="1">infirmary_cap*(1-EXP(-AO101/(infirmary_param*($A102-Explore!$S102*20)+15000)))*(1+(mason_bonus*Construction!$BB101/Construction!$BS101))</f>
        <v>0</v>
      </c>
      <c r="AH101" s="56">
        <f ca="1">(1+Overview!$O$28+IF(Magic!BA101&gt;0,0.1,0))*SUM(AV101:AY101) + AH100</f>
        <v>0</v>
      </c>
      <c r="AI101" s="26">
        <f ca="1">(1+Overview!$O$28+IF(Magic!BA101&gt;0,0.1,0))*SUM(BA101:BD101) + AI100</f>
        <v>0</v>
      </c>
      <c r="AJ101" s="164">
        <f ca="1">(1+Overview!$O$28+IF(Magic!BA101&gt;0,0.1,0))*SUM(BF101:BI101) + AJ100</f>
        <v>0</v>
      </c>
      <c r="AK101" s="164">
        <f ca="1">(1+Overview!$O$28+IF(Magic!BA101&gt;0,0.1,0))*SUM(BK101:BN101) + AK100</f>
        <v>0</v>
      </c>
      <c r="AL101" s="164">
        <f ca="1">(1+Overview!$O$28+IF(Magic!BA101&gt;0,0.1,0))*SUM(BP101:BS101) + AL100</f>
        <v>0</v>
      </c>
      <c r="AM101" s="166">
        <f ca="1">(1+Overview!$O$28+IF(Magic!BA101&gt;0,0.1,0))*SUM(BU101:BX101) + AM100</f>
        <v>0</v>
      </c>
      <c r="AN101" s="166">
        <f ca="1">(1+Overview!$O$28+IF(Magic!BA101&gt;0,0.1,0))*SUM(BZ101:CC101)+AN100</f>
        <v>0</v>
      </c>
      <c r="AO101" s="164">
        <f ca="1">(1+Overview!$O$28+IF(Magic!BA101&gt;0,0.1,0))*SUM(CE101:CH101)+AO100</f>
        <v>0</v>
      </c>
      <c r="AQ101" s="156">
        <f t="shared" si="69"/>
        <v>0</v>
      </c>
      <c r="AR101" s="170">
        <f t="shared" si="69"/>
        <v>0</v>
      </c>
      <c r="AS101" s="170">
        <f t="shared" si="69"/>
        <v>0</v>
      </c>
      <c r="AT101" s="157">
        <f t="shared" si="69"/>
        <v>0</v>
      </c>
      <c r="AV101" s="152">
        <f t="shared" si="47"/>
        <v>0</v>
      </c>
      <c r="AW101" s="164">
        <f t="shared" si="70"/>
        <v>0</v>
      </c>
      <c r="AX101" s="164">
        <f t="shared" si="70"/>
        <v>0</v>
      </c>
      <c r="AY101" s="166">
        <f t="shared" si="48"/>
        <v>0</v>
      </c>
      <c r="BA101" s="152">
        <f t="shared" si="49"/>
        <v>0</v>
      </c>
      <c r="BB101" s="164">
        <f t="shared" si="71"/>
        <v>0</v>
      </c>
      <c r="BC101" s="164">
        <f t="shared" si="71"/>
        <v>0</v>
      </c>
      <c r="BD101" s="166">
        <f t="shared" si="50"/>
        <v>0</v>
      </c>
      <c r="BF101" s="152">
        <f t="shared" si="51"/>
        <v>0</v>
      </c>
      <c r="BG101" s="164">
        <f t="shared" si="52"/>
        <v>0</v>
      </c>
      <c r="BH101" s="164">
        <f t="shared" si="68"/>
        <v>0</v>
      </c>
      <c r="BI101" s="166">
        <f t="shared" si="53"/>
        <v>0</v>
      </c>
      <c r="BK101" s="152">
        <f t="shared" si="54"/>
        <v>0</v>
      </c>
      <c r="BL101" s="164">
        <f t="shared" si="72"/>
        <v>0</v>
      </c>
      <c r="BM101" s="164">
        <f t="shared" si="72"/>
        <v>0</v>
      </c>
      <c r="BN101" s="166">
        <f t="shared" si="55"/>
        <v>0</v>
      </c>
      <c r="BP101" s="152">
        <f t="shared" si="56"/>
        <v>0</v>
      </c>
      <c r="BQ101" s="164">
        <f t="shared" si="73"/>
        <v>0</v>
      </c>
      <c r="BR101" s="164">
        <f t="shared" si="73"/>
        <v>0</v>
      </c>
      <c r="BS101" s="166">
        <f t="shared" si="57"/>
        <v>0</v>
      </c>
      <c r="BU101" s="152">
        <f>IF($O101=BU$2,IF($Q101=$AD$2,$P101)) + IF($R101=BU$2,IF($T101=$AD$2,$S101)) + IF($U101=BU$2,IF($W101=$AD$2,$V101))</f>
        <v>0</v>
      </c>
      <c r="BV101" s="164">
        <f>IF($O101=BV$2,IF($Q101=$AD$2,2*$P101)) + IF($R101=BV$2,IF($T101=$AD$2,2*$S101)) + IF($U101=BV$2,IF($W101=$AD$2,2*$V101))</f>
        <v>0</v>
      </c>
      <c r="BW101" s="164">
        <f>IF($O101=BW$2,IF($Q101=$AD$2,2*$P101)) + IF($R101=BW$2,IF($T101=$AD$2,2*$S101)) + IF($U101=BW$2,IF($W101=$AD$2,2*$V101))</f>
        <v>0</v>
      </c>
      <c r="BX101" s="166">
        <f>IF($O101=BX$2,IF($Q101=$AD$2,12*$P101)) + IF($R101=BX$2,IF($T101=$AD$2,12*$S101)) + IF($U101=BX$2,IF($W101=$AD$2,12*$V101))</f>
        <v>0</v>
      </c>
      <c r="BZ101" s="152">
        <f>IF($O101=BZ$2,IF($Q101=Armory,$P101)) + IF($R101=BZ$2,IF($T101=Armory,$S101)) + IF($U101=BZ$2,IF($W101=Armory,$V101))</f>
        <v>0</v>
      </c>
      <c r="CA101" s="164">
        <f>IF($O101=CA$2,IF($Q101=Armory,2*$P101)) + IF($R101=CA$2,IF($T101=Armory,2*$S101)) + IF($U101=CA$2,IF($W101=Armory,2*$V101))</f>
        <v>0</v>
      </c>
      <c r="CB101" s="164">
        <f>IF($O101=CB$2,IF($Q101=Armory,2*$P101)) + IF($R101=CB$2,IF($T101=Armory,2*$S101)) + IF($U101=CB$2,IF($W101=Armory,2*$V101))</f>
        <v>0</v>
      </c>
      <c r="CC101" s="166">
        <f>IF($O101=CC$2,IF($Q101=Armory,12*$P101)) + IF($R101=CC$2,IF($T101=Armory,12*$S101)) + IF($U101=CC$2,IF($W101=Armory,12*$V101))</f>
        <v>0</v>
      </c>
      <c r="CE101" s="152">
        <f>IF($O101=CE$2,IF($Q101=Infirmary,$P101)) + IF($R101=CE$2,IF($T101=Infirmary,$S101)) + IF($U101=CE$2,IF($W101=Infirmary,$V101))</f>
        <v>0</v>
      </c>
      <c r="CF101" s="164">
        <f>IF($O101=CF$2,IF($Q101=Infirmary,2*$P101)) + IF($R101=CF$2,IF($T101=Infirmary,2*$S101)) + IF($U101=CF$2,IF($W101=Infirmary,2*$V101))</f>
        <v>0</v>
      </c>
      <c r="CG101" s="164">
        <f>IF($O101=CG$2,IF($Q101=Infirmary,2*$P101)) + IF($R101=CG$2,IF($T101=Infirmary,2*$S101)) + IF($U101=CG$2,IF($W101=Infirmary,2*$V101))</f>
        <v>0</v>
      </c>
      <c r="CH101" s="166">
        <f>IF($O101=CH$2,IF($Q101=Infirmary,12*$P101)) + IF($R101=CH$2,IF($T101=Infirmary,12*$S101)) + IF($U101=CH$2,IF($W101=Infirmary,12*$V101))</f>
        <v>0</v>
      </c>
      <c r="CJ101" s="156" t="e">
        <f>OR(Production!C101,Construction!N101:'Construction'!AF101,Construction!BV101:CN101,Explore!S101:Z101,Military!AF101:AL101,Military!X101,Military!BE101:BL101,Rezone!L101:R101,Magic!G101:Q101)</f>
        <v>#VALUE!</v>
      </c>
      <c r="CK101" s="546">
        <f>M101</f>
        <v>0</v>
      </c>
      <c r="CL101" s="546"/>
      <c r="CM101" s="552">
        <f t="shared" si="59"/>
        <v>43769.020833333096</v>
      </c>
      <c r="CN101" s="560">
        <f t="shared" si="60"/>
        <v>43768.854166666431</v>
      </c>
      <c r="CO101" s="627"/>
      <c r="CP101" s="803"/>
      <c r="CQ101" s="770"/>
      <c r="CR101" s="448" t="s">
        <v>4</v>
      </c>
    </row>
    <row r="102" spans="1:96" s="16" customFormat="1" x14ac:dyDescent="0.25">
      <c r="A102" s="511">
        <f>Construction!E102</f>
        <v>1000</v>
      </c>
      <c r="C102" s="56">
        <f ca="1">Production!H102</f>
        <v>4970478</v>
      </c>
      <c r="D102" s="26">
        <f ca="1">Production!J102</f>
        <v>288823</v>
      </c>
      <c r="E102" s="26">
        <f ca="1">Production!L102</f>
        <v>300000</v>
      </c>
      <c r="F102" s="57">
        <f ca="1">Production!M102</f>
        <v>20000</v>
      </c>
      <c r="G102" s="26"/>
      <c r="H102" s="56">
        <f ca="1">Military!Z102</f>
        <v>5295</v>
      </c>
      <c r="I102" s="538">
        <f ca="1">Population!I102</f>
        <v>1</v>
      </c>
      <c r="J102" s="165">
        <f ca="1">Population!F102/Population!U102</f>
        <v>1</v>
      </c>
      <c r="K102" s="1000">
        <f>Rezone!J102</f>
        <v>100</v>
      </c>
      <c r="L102" s="582">
        <f t="shared" si="58"/>
        <v>43769.03124999976</v>
      </c>
      <c r="M102" s="316">
        <f t="shared" si="67"/>
        <v>0</v>
      </c>
      <c r="N102" s="638">
        <f t="shared" si="46"/>
        <v>1000</v>
      </c>
      <c r="O102" s="423" t="s">
        <v>4</v>
      </c>
      <c r="P102" s="370"/>
      <c r="Q102" s="424" t="s">
        <v>223</v>
      </c>
      <c r="R102" s="423" t="s">
        <v>7</v>
      </c>
      <c r="S102" s="370"/>
      <c r="T102" s="424" t="s">
        <v>223</v>
      </c>
      <c r="U102" s="406" t="s">
        <v>3</v>
      </c>
      <c r="V102" s="407"/>
      <c r="W102" s="409" t="s">
        <v>223</v>
      </c>
      <c r="Y102" s="501">
        <f ca="1">science_cap*(1-EXP(-AH102/(science_param*($A103-Explore!$S103*20)+15000)))*(1+(mason_bonus*Construction!BB102/Construction!BS102))+IF(Overview!$B$14="Beastfolk",Construction!DA102/Construction!E102,0)*(1 + Production!O102/100*prestige_pop_multiplier)</f>
        <v>0</v>
      </c>
      <c r="Z102" s="454">
        <f ca="1">keep_cap*(1-EXP(-AI102/(keep_param*($A103-Explore!$S103*20)+15000)))*(1+(mason_bonus*Construction!BB102/Construction!BS102))+IF(Overview!$B$14="Beastfolk",Construction!DF102/Construction!E102,0)*(1 + Production!O102/100*prestige_pop_multiplier)</f>
        <v>0</v>
      </c>
      <c r="AA102" s="454">
        <f ca="1">harbor_towers_cap*(1-EXP(-AJ102/(harbor_towers_param*($A103-Explore!$S103*20)+15000)))*(1+(mason_bonus*Construction!BB102/Construction!BS102))+IF(Overview!$B$14="Beastfolk",2*Construction!DC102/Construction!E102,0)*(1 + Production!O102/100*prestige_pop_multiplier)</f>
        <v>0</v>
      </c>
      <c r="AB102" s="454">
        <f ca="1">walls_forges_cap*(1-EXP(-AK102/(walls_forges_param*($A103-Explore!$S103*20)+15000)))*(1+(mason_bonus*Construction!BB102/Construction!BS102))+IF(Overview!$B$14="Beastfolk",0.2*Construction!CY102/Construction!E102,0)</f>
        <v>0</v>
      </c>
      <c r="AC102" s="454">
        <f ca="1">walls_forges_cap*(1-EXP(-AL102/(walls_forges_param*($A103-Explore!$S103*20)+15000)))*(1+(mason_bonus*Construction!BB102/Construction!BS102))+IF(Overview!$B$14="Beastfolk",5*Construction!DB102/Construction!E102,0)</f>
        <v>0</v>
      </c>
      <c r="AD102" s="171">
        <f ca="1">harbor_towers_cap*(1-EXP(-AM102/(harbor_towers_param*($A103-Explore!$S103*20)+15000)))*(1+(mason_bonus*Construction!BB102/Construction!BS102))+IF(Overview!$B$14="Beastfolk",Construction!DE102/Construction!E102)*(1 + Production!O102/100*prestige_pop_multiplier)</f>
        <v>0</v>
      </c>
      <c r="AE102" s="171">
        <f ca="1">armory_cap*(1-EXP(-AN102/(armory_param*($A103-Explore!$S103*20)+15000)))*(1+(mason_bonus*Construction!$BB102/Construction!$BS102))</f>
        <v>0</v>
      </c>
      <c r="AF102" s="171">
        <f ca="1">infirmary_cap*(1-EXP(-AO102/(infirmary_param*($A103-Explore!$S103*20)+15000)))*(1+(mason_bonus*Construction!$BB102/Construction!$BS102))</f>
        <v>0</v>
      </c>
      <c r="AH102" s="56">
        <f ca="1">(1+Overview!$O$28+IF(Magic!BA102&gt;0,0.1,0))*SUM(AV102:AY102) + AH101</f>
        <v>0</v>
      </c>
      <c r="AI102" s="26">
        <f ca="1">(1+Overview!$O$28+IF(Magic!BA102&gt;0,0.1,0))*SUM(BA102:BD102) + AI101</f>
        <v>0</v>
      </c>
      <c r="AJ102" s="164">
        <f ca="1">(1+Overview!$O$28+IF(Magic!BA102&gt;0,0.1,0))*SUM(BF102:BI102) + AJ101</f>
        <v>0</v>
      </c>
      <c r="AK102" s="164">
        <f ca="1">(1+Overview!$O$28+IF(Magic!BA102&gt;0,0.1,0))*SUM(BK102:BN102) + AK101</f>
        <v>0</v>
      </c>
      <c r="AL102" s="164">
        <f ca="1">(1+Overview!$O$28+IF(Magic!BA102&gt;0,0.1,0))*SUM(BP102:BS102) + AL101</f>
        <v>0</v>
      </c>
      <c r="AM102" s="166">
        <f ca="1">(1+Overview!$O$28+IF(Magic!BA102&gt;0,0.1,0))*SUM(BU102:BX102) + AM101</f>
        <v>0</v>
      </c>
      <c r="AN102" s="166">
        <f ca="1">(1+Overview!$O$28+IF(Magic!BA102&gt;0,0.1,0))*SUM(BZ102:CC102)+AN101</f>
        <v>0</v>
      </c>
      <c r="AO102" s="164">
        <f ca="1">(1+Overview!$O$28+IF(Magic!BA102&gt;0,0.1,0))*SUM(CE102:CH102)+AO101</f>
        <v>0</v>
      </c>
      <c r="AQ102" s="52">
        <f t="shared" si="69"/>
        <v>0</v>
      </c>
      <c r="AR102" s="16">
        <f t="shared" si="69"/>
        <v>0</v>
      </c>
      <c r="AS102" s="16">
        <f t="shared" si="69"/>
        <v>0</v>
      </c>
      <c r="AT102" s="53">
        <f t="shared" si="69"/>
        <v>0</v>
      </c>
      <c r="AV102" s="56">
        <f t="shared" si="47"/>
        <v>0</v>
      </c>
      <c r="AW102" s="26">
        <f t="shared" si="70"/>
        <v>0</v>
      </c>
      <c r="AX102" s="26">
        <f t="shared" si="70"/>
        <v>0</v>
      </c>
      <c r="AY102" s="57">
        <f t="shared" si="48"/>
        <v>0</v>
      </c>
      <c r="BA102" s="56">
        <f t="shared" si="49"/>
        <v>0</v>
      </c>
      <c r="BB102" s="26">
        <f t="shared" si="71"/>
        <v>0</v>
      </c>
      <c r="BC102" s="26">
        <f t="shared" si="71"/>
        <v>0</v>
      </c>
      <c r="BD102" s="57">
        <f t="shared" si="50"/>
        <v>0</v>
      </c>
      <c r="BF102" s="56">
        <f t="shared" si="51"/>
        <v>0</v>
      </c>
      <c r="BG102" s="26">
        <f t="shared" si="52"/>
        <v>0</v>
      </c>
      <c r="BH102" s="26">
        <f t="shared" si="68"/>
        <v>0</v>
      </c>
      <c r="BI102" s="57">
        <f t="shared" si="53"/>
        <v>0</v>
      </c>
      <c r="BK102" s="56">
        <f t="shared" si="54"/>
        <v>0</v>
      </c>
      <c r="BL102" s="26">
        <f t="shared" si="72"/>
        <v>0</v>
      </c>
      <c r="BM102" s="26">
        <f t="shared" si="72"/>
        <v>0</v>
      </c>
      <c r="BN102" s="57">
        <f t="shared" si="55"/>
        <v>0</v>
      </c>
      <c r="BP102" s="56">
        <f t="shared" si="56"/>
        <v>0</v>
      </c>
      <c r="BQ102" s="26">
        <f t="shared" si="73"/>
        <v>0</v>
      </c>
      <c r="BR102" s="26">
        <f t="shared" si="73"/>
        <v>0</v>
      </c>
      <c r="BS102" s="57">
        <f t="shared" si="57"/>
        <v>0</v>
      </c>
      <c r="BU102" s="56">
        <f>IF($O102=BU$2,IF($Q102=$AD$2,$P102)) + IF($R102=BU$2,IF($T102=$AD$2,$S102)) + IF($U102=BU$2,IF($W102=$AD$2,$V102))</f>
        <v>0</v>
      </c>
      <c r="BV102" s="26">
        <f>IF($O102=BV$2,IF($Q102=$AD$2,2*$P102)) + IF($R102=BV$2,IF($T102=$AD$2,2*$S102)) + IF($U102=BV$2,IF($W102=$AD$2,2*$V102))</f>
        <v>0</v>
      </c>
      <c r="BW102" s="26">
        <f>IF($O102=BW$2,IF($Q102=$AD$2,2*$P102)) + IF($R102=BW$2,IF($T102=$AD$2,2*$S102)) + IF($U102=BW$2,IF($W102=$AD$2,2*$V102))</f>
        <v>0</v>
      </c>
      <c r="BX102" s="57">
        <f>IF($O102=BX$2,IF($Q102=$AD$2,12*$P102)) + IF($R102=BX$2,IF($T102=$AD$2,12*$S102)) + IF($U102=BX$2,IF($W102=$AD$2,12*$V102))</f>
        <v>0</v>
      </c>
      <c r="BZ102" s="56">
        <f>IF($O102=BZ$2,IF($Q102=Armory,$P102)) + IF($R102=BZ$2,IF($T102=Armory,$S102)) + IF($U102=BZ$2,IF($W102=Armory,$V102))</f>
        <v>0</v>
      </c>
      <c r="CA102" s="26">
        <f>IF($O102=CA$2,IF($Q102=Armory,2*$P102)) + IF($R102=CA$2,IF($T102=Armory,2*$S102)) + IF($U102=CA$2,IF($W102=Armory,2*$V102))</f>
        <v>0</v>
      </c>
      <c r="CB102" s="26">
        <f>IF($O102=CB$2,IF($Q102=Armory,2*$P102)) + IF($R102=CB$2,IF($T102=Armory,2*$S102)) + IF($U102=CB$2,IF($W102=Armory,2*$V102))</f>
        <v>0</v>
      </c>
      <c r="CC102" s="57">
        <f>IF($O102=CC$2,IF($Q102=Armory,12*$P102)) + IF($R102=CC$2,IF($T102=Armory,12*$S102)) + IF($U102=CC$2,IF($W102=Armory,12*$V102))</f>
        <v>0</v>
      </c>
      <c r="CE102" s="56">
        <f>IF($O102=CE$2,IF($Q102=Infirmary,$P102)) + IF($R102=CE$2,IF($T102=Infirmary,$S102)) + IF($U102=CE$2,IF($W102=Infirmary,$V102))</f>
        <v>0</v>
      </c>
      <c r="CF102" s="26">
        <f>IF($O102=CF$2,IF($Q102=Infirmary,2*$P102)) + IF($R102=CF$2,IF($T102=Infirmary,2*$S102)) + IF($U102=CF$2,IF($W102=Infirmary,2*$V102))</f>
        <v>0</v>
      </c>
      <c r="CG102" s="26">
        <f>IF($O102=CG$2,IF($Q102=Infirmary,2*$P102)) + IF($R102=CG$2,IF($T102=Infirmary,2*$S102)) + IF($U102=CG$2,IF($W102=Infirmary,2*$V102))</f>
        <v>0</v>
      </c>
      <c r="CH102" s="57">
        <f>IF($O102=CH$2,IF($Q102=Infirmary,12*$P102)) + IF($R102=CH$2,IF($T102=Infirmary,12*$S102)) + IF($U102=CH$2,IF($W102=Infirmary,12*$V102))</f>
        <v>0</v>
      </c>
      <c r="CJ102" s="52" t="e">
        <f>OR(Production!C102,Construction!N102:'Construction'!AF102,Construction!BV102:CN102,Explore!S102:Z102,Military!AF102:AL102,Military!X102,Military!BE102:BL102,Rezone!L102:R102,Magic!G102:Q102)</f>
        <v>#VALUE!</v>
      </c>
      <c r="CK102" s="525">
        <f>M102</f>
        <v>0</v>
      </c>
      <c r="CL102" s="525"/>
      <c r="CM102" s="555">
        <f t="shared" si="59"/>
        <v>43769.03124999976</v>
      </c>
      <c r="CN102" s="563">
        <f t="shared" si="60"/>
        <v>43768.864583333096</v>
      </c>
      <c r="CO102" s="527"/>
      <c r="CP102" s="803"/>
      <c r="CQ102" s="808"/>
      <c r="CR102" s="448" t="s">
        <v>7</v>
      </c>
    </row>
    <row r="103" spans="1:96" s="16" customFormat="1" x14ac:dyDescent="0.25">
      <c r="A103" s="511">
        <f>Construction!E103</f>
        <v>1000</v>
      </c>
      <c r="C103" s="56">
        <f ca="1">Production!H103</f>
        <v>4975459</v>
      </c>
      <c r="D103" s="26">
        <f ca="1">Production!J103</f>
        <v>288435</v>
      </c>
      <c r="E103" s="26">
        <f ca="1">Production!L103</f>
        <v>300000</v>
      </c>
      <c r="F103" s="57">
        <f ca="1">Production!M103</f>
        <v>20000</v>
      </c>
      <c r="G103" s="26"/>
      <c r="H103" s="56">
        <f ca="1">Military!Z103</f>
        <v>5295</v>
      </c>
      <c r="I103" s="538">
        <f ca="1">Population!I103</f>
        <v>1</v>
      </c>
      <c r="J103" s="165">
        <f ca="1">Population!F103/Population!U103</f>
        <v>1</v>
      </c>
      <c r="K103" s="1000">
        <f>Rezone!J103</f>
        <v>101</v>
      </c>
      <c r="L103" s="582">
        <f t="shared" si="58"/>
        <v>43769.041666666424</v>
      </c>
      <c r="M103" s="316">
        <f t="shared" si="67"/>
        <v>0</v>
      </c>
      <c r="N103" s="638">
        <f t="shared" si="46"/>
        <v>1000</v>
      </c>
      <c r="O103" s="423" t="s">
        <v>4</v>
      </c>
      <c r="P103" s="370"/>
      <c r="Q103" s="424" t="s">
        <v>223</v>
      </c>
      <c r="R103" s="423" t="s">
        <v>7</v>
      </c>
      <c r="S103" s="370"/>
      <c r="T103" s="424" t="s">
        <v>223</v>
      </c>
      <c r="U103" s="406" t="s">
        <v>3</v>
      </c>
      <c r="V103" s="407"/>
      <c r="W103" s="409" t="s">
        <v>223</v>
      </c>
      <c r="Y103" s="501">
        <f ca="1">science_cap*(1-EXP(-AH103/(science_param*($A104-Explore!$S104*20)+15000)))*(1+(mason_bonus*Construction!BB103/Construction!BS103))+IF(Overview!$B$14="Beastfolk",Construction!DA103/Construction!E103,0)*(1 + Production!O103/100*prestige_pop_multiplier)</f>
        <v>0</v>
      </c>
      <c r="Z103" s="454">
        <f ca="1">keep_cap*(1-EXP(-AI103/(keep_param*($A104-Explore!$S104*20)+15000)))*(1+(mason_bonus*Construction!BB103/Construction!BS103))+IF(Overview!$B$14="Beastfolk",Construction!DF103/Construction!E103,0)*(1 + Production!O103/100*prestige_pop_multiplier)</f>
        <v>0</v>
      </c>
      <c r="AA103" s="454">
        <f ca="1">harbor_towers_cap*(1-EXP(-AJ103/(harbor_towers_param*($A104-Explore!$S104*20)+15000)))*(1+(mason_bonus*Construction!BB103/Construction!BS103))+IF(Overview!$B$14="Beastfolk",2*Construction!DC103/Construction!E103,0)*(1 + Production!O103/100*prestige_pop_multiplier)</f>
        <v>0</v>
      </c>
      <c r="AB103" s="454">
        <f ca="1">walls_forges_cap*(1-EXP(-AK103/(walls_forges_param*($A104-Explore!$S104*20)+15000)))*(1+(mason_bonus*Construction!BB103/Construction!BS103))+IF(Overview!$B$14="Beastfolk",0.2*Construction!CY103/Construction!E103,0)</f>
        <v>0</v>
      </c>
      <c r="AC103" s="454">
        <f ca="1">walls_forges_cap*(1-EXP(-AL103/(walls_forges_param*($A104-Explore!$S104*20)+15000)))*(1+(mason_bonus*Construction!BB103/Construction!BS103))+IF(Overview!$B$14="Beastfolk",5*Construction!DB103/Construction!E103,0)</f>
        <v>0</v>
      </c>
      <c r="AD103" s="171">
        <f ca="1">harbor_towers_cap*(1-EXP(-AM103/(harbor_towers_param*($A104-Explore!$S104*20)+15000)))*(1+(mason_bonus*Construction!BB103/Construction!BS103))+IF(Overview!$B$14="Beastfolk",Construction!DE103/Construction!E103)*(1 + Production!O103/100*prestige_pop_multiplier)</f>
        <v>0</v>
      </c>
      <c r="AE103" s="171">
        <f ca="1">armory_cap*(1-EXP(-AN103/(armory_param*($A104-Explore!$S104*20)+15000)))*(1+(mason_bonus*Construction!$BB103/Construction!$BS103))</f>
        <v>0</v>
      </c>
      <c r="AF103" s="171">
        <f ca="1">infirmary_cap*(1-EXP(-AO103/(infirmary_param*($A104-Explore!$S104*20)+15000)))*(1+(mason_bonus*Construction!$BB103/Construction!$BS103))</f>
        <v>0</v>
      </c>
      <c r="AH103" s="56">
        <f ca="1">(1+Overview!$O$28+IF(Magic!BA103&gt;0,0.1,0))*SUM(AV103:AY103) + AH102</f>
        <v>0</v>
      </c>
      <c r="AI103" s="26">
        <f ca="1">(1+Overview!$O$28+IF(Magic!BA103&gt;0,0.1,0))*SUM(BA103:BD103) + AI102</f>
        <v>0</v>
      </c>
      <c r="AJ103" s="164">
        <f ca="1">(1+Overview!$O$28+IF(Magic!BA103&gt;0,0.1,0))*SUM(BF103:BI103) + AJ102</f>
        <v>0</v>
      </c>
      <c r="AK103" s="164">
        <f ca="1">(1+Overview!$O$28+IF(Magic!BA103&gt;0,0.1,0))*SUM(BK103:BN103) + AK102</f>
        <v>0</v>
      </c>
      <c r="AL103" s="164">
        <f ca="1">(1+Overview!$O$28+IF(Magic!BA103&gt;0,0.1,0))*SUM(BP103:BS103) + AL102</f>
        <v>0</v>
      </c>
      <c r="AM103" s="166">
        <f ca="1">(1+Overview!$O$28+IF(Magic!BA103&gt;0,0.1,0))*SUM(BU103:BX103) + AM102</f>
        <v>0</v>
      </c>
      <c r="AN103" s="166">
        <f ca="1">(1+Overview!$O$28+IF(Magic!BA103&gt;0,0.1,0))*SUM(BZ103:CC103)+AN102</f>
        <v>0</v>
      </c>
      <c r="AO103" s="164">
        <f ca="1">(1+Overview!$O$28+IF(Magic!BA103&gt;0,0.1,0))*SUM(CE103:CH103)+AO102</f>
        <v>0</v>
      </c>
      <c r="AQ103" s="52">
        <f t="shared" si="69"/>
        <v>0</v>
      </c>
      <c r="AR103" s="16">
        <f t="shared" si="69"/>
        <v>0</v>
      </c>
      <c r="AS103" s="16">
        <f t="shared" si="69"/>
        <v>0</v>
      </c>
      <c r="AT103" s="53">
        <f t="shared" si="69"/>
        <v>0</v>
      </c>
      <c r="AV103" s="56">
        <f t="shared" si="47"/>
        <v>0</v>
      </c>
      <c r="AW103" s="26">
        <f t="shared" si="70"/>
        <v>0</v>
      </c>
      <c r="AX103" s="26">
        <f t="shared" si="70"/>
        <v>0</v>
      </c>
      <c r="AY103" s="57">
        <f t="shared" si="48"/>
        <v>0</v>
      </c>
      <c r="BA103" s="56">
        <f t="shared" si="49"/>
        <v>0</v>
      </c>
      <c r="BB103" s="26">
        <f t="shared" si="71"/>
        <v>0</v>
      </c>
      <c r="BC103" s="26">
        <f t="shared" si="71"/>
        <v>0</v>
      </c>
      <c r="BD103" s="57">
        <f t="shared" si="50"/>
        <v>0</v>
      </c>
      <c r="BF103" s="56">
        <f t="shared" si="51"/>
        <v>0</v>
      </c>
      <c r="BG103" s="26">
        <f t="shared" si="52"/>
        <v>0</v>
      </c>
      <c r="BH103" s="26">
        <f t="shared" si="68"/>
        <v>0</v>
      </c>
      <c r="BI103" s="57">
        <f t="shared" si="53"/>
        <v>0</v>
      </c>
      <c r="BK103" s="56">
        <f t="shared" si="54"/>
        <v>0</v>
      </c>
      <c r="BL103" s="26">
        <f t="shared" si="72"/>
        <v>0</v>
      </c>
      <c r="BM103" s="26">
        <f t="shared" si="72"/>
        <v>0</v>
      </c>
      <c r="BN103" s="57">
        <f t="shared" si="55"/>
        <v>0</v>
      </c>
      <c r="BP103" s="56">
        <f t="shared" si="56"/>
        <v>0</v>
      </c>
      <c r="BQ103" s="26">
        <f t="shared" si="73"/>
        <v>0</v>
      </c>
      <c r="BR103" s="26">
        <f t="shared" si="73"/>
        <v>0</v>
      </c>
      <c r="BS103" s="57">
        <f t="shared" si="57"/>
        <v>0</v>
      </c>
      <c r="BU103" s="56">
        <f>IF($O103=BU$2,IF($Q103=$AD$2,$P103)) + IF($R103=BU$2,IF($T103=$AD$2,$S103)) + IF($U103=BU$2,IF($W103=$AD$2,$V103))</f>
        <v>0</v>
      </c>
      <c r="BV103" s="26">
        <f>IF($O103=BV$2,IF($Q103=$AD$2,2*$P103)) + IF($R103=BV$2,IF($T103=$AD$2,2*$S103)) + IF($U103=BV$2,IF($W103=$AD$2,2*$V103))</f>
        <v>0</v>
      </c>
      <c r="BW103" s="26">
        <f>IF($O103=BW$2,IF($Q103=$AD$2,2*$P103)) + IF($R103=BW$2,IF($T103=$AD$2,2*$S103)) + IF($U103=BW$2,IF($W103=$AD$2,2*$V103))</f>
        <v>0</v>
      </c>
      <c r="BX103" s="57">
        <f>IF($O103=BX$2,IF($Q103=$AD$2,12*$P103)) + IF($R103=BX$2,IF($T103=$AD$2,12*$S103)) + IF($U103=BX$2,IF($W103=$AD$2,12*$V103))</f>
        <v>0</v>
      </c>
      <c r="BZ103" s="56">
        <f>IF($O103=BZ$2,IF($Q103=Armory,$P103)) + IF($R103=BZ$2,IF($T103=Armory,$S103)) + IF($U103=BZ$2,IF($W103=Armory,$V103))</f>
        <v>0</v>
      </c>
      <c r="CA103" s="26">
        <f>IF($O103=CA$2,IF($Q103=Armory,2*$P103)) + IF($R103=CA$2,IF($T103=Armory,2*$S103)) + IF($U103=CA$2,IF($W103=Armory,2*$V103))</f>
        <v>0</v>
      </c>
      <c r="CB103" s="26">
        <f>IF($O103=CB$2,IF($Q103=Armory,2*$P103)) + IF($R103=CB$2,IF($T103=Armory,2*$S103)) + IF($U103=CB$2,IF($W103=Armory,2*$V103))</f>
        <v>0</v>
      </c>
      <c r="CC103" s="57">
        <f>IF($O103=CC$2,IF($Q103=Armory,12*$P103)) + IF($R103=CC$2,IF($T103=Armory,12*$S103)) + IF($U103=CC$2,IF($W103=Armory,12*$V103))</f>
        <v>0</v>
      </c>
      <c r="CE103" s="56">
        <f>IF($O103=CE$2,IF($Q103=Infirmary,$P103)) + IF($R103=CE$2,IF($T103=Infirmary,$S103)) + IF($U103=CE$2,IF($W103=Infirmary,$V103))</f>
        <v>0</v>
      </c>
      <c r="CF103" s="26">
        <f>IF($O103=CF$2,IF($Q103=Infirmary,2*$P103)) + IF($R103=CF$2,IF($T103=Infirmary,2*$S103)) + IF($U103=CF$2,IF($W103=Infirmary,2*$V103))</f>
        <v>0</v>
      </c>
      <c r="CG103" s="26">
        <f>IF($O103=CG$2,IF($Q103=Infirmary,2*$P103)) + IF($R103=CG$2,IF($T103=Infirmary,2*$S103)) + IF($U103=CG$2,IF($W103=Infirmary,2*$V103))</f>
        <v>0</v>
      </c>
      <c r="CH103" s="57">
        <f>IF($O103=CH$2,IF($Q103=Infirmary,12*$P103)) + IF($R103=CH$2,IF($T103=Infirmary,12*$S103)) + IF($U103=CH$2,IF($W103=Infirmary,12*$V103))</f>
        <v>0</v>
      </c>
      <c r="CJ103" s="52" t="e">
        <f>OR(Production!C103,Construction!N103:'Construction'!AF103,Construction!BV103:CN103,Explore!S103:Z103,Military!AF103:AL103,Military!X103,Military!BE103:BL103,Rezone!L103:R103,Magic!G103:Q103)</f>
        <v>#VALUE!</v>
      </c>
      <c r="CK103" s="525">
        <f>M103</f>
        <v>0</v>
      </c>
      <c r="CL103" s="525"/>
      <c r="CM103" s="555">
        <f t="shared" si="59"/>
        <v>43769.041666666424</v>
      </c>
      <c r="CN103" s="563">
        <f t="shared" si="60"/>
        <v>43768.87499999976</v>
      </c>
      <c r="CO103" s="527"/>
      <c r="CP103" s="803"/>
      <c r="CQ103" s="808"/>
      <c r="CR103" s="448" t="s">
        <v>3</v>
      </c>
    </row>
    <row r="104" spans="1:96" s="16" customFormat="1" x14ac:dyDescent="0.25">
      <c r="A104" s="511">
        <f>Construction!E104</f>
        <v>1000</v>
      </c>
      <c r="C104" s="56">
        <f ca="1">Production!H104</f>
        <v>4980440</v>
      </c>
      <c r="D104" s="26">
        <f ca="1">Production!J104</f>
        <v>288051</v>
      </c>
      <c r="E104" s="26">
        <f ca="1">Production!L104</f>
        <v>300000</v>
      </c>
      <c r="F104" s="57">
        <f ca="1">Production!M104</f>
        <v>20000</v>
      </c>
      <c r="G104" s="26"/>
      <c r="H104" s="56">
        <f ca="1">Military!Z104</f>
        <v>5295</v>
      </c>
      <c r="I104" s="538">
        <f ca="1">Population!I104</f>
        <v>1</v>
      </c>
      <c r="J104" s="165">
        <f ca="1">Population!F104/Population!U104</f>
        <v>1</v>
      </c>
      <c r="K104" s="1000">
        <f>Rezone!J104</f>
        <v>102</v>
      </c>
      <c r="L104" s="582">
        <f t="shared" si="58"/>
        <v>43769.052083333088</v>
      </c>
      <c r="M104" s="316">
        <f t="shared" si="67"/>
        <v>0</v>
      </c>
      <c r="N104" s="638">
        <f t="shared" si="46"/>
        <v>1000</v>
      </c>
      <c r="O104" s="423" t="s">
        <v>4</v>
      </c>
      <c r="P104" s="370"/>
      <c r="Q104" s="424" t="s">
        <v>223</v>
      </c>
      <c r="R104" s="423" t="s">
        <v>7</v>
      </c>
      <c r="S104" s="370"/>
      <c r="T104" s="424" t="s">
        <v>223</v>
      </c>
      <c r="U104" s="406" t="s">
        <v>3</v>
      </c>
      <c r="V104" s="407"/>
      <c r="W104" s="409" t="s">
        <v>223</v>
      </c>
      <c r="Y104" s="501">
        <f ca="1">science_cap*(1-EXP(-AH104/(science_param*($A105-Explore!$S105*20)+15000)))*(1+(mason_bonus*Construction!BB104/Construction!BS104))+IF(Overview!$B$14="Beastfolk",Construction!DA104/Construction!E104,0)*(1 + Production!O104/100*prestige_pop_multiplier)</f>
        <v>0</v>
      </c>
      <c r="Z104" s="454">
        <f ca="1">keep_cap*(1-EXP(-AI104/(keep_param*($A105-Explore!$S105*20)+15000)))*(1+(mason_bonus*Construction!BB104/Construction!BS104))+IF(Overview!$B$14="Beastfolk",Construction!DF104/Construction!E104,0)*(1 + Production!O104/100*prestige_pop_multiplier)</f>
        <v>0</v>
      </c>
      <c r="AA104" s="454">
        <f ca="1">harbor_towers_cap*(1-EXP(-AJ104/(harbor_towers_param*($A105-Explore!$S105*20)+15000)))*(1+(mason_bonus*Construction!BB104/Construction!BS104))+IF(Overview!$B$14="Beastfolk",2*Construction!DC104/Construction!E104,0)*(1 + Production!O104/100*prestige_pop_multiplier)</f>
        <v>0</v>
      </c>
      <c r="AB104" s="454">
        <f ca="1">walls_forges_cap*(1-EXP(-AK104/(walls_forges_param*($A105-Explore!$S105*20)+15000)))*(1+(mason_bonus*Construction!BB104/Construction!BS104))+IF(Overview!$B$14="Beastfolk",0.2*Construction!CY104/Construction!E104,0)</f>
        <v>0</v>
      </c>
      <c r="AC104" s="454">
        <f ca="1">walls_forges_cap*(1-EXP(-AL104/(walls_forges_param*($A105-Explore!$S105*20)+15000)))*(1+(mason_bonus*Construction!BB104/Construction!BS104))+IF(Overview!$B$14="Beastfolk",5*Construction!DB104/Construction!E104,0)</f>
        <v>0</v>
      </c>
      <c r="AD104" s="171">
        <f ca="1">harbor_towers_cap*(1-EXP(-AM104/(harbor_towers_param*($A105-Explore!$S105*20)+15000)))*(1+(mason_bonus*Construction!BB104/Construction!BS104))+IF(Overview!$B$14="Beastfolk",Construction!DE104/Construction!E104)*(1 + Production!O104/100*prestige_pop_multiplier)</f>
        <v>0</v>
      </c>
      <c r="AE104" s="171">
        <f ca="1">armory_cap*(1-EXP(-AN104/(armory_param*($A105-Explore!$S105*20)+15000)))*(1+(mason_bonus*Construction!$BB104/Construction!$BS104))</f>
        <v>0</v>
      </c>
      <c r="AF104" s="171">
        <f ca="1">infirmary_cap*(1-EXP(-AO104/(infirmary_param*($A105-Explore!$S105*20)+15000)))*(1+(mason_bonus*Construction!$BB104/Construction!$BS104))</f>
        <v>0</v>
      </c>
      <c r="AH104" s="56">
        <f ca="1">(1+Overview!$O$28+IF(Magic!BA104&gt;0,0.1,0))*SUM(AV104:AY104) + AH103</f>
        <v>0</v>
      </c>
      <c r="AI104" s="26">
        <f ca="1">(1+Overview!$O$28+IF(Magic!BA104&gt;0,0.1,0))*SUM(BA104:BD104) + AI103</f>
        <v>0</v>
      </c>
      <c r="AJ104" s="164">
        <f ca="1">(1+Overview!$O$28+IF(Magic!BA104&gt;0,0.1,0))*SUM(BF104:BI104) + AJ103</f>
        <v>0</v>
      </c>
      <c r="AK104" s="164">
        <f ca="1">(1+Overview!$O$28+IF(Magic!BA104&gt;0,0.1,0))*SUM(BK104:BN104) + AK103</f>
        <v>0</v>
      </c>
      <c r="AL104" s="164">
        <f ca="1">(1+Overview!$O$28+IF(Magic!BA104&gt;0,0.1,0))*SUM(BP104:BS104) + AL103</f>
        <v>0</v>
      </c>
      <c r="AM104" s="166">
        <f ca="1">(1+Overview!$O$28+IF(Magic!BA104&gt;0,0.1,0))*SUM(BU104:BX104) + AM103</f>
        <v>0</v>
      </c>
      <c r="AN104" s="166">
        <f ca="1">(1+Overview!$O$28+IF(Magic!BA104&gt;0,0.1,0))*SUM(BZ104:CC104)+AN103</f>
        <v>0</v>
      </c>
      <c r="AO104" s="164">
        <f ca="1">(1+Overview!$O$28+IF(Magic!BA104&gt;0,0.1,0))*SUM(CE104:CH104)+AO103</f>
        <v>0</v>
      </c>
      <c r="AQ104" s="52">
        <f t="shared" si="69"/>
        <v>0</v>
      </c>
      <c r="AR104" s="16">
        <f t="shared" si="69"/>
        <v>0</v>
      </c>
      <c r="AS104" s="16">
        <f t="shared" si="69"/>
        <v>0</v>
      </c>
      <c r="AT104" s="53">
        <f t="shared" si="69"/>
        <v>0</v>
      </c>
      <c r="AV104" s="56">
        <f t="shared" si="47"/>
        <v>0</v>
      </c>
      <c r="AW104" s="26">
        <f t="shared" si="70"/>
        <v>0</v>
      </c>
      <c r="AX104" s="26">
        <f t="shared" si="70"/>
        <v>0</v>
      </c>
      <c r="AY104" s="57">
        <f t="shared" si="48"/>
        <v>0</v>
      </c>
      <c r="BA104" s="56">
        <f t="shared" si="49"/>
        <v>0</v>
      </c>
      <c r="BB104" s="26">
        <f t="shared" si="71"/>
        <v>0</v>
      </c>
      <c r="BC104" s="26">
        <f t="shared" si="71"/>
        <v>0</v>
      </c>
      <c r="BD104" s="57">
        <f t="shared" si="50"/>
        <v>0</v>
      </c>
      <c r="BF104" s="56">
        <f t="shared" si="51"/>
        <v>0</v>
      </c>
      <c r="BG104" s="26">
        <f t="shared" si="52"/>
        <v>0</v>
      </c>
      <c r="BH104" s="26">
        <f t="shared" si="68"/>
        <v>0</v>
      </c>
      <c r="BI104" s="57">
        <f t="shared" si="53"/>
        <v>0</v>
      </c>
      <c r="BK104" s="56">
        <f t="shared" si="54"/>
        <v>0</v>
      </c>
      <c r="BL104" s="26">
        <f t="shared" si="72"/>
        <v>0</v>
      </c>
      <c r="BM104" s="26">
        <f t="shared" si="72"/>
        <v>0</v>
      </c>
      <c r="BN104" s="57">
        <f t="shared" si="55"/>
        <v>0</v>
      </c>
      <c r="BP104" s="56">
        <f t="shared" si="56"/>
        <v>0</v>
      </c>
      <c r="BQ104" s="26">
        <f t="shared" si="73"/>
        <v>0</v>
      </c>
      <c r="BR104" s="26">
        <f t="shared" si="73"/>
        <v>0</v>
      </c>
      <c r="BS104" s="57">
        <f t="shared" si="57"/>
        <v>0</v>
      </c>
      <c r="BU104" s="56">
        <f>IF($O104=BU$2,IF($Q104=$AD$2,$P104)) + IF($R104=BU$2,IF($T104=$AD$2,$S104)) + IF($U104=BU$2,IF($W104=$AD$2,$V104))</f>
        <v>0</v>
      </c>
      <c r="BV104" s="26">
        <f>IF($O104=BV$2,IF($Q104=$AD$2,2*$P104)) + IF($R104=BV$2,IF($T104=$AD$2,2*$S104)) + IF($U104=BV$2,IF($W104=$AD$2,2*$V104))</f>
        <v>0</v>
      </c>
      <c r="BW104" s="26">
        <f>IF($O104=BW$2,IF($Q104=$AD$2,2*$P104)) + IF($R104=BW$2,IF($T104=$AD$2,2*$S104)) + IF($U104=BW$2,IF($W104=$AD$2,2*$V104))</f>
        <v>0</v>
      </c>
      <c r="BX104" s="57">
        <f>IF($O104=BX$2,IF($Q104=$AD$2,12*$P104)) + IF($R104=BX$2,IF($T104=$AD$2,12*$S104)) + IF($U104=BX$2,IF($W104=$AD$2,12*$V104))</f>
        <v>0</v>
      </c>
      <c r="BZ104" s="56">
        <f>IF($O104=BZ$2,IF($Q104=Armory,$P104)) + IF($R104=BZ$2,IF($T104=Armory,$S104)) + IF($U104=BZ$2,IF($W104=Armory,$V104))</f>
        <v>0</v>
      </c>
      <c r="CA104" s="26">
        <f>IF($O104=CA$2,IF($Q104=Armory,2*$P104)) + IF($R104=CA$2,IF($T104=Armory,2*$S104)) + IF($U104=CA$2,IF($W104=Armory,2*$V104))</f>
        <v>0</v>
      </c>
      <c r="CB104" s="26">
        <f>IF($O104=CB$2,IF($Q104=Armory,2*$P104)) + IF($R104=CB$2,IF($T104=Armory,2*$S104)) + IF($U104=CB$2,IF($W104=Armory,2*$V104))</f>
        <v>0</v>
      </c>
      <c r="CC104" s="57">
        <f>IF($O104=CC$2,IF($Q104=Armory,12*$P104)) + IF($R104=CC$2,IF($T104=Armory,12*$S104)) + IF($U104=CC$2,IF($W104=Armory,12*$V104))</f>
        <v>0</v>
      </c>
      <c r="CE104" s="56">
        <f>IF($O104=CE$2,IF($Q104=Infirmary,$P104)) + IF($R104=CE$2,IF($T104=Infirmary,$S104)) + IF($U104=CE$2,IF($W104=Infirmary,$V104))</f>
        <v>0</v>
      </c>
      <c r="CF104" s="26">
        <f>IF($O104=CF$2,IF($Q104=Infirmary,2*$P104)) + IF($R104=CF$2,IF($T104=Infirmary,2*$S104)) + IF($U104=CF$2,IF($W104=Infirmary,2*$V104))</f>
        <v>0</v>
      </c>
      <c r="CG104" s="26">
        <f>IF($O104=CG$2,IF($Q104=Infirmary,2*$P104)) + IF($R104=CG$2,IF($T104=Infirmary,2*$S104)) + IF($U104=CG$2,IF($W104=Infirmary,2*$V104))</f>
        <v>0</v>
      </c>
      <c r="CH104" s="57">
        <f>IF($O104=CH$2,IF($Q104=Infirmary,12*$P104)) + IF($R104=CH$2,IF($T104=Infirmary,12*$S104)) + IF($U104=CH$2,IF($W104=Infirmary,12*$V104))</f>
        <v>0</v>
      </c>
      <c r="CJ104" s="52" t="e">
        <f>OR(Production!C104,Construction!N104:'Construction'!AF104,Construction!BV104:CN104,Explore!S104:Z104,Military!AF104:AL104,Military!X104,Military!BE104:BL104,Rezone!L104:R104,Magic!G104:Q104)</f>
        <v>#VALUE!</v>
      </c>
      <c r="CK104" s="525">
        <f>M104</f>
        <v>0</v>
      </c>
      <c r="CL104" s="525"/>
      <c r="CM104" s="555">
        <f t="shared" si="59"/>
        <v>43769.052083333088</v>
      </c>
      <c r="CN104" s="563">
        <f t="shared" si="60"/>
        <v>43768.885416666424</v>
      </c>
      <c r="CO104" s="527"/>
      <c r="CP104" s="803"/>
      <c r="CQ104" s="808"/>
      <c r="CR104" s="448" t="s">
        <v>2</v>
      </c>
    </row>
    <row r="105" spans="1:96" s="16" customFormat="1" x14ac:dyDescent="0.25">
      <c r="A105" s="511">
        <f>Construction!E105</f>
        <v>1000</v>
      </c>
      <c r="C105" s="56">
        <f ca="1">Production!H105</f>
        <v>4985421</v>
      </c>
      <c r="D105" s="26">
        <f ca="1">Production!J105</f>
        <v>287670</v>
      </c>
      <c r="E105" s="26">
        <f ca="1">Production!L105</f>
        <v>300000</v>
      </c>
      <c r="F105" s="57">
        <f ca="1">Production!M105</f>
        <v>20000</v>
      </c>
      <c r="G105" s="26"/>
      <c r="H105" s="56">
        <f ca="1">Military!Z105</f>
        <v>5295</v>
      </c>
      <c r="I105" s="538">
        <f ca="1">Population!I105</f>
        <v>1</v>
      </c>
      <c r="J105" s="165">
        <f ca="1">Population!F105/Population!U105</f>
        <v>1</v>
      </c>
      <c r="K105" s="1000">
        <f>Rezone!J105</f>
        <v>103</v>
      </c>
      <c r="L105" s="582">
        <f t="shared" si="58"/>
        <v>43769.062499999753</v>
      </c>
      <c r="M105" s="316">
        <f t="shared" si="67"/>
        <v>0</v>
      </c>
      <c r="N105" s="638">
        <f t="shared" si="46"/>
        <v>1000</v>
      </c>
      <c r="O105" s="423" t="s">
        <v>4</v>
      </c>
      <c r="P105" s="370"/>
      <c r="Q105" s="424" t="s">
        <v>223</v>
      </c>
      <c r="R105" s="406" t="s">
        <v>7</v>
      </c>
      <c r="S105" s="370"/>
      <c r="T105" s="424" t="s">
        <v>223</v>
      </c>
      <c r="U105" s="406" t="s">
        <v>3</v>
      </c>
      <c r="V105" s="407"/>
      <c r="W105" s="409" t="s">
        <v>223</v>
      </c>
      <c r="Y105" s="501">
        <f ca="1">science_cap*(1-EXP(-AH105/(science_param*($A106-Explore!$S106*20)+15000)))*(1+(mason_bonus*Construction!BB105/Construction!BS105))+IF(Overview!$B$14="Beastfolk",Construction!DA105/Construction!E105,0)*(1 + Production!O105/100*prestige_pop_multiplier)</f>
        <v>0</v>
      </c>
      <c r="Z105" s="454">
        <f ca="1">keep_cap*(1-EXP(-AI105/(keep_param*($A106-Explore!$S106*20)+15000)))*(1+(mason_bonus*Construction!BB105/Construction!BS105))+IF(Overview!$B$14="Beastfolk",Construction!DF105/Construction!E105,0)*(1 + Production!O105/100*prestige_pop_multiplier)</f>
        <v>0</v>
      </c>
      <c r="AA105" s="454">
        <f ca="1">harbor_towers_cap*(1-EXP(-AJ105/(harbor_towers_param*($A106-Explore!$S106*20)+15000)))*(1+(mason_bonus*Construction!BB105/Construction!BS105))+IF(Overview!$B$14="Beastfolk",2*Construction!DC105/Construction!E105,0)*(1 + Production!O105/100*prestige_pop_multiplier)</f>
        <v>0</v>
      </c>
      <c r="AB105" s="454">
        <f ca="1">walls_forges_cap*(1-EXP(-AK105/(walls_forges_param*($A106-Explore!$S106*20)+15000)))*(1+(mason_bonus*Construction!BB105/Construction!BS105))+IF(Overview!$B$14="Beastfolk",0.2*Construction!CY105/Construction!E105,0)</f>
        <v>0</v>
      </c>
      <c r="AC105" s="454">
        <f ca="1">walls_forges_cap*(1-EXP(-AL105/(walls_forges_param*($A106-Explore!$S106*20)+15000)))*(1+(mason_bonus*Construction!BB105/Construction!BS105))+IF(Overview!$B$14="Beastfolk",5*Construction!DB105/Construction!E105,0)</f>
        <v>0</v>
      </c>
      <c r="AD105" s="171">
        <f ca="1">harbor_towers_cap*(1-EXP(-AM105/(harbor_towers_param*($A106-Explore!$S106*20)+15000)))*(1+(mason_bonus*Construction!BB105/Construction!BS105))+IF(Overview!$B$14="Beastfolk",Construction!DE105/Construction!E105)*(1 + Production!O105/100*prestige_pop_multiplier)</f>
        <v>0</v>
      </c>
      <c r="AE105" s="171">
        <f ca="1">armory_cap*(1-EXP(-AN105/(armory_param*($A106-Explore!$S106*20)+15000)))*(1+(mason_bonus*Construction!$BB105/Construction!$BS105))</f>
        <v>0</v>
      </c>
      <c r="AF105" s="171">
        <f ca="1">infirmary_cap*(1-EXP(-AO105/(infirmary_param*($A106-Explore!$S106*20)+15000)))*(1+(mason_bonus*Construction!$BB105/Construction!$BS105))</f>
        <v>0</v>
      </c>
      <c r="AH105" s="56">
        <f ca="1">(1+Overview!$O$28+IF(Magic!BA105&gt;0,0.1,0))*SUM(AV105:AY105) + AH104</f>
        <v>0</v>
      </c>
      <c r="AI105" s="26">
        <f ca="1">(1+Overview!$O$28+IF(Magic!BA105&gt;0,0.1,0))*SUM(BA105:BD105) + AI104</f>
        <v>0</v>
      </c>
      <c r="AJ105" s="164">
        <f ca="1">(1+Overview!$O$28+IF(Magic!BA105&gt;0,0.1,0))*SUM(BF105:BI105) + AJ104</f>
        <v>0</v>
      </c>
      <c r="AK105" s="164">
        <f ca="1">(1+Overview!$O$28+IF(Magic!BA105&gt;0,0.1,0))*SUM(BK105:BN105) + AK104</f>
        <v>0</v>
      </c>
      <c r="AL105" s="164">
        <f ca="1">(1+Overview!$O$28+IF(Magic!BA105&gt;0,0.1,0))*SUM(BP105:BS105) + AL104</f>
        <v>0</v>
      </c>
      <c r="AM105" s="166">
        <f ca="1">(1+Overview!$O$28+IF(Magic!BA105&gt;0,0.1,0))*SUM(BU105:BX105) + AM104</f>
        <v>0</v>
      </c>
      <c r="AN105" s="166">
        <f ca="1">(1+Overview!$O$28+IF(Magic!BA105&gt;0,0.1,0))*SUM(BZ105:CC105)+AN104</f>
        <v>0</v>
      </c>
      <c r="AO105" s="164">
        <f ca="1">(1+Overview!$O$28+IF(Magic!BA105&gt;0,0.1,0))*SUM(CE105:CH105)+AO104</f>
        <v>0</v>
      </c>
      <c r="AQ105" s="52">
        <f t="shared" si="69"/>
        <v>0</v>
      </c>
      <c r="AR105" s="16">
        <f t="shared" si="69"/>
        <v>0</v>
      </c>
      <c r="AS105" s="16">
        <f t="shared" si="69"/>
        <v>0</v>
      </c>
      <c r="AT105" s="53">
        <f t="shared" si="69"/>
        <v>0</v>
      </c>
      <c r="AV105" s="56">
        <f t="shared" si="47"/>
        <v>0</v>
      </c>
      <c r="AW105" s="26">
        <f t="shared" si="70"/>
        <v>0</v>
      </c>
      <c r="AX105" s="26">
        <f t="shared" si="70"/>
        <v>0</v>
      </c>
      <c r="AY105" s="57">
        <f t="shared" si="48"/>
        <v>0</v>
      </c>
      <c r="BA105" s="56">
        <f t="shared" si="49"/>
        <v>0</v>
      </c>
      <c r="BB105" s="26">
        <f t="shared" si="71"/>
        <v>0</v>
      </c>
      <c r="BC105" s="26">
        <f t="shared" si="71"/>
        <v>0</v>
      </c>
      <c r="BD105" s="57">
        <f t="shared" si="50"/>
        <v>0</v>
      </c>
      <c r="BF105" s="56">
        <f t="shared" si="51"/>
        <v>0</v>
      </c>
      <c r="BG105" s="26">
        <f t="shared" si="52"/>
        <v>0</v>
      </c>
      <c r="BH105" s="26">
        <f t="shared" si="68"/>
        <v>0</v>
      </c>
      <c r="BI105" s="57">
        <f t="shared" si="53"/>
        <v>0</v>
      </c>
      <c r="BK105" s="56">
        <f t="shared" si="54"/>
        <v>0</v>
      </c>
      <c r="BL105" s="26">
        <f t="shared" si="72"/>
        <v>0</v>
      </c>
      <c r="BM105" s="26">
        <f t="shared" si="72"/>
        <v>0</v>
      </c>
      <c r="BN105" s="57">
        <f t="shared" si="55"/>
        <v>0</v>
      </c>
      <c r="BP105" s="56">
        <f t="shared" si="56"/>
        <v>0</v>
      </c>
      <c r="BQ105" s="26">
        <f t="shared" si="73"/>
        <v>0</v>
      </c>
      <c r="BR105" s="26">
        <f t="shared" si="73"/>
        <v>0</v>
      </c>
      <c r="BS105" s="57">
        <f t="shared" si="57"/>
        <v>0</v>
      </c>
      <c r="BU105" s="56">
        <f>IF($O105=BU$2,IF($Q105=$AD$2,$P105)) + IF($R105=BU$2,IF($T105=$AD$2,$S105)) + IF($U105=BU$2,IF($W105=$AD$2,$V105))</f>
        <v>0</v>
      </c>
      <c r="BV105" s="26">
        <f>IF($O105=BV$2,IF($Q105=$AD$2,2*$P105)) + IF($R105=BV$2,IF($T105=$AD$2,2*$S105)) + IF($U105=BV$2,IF($W105=$AD$2,2*$V105))</f>
        <v>0</v>
      </c>
      <c r="BW105" s="26">
        <f>IF($O105=BW$2,IF($Q105=$AD$2,2*$P105)) + IF($R105=BW$2,IF($T105=$AD$2,2*$S105)) + IF($U105=BW$2,IF($W105=$AD$2,2*$V105))</f>
        <v>0</v>
      </c>
      <c r="BX105" s="57">
        <f>IF($O105=BX$2,IF($Q105=$AD$2,12*$P105)) + IF($R105=BX$2,IF($T105=$AD$2,12*$S105)) + IF($U105=BX$2,IF($W105=$AD$2,12*$V105))</f>
        <v>0</v>
      </c>
      <c r="BZ105" s="56">
        <f>IF($O105=BZ$2,IF($Q105=Armory,$P105)) + IF($R105=BZ$2,IF($T105=Armory,$S105)) + IF($U105=BZ$2,IF($W105=Armory,$V105))</f>
        <v>0</v>
      </c>
      <c r="CA105" s="26">
        <f>IF($O105=CA$2,IF($Q105=Armory,2*$P105)) + IF($R105=CA$2,IF($T105=Armory,2*$S105)) + IF($U105=CA$2,IF($W105=Armory,2*$V105))</f>
        <v>0</v>
      </c>
      <c r="CB105" s="26">
        <f>IF($O105=CB$2,IF($Q105=Armory,2*$P105)) + IF($R105=CB$2,IF($T105=Armory,2*$S105)) + IF($U105=CB$2,IF($W105=Armory,2*$V105))</f>
        <v>0</v>
      </c>
      <c r="CC105" s="57">
        <f>IF($O105=CC$2,IF($Q105=Armory,12*$P105)) + IF($R105=CC$2,IF($T105=Armory,12*$S105)) + IF($U105=CC$2,IF($W105=Armory,12*$V105))</f>
        <v>0</v>
      </c>
      <c r="CE105" s="56">
        <f>IF($O105=CE$2,IF($Q105=Infirmary,$P105)) + IF($R105=CE$2,IF($T105=Infirmary,$S105)) + IF($U105=CE$2,IF($W105=Infirmary,$V105))</f>
        <v>0</v>
      </c>
      <c r="CF105" s="26">
        <f>IF($O105=CF$2,IF($Q105=Infirmary,2*$P105)) + IF($R105=CF$2,IF($T105=Infirmary,2*$S105)) + IF($U105=CF$2,IF($W105=Infirmary,2*$V105))</f>
        <v>0</v>
      </c>
      <c r="CG105" s="26">
        <f>IF($O105=CG$2,IF($Q105=Infirmary,2*$P105)) + IF($R105=CG$2,IF($T105=Infirmary,2*$S105)) + IF($U105=CG$2,IF($W105=Infirmary,2*$V105))</f>
        <v>0</v>
      </c>
      <c r="CH105" s="57">
        <f>IF($O105=CH$2,IF($Q105=Infirmary,12*$P105)) + IF($R105=CH$2,IF($T105=Infirmary,12*$S105)) + IF($U105=CH$2,IF($W105=Infirmary,12*$V105))</f>
        <v>0</v>
      </c>
      <c r="CJ105" s="52" t="e">
        <f>OR(Production!C105,Construction!N105:'Construction'!AF105,Construction!BV105:CN105,Explore!S105:Z105,Military!AF105:AL105,Military!X105,Military!BE105:BL105,Rezone!L105:R105,Magic!G105:Q105)</f>
        <v>#VALUE!</v>
      </c>
      <c r="CK105" s="525">
        <f>M105</f>
        <v>0</v>
      </c>
      <c r="CL105" s="525"/>
      <c r="CM105" s="555">
        <f t="shared" si="59"/>
        <v>43769.062499999753</v>
      </c>
      <c r="CN105" s="563">
        <f t="shared" si="60"/>
        <v>43768.895833333088</v>
      </c>
      <c r="CO105" s="527"/>
      <c r="CP105" s="803"/>
      <c r="CQ105" s="808"/>
    </row>
    <row r="106" spans="1:96" s="16" customFormat="1" x14ac:dyDescent="0.25">
      <c r="A106" s="511">
        <f>Construction!E106</f>
        <v>1000</v>
      </c>
      <c r="C106" s="56">
        <f ca="1">Production!H106</f>
        <v>4990402</v>
      </c>
      <c r="D106" s="26">
        <f ca="1">Production!J106</f>
        <v>287293</v>
      </c>
      <c r="E106" s="26">
        <f ca="1">Production!L106</f>
        <v>300000</v>
      </c>
      <c r="F106" s="57">
        <f ca="1">Production!M106</f>
        <v>20000</v>
      </c>
      <c r="G106" s="26"/>
      <c r="H106" s="56">
        <f ca="1">Military!Z106</f>
        <v>5295</v>
      </c>
      <c r="I106" s="538">
        <f ca="1">Population!I106</f>
        <v>1</v>
      </c>
      <c r="J106" s="165">
        <f ca="1">Population!F106/Population!U106</f>
        <v>1</v>
      </c>
      <c r="K106" s="1000">
        <f>Rezone!J106</f>
        <v>104</v>
      </c>
      <c r="L106" s="582">
        <f t="shared" si="58"/>
        <v>43769.072916666417</v>
      </c>
      <c r="M106" s="316">
        <f t="shared" si="67"/>
        <v>0</v>
      </c>
      <c r="N106" s="638">
        <f t="shared" si="46"/>
        <v>1000</v>
      </c>
      <c r="O106" s="423" t="s">
        <v>4</v>
      </c>
      <c r="P106" s="370"/>
      <c r="Q106" s="424" t="s">
        <v>223</v>
      </c>
      <c r="R106" s="406" t="s">
        <v>7</v>
      </c>
      <c r="S106" s="370"/>
      <c r="T106" s="424" t="s">
        <v>223</v>
      </c>
      <c r="U106" s="406" t="s">
        <v>3</v>
      </c>
      <c r="V106" s="407"/>
      <c r="W106" s="409" t="s">
        <v>223</v>
      </c>
      <c r="Y106" s="501">
        <f ca="1">science_cap*(1-EXP(-AH106/(science_param*($A107-Explore!$S107*20)+15000)))*(1+(mason_bonus*Construction!BB106/Construction!BS106))+IF(Overview!$B$14="Beastfolk",Construction!DA106/Construction!E106,0)*(1 + Production!O106/100*prestige_pop_multiplier)</f>
        <v>0</v>
      </c>
      <c r="Z106" s="454">
        <f ca="1">keep_cap*(1-EXP(-AI106/(keep_param*($A107-Explore!$S107*20)+15000)))*(1+(mason_bonus*Construction!BB106/Construction!BS106))+IF(Overview!$B$14="Beastfolk",Construction!DF106/Construction!E106,0)*(1 + Production!O106/100*prestige_pop_multiplier)</f>
        <v>0</v>
      </c>
      <c r="AA106" s="454">
        <f ca="1">harbor_towers_cap*(1-EXP(-AJ106/(harbor_towers_param*($A107-Explore!$S107*20)+15000)))*(1+(mason_bonus*Construction!BB106/Construction!BS106))+IF(Overview!$B$14="Beastfolk",2*Construction!DC106/Construction!E106,0)*(1 + Production!O106/100*prestige_pop_multiplier)</f>
        <v>0</v>
      </c>
      <c r="AB106" s="454">
        <f ca="1">walls_forges_cap*(1-EXP(-AK106/(walls_forges_param*($A107-Explore!$S107*20)+15000)))*(1+(mason_bonus*Construction!BB106/Construction!BS106))+IF(Overview!$B$14="Beastfolk",0.2*Construction!CY106/Construction!E106,0)</f>
        <v>0</v>
      </c>
      <c r="AC106" s="454">
        <f ca="1">walls_forges_cap*(1-EXP(-AL106/(walls_forges_param*($A107-Explore!$S107*20)+15000)))*(1+(mason_bonus*Construction!BB106/Construction!BS106))+IF(Overview!$B$14="Beastfolk",5*Construction!DB106/Construction!E106,0)</f>
        <v>0</v>
      </c>
      <c r="AD106" s="171">
        <f ca="1">harbor_towers_cap*(1-EXP(-AM106/(harbor_towers_param*($A107-Explore!$S107*20)+15000)))*(1+(mason_bonus*Construction!BB106/Construction!BS106))+IF(Overview!$B$14="Beastfolk",Construction!DE106/Construction!E106)*(1 + Production!O106/100*prestige_pop_multiplier)</f>
        <v>0</v>
      </c>
      <c r="AE106" s="171">
        <f ca="1">armory_cap*(1-EXP(-AN106/(armory_param*($A107-Explore!$S107*20)+15000)))*(1+(mason_bonus*Construction!$BB106/Construction!$BS106))</f>
        <v>0</v>
      </c>
      <c r="AF106" s="171">
        <f ca="1">infirmary_cap*(1-EXP(-AO106/(infirmary_param*($A107-Explore!$S107*20)+15000)))*(1+(mason_bonus*Construction!$BB106/Construction!$BS106))</f>
        <v>0</v>
      </c>
      <c r="AH106" s="56">
        <f ca="1">(1+Overview!$O$28+IF(Magic!BA106&gt;0,0.1,0))*SUM(AV106:AY106) + AH105</f>
        <v>0</v>
      </c>
      <c r="AI106" s="26">
        <f ca="1">(1+Overview!$O$28+IF(Magic!BA106&gt;0,0.1,0))*SUM(BA106:BD106) + AI105</f>
        <v>0</v>
      </c>
      <c r="AJ106" s="164">
        <f ca="1">(1+Overview!$O$28+IF(Magic!BA106&gt;0,0.1,0))*SUM(BF106:BI106) + AJ105</f>
        <v>0</v>
      </c>
      <c r="AK106" s="164">
        <f ca="1">(1+Overview!$O$28+IF(Magic!BA106&gt;0,0.1,0))*SUM(BK106:BN106) + AK105</f>
        <v>0</v>
      </c>
      <c r="AL106" s="164">
        <f ca="1">(1+Overview!$O$28+IF(Magic!BA106&gt;0,0.1,0))*SUM(BP106:BS106) + AL105</f>
        <v>0</v>
      </c>
      <c r="AM106" s="166">
        <f ca="1">(1+Overview!$O$28+IF(Magic!BA106&gt;0,0.1,0))*SUM(BU106:BX106) + AM105</f>
        <v>0</v>
      </c>
      <c r="AN106" s="166">
        <f ca="1">(1+Overview!$O$28+IF(Magic!BA106&gt;0,0.1,0))*SUM(BZ106:CC106)+AN105</f>
        <v>0</v>
      </c>
      <c r="AO106" s="164">
        <f ca="1">(1+Overview!$O$28+IF(Magic!BA106&gt;0,0.1,0))*SUM(CE106:CH106)+AO105</f>
        <v>0</v>
      </c>
      <c r="AQ106" s="52">
        <f t="shared" si="69"/>
        <v>0</v>
      </c>
      <c r="AR106" s="16">
        <f t="shared" si="69"/>
        <v>0</v>
      </c>
      <c r="AS106" s="16">
        <f t="shared" si="69"/>
        <v>0</v>
      </c>
      <c r="AT106" s="53">
        <f t="shared" si="69"/>
        <v>0</v>
      </c>
      <c r="AV106" s="56">
        <f t="shared" si="47"/>
        <v>0</v>
      </c>
      <c r="AW106" s="26">
        <f t="shared" si="70"/>
        <v>0</v>
      </c>
      <c r="AX106" s="26">
        <f t="shared" si="70"/>
        <v>0</v>
      </c>
      <c r="AY106" s="57">
        <f t="shared" si="48"/>
        <v>0</v>
      </c>
      <c r="BA106" s="56">
        <f t="shared" si="49"/>
        <v>0</v>
      </c>
      <c r="BB106" s="26">
        <f t="shared" si="71"/>
        <v>0</v>
      </c>
      <c r="BC106" s="26">
        <f t="shared" si="71"/>
        <v>0</v>
      </c>
      <c r="BD106" s="57">
        <f t="shared" si="50"/>
        <v>0</v>
      </c>
      <c r="BF106" s="56">
        <f t="shared" si="51"/>
        <v>0</v>
      </c>
      <c r="BG106" s="26">
        <f t="shared" si="52"/>
        <v>0</v>
      </c>
      <c r="BH106" s="26">
        <f t="shared" si="68"/>
        <v>0</v>
      </c>
      <c r="BI106" s="57">
        <f t="shared" si="53"/>
        <v>0</v>
      </c>
      <c r="BK106" s="56">
        <f t="shared" si="54"/>
        <v>0</v>
      </c>
      <c r="BL106" s="26">
        <f t="shared" si="72"/>
        <v>0</v>
      </c>
      <c r="BM106" s="26">
        <f t="shared" si="72"/>
        <v>0</v>
      </c>
      <c r="BN106" s="57">
        <f t="shared" si="55"/>
        <v>0</v>
      </c>
      <c r="BP106" s="56">
        <f t="shared" si="56"/>
        <v>0</v>
      </c>
      <c r="BQ106" s="26">
        <f t="shared" si="73"/>
        <v>0</v>
      </c>
      <c r="BR106" s="26">
        <f t="shared" si="73"/>
        <v>0</v>
      </c>
      <c r="BS106" s="57">
        <f t="shared" si="57"/>
        <v>0</v>
      </c>
      <c r="BU106" s="56">
        <f>IF($O106=BU$2,IF($Q106=$AD$2,$P106)) + IF($R106=BU$2,IF($T106=$AD$2,$S106)) + IF($U106=BU$2,IF($W106=$AD$2,$V106))</f>
        <v>0</v>
      </c>
      <c r="BV106" s="26">
        <f>IF($O106=BV$2,IF($Q106=$AD$2,2*$P106)) + IF($R106=BV$2,IF($T106=$AD$2,2*$S106)) + IF($U106=BV$2,IF($W106=$AD$2,2*$V106))</f>
        <v>0</v>
      </c>
      <c r="BW106" s="26">
        <f>IF($O106=BW$2,IF($Q106=$AD$2,2*$P106)) + IF($R106=BW$2,IF($T106=$AD$2,2*$S106)) + IF($U106=BW$2,IF($W106=$AD$2,2*$V106))</f>
        <v>0</v>
      </c>
      <c r="BX106" s="57">
        <f>IF($O106=BX$2,IF($Q106=$AD$2,12*$P106)) + IF($R106=BX$2,IF($T106=$AD$2,12*$S106)) + IF($U106=BX$2,IF($W106=$AD$2,12*$V106))</f>
        <v>0</v>
      </c>
      <c r="BZ106" s="56">
        <f>IF($O106=BZ$2,IF($Q106=Armory,$P106)) + IF($R106=BZ$2,IF($T106=Armory,$S106)) + IF($U106=BZ$2,IF($W106=Armory,$V106))</f>
        <v>0</v>
      </c>
      <c r="CA106" s="26">
        <f>IF($O106=CA$2,IF($Q106=Armory,2*$P106)) + IF($R106=CA$2,IF($T106=Armory,2*$S106)) + IF($U106=CA$2,IF($W106=Armory,2*$V106))</f>
        <v>0</v>
      </c>
      <c r="CB106" s="26">
        <f>IF($O106=CB$2,IF($Q106=Armory,2*$P106)) + IF($R106=CB$2,IF($T106=Armory,2*$S106)) + IF($U106=CB$2,IF($W106=Armory,2*$V106))</f>
        <v>0</v>
      </c>
      <c r="CC106" s="57">
        <f>IF($O106=CC$2,IF($Q106=Armory,12*$P106)) + IF($R106=CC$2,IF($T106=Armory,12*$S106)) + IF($U106=CC$2,IF($W106=Armory,12*$V106))</f>
        <v>0</v>
      </c>
      <c r="CE106" s="56">
        <f>IF($O106=CE$2,IF($Q106=Infirmary,$P106)) + IF($R106=CE$2,IF($T106=Infirmary,$S106)) + IF($U106=CE$2,IF($W106=Infirmary,$V106))</f>
        <v>0</v>
      </c>
      <c r="CF106" s="26">
        <f>IF($O106=CF$2,IF($Q106=Infirmary,2*$P106)) + IF($R106=CF$2,IF($T106=Infirmary,2*$S106)) + IF($U106=CF$2,IF($W106=Infirmary,2*$V106))</f>
        <v>0</v>
      </c>
      <c r="CG106" s="26">
        <f>IF($O106=CG$2,IF($Q106=Infirmary,2*$P106)) + IF($R106=CG$2,IF($T106=Infirmary,2*$S106)) + IF($U106=CG$2,IF($W106=Infirmary,2*$V106))</f>
        <v>0</v>
      </c>
      <c r="CH106" s="57">
        <f>IF($O106=CH$2,IF($Q106=Infirmary,12*$P106)) + IF($R106=CH$2,IF($T106=Infirmary,12*$S106)) + IF($U106=CH$2,IF($W106=Infirmary,12*$V106))</f>
        <v>0</v>
      </c>
      <c r="CJ106" s="52" t="e">
        <f>OR(Production!C106,Construction!N106:'Construction'!AF106,Construction!BV106:CN106,Explore!S106:Z106,Military!AF106:AL106,Military!X106,Military!BE106:BL106,Rezone!L106:R106,Magic!G106:Q106)</f>
        <v>#VALUE!</v>
      </c>
      <c r="CK106" s="525">
        <f>M106</f>
        <v>0</v>
      </c>
      <c r="CL106" s="525"/>
      <c r="CM106" s="555">
        <f t="shared" si="59"/>
        <v>43769.072916666417</v>
      </c>
      <c r="CN106" s="563">
        <f t="shared" si="60"/>
        <v>43768.906249999753</v>
      </c>
      <c r="CO106" s="527"/>
      <c r="CP106" s="803"/>
      <c r="CQ106" s="808"/>
      <c r="CR106" s="107" t="s">
        <v>221</v>
      </c>
    </row>
    <row r="107" spans="1:96" s="16" customFormat="1" x14ac:dyDescent="0.25">
      <c r="A107" s="511">
        <f>Construction!E107</f>
        <v>1000</v>
      </c>
      <c r="C107" s="56">
        <f ca="1">Production!H107</f>
        <v>4995383</v>
      </c>
      <c r="D107" s="26">
        <f ca="1">Production!J107</f>
        <v>286920</v>
      </c>
      <c r="E107" s="26">
        <f ca="1">Production!L107</f>
        <v>300000</v>
      </c>
      <c r="F107" s="57">
        <f ca="1">Production!M107</f>
        <v>20000</v>
      </c>
      <c r="G107" s="26"/>
      <c r="H107" s="56">
        <f ca="1">Military!Z107</f>
        <v>5295</v>
      </c>
      <c r="I107" s="538">
        <f ca="1">Population!I107</f>
        <v>1</v>
      </c>
      <c r="J107" s="165">
        <f ca="1">Population!F107/Population!U107</f>
        <v>1</v>
      </c>
      <c r="K107" s="1000">
        <f>Rezone!J107</f>
        <v>105</v>
      </c>
      <c r="L107" s="582">
        <f t="shared" si="58"/>
        <v>43769.083333333081</v>
      </c>
      <c r="M107" s="316">
        <f t="shared" si="67"/>
        <v>0</v>
      </c>
      <c r="N107" s="638">
        <f t="shared" si="46"/>
        <v>1000</v>
      </c>
      <c r="O107" s="423" t="s">
        <v>4</v>
      </c>
      <c r="P107" s="370"/>
      <c r="Q107" s="424" t="s">
        <v>223</v>
      </c>
      <c r="R107" s="423" t="s">
        <v>7</v>
      </c>
      <c r="S107" s="370"/>
      <c r="T107" s="424" t="s">
        <v>223</v>
      </c>
      <c r="U107" s="406" t="s">
        <v>3</v>
      </c>
      <c r="V107" s="407"/>
      <c r="W107" s="409" t="s">
        <v>223</v>
      </c>
      <c r="Y107" s="501">
        <f ca="1">science_cap*(1-EXP(-AH107/(science_param*($A108-Explore!$S108*20)+15000)))*(1+(mason_bonus*Construction!BB107/Construction!BS107))+IF(Overview!$B$14="Beastfolk",Construction!DA107/Construction!E107,0)*(1 + Production!O107/100*prestige_pop_multiplier)</f>
        <v>0</v>
      </c>
      <c r="Z107" s="454">
        <f ca="1">keep_cap*(1-EXP(-AI107/(keep_param*($A108-Explore!$S108*20)+15000)))*(1+(mason_bonus*Construction!BB107/Construction!BS107))+IF(Overview!$B$14="Beastfolk",Construction!DF107/Construction!E107,0)*(1 + Production!O107/100*prestige_pop_multiplier)</f>
        <v>0</v>
      </c>
      <c r="AA107" s="454">
        <f ca="1">harbor_towers_cap*(1-EXP(-AJ107/(harbor_towers_param*($A108-Explore!$S108*20)+15000)))*(1+(mason_bonus*Construction!BB107/Construction!BS107))+IF(Overview!$B$14="Beastfolk",2*Construction!DC107/Construction!E107,0)*(1 + Production!O107/100*prestige_pop_multiplier)</f>
        <v>0</v>
      </c>
      <c r="AB107" s="454">
        <f ca="1">walls_forges_cap*(1-EXP(-AK107/(walls_forges_param*($A108-Explore!$S108*20)+15000)))*(1+(mason_bonus*Construction!BB107/Construction!BS107))+IF(Overview!$B$14="Beastfolk",0.2*Construction!CY107/Construction!E107,0)</f>
        <v>0</v>
      </c>
      <c r="AC107" s="454">
        <f ca="1">walls_forges_cap*(1-EXP(-AL107/(walls_forges_param*($A108-Explore!$S108*20)+15000)))*(1+(mason_bonus*Construction!BB107/Construction!BS107))+IF(Overview!$B$14="Beastfolk",5*Construction!DB107/Construction!E107,0)</f>
        <v>0</v>
      </c>
      <c r="AD107" s="171">
        <f ca="1">harbor_towers_cap*(1-EXP(-AM107/(harbor_towers_param*($A108-Explore!$S108*20)+15000)))*(1+(mason_bonus*Construction!BB107/Construction!BS107))+IF(Overview!$B$14="Beastfolk",Construction!DE107/Construction!E107)*(1 + Production!O107/100*prestige_pop_multiplier)</f>
        <v>0</v>
      </c>
      <c r="AE107" s="171">
        <f ca="1">armory_cap*(1-EXP(-AN107/(armory_param*($A108-Explore!$S108*20)+15000)))*(1+(mason_bonus*Construction!$BB107/Construction!$BS107))</f>
        <v>0</v>
      </c>
      <c r="AF107" s="171">
        <f ca="1">infirmary_cap*(1-EXP(-AO107/(infirmary_param*($A108-Explore!$S108*20)+15000)))*(1+(mason_bonus*Construction!$BB107/Construction!$BS107))</f>
        <v>0</v>
      </c>
      <c r="AH107" s="56">
        <f ca="1">(1+Overview!$O$28+IF(Magic!BA107&gt;0,0.1,0))*SUM(AV107:AY107) + AH106</f>
        <v>0</v>
      </c>
      <c r="AI107" s="26">
        <f ca="1">(1+Overview!$O$28+IF(Magic!BA107&gt;0,0.1,0))*SUM(BA107:BD107) + AI106</f>
        <v>0</v>
      </c>
      <c r="AJ107" s="164">
        <f ca="1">(1+Overview!$O$28+IF(Magic!BA107&gt;0,0.1,0))*SUM(BF107:BI107) + AJ106</f>
        <v>0</v>
      </c>
      <c r="AK107" s="164">
        <f ca="1">(1+Overview!$O$28+IF(Magic!BA107&gt;0,0.1,0))*SUM(BK107:BN107) + AK106</f>
        <v>0</v>
      </c>
      <c r="AL107" s="164">
        <f ca="1">(1+Overview!$O$28+IF(Magic!BA107&gt;0,0.1,0))*SUM(BP107:BS107) + AL106</f>
        <v>0</v>
      </c>
      <c r="AM107" s="166">
        <f ca="1">(1+Overview!$O$28+IF(Magic!BA107&gt;0,0.1,0))*SUM(BU107:BX107) + AM106</f>
        <v>0</v>
      </c>
      <c r="AN107" s="166">
        <f ca="1">(1+Overview!$O$28+IF(Magic!BA107&gt;0,0.1,0))*SUM(BZ107:CC107)+AN106</f>
        <v>0</v>
      </c>
      <c r="AO107" s="164">
        <f ca="1">(1+Overview!$O$28+IF(Magic!BA107&gt;0,0.1,0))*SUM(CE107:CH107)+AO106</f>
        <v>0</v>
      </c>
      <c r="AQ107" s="52">
        <f t="shared" si="69"/>
        <v>0</v>
      </c>
      <c r="AR107" s="16">
        <f t="shared" si="69"/>
        <v>0</v>
      </c>
      <c r="AS107" s="16">
        <f t="shared" si="69"/>
        <v>0</v>
      </c>
      <c r="AT107" s="53">
        <f t="shared" si="69"/>
        <v>0</v>
      </c>
      <c r="AV107" s="56">
        <f t="shared" si="47"/>
        <v>0</v>
      </c>
      <c r="AW107" s="26">
        <f t="shared" si="70"/>
        <v>0</v>
      </c>
      <c r="AX107" s="26">
        <f t="shared" si="70"/>
        <v>0</v>
      </c>
      <c r="AY107" s="57">
        <f t="shared" si="48"/>
        <v>0</v>
      </c>
      <c r="BA107" s="56">
        <f t="shared" si="49"/>
        <v>0</v>
      </c>
      <c r="BB107" s="26">
        <f t="shared" si="71"/>
        <v>0</v>
      </c>
      <c r="BC107" s="26">
        <f t="shared" si="71"/>
        <v>0</v>
      </c>
      <c r="BD107" s="57">
        <f t="shared" si="50"/>
        <v>0</v>
      </c>
      <c r="BF107" s="56">
        <f t="shared" si="51"/>
        <v>0</v>
      </c>
      <c r="BG107" s="26">
        <f t="shared" si="52"/>
        <v>0</v>
      </c>
      <c r="BH107" s="26">
        <f t="shared" si="68"/>
        <v>0</v>
      </c>
      <c r="BI107" s="57">
        <f t="shared" si="53"/>
        <v>0</v>
      </c>
      <c r="BK107" s="56">
        <f t="shared" si="54"/>
        <v>0</v>
      </c>
      <c r="BL107" s="26">
        <f t="shared" si="72"/>
        <v>0</v>
      </c>
      <c r="BM107" s="26">
        <f t="shared" si="72"/>
        <v>0</v>
      </c>
      <c r="BN107" s="57">
        <f t="shared" si="55"/>
        <v>0</v>
      </c>
      <c r="BP107" s="56">
        <f t="shared" si="56"/>
        <v>0</v>
      </c>
      <c r="BQ107" s="26">
        <f t="shared" si="73"/>
        <v>0</v>
      </c>
      <c r="BR107" s="26">
        <f t="shared" si="73"/>
        <v>0</v>
      </c>
      <c r="BS107" s="57">
        <f t="shared" si="57"/>
        <v>0</v>
      </c>
      <c r="BU107" s="56">
        <f>IF($O107=BU$2,IF($Q107=$AD$2,$P107)) + IF($R107=BU$2,IF($T107=$AD$2,$S107)) + IF($U107=BU$2,IF($W107=$AD$2,$V107))</f>
        <v>0</v>
      </c>
      <c r="BV107" s="26">
        <f>IF($O107=BV$2,IF($Q107=$AD$2,2*$P107)) + IF($R107=BV$2,IF($T107=$AD$2,2*$S107)) + IF($U107=BV$2,IF($W107=$AD$2,2*$V107))</f>
        <v>0</v>
      </c>
      <c r="BW107" s="26">
        <f>IF($O107=BW$2,IF($Q107=$AD$2,2*$P107)) + IF($R107=BW$2,IF($T107=$AD$2,2*$S107)) + IF($U107=BW$2,IF($W107=$AD$2,2*$V107))</f>
        <v>0</v>
      </c>
      <c r="BX107" s="57">
        <f>IF($O107=BX$2,IF($Q107=$AD$2,12*$P107)) + IF($R107=BX$2,IF($T107=$AD$2,12*$S107)) + IF($U107=BX$2,IF($W107=$AD$2,12*$V107))</f>
        <v>0</v>
      </c>
      <c r="BZ107" s="56">
        <f>IF($O107=BZ$2,IF($Q107=Armory,$P107)) + IF($R107=BZ$2,IF($T107=Armory,$S107)) + IF($U107=BZ$2,IF($W107=Armory,$V107))</f>
        <v>0</v>
      </c>
      <c r="CA107" s="26">
        <f>IF($O107=CA$2,IF($Q107=Armory,2*$P107)) + IF($R107=CA$2,IF($T107=Armory,2*$S107)) + IF($U107=CA$2,IF($W107=Armory,2*$V107))</f>
        <v>0</v>
      </c>
      <c r="CB107" s="26">
        <f>IF($O107=CB$2,IF($Q107=Armory,2*$P107)) + IF($R107=CB$2,IF($T107=Armory,2*$S107)) + IF($U107=CB$2,IF($W107=Armory,2*$V107))</f>
        <v>0</v>
      </c>
      <c r="CC107" s="57">
        <f>IF($O107=CC$2,IF($Q107=Armory,12*$P107)) + IF($R107=CC$2,IF($T107=Armory,12*$S107)) + IF($U107=CC$2,IF($W107=Armory,12*$V107))</f>
        <v>0</v>
      </c>
      <c r="CE107" s="56">
        <f>IF($O107=CE$2,IF($Q107=Infirmary,$P107)) + IF($R107=CE$2,IF($T107=Infirmary,$S107)) + IF($U107=CE$2,IF($W107=Infirmary,$V107))</f>
        <v>0</v>
      </c>
      <c r="CF107" s="26">
        <f>IF($O107=CF$2,IF($Q107=Infirmary,2*$P107)) + IF($R107=CF$2,IF($T107=Infirmary,2*$S107)) + IF($U107=CF$2,IF($W107=Infirmary,2*$V107))</f>
        <v>0</v>
      </c>
      <c r="CG107" s="26">
        <f>IF($O107=CG$2,IF($Q107=Infirmary,2*$P107)) + IF($R107=CG$2,IF($T107=Infirmary,2*$S107)) + IF($U107=CG$2,IF($W107=Infirmary,2*$V107))</f>
        <v>0</v>
      </c>
      <c r="CH107" s="57">
        <f>IF($O107=CH$2,IF($Q107=Infirmary,12*$P107)) + IF($R107=CH$2,IF($T107=Infirmary,12*$S107)) + IF($U107=CH$2,IF($W107=Infirmary,12*$V107))</f>
        <v>0</v>
      </c>
      <c r="CJ107" s="52" t="e">
        <f>OR(Production!C107,Construction!N107:'Construction'!AF107,Construction!BV107:CN107,Explore!S107:Z107,Military!AF107:AL107,Military!X107,Military!BE107:BL107,Rezone!L107:R107,Magic!G107:Q107)</f>
        <v>#VALUE!</v>
      </c>
      <c r="CK107" s="525">
        <f>M107</f>
        <v>0</v>
      </c>
      <c r="CL107" s="525"/>
      <c r="CM107" s="555">
        <f t="shared" si="59"/>
        <v>43769.083333333081</v>
      </c>
      <c r="CN107" s="563">
        <f t="shared" si="60"/>
        <v>43768.916666666417</v>
      </c>
      <c r="CO107" s="527"/>
      <c r="CP107" s="803"/>
      <c r="CQ107" s="808"/>
      <c r="CR107" s="107" t="s">
        <v>223</v>
      </c>
    </row>
    <row r="108" spans="1:96" s="16" customFormat="1" x14ac:dyDescent="0.25">
      <c r="A108" s="511">
        <f>Construction!E108</f>
        <v>1000</v>
      </c>
      <c r="C108" s="56">
        <f ca="1">Production!H108</f>
        <v>5000364</v>
      </c>
      <c r="D108" s="26">
        <f ca="1">Production!J108</f>
        <v>286551</v>
      </c>
      <c r="E108" s="26">
        <f ca="1">Production!L108</f>
        <v>300000</v>
      </c>
      <c r="F108" s="57">
        <f ca="1">Production!M108</f>
        <v>20000</v>
      </c>
      <c r="G108" s="26"/>
      <c r="H108" s="56">
        <f ca="1">Military!Z108</f>
        <v>5295</v>
      </c>
      <c r="I108" s="538">
        <f ca="1">Population!I108</f>
        <v>1</v>
      </c>
      <c r="J108" s="165">
        <f ca="1">Population!F108/Population!U108</f>
        <v>1</v>
      </c>
      <c r="K108" s="1000">
        <f>Rezone!J108</f>
        <v>106</v>
      </c>
      <c r="L108" s="582">
        <f t="shared" si="58"/>
        <v>43769.093749999745</v>
      </c>
      <c r="M108" s="316">
        <f t="shared" si="67"/>
        <v>0</v>
      </c>
      <c r="N108" s="638">
        <f t="shared" si="46"/>
        <v>1000</v>
      </c>
      <c r="O108" s="423" t="s">
        <v>4</v>
      </c>
      <c r="P108" s="370"/>
      <c r="Q108" s="424" t="s">
        <v>223</v>
      </c>
      <c r="R108" s="423" t="s">
        <v>7</v>
      </c>
      <c r="S108" s="370"/>
      <c r="T108" s="425" t="s">
        <v>223</v>
      </c>
      <c r="U108" s="408" t="s">
        <v>3</v>
      </c>
      <c r="V108" s="407"/>
      <c r="W108" s="409" t="s">
        <v>223</v>
      </c>
      <c r="Y108" s="501">
        <f ca="1">science_cap*(1-EXP(-AH108/(science_param*($A109-Explore!$S109*20)+15000)))*(1+(mason_bonus*Construction!BB108/Construction!BS108))+IF(Overview!$B$14="Beastfolk",Construction!DA108/Construction!E108,0)*(1 + Production!O108/100*prestige_pop_multiplier)</f>
        <v>0</v>
      </c>
      <c r="Z108" s="454">
        <f ca="1">keep_cap*(1-EXP(-AI108/(keep_param*($A109-Explore!$S109*20)+15000)))*(1+(mason_bonus*Construction!BB108/Construction!BS108))+IF(Overview!$B$14="Beastfolk",Construction!DF108/Construction!E108,0)*(1 + Production!O108/100*prestige_pop_multiplier)</f>
        <v>0</v>
      </c>
      <c r="AA108" s="454">
        <f ca="1">harbor_towers_cap*(1-EXP(-AJ108/(harbor_towers_param*($A109-Explore!$S109*20)+15000)))*(1+(mason_bonus*Construction!BB108/Construction!BS108))+IF(Overview!$B$14="Beastfolk",2*Construction!DC108/Construction!E108,0)*(1 + Production!O108/100*prestige_pop_multiplier)</f>
        <v>0</v>
      </c>
      <c r="AB108" s="454">
        <f ca="1">walls_forges_cap*(1-EXP(-AK108/(walls_forges_param*($A109-Explore!$S109*20)+15000)))*(1+(mason_bonus*Construction!BB108/Construction!BS108))+IF(Overview!$B$14="Beastfolk",0.2*Construction!CY108/Construction!E108,0)</f>
        <v>0</v>
      </c>
      <c r="AC108" s="454">
        <f ca="1">walls_forges_cap*(1-EXP(-AL108/(walls_forges_param*($A109-Explore!$S109*20)+15000)))*(1+(mason_bonus*Construction!BB108/Construction!BS108))+IF(Overview!$B$14="Beastfolk",5*Construction!DB108/Construction!E108,0)</f>
        <v>0</v>
      </c>
      <c r="AD108" s="171">
        <f ca="1">harbor_towers_cap*(1-EXP(-AM108/(harbor_towers_param*($A109-Explore!$S109*20)+15000)))*(1+(mason_bonus*Construction!BB108/Construction!BS108))+IF(Overview!$B$14="Beastfolk",Construction!DE108/Construction!E108)*(1 + Production!O108/100*prestige_pop_multiplier)</f>
        <v>0</v>
      </c>
      <c r="AE108" s="171">
        <f ca="1">armory_cap*(1-EXP(-AN108/(armory_param*($A109-Explore!$S109*20)+15000)))*(1+(mason_bonus*Construction!$BB108/Construction!$BS108))</f>
        <v>0</v>
      </c>
      <c r="AF108" s="171">
        <f ca="1">infirmary_cap*(1-EXP(-AO108/(infirmary_param*($A109-Explore!$S109*20)+15000)))*(1+(mason_bonus*Construction!$BB108/Construction!$BS108))</f>
        <v>0</v>
      </c>
      <c r="AH108" s="56">
        <f ca="1">(1+Overview!$O$28+IF(Magic!BA108&gt;0,0.1,0))*SUM(AV108:AY108) + AH107</f>
        <v>0</v>
      </c>
      <c r="AI108" s="26">
        <f ca="1">(1+Overview!$O$28+IF(Magic!BA108&gt;0,0.1,0))*SUM(BA108:BD108) + AI107</f>
        <v>0</v>
      </c>
      <c r="AJ108" s="164">
        <f ca="1">(1+Overview!$O$28+IF(Magic!BA108&gt;0,0.1,0))*SUM(BF108:BI108) + AJ107</f>
        <v>0</v>
      </c>
      <c r="AK108" s="164">
        <f ca="1">(1+Overview!$O$28+IF(Magic!BA108&gt;0,0.1,0))*SUM(BK108:BN108) + AK107</f>
        <v>0</v>
      </c>
      <c r="AL108" s="164">
        <f ca="1">(1+Overview!$O$28+IF(Magic!BA108&gt;0,0.1,0))*SUM(BP108:BS108) + AL107</f>
        <v>0</v>
      </c>
      <c r="AM108" s="166">
        <f ca="1">(1+Overview!$O$28+IF(Magic!BA108&gt;0,0.1,0))*SUM(BU108:BX108) + AM107</f>
        <v>0</v>
      </c>
      <c r="AN108" s="166">
        <f ca="1">(1+Overview!$O$28+IF(Magic!BA108&gt;0,0.1,0))*SUM(BZ108:CC108)+AN107</f>
        <v>0</v>
      </c>
      <c r="AO108" s="164">
        <f ca="1">(1+Overview!$O$28+IF(Magic!BA108&gt;0,0.1,0))*SUM(CE108:CH108)+AO107</f>
        <v>0</v>
      </c>
      <c r="AQ108" s="52">
        <f t="shared" si="69"/>
        <v>0</v>
      </c>
      <c r="AR108" s="16">
        <f t="shared" si="69"/>
        <v>0</v>
      </c>
      <c r="AS108" s="16">
        <f t="shared" si="69"/>
        <v>0</v>
      </c>
      <c r="AT108" s="53">
        <f t="shared" si="69"/>
        <v>0</v>
      </c>
      <c r="AV108" s="56">
        <f t="shared" si="47"/>
        <v>0</v>
      </c>
      <c r="AW108" s="26">
        <f t="shared" si="70"/>
        <v>0</v>
      </c>
      <c r="AX108" s="26">
        <f t="shared" si="70"/>
        <v>0</v>
      </c>
      <c r="AY108" s="57">
        <f t="shared" si="48"/>
        <v>0</v>
      </c>
      <c r="BA108" s="56">
        <f t="shared" si="49"/>
        <v>0</v>
      </c>
      <c r="BB108" s="26">
        <f t="shared" si="71"/>
        <v>0</v>
      </c>
      <c r="BC108" s="26">
        <f t="shared" si="71"/>
        <v>0</v>
      </c>
      <c r="BD108" s="57">
        <f t="shared" si="50"/>
        <v>0</v>
      </c>
      <c r="BF108" s="56">
        <f t="shared" si="51"/>
        <v>0</v>
      </c>
      <c r="BG108" s="26">
        <f t="shared" si="52"/>
        <v>0</v>
      </c>
      <c r="BH108" s="26">
        <f t="shared" si="68"/>
        <v>0</v>
      </c>
      <c r="BI108" s="57">
        <f t="shared" si="53"/>
        <v>0</v>
      </c>
      <c r="BK108" s="56">
        <f t="shared" si="54"/>
        <v>0</v>
      </c>
      <c r="BL108" s="26">
        <f t="shared" si="72"/>
        <v>0</v>
      </c>
      <c r="BM108" s="26">
        <f t="shared" si="72"/>
        <v>0</v>
      </c>
      <c r="BN108" s="57">
        <f t="shared" si="55"/>
        <v>0</v>
      </c>
      <c r="BP108" s="56">
        <f t="shared" si="56"/>
        <v>0</v>
      </c>
      <c r="BQ108" s="26">
        <f t="shared" si="73"/>
        <v>0</v>
      </c>
      <c r="BR108" s="26">
        <f t="shared" si="73"/>
        <v>0</v>
      </c>
      <c r="BS108" s="57">
        <f t="shared" si="57"/>
        <v>0</v>
      </c>
      <c r="BU108" s="56">
        <f>IF($O108=BU$2,IF($Q108=$AD$2,$P108)) + IF($R108=BU$2,IF($T108=$AD$2,$S108)) + IF($U108=BU$2,IF($W108=$AD$2,$V108))</f>
        <v>0</v>
      </c>
      <c r="BV108" s="26">
        <f>IF($O108=BV$2,IF($Q108=$AD$2,2*$P108)) + IF($R108=BV$2,IF($T108=$AD$2,2*$S108)) + IF($U108=BV$2,IF($W108=$AD$2,2*$V108))</f>
        <v>0</v>
      </c>
      <c r="BW108" s="26">
        <f>IF($O108=BW$2,IF($Q108=$AD$2,2*$P108)) + IF($R108=BW$2,IF($T108=$AD$2,2*$S108)) + IF($U108=BW$2,IF($W108=$AD$2,2*$V108))</f>
        <v>0</v>
      </c>
      <c r="BX108" s="57">
        <f>IF($O108=BX$2,IF($Q108=$AD$2,12*$P108)) + IF($R108=BX$2,IF($T108=$AD$2,12*$S108)) + IF($U108=BX$2,IF($W108=$AD$2,12*$V108))</f>
        <v>0</v>
      </c>
      <c r="BZ108" s="56">
        <f>IF($O108=BZ$2,IF($Q108=Armory,$P108)) + IF($R108=BZ$2,IF($T108=Armory,$S108)) + IF($U108=BZ$2,IF($W108=Armory,$V108))</f>
        <v>0</v>
      </c>
      <c r="CA108" s="26">
        <f>IF($O108=CA$2,IF($Q108=Armory,2*$P108)) + IF($R108=CA$2,IF($T108=Armory,2*$S108)) + IF($U108=CA$2,IF($W108=Armory,2*$V108))</f>
        <v>0</v>
      </c>
      <c r="CB108" s="26">
        <f>IF($O108=CB$2,IF($Q108=Armory,2*$P108)) + IF($R108=CB$2,IF($T108=Armory,2*$S108)) + IF($U108=CB$2,IF($W108=Armory,2*$V108))</f>
        <v>0</v>
      </c>
      <c r="CC108" s="57">
        <f>IF($O108=CC$2,IF($Q108=Armory,12*$P108)) + IF($R108=CC$2,IF($T108=Armory,12*$S108)) + IF($U108=CC$2,IF($W108=Armory,12*$V108))</f>
        <v>0</v>
      </c>
      <c r="CE108" s="56">
        <f>IF($O108=CE$2,IF($Q108=Infirmary,$P108)) + IF($R108=CE$2,IF($T108=Infirmary,$S108)) + IF($U108=CE$2,IF($W108=Infirmary,$V108))</f>
        <v>0</v>
      </c>
      <c r="CF108" s="26">
        <f>IF($O108=CF$2,IF($Q108=Infirmary,2*$P108)) + IF($R108=CF$2,IF($T108=Infirmary,2*$S108)) + IF($U108=CF$2,IF($W108=Infirmary,2*$V108))</f>
        <v>0</v>
      </c>
      <c r="CG108" s="26">
        <f>IF($O108=CG$2,IF($Q108=Infirmary,2*$P108)) + IF($R108=CG$2,IF($T108=Infirmary,2*$S108)) + IF($U108=CG$2,IF($W108=Infirmary,2*$V108))</f>
        <v>0</v>
      </c>
      <c r="CH108" s="57">
        <f>IF($O108=CH$2,IF($Q108=Infirmary,12*$P108)) + IF($R108=CH$2,IF($T108=Infirmary,12*$S108)) + IF($U108=CH$2,IF($W108=Infirmary,12*$V108))</f>
        <v>0</v>
      </c>
      <c r="CJ108" s="52" t="e">
        <f>OR(Production!C108,Construction!N108:'Construction'!AF108,Construction!BV108:CN108,Explore!S108:Z108,Military!AF108:AL108,Military!X108,Military!BE108:BL108,Rezone!L108:R108,Magic!G108:Q108)</f>
        <v>#VALUE!</v>
      </c>
      <c r="CK108" s="525">
        <f>M108</f>
        <v>0</v>
      </c>
      <c r="CL108" s="525"/>
      <c r="CM108" s="555">
        <f t="shared" si="59"/>
        <v>43769.093749999745</v>
      </c>
      <c r="CN108" s="563">
        <f t="shared" si="60"/>
        <v>43768.927083333081</v>
      </c>
      <c r="CO108" s="527"/>
      <c r="CP108" s="803"/>
      <c r="CQ108" s="808"/>
      <c r="CR108" s="107" t="s">
        <v>224</v>
      </c>
    </row>
    <row r="109" spans="1:96" s="16" customFormat="1" x14ac:dyDescent="0.25">
      <c r="A109" s="511">
        <f>Construction!E109</f>
        <v>1000</v>
      </c>
      <c r="C109" s="56">
        <f ca="1">Production!H109</f>
        <v>5005345</v>
      </c>
      <c r="D109" s="26">
        <f ca="1">Production!J109</f>
        <v>286185</v>
      </c>
      <c r="E109" s="26">
        <f ca="1">Production!L109</f>
        <v>300000</v>
      </c>
      <c r="F109" s="57">
        <f ca="1">Production!M109</f>
        <v>20000</v>
      </c>
      <c r="G109" s="26"/>
      <c r="H109" s="56">
        <f ca="1">Military!Z109</f>
        <v>5295</v>
      </c>
      <c r="I109" s="538">
        <f ca="1">Population!I109</f>
        <v>1</v>
      </c>
      <c r="J109" s="165">
        <f ca="1">Population!F109/Population!U109</f>
        <v>1</v>
      </c>
      <c r="K109" s="1000">
        <f>Rezone!J109</f>
        <v>107</v>
      </c>
      <c r="L109" s="582">
        <f t="shared" si="58"/>
        <v>43769.10416666641</v>
      </c>
      <c r="M109" s="316">
        <f t="shared" si="67"/>
        <v>0</v>
      </c>
      <c r="N109" s="638">
        <f t="shared" si="46"/>
        <v>1000</v>
      </c>
      <c r="O109" s="423" t="s">
        <v>4</v>
      </c>
      <c r="P109" s="370"/>
      <c r="Q109" s="424" t="s">
        <v>223</v>
      </c>
      <c r="R109" s="423" t="s">
        <v>7</v>
      </c>
      <c r="S109" s="370"/>
      <c r="T109" s="425" t="s">
        <v>223</v>
      </c>
      <c r="U109" s="408" t="s">
        <v>3</v>
      </c>
      <c r="V109" s="407"/>
      <c r="W109" s="409" t="s">
        <v>223</v>
      </c>
      <c r="Y109" s="501">
        <f ca="1">science_cap*(1-EXP(-AH109/(science_param*($A110-Explore!$S110*20)+15000)))*(1+(mason_bonus*Construction!BB109/Construction!BS109))+IF(Overview!$B$14="Beastfolk",Construction!DA109/Construction!E109,0)*(1 + Production!O109/100*prestige_pop_multiplier)</f>
        <v>0</v>
      </c>
      <c r="Z109" s="454">
        <f ca="1">keep_cap*(1-EXP(-AI109/(keep_param*($A110-Explore!$S110*20)+15000)))*(1+(mason_bonus*Construction!BB109/Construction!BS109))+IF(Overview!$B$14="Beastfolk",Construction!DF109/Construction!E109,0)*(1 + Production!O109/100*prestige_pop_multiplier)</f>
        <v>0</v>
      </c>
      <c r="AA109" s="454">
        <f ca="1">harbor_towers_cap*(1-EXP(-AJ109/(harbor_towers_param*($A110-Explore!$S110*20)+15000)))*(1+(mason_bonus*Construction!BB109/Construction!BS109))+IF(Overview!$B$14="Beastfolk",2*Construction!DC109/Construction!E109,0)*(1 + Production!O109/100*prestige_pop_multiplier)</f>
        <v>0</v>
      </c>
      <c r="AB109" s="454">
        <f ca="1">walls_forges_cap*(1-EXP(-AK109/(walls_forges_param*($A110-Explore!$S110*20)+15000)))*(1+(mason_bonus*Construction!BB109/Construction!BS109))+IF(Overview!$B$14="Beastfolk",0.2*Construction!CY109/Construction!E109,0)</f>
        <v>0</v>
      </c>
      <c r="AC109" s="454">
        <f ca="1">walls_forges_cap*(1-EXP(-AL109/(walls_forges_param*($A110-Explore!$S110*20)+15000)))*(1+(mason_bonus*Construction!BB109/Construction!BS109))+IF(Overview!$B$14="Beastfolk",5*Construction!DB109/Construction!E109,0)</f>
        <v>0</v>
      </c>
      <c r="AD109" s="171">
        <f ca="1">harbor_towers_cap*(1-EXP(-AM109/(harbor_towers_param*($A110-Explore!$S110*20)+15000)))*(1+(mason_bonus*Construction!BB109/Construction!BS109))+IF(Overview!$B$14="Beastfolk",Construction!DE109/Construction!E109)*(1 + Production!O109/100*prestige_pop_multiplier)</f>
        <v>0</v>
      </c>
      <c r="AE109" s="171">
        <f ca="1">armory_cap*(1-EXP(-AN109/(armory_param*($A110-Explore!$S110*20)+15000)))*(1+(mason_bonus*Construction!$BB109/Construction!$BS109))</f>
        <v>0</v>
      </c>
      <c r="AF109" s="171">
        <f ca="1">infirmary_cap*(1-EXP(-AO109/(infirmary_param*($A110-Explore!$S110*20)+15000)))*(1+(mason_bonus*Construction!$BB109/Construction!$BS109))</f>
        <v>0</v>
      </c>
      <c r="AH109" s="56">
        <f ca="1">(1+Overview!$O$28+IF(Magic!BA109&gt;0,0.1,0))*SUM(AV109:AY109) + AH108</f>
        <v>0</v>
      </c>
      <c r="AI109" s="26">
        <f ca="1">(1+Overview!$O$28+IF(Magic!BA109&gt;0,0.1,0))*SUM(BA109:BD109) + AI108</f>
        <v>0</v>
      </c>
      <c r="AJ109" s="164">
        <f ca="1">(1+Overview!$O$28+IF(Magic!BA109&gt;0,0.1,0))*SUM(BF109:BI109) + AJ108</f>
        <v>0</v>
      </c>
      <c r="AK109" s="164">
        <f ca="1">(1+Overview!$O$28+IF(Magic!BA109&gt;0,0.1,0))*SUM(BK109:BN109) + AK108</f>
        <v>0</v>
      </c>
      <c r="AL109" s="164">
        <f ca="1">(1+Overview!$O$28+IF(Magic!BA109&gt;0,0.1,0))*SUM(BP109:BS109) + AL108</f>
        <v>0</v>
      </c>
      <c r="AM109" s="166">
        <f ca="1">(1+Overview!$O$28+IF(Magic!BA109&gt;0,0.1,0))*SUM(BU109:BX109) + AM108</f>
        <v>0</v>
      </c>
      <c r="AN109" s="166">
        <f ca="1">(1+Overview!$O$28+IF(Magic!BA109&gt;0,0.1,0))*SUM(BZ109:CC109)+AN108</f>
        <v>0</v>
      </c>
      <c r="AO109" s="164">
        <f ca="1">(1+Overview!$O$28+IF(Magic!BA109&gt;0,0.1,0))*SUM(CE109:CH109)+AO108</f>
        <v>0</v>
      </c>
      <c r="AQ109" s="52">
        <f t="shared" si="69"/>
        <v>0</v>
      </c>
      <c r="AR109" s="16">
        <f t="shared" si="69"/>
        <v>0</v>
      </c>
      <c r="AS109" s="16">
        <f t="shared" si="69"/>
        <v>0</v>
      </c>
      <c r="AT109" s="53">
        <f t="shared" si="69"/>
        <v>0</v>
      </c>
      <c r="AV109" s="56">
        <f t="shared" si="47"/>
        <v>0</v>
      </c>
      <c r="AW109" s="26">
        <f t="shared" si="70"/>
        <v>0</v>
      </c>
      <c r="AX109" s="26">
        <f t="shared" si="70"/>
        <v>0</v>
      </c>
      <c r="AY109" s="57">
        <f t="shared" si="48"/>
        <v>0</v>
      </c>
      <c r="BA109" s="56">
        <f t="shared" si="49"/>
        <v>0</v>
      </c>
      <c r="BB109" s="26">
        <f t="shared" si="71"/>
        <v>0</v>
      </c>
      <c r="BC109" s="26">
        <f t="shared" si="71"/>
        <v>0</v>
      </c>
      <c r="BD109" s="57">
        <f t="shared" si="50"/>
        <v>0</v>
      </c>
      <c r="BF109" s="56">
        <f t="shared" si="51"/>
        <v>0</v>
      </c>
      <c r="BG109" s="26">
        <f t="shared" si="52"/>
        <v>0</v>
      </c>
      <c r="BH109" s="26">
        <f t="shared" si="68"/>
        <v>0</v>
      </c>
      <c r="BI109" s="57">
        <f t="shared" si="53"/>
        <v>0</v>
      </c>
      <c r="BK109" s="56">
        <f t="shared" si="54"/>
        <v>0</v>
      </c>
      <c r="BL109" s="26">
        <f t="shared" si="72"/>
        <v>0</v>
      </c>
      <c r="BM109" s="26">
        <f t="shared" si="72"/>
        <v>0</v>
      </c>
      <c r="BN109" s="57">
        <f t="shared" si="55"/>
        <v>0</v>
      </c>
      <c r="BP109" s="56">
        <f t="shared" si="56"/>
        <v>0</v>
      </c>
      <c r="BQ109" s="26">
        <f t="shared" si="73"/>
        <v>0</v>
      </c>
      <c r="BR109" s="26">
        <f t="shared" si="73"/>
        <v>0</v>
      </c>
      <c r="BS109" s="57">
        <f t="shared" si="57"/>
        <v>0</v>
      </c>
      <c r="BU109" s="56">
        <f>IF($O109=BU$2,IF($Q109=$AD$2,$P109)) + IF($R109=BU$2,IF($T109=$AD$2,$S109)) + IF($U109=BU$2,IF($W109=$AD$2,$V109))</f>
        <v>0</v>
      </c>
      <c r="BV109" s="26">
        <f>IF($O109=BV$2,IF($Q109=$AD$2,2*$P109)) + IF($R109=BV$2,IF($T109=$AD$2,2*$S109)) + IF($U109=BV$2,IF($W109=$AD$2,2*$V109))</f>
        <v>0</v>
      </c>
      <c r="BW109" s="26">
        <f>IF($O109=BW$2,IF($Q109=$AD$2,2*$P109)) + IF($R109=BW$2,IF($T109=$AD$2,2*$S109)) + IF($U109=BW$2,IF($W109=$AD$2,2*$V109))</f>
        <v>0</v>
      </c>
      <c r="BX109" s="57">
        <f>IF($O109=BX$2,IF($Q109=$AD$2,12*$P109)) + IF($R109=BX$2,IF($T109=$AD$2,12*$S109)) + IF($U109=BX$2,IF($W109=$AD$2,12*$V109))</f>
        <v>0</v>
      </c>
      <c r="BZ109" s="56">
        <f>IF($O109=BZ$2,IF($Q109=Armory,$P109)) + IF($R109=BZ$2,IF($T109=Armory,$S109)) + IF($U109=BZ$2,IF($W109=Armory,$V109))</f>
        <v>0</v>
      </c>
      <c r="CA109" s="26">
        <f>IF($O109=CA$2,IF($Q109=Armory,2*$P109)) + IF($R109=CA$2,IF($T109=Armory,2*$S109)) + IF($U109=CA$2,IF($W109=Armory,2*$V109))</f>
        <v>0</v>
      </c>
      <c r="CB109" s="26">
        <f>IF($O109=CB$2,IF($Q109=Armory,2*$P109)) + IF($R109=CB$2,IF($T109=Armory,2*$S109)) + IF($U109=CB$2,IF($W109=Armory,2*$V109))</f>
        <v>0</v>
      </c>
      <c r="CC109" s="57">
        <f>IF($O109=CC$2,IF($Q109=Armory,12*$P109)) + IF($R109=CC$2,IF($T109=Armory,12*$S109)) + IF($U109=CC$2,IF($W109=Armory,12*$V109))</f>
        <v>0</v>
      </c>
      <c r="CE109" s="56">
        <f>IF($O109=CE$2,IF($Q109=Infirmary,$P109)) + IF($R109=CE$2,IF($T109=Infirmary,$S109)) + IF($U109=CE$2,IF($W109=Infirmary,$V109))</f>
        <v>0</v>
      </c>
      <c r="CF109" s="26">
        <f>IF($O109=CF$2,IF($Q109=Infirmary,2*$P109)) + IF($R109=CF$2,IF($T109=Infirmary,2*$S109)) + IF($U109=CF$2,IF($W109=Infirmary,2*$V109))</f>
        <v>0</v>
      </c>
      <c r="CG109" s="26">
        <f>IF($O109=CG$2,IF($Q109=Infirmary,2*$P109)) + IF($R109=CG$2,IF($T109=Infirmary,2*$S109)) + IF($U109=CG$2,IF($W109=Infirmary,2*$V109))</f>
        <v>0</v>
      </c>
      <c r="CH109" s="57">
        <f>IF($O109=CH$2,IF($Q109=Infirmary,12*$P109)) + IF($R109=CH$2,IF($T109=Infirmary,12*$S109)) + IF($U109=CH$2,IF($W109=Infirmary,12*$V109))</f>
        <v>0</v>
      </c>
      <c r="CJ109" s="52" t="e">
        <f>OR(Production!C109,Construction!N109:'Construction'!AF109,Construction!BV109:CN109,Explore!S109:Z109,Military!AF109:AL109,Military!X109,Military!BE109:BL109,Rezone!L109:R109,Magic!G109:Q109)</f>
        <v>#VALUE!</v>
      </c>
      <c r="CK109" s="525">
        <f>M109</f>
        <v>0</v>
      </c>
      <c r="CL109" s="525"/>
      <c r="CM109" s="555">
        <f t="shared" si="59"/>
        <v>43769.10416666641</v>
      </c>
      <c r="CN109" s="563">
        <f t="shared" si="60"/>
        <v>43768.937499999745</v>
      </c>
      <c r="CO109" s="527"/>
      <c r="CP109" s="803"/>
      <c r="CQ109" s="808"/>
      <c r="CR109" s="107" t="s">
        <v>225</v>
      </c>
    </row>
    <row r="110" spans="1:96" s="16" customFormat="1" x14ac:dyDescent="0.25">
      <c r="A110" s="511">
        <f>Construction!E110</f>
        <v>1000</v>
      </c>
      <c r="C110" s="56">
        <f ca="1">Production!H110</f>
        <v>5010326</v>
      </c>
      <c r="D110" s="26">
        <f ca="1">Production!J110</f>
        <v>285823</v>
      </c>
      <c r="E110" s="26">
        <f ca="1">Production!L110</f>
        <v>300000</v>
      </c>
      <c r="F110" s="57">
        <f ca="1">Production!M110</f>
        <v>20000</v>
      </c>
      <c r="G110" s="26"/>
      <c r="H110" s="56">
        <f ca="1">Military!Z110</f>
        <v>5295</v>
      </c>
      <c r="I110" s="538">
        <f ca="1">Population!I110</f>
        <v>1</v>
      </c>
      <c r="J110" s="165">
        <f ca="1">Population!F110/Population!U110</f>
        <v>1</v>
      </c>
      <c r="K110" s="1000">
        <f>Rezone!J110</f>
        <v>108</v>
      </c>
      <c r="L110" s="582">
        <f t="shared" si="58"/>
        <v>43769.114583333074</v>
      </c>
      <c r="M110" s="316">
        <f t="shared" si="67"/>
        <v>0</v>
      </c>
      <c r="N110" s="638">
        <f t="shared" si="46"/>
        <v>1000</v>
      </c>
      <c r="O110" s="423" t="s">
        <v>4</v>
      </c>
      <c r="P110" s="370"/>
      <c r="Q110" s="424" t="s">
        <v>223</v>
      </c>
      <c r="R110" s="423" t="s">
        <v>7</v>
      </c>
      <c r="S110" s="370"/>
      <c r="T110" s="425" t="s">
        <v>223</v>
      </c>
      <c r="U110" s="408" t="s">
        <v>3</v>
      </c>
      <c r="V110" s="407"/>
      <c r="W110" s="409" t="s">
        <v>223</v>
      </c>
      <c r="Y110" s="501">
        <f ca="1">science_cap*(1-EXP(-AH110/(science_param*($A111-Explore!$S111*20)+15000)))*(1+(mason_bonus*Construction!BB110/Construction!BS110))+IF(Overview!$B$14="Beastfolk",Construction!DA110/Construction!E110,0)*(1 + Production!O110/100*prestige_pop_multiplier)</f>
        <v>0</v>
      </c>
      <c r="Z110" s="454">
        <f ca="1">keep_cap*(1-EXP(-AI110/(keep_param*($A111-Explore!$S111*20)+15000)))*(1+(mason_bonus*Construction!BB110/Construction!BS110))+IF(Overview!$B$14="Beastfolk",Construction!DF110/Construction!E110,0)*(1 + Production!O110/100*prestige_pop_multiplier)</f>
        <v>0</v>
      </c>
      <c r="AA110" s="454">
        <f ca="1">harbor_towers_cap*(1-EXP(-AJ110/(harbor_towers_param*($A111-Explore!$S111*20)+15000)))*(1+(mason_bonus*Construction!BB110/Construction!BS110))+IF(Overview!$B$14="Beastfolk",2*Construction!DC110/Construction!E110,0)*(1 + Production!O110/100*prestige_pop_multiplier)</f>
        <v>0</v>
      </c>
      <c r="AB110" s="454">
        <f ca="1">walls_forges_cap*(1-EXP(-AK110/(walls_forges_param*($A111-Explore!$S111*20)+15000)))*(1+(mason_bonus*Construction!BB110/Construction!BS110))+IF(Overview!$B$14="Beastfolk",0.2*Construction!CY110/Construction!E110,0)</f>
        <v>0</v>
      </c>
      <c r="AC110" s="454">
        <f ca="1">walls_forges_cap*(1-EXP(-AL110/(walls_forges_param*($A111-Explore!$S111*20)+15000)))*(1+(mason_bonus*Construction!BB110/Construction!BS110))+IF(Overview!$B$14="Beastfolk",5*Construction!DB110/Construction!E110,0)</f>
        <v>0</v>
      </c>
      <c r="AD110" s="171">
        <f ca="1">harbor_towers_cap*(1-EXP(-AM110/(harbor_towers_param*($A111-Explore!$S111*20)+15000)))*(1+(mason_bonus*Construction!BB110/Construction!BS110))+IF(Overview!$B$14="Beastfolk",Construction!DE110/Construction!E110)*(1 + Production!O110/100*prestige_pop_multiplier)</f>
        <v>0</v>
      </c>
      <c r="AE110" s="171">
        <f ca="1">armory_cap*(1-EXP(-AN110/(armory_param*($A111-Explore!$S111*20)+15000)))*(1+(mason_bonus*Construction!$BB110/Construction!$BS110))</f>
        <v>0</v>
      </c>
      <c r="AF110" s="171">
        <f ca="1">infirmary_cap*(1-EXP(-AO110/(infirmary_param*($A111-Explore!$S111*20)+15000)))*(1+(mason_bonus*Construction!$BB110/Construction!$BS110))</f>
        <v>0</v>
      </c>
      <c r="AH110" s="56">
        <f ca="1">(1+Overview!$O$28+IF(Magic!BA110&gt;0,0.1,0))*SUM(AV110:AY110) + AH109</f>
        <v>0</v>
      </c>
      <c r="AI110" s="26">
        <f ca="1">(1+Overview!$O$28+IF(Magic!BA110&gt;0,0.1,0))*SUM(BA110:BD110) + AI109</f>
        <v>0</v>
      </c>
      <c r="AJ110" s="164">
        <f ca="1">(1+Overview!$O$28+IF(Magic!BA110&gt;0,0.1,0))*SUM(BF110:BI110) + AJ109</f>
        <v>0</v>
      </c>
      <c r="AK110" s="164">
        <f ca="1">(1+Overview!$O$28+IF(Magic!BA110&gt;0,0.1,0))*SUM(BK110:BN110) + AK109</f>
        <v>0</v>
      </c>
      <c r="AL110" s="164">
        <f ca="1">(1+Overview!$O$28+IF(Magic!BA110&gt;0,0.1,0))*SUM(BP110:BS110) + AL109</f>
        <v>0</v>
      </c>
      <c r="AM110" s="166">
        <f ca="1">(1+Overview!$O$28+IF(Magic!BA110&gt;0,0.1,0))*SUM(BU110:BX110) + AM109</f>
        <v>0</v>
      </c>
      <c r="AN110" s="166">
        <f ca="1">(1+Overview!$O$28+IF(Magic!BA110&gt;0,0.1,0))*SUM(BZ110:CC110)+AN109</f>
        <v>0</v>
      </c>
      <c r="AO110" s="164">
        <f ca="1">(1+Overview!$O$28+IF(Magic!BA110&gt;0,0.1,0))*SUM(CE110:CH110)+AO109</f>
        <v>0</v>
      </c>
      <c r="AQ110" s="52">
        <f t="shared" si="69"/>
        <v>0</v>
      </c>
      <c r="AR110" s="16">
        <f t="shared" si="69"/>
        <v>0</v>
      </c>
      <c r="AS110" s="16">
        <f t="shared" si="69"/>
        <v>0</v>
      </c>
      <c r="AT110" s="53">
        <f t="shared" si="69"/>
        <v>0</v>
      </c>
      <c r="AV110" s="56">
        <f t="shared" si="47"/>
        <v>0</v>
      </c>
      <c r="AW110" s="26">
        <f t="shared" si="70"/>
        <v>0</v>
      </c>
      <c r="AX110" s="26">
        <f t="shared" si="70"/>
        <v>0</v>
      </c>
      <c r="AY110" s="57">
        <f t="shared" si="48"/>
        <v>0</v>
      </c>
      <c r="BA110" s="56">
        <f t="shared" si="49"/>
        <v>0</v>
      </c>
      <c r="BB110" s="26">
        <f t="shared" si="71"/>
        <v>0</v>
      </c>
      <c r="BC110" s="26">
        <f t="shared" si="71"/>
        <v>0</v>
      </c>
      <c r="BD110" s="57">
        <f t="shared" si="50"/>
        <v>0</v>
      </c>
      <c r="BF110" s="56">
        <f t="shared" si="51"/>
        <v>0</v>
      </c>
      <c r="BG110" s="26">
        <f t="shared" si="52"/>
        <v>0</v>
      </c>
      <c r="BH110" s="26">
        <f t="shared" si="68"/>
        <v>0</v>
      </c>
      <c r="BI110" s="57">
        <f t="shared" si="53"/>
        <v>0</v>
      </c>
      <c r="BK110" s="56">
        <f t="shared" si="54"/>
        <v>0</v>
      </c>
      <c r="BL110" s="26">
        <f t="shared" si="72"/>
        <v>0</v>
      </c>
      <c r="BM110" s="26">
        <f t="shared" si="72"/>
        <v>0</v>
      </c>
      <c r="BN110" s="57">
        <f t="shared" si="55"/>
        <v>0</v>
      </c>
      <c r="BP110" s="56">
        <f t="shared" si="56"/>
        <v>0</v>
      </c>
      <c r="BQ110" s="26">
        <f t="shared" si="73"/>
        <v>0</v>
      </c>
      <c r="BR110" s="26">
        <f t="shared" si="73"/>
        <v>0</v>
      </c>
      <c r="BS110" s="57">
        <f t="shared" si="57"/>
        <v>0</v>
      </c>
      <c r="BU110" s="56">
        <f>IF($O110=BU$2,IF($Q110=$AD$2,$P110)) + IF($R110=BU$2,IF($T110=$AD$2,$S110)) + IF($U110=BU$2,IF($W110=$AD$2,$V110))</f>
        <v>0</v>
      </c>
      <c r="BV110" s="26">
        <f>IF($O110=BV$2,IF($Q110=$AD$2,2*$P110)) + IF($R110=BV$2,IF($T110=$AD$2,2*$S110)) + IF($U110=BV$2,IF($W110=$AD$2,2*$V110))</f>
        <v>0</v>
      </c>
      <c r="BW110" s="26">
        <f>IF($O110=BW$2,IF($Q110=$AD$2,2*$P110)) + IF($R110=BW$2,IF($T110=$AD$2,2*$S110)) + IF($U110=BW$2,IF($W110=$AD$2,2*$V110))</f>
        <v>0</v>
      </c>
      <c r="BX110" s="57">
        <f>IF($O110=BX$2,IF($Q110=$AD$2,12*$P110)) + IF($R110=BX$2,IF($T110=$AD$2,12*$S110)) + IF($U110=BX$2,IF($W110=$AD$2,12*$V110))</f>
        <v>0</v>
      </c>
      <c r="BZ110" s="56">
        <f>IF($O110=BZ$2,IF($Q110=Armory,$P110)) + IF($R110=BZ$2,IF($T110=Armory,$S110)) + IF($U110=BZ$2,IF($W110=Armory,$V110))</f>
        <v>0</v>
      </c>
      <c r="CA110" s="26">
        <f>IF($O110=CA$2,IF($Q110=Armory,2*$P110)) + IF($R110=CA$2,IF($T110=Armory,2*$S110)) + IF($U110=CA$2,IF($W110=Armory,2*$V110))</f>
        <v>0</v>
      </c>
      <c r="CB110" s="26">
        <f>IF($O110=CB$2,IF($Q110=Armory,2*$P110)) + IF($R110=CB$2,IF($T110=Armory,2*$S110)) + IF($U110=CB$2,IF($W110=Armory,2*$V110))</f>
        <v>0</v>
      </c>
      <c r="CC110" s="57">
        <f>IF($O110=CC$2,IF($Q110=Armory,12*$P110)) + IF($R110=CC$2,IF($T110=Armory,12*$S110)) + IF($U110=CC$2,IF($W110=Armory,12*$V110))</f>
        <v>0</v>
      </c>
      <c r="CE110" s="56">
        <f>IF($O110=CE$2,IF($Q110=Infirmary,$P110)) + IF($R110=CE$2,IF($T110=Infirmary,$S110)) + IF($U110=CE$2,IF($W110=Infirmary,$V110))</f>
        <v>0</v>
      </c>
      <c r="CF110" s="26">
        <f>IF($O110=CF$2,IF($Q110=Infirmary,2*$P110)) + IF($R110=CF$2,IF($T110=Infirmary,2*$S110)) + IF($U110=CF$2,IF($W110=Infirmary,2*$V110))</f>
        <v>0</v>
      </c>
      <c r="CG110" s="26">
        <f>IF($O110=CG$2,IF($Q110=Infirmary,2*$P110)) + IF($R110=CG$2,IF($T110=Infirmary,2*$S110)) + IF($U110=CG$2,IF($W110=Infirmary,2*$V110))</f>
        <v>0</v>
      </c>
      <c r="CH110" s="57">
        <f>IF($O110=CH$2,IF($Q110=Infirmary,12*$P110)) + IF($R110=CH$2,IF($T110=Infirmary,12*$S110)) + IF($U110=CH$2,IF($W110=Infirmary,12*$V110))</f>
        <v>0</v>
      </c>
      <c r="CJ110" s="52" t="e">
        <f>OR(Production!C110,Construction!N110:'Construction'!AF110,Construction!BV110:CN110,Explore!S110:Z110,Military!AF110:AL110,Military!X110,Military!BE110:BL110,Rezone!L110:R110,Magic!G110:Q110)</f>
        <v>#VALUE!</v>
      </c>
      <c r="CK110" s="525">
        <f>M110</f>
        <v>0</v>
      </c>
      <c r="CL110" s="525"/>
      <c r="CM110" s="555">
        <f t="shared" si="59"/>
        <v>43769.114583333074</v>
      </c>
      <c r="CN110" s="563">
        <f t="shared" si="60"/>
        <v>43768.94791666641</v>
      </c>
      <c r="CO110" s="527"/>
      <c r="CP110" s="803"/>
      <c r="CQ110" s="808"/>
      <c r="CR110" s="16" t="s">
        <v>226</v>
      </c>
    </row>
    <row r="111" spans="1:96" s="12" customFormat="1" x14ac:dyDescent="0.25">
      <c r="A111" s="513">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1">
        <f>Rezone!J111</f>
        <v>109</v>
      </c>
      <c r="L111" s="581">
        <f t="shared" si="58"/>
        <v>43769.124999999738</v>
      </c>
      <c r="M111" s="648">
        <f t="shared" si="67"/>
        <v>0</v>
      </c>
      <c r="N111" s="641">
        <f t="shared" si="46"/>
        <v>1000</v>
      </c>
      <c r="O111" s="427" t="s">
        <v>4</v>
      </c>
      <c r="P111" s="428"/>
      <c r="Q111" s="429" t="s">
        <v>223</v>
      </c>
      <c r="R111" s="427" t="s">
        <v>7</v>
      </c>
      <c r="S111" s="428"/>
      <c r="T111" s="430" t="s">
        <v>223</v>
      </c>
      <c r="U111" s="411" t="s">
        <v>3</v>
      </c>
      <c r="V111" s="410"/>
      <c r="W111" s="412" t="s">
        <v>223</v>
      </c>
      <c r="Y111" s="523">
        <f ca="1">science_cap*(1-EXP(-AH111/(science_param*($A112-Explore!$S112*20)+15000)))*(1+(mason_bonus*Construction!BB111/Construction!BS111))+IF(Overview!$B$14="Beastfolk",Construction!DA111/Construction!E111,0)*(1 + Production!O111/100*prestige_pop_multiplier)</f>
        <v>0</v>
      </c>
      <c r="Z111" s="456">
        <f ca="1">keep_cap*(1-EXP(-AI111/(keep_param*($A112-Explore!$S112*20)+15000)))*(1+(mason_bonus*Construction!BB111/Construction!BS111))+IF(Overview!$B$14="Beastfolk",Construction!DF111/Construction!E111,0)*(1 + Production!O111/100*prestige_pop_multiplier)</f>
        <v>0</v>
      </c>
      <c r="AA111" s="456">
        <f ca="1">harbor_towers_cap*(1-EXP(-AJ111/(harbor_towers_param*($A112-Explore!$S112*20)+15000)))*(1+(mason_bonus*Construction!BB111/Construction!BS111))+IF(Overview!$B$14="Beastfolk",2*Construction!DC111/Construction!E111,0)*(1 + Production!O111/100*prestige_pop_multiplier)</f>
        <v>0</v>
      </c>
      <c r="AB111" s="456">
        <f ca="1">walls_forges_cap*(1-EXP(-AK111/(walls_forges_param*($A112-Explore!$S112*20)+15000)))*(1+(mason_bonus*Construction!BB111/Construction!BS111))+IF(Overview!$B$14="Beastfolk",0.2*Construction!CY111/Construction!E111,0)</f>
        <v>0</v>
      </c>
      <c r="AC111" s="456">
        <f ca="1">walls_forges_cap*(1-EXP(-AL111/(walls_forges_param*($A112-Explore!$S112*20)+15000)))*(1+(mason_bonus*Construction!BB111/Construction!BS111))+IF(Overview!$B$14="Beastfolk",5*Construction!DB111/Construction!E111,0)</f>
        <v>0</v>
      </c>
      <c r="AD111" s="96">
        <f ca="1">harbor_towers_cap*(1-EXP(-AM111/(harbor_towers_param*($A112-Explore!$S112*20)+15000)))*(1+(mason_bonus*Construction!BB111/Construction!BS111))+IF(Overview!$B$14="Beastfolk",Construction!DE111/Construction!E111)*(1 + Production!O111/100*prestige_pop_multiplier)</f>
        <v>0</v>
      </c>
      <c r="AE111" s="96">
        <f ca="1">armory_cap*(1-EXP(-AN111/(armory_param*($A112-Explore!$S112*20)+15000)))*(1+(mason_bonus*Construction!$BB111/Construction!$BS111))</f>
        <v>0</v>
      </c>
      <c r="AF111" s="96">
        <f ca="1">infirmary_cap*(1-EXP(-AO111/(infirmary_param*($A112-Explore!$S112*20)+15000)))*(1+(mason_bonus*Construction!$BB111/Construction!$BS111))</f>
        <v>0</v>
      </c>
      <c r="AH111" s="54">
        <f ca="1">(1+Overview!$O$28+IF(Magic!BA111&gt;0,0.1,0))*SUM(AV111:AY111) + AH110</f>
        <v>0</v>
      </c>
      <c r="AI111" s="13">
        <f ca="1">(1+Overview!$O$28+IF(Magic!BA111&gt;0,0.1,0))*SUM(BA111:BD111) + AI110</f>
        <v>0</v>
      </c>
      <c r="AJ111" s="153">
        <f ca="1">(1+Overview!$O$28+IF(Magic!BA111&gt;0,0.1,0))*SUM(BF111:BI111) + AJ110</f>
        <v>0</v>
      </c>
      <c r="AK111" s="153">
        <f ca="1">(1+Overview!$O$28+IF(Magic!BA111&gt;0,0.1,0))*SUM(BK111:BN111) + AK110</f>
        <v>0</v>
      </c>
      <c r="AL111" s="153">
        <f ca="1">(1+Overview!$O$28+IF(Magic!BA111&gt;0,0.1,0))*SUM(BP111:BS111) + AL110</f>
        <v>0</v>
      </c>
      <c r="AM111" s="158">
        <f ca="1">(1+Overview!$O$28+IF(Magic!BA111&gt;0,0.1,0))*SUM(BU111:BX111) + AM110</f>
        <v>0</v>
      </c>
      <c r="AN111" s="158">
        <f ca="1">(1+Overview!$O$28+IF(Magic!BA111&gt;0,0.1,0))*SUM(BZ111:CC111)+AN110</f>
        <v>0</v>
      </c>
      <c r="AO111" s="153">
        <f ca="1">(1+Overview!$O$28+IF(Magic!BA111&gt;0,0.1,0))*SUM(CE111:CH111)+AO110</f>
        <v>0</v>
      </c>
      <c r="AQ111" s="50">
        <f t="shared" si="69"/>
        <v>0</v>
      </c>
      <c r="AR111" s="12">
        <f t="shared" si="69"/>
        <v>0</v>
      </c>
      <c r="AS111" s="12">
        <f t="shared" si="69"/>
        <v>0</v>
      </c>
      <c r="AT111" s="51">
        <f t="shared" si="69"/>
        <v>0</v>
      </c>
      <c r="AV111" s="54">
        <f t="shared" si="47"/>
        <v>0</v>
      </c>
      <c r="AW111" s="13">
        <f t="shared" si="70"/>
        <v>0</v>
      </c>
      <c r="AX111" s="13">
        <f t="shared" si="70"/>
        <v>0</v>
      </c>
      <c r="AY111" s="55">
        <f t="shared" si="48"/>
        <v>0</v>
      </c>
      <c r="BA111" s="54">
        <f t="shared" si="49"/>
        <v>0</v>
      </c>
      <c r="BB111" s="13">
        <f t="shared" si="71"/>
        <v>0</v>
      </c>
      <c r="BC111" s="13">
        <f t="shared" si="71"/>
        <v>0</v>
      </c>
      <c r="BD111" s="55">
        <f t="shared" si="50"/>
        <v>0</v>
      </c>
      <c r="BF111" s="54">
        <f t="shared" si="51"/>
        <v>0</v>
      </c>
      <c r="BG111" s="13">
        <f t="shared" si="52"/>
        <v>0</v>
      </c>
      <c r="BH111" s="13">
        <f t="shared" si="68"/>
        <v>0</v>
      </c>
      <c r="BI111" s="55">
        <f t="shared" si="53"/>
        <v>0</v>
      </c>
      <c r="BK111" s="54">
        <f t="shared" si="54"/>
        <v>0</v>
      </c>
      <c r="BL111" s="13">
        <f t="shared" si="72"/>
        <v>0</v>
      </c>
      <c r="BM111" s="13">
        <f t="shared" si="72"/>
        <v>0</v>
      </c>
      <c r="BN111" s="55">
        <f t="shared" si="55"/>
        <v>0</v>
      </c>
      <c r="BP111" s="54">
        <f t="shared" si="56"/>
        <v>0</v>
      </c>
      <c r="BQ111" s="13">
        <f t="shared" si="73"/>
        <v>0</v>
      </c>
      <c r="BR111" s="13">
        <f t="shared" si="73"/>
        <v>0</v>
      </c>
      <c r="BS111" s="55">
        <f t="shared" si="57"/>
        <v>0</v>
      </c>
      <c r="BU111" s="54">
        <f>IF($O111=BU$2,IF($Q111=$AD$2,$P111)) + IF($R111=BU$2,IF($T111=$AD$2,$S111)) + IF($U111=BU$2,IF($W111=$AD$2,$V111))</f>
        <v>0</v>
      </c>
      <c r="BV111" s="13">
        <f>IF($O111=BV$2,IF($Q111=$AD$2,2*$P111)) + IF($R111=BV$2,IF($T111=$AD$2,2*$S111)) + IF($U111=BV$2,IF($W111=$AD$2,2*$V111))</f>
        <v>0</v>
      </c>
      <c r="BW111" s="13">
        <f>IF($O111=BW$2,IF($Q111=$AD$2,2*$P111)) + IF($R111=BW$2,IF($T111=$AD$2,2*$S111)) + IF($U111=BW$2,IF($W111=$AD$2,2*$V111))</f>
        <v>0</v>
      </c>
      <c r="BX111" s="55">
        <f>IF($O111=BX$2,IF($Q111=$AD$2,12*$P111)) + IF($R111=BX$2,IF($T111=$AD$2,12*$S111)) + IF($U111=BX$2,IF($W111=$AD$2,12*$V111))</f>
        <v>0</v>
      </c>
      <c r="BZ111" s="54">
        <f>IF($O111=BZ$2,IF($Q111=Armory,$P111)) + IF($R111=BZ$2,IF($T111=Armory,$S111)) + IF($U111=BZ$2,IF($W111=Armory,$V111))</f>
        <v>0</v>
      </c>
      <c r="CA111" s="13">
        <f>IF($O111=CA$2,IF($Q111=Armory,2*$P111)) + IF($R111=CA$2,IF($T111=Armory,2*$S111)) + IF($U111=CA$2,IF($W111=Armory,2*$V111))</f>
        <v>0</v>
      </c>
      <c r="CB111" s="13">
        <f>IF($O111=CB$2,IF($Q111=Armory,2*$P111)) + IF($R111=CB$2,IF($T111=Armory,2*$S111)) + IF($U111=CB$2,IF($W111=Armory,2*$V111))</f>
        <v>0</v>
      </c>
      <c r="CC111" s="55">
        <f>IF($O111=CC$2,IF($Q111=Armory,12*$P111)) + IF($R111=CC$2,IF($T111=Armory,12*$S111)) + IF($U111=CC$2,IF($W111=Armory,12*$V111))</f>
        <v>0</v>
      </c>
      <c r="CE111" s="54">
        <f>IF($O111=CE$2,IF($Q111=Infirmary,$P111)) + IF($R111=CE$2,IF($T111=Infirmary,$S111)) + IF($U111=CE$2,IF($W111=Infirmary,$V111))</f>
        <v>0</v>
      </c>
      <c r="CF111" s="13">
        <f>IF($O111=CF$2,IF($Q111=Infirmary,2*$P111)) + IF($R111=CF$2,IF($T111=Infirmary,2*$S111)) + IF($U111=CF$2,IF($W111=Infirmary,2*$V111))</f>
        <v>0</v>
      </c>
      <c r="CG111" s="13">
        <f>IF($O111=CG$2,IF($Q111=Infirmary,2*$P111)) + IF($R111=CG$2,IF($T111=Infirmary,2*$S111)) + IF($U111=CG$2,IF($W111=Infirmary,2*$V111))</f>
        <v>0</v>
      </c>
      <c r="CH111" s="55">
        <f>IF($O111=CH$2,IF($Q111=Infirmary,12*$P111)) + IF($R111=CH$2,IF($T111=Infirmary,12*$S111)) + IF($U111=CH$2,IF($W111=Infirmary,12*$V111))</f>
        <v>0</v>
      </c>
      <c r="CJ111" s="50" t="e">
        <f>OR(Production!C111,Construction!N111:'Construction'!AF111,Construction!BV111:CN111,Explore!S111:Z111,Military!AF111:AL111,Military!X111,Military!BE111:BL111,Rezone!L111:R111,Magic!G111:Q111)</f>
        <v>#VALUE!</v>
      </c>
      <c r="CK111" s="549">
        <f>M111</f>
        <v>0</v>
      </c>
      <c r="CL111" s="549"/>
      <c r="CM111" s="556">
        <f t="shared" si="59"/>
        <v>43769.124999999738</v>
      </c>
      <c r="CN111" s="564">
        <f t="shared" si="60"/>
        <v>43768.958333333074</v>
      </c>
      <c r="CO111" s="629"/>
      <c r="CP111" s="804"/>
      <c r="CQ111" s="809"/>
      <c r="CR111" s="12" t="s">
        <v>767</v>
      </c>
    </row>
    <row r="112" spans="1:96" s="15" customFormat="1" x14ac:dyDescent="0.25">
      <c r="A112" s="514">
        <f>Construction!E112</f>
        <v>1000</v>
      </c>
      <c r="B112" s="16"/>
      <c r="C112" s="89">
        <f ca="1">Production!H112</f>
        <v>5020288</v>
      </c>
      <c r="D112" s="23">
        <f ca="1">Production!J112</f>
        <v>285110</v>
      </c>
      <c r="E112" s="23">
        <f ca="1">Production!L112</f>
        <v>300000</v>
      </c>
      <c r="F112" s="57">
        <f ca="1">Production!M112</f>
        <v>20000</v>
      </c>
      <c r="G112" s="26"/>
      <c r="H112" s="89">
        <f ca="1">Military!Z112</f>
        <v>5295</v>
      </c>
      <c r="I112" s="538">
        <f ca="1">Population!I112</f>
        <v>1</v>
      </c>
      <c r="J112" s="165">
        <f ca="1">Population!F112/Population!U112</f>
        <v>1</v>
      </c>
      <c r="K112" s="1000">
        <f>Rezone!J112</f>
        <v>110</v>
      </c>
      <c r="L112" s="582">
        <f t="shared" si="58"/>
        <v>43769.135416666402</v>
      </c>
      <c r="M112" s="636">
        <f t="shared" si="67"/>
        <v>0</v>
      </c>
      <c r="N112" s="642">
        <f t="shared" si="46"/>
        <v>1000</v>
      </c>
      <c r="O112" s="423" t="s">
        <v>4</v>
      </c>
      <c r="P112" s="370"/>
      <c r="Q112" s="424" t="s">
        <v>223</v>
      </c>
      <c r="R112" s="423" t="s">
        <v>7</v>
      </c>
      <c r="S112" s="370"/>
      <c r="T112" s="425" t="s">
        <v>223</v>
      </c>
      <c r="U112" s="424" t="s">
        <v>3</v>
      </c>
      <c r="V112" s="370"/>
      <c r="W112" s="425" t="s">
        <v>223</v>
      </c>
      <c r="X112" s="16"/>
      <c r="Y112" s="522">
        <f ca="1">science_cap*(1-EXP(-AH112/(science_param*($A113-Explore!$S113*20)+15000)))*(1+(mason_bonus*Construction!BB112/Construction!BS112))+IF(Overview!$B$14="Beastfolk",Construction!DA112/Construction!E112,0)*(1 + Production!O112/100*prestige_pop_multiplier)</f>
        <v>0</v>
      </c>
      <c r="Z112" s="284">
        <f ca="1">keep_cap*(1-EXP(-AI112/(keep_param*($A113-Explore!$S113*20)+15000)))*(1+(mason_bonus*Construction!BB112/Construction!BS112))+IF(Overview!$B$14="Beastfolk",Construction!DF112/Construction!E112,0)*(1 + Production!O112/100*prestige_pop_multiplier)</f>
        <v>0</v>
      </c>
      <c r="AA112" s="284">
        <f ca="1">harbor_towers_cap*(1-EXP(-AJ112/(harbor_towers_param*($A113-Explore!$S113*20)+15000)))*(1+(mason_bonus*Construction!BB112/Construction!BS112))+IF(Overview!$B$14="Beastfolk",2*Construction!DC112/Construction!E112,0)*(1 + Production!O112/100*prestige_pop_multiplier)</f>
        <v>0</v>
      </c>
      <c r="AB112" s="284">
        <f ca="1">walls_forges_cap*(1-EXP(-AK112/(walls_forges_param*($A113-Explore!$S113*20)+15000)))*(1+(mason_bonus*Construction!BB112/Construction!BS112))+IF(Overview!$B$14="Beastfolk",0.2*Construction!CY112/Construction!E112,0)</f>
        <v>0</v>
      </c>
      <c r="AC112" s="284">
        <f ca="1">walls_forges_cap*(1-EXP(-AL112/(walls_forges_param*($A113-Explore!$S113*20)+15000)))*(1+(mason_bonus*Construction!BB112/Construction!BS112))+IF(Overview!$B$14="Beastfolk",5*Construction!DB112/Construction!E112,0)</f>
        <v>0</v>
      </c>
      <c r="AD112" s="97">
        <f ca="1">harbor_towers_cap*(1-EXP(-AM112/(harbor_towers_param*($A113-Explore!$S113*20)+15000)))*(1+(mason_bonus*Construction!BB112/Construction!BS112))+IF(Overview!$B$14="Beastfolk",Construction!DE112/Construction!E112)*(1 + Production!O112/100*prestige_pop_multiplier)</f>
        <v>0</v>
      </c>
      <c r="AE112" s="97">
        <f ca="1">armory_cap*(1-EXP(-AN112/(armory_param*($A113-Explore!$S113*20)+15000)))*(1+(mason_bonus*Construction!$BB112/Construction!$BS112))</f>
        <v>0</v>
      </c>
      <c r="AF112" s="97">
        <f ca="1">infirmary_cap*(1-EXP(-AO112/(infirmary_param*($A113-Explore!$S113*20)+15000)))*(1+(mason_bonus*Construction!$BB112/Construction!$BS112))</f>
        <v>0</v>
      </c>
      <c r="AG112" s="16"/>
      <c r="AH112" s="56">
        <f ca="1">(1+Overview!$O$28+IF(Magic!BA112&gt;0,0.1,0))*SUM(AV112:AY112) + AH111</f>
        <v>0</v>
      </c>
      <c r="AI112" s="26">
        <f ca="1">(1+Overview!$O$28+IF(Magic!BA112&gt;0,0.1,0))*SUM(BA112:BD112) + AI111</f>
        <v>0</v>
      </c>
      <c r="AJ112" s="164">
        <f ca="1">(1+Overview!$O$28+IF(Magic!BA112&gt;0,0.1,0))*SUM(BF112:BI112) + AJ111</f>
        <v>0</v>
      </c>
      <c r="AK112" s="164">
        <f ca="1">(1+Overview!$O$28+IF(Magic!BA112&gt;0,0.1,0))*SUM(BK112:BN112) + AK111</f>
        <v>0</v>
      </c>
      <c r="AL112" s="164">
        <f ca="1">(1+Overview!$O$28+IF(Magic!BA112&gt;0,0.1,0))*SUM(BP112:BS112) + AL111</f>
        <v>0</v>
      </c>
      <c r="AM112" s="166">
        <f ca="1">(1+Overview!$O$28+IF(Magic!BA112&gt;0,0.1,0))*SUM(BU112:BX112) + AM111</f>
        <v>0</v>
      </c>
      <c r="AN112" s="166">
        <f ca="1">(1+Overview!$O$28+IF(Magic!BA112&gt;0,0.1,0))*SUM(BZ112:CC112)+AN111</f>
        <v>0</v>
      </c>
      <c r="AO112" s="164">
        <f ca="1">(1+Overview!$O$28+IF(Magic!BA112&gt;0,0.1,0))*SUM(CE112:CH112)+AO111</f>
        <v>0</v>
      </c>
      <c r="AP112" s="16"/>
      <c r="AQ112" s="70">
        <f t="shared" si="69"/>
        <v>0</v>
      </c>
      <c r="AR112" s="15">
        <f t="shared" si="69"/>
        <v>0</v>
      </c>
      <c r="AS112" s="15">
        <f t="shared" si="69"/>
        <v>0</v>
      </c>
      <c r="AT112" s="74">
        <f t="shared" si="69"/>
        <v>0</v>
      </c>
      <c r="AU112" s="16"/>
      <c r="AV112" s="89">
        <f t="shared" si="47"/>
        <v>0</v>
      </c>
      <c r="AW112" s="23">
        <f t="shared" si="70"/>
        <v>0</v>
      </c>
      <c r="AX112" s="23">
        <f t="shared" si="70"/>
        <v>0</v>
      </c>
      <c r="AY112" s="71">
        <f t="shared" si="48"/>
        <v>0</v>
      </c>
      <c r="AZ112" s="16"/>
      <c r="BA112" s="89">
        <f t="shared" si="49"/>
        <v>0</v>
      </c>
      <c r="BB112" s="23">
        <f t="shared" si="71"/>
        <v>0</v>
      </c>
      <c r="BC112" s="23">
        <f t="shared" si="71"/>
        <v>0</v>
      </c>
      <c r="BD112" s="71">
        <f t="shared" si="50"/>
        <v>0</v>
      </c>
      <c r="BE112" s="16"/>
      <c r="BF112" s="89">
        <f t="shared" si="51"/>
        <v>0</v>
      </c>
      <c r="BG112" s="23">
        <f t="shared" si="52"/>
        <v>0</v>
      </c>
      <c r="BH112" s="23">
        <f t="shared" si="68"/>
        <v>0</v>
      </c>
      <c r="BI112" s="71">
        <f t="shared" si="53"/>
        <v>0</v>
      </c>
      <c r="BJ112" s="16"/>
      <c r="BK112" s="89">
        <f t="shared" si="54"/>
        <v>0</v>
      </c>
      <c r="BL112" s="23">
        <f t="shared" si="72"/>
        <v>0</v>
      </c>
      <c r="BM112" s="23">
        <f t="shared" si="72"/>
        <v>0</v>
      </c>
      <c r="BN112" s="71">
        <f t="shared" si="55"/>
        <v>0</v>
      </c>
      <c r="BO112" s="16"/>
      <c r="BP112" s="89">
        <f t="shared" si="56"/>
        <v>0</v>
      </c>
      <c r="BQ112" s="23">
        <f t="shared" si="73"/>
        <v>0</v>
      </c>
      <c r="BR112" s="23">
        <f t="shared" si="73"/>
        <v>0</v>
      </c>
      <c r="BS112" s="71">
        <f t="shared" si="57"/>
        <v>0</v>
      </c>
      <c r="BT112" s="16"/>
      <c r="BU112" s="89">
        <f>IF($O112=BU$2,IF($Q112=$AD$2,$P112)) + IF($R112=BU$2,IF($T112=$AD$2,$S112)) + IF($U112=BU$2,IF($W112=$AD$2,$V112))</f>
        <v>0</v>
      </c>
      <c r="BV112" s="23">
        <f>IF($O112=BV$2,IF($Q112=$AD$2,2*$P112)) + IF($R112=BV$2,IF($T112=$AD$2,2*$S112)) + IF($U112=BV$2,IF($W112=$AD$2,2*$V112))</f>
        <v>0</v>
      </c>
      <c r="BW112" s="23">
        <f>IF($O112=BW$2,IF($Q112=$AD$2,2*$P112)) + IF($R112=BW$2,IF($T112=$AD$2,2*$S112)) + IF($U112=BW$2,IF($W112=$AD$2,2*$V112))</f>
        <v>0</v>
      </c>
      <c r="BX112" s="71">
        <f>IF($O112=BX$2,IF($Q112=$AD$2,12*$P112)) + IF($R112=BX$2,IF($T112=$AD$2,12*$S112)) + IF($U112=BX$2,IF($W112=$AD$2,12*$V112))</f>
        <v>0</v>
      </c>
      <c r="BZ112" s="89">
        <f>IF($O112=BZ$2,IF($Q112=Armory,$P112)) + IF($R112=BZ$2,IF($T112=Armory,$S112)) + IF($U112=BZ$2,IF($W112=Armory,$V112))</f>
        <v>0</v>
      </c>
      <c r="CA112" s="23">
        <f>IF($O112=CA$2,IF($Q112=Armory,2*$P112)) + IF($R112=CA$2,IF($T112=Armory,2*$S112)) + IF($U112=CA$2,IF($W112=Armory,2*$V112))</f>
        <v>0</v>
      </c>
      <c r="CB112" s="23">
        <f>IF($O112=CB$2,IF($Q112=Armory,2*$P112)) + IF($R112=CB$2,IF($T112=Armory,2*$S112)) + IF($U112=CB$2,IF($W112=Armory,2*$V112))</f>
        <v>0</v>
      </c>
      <c r="CC112" s="71">
        <f>IF($O112=CC$2,IF($Q112=Armory,12*$P112)) + IF($R112=CC$2,IF($T112=Armory,12*$S112)) + IF($U112=CC$2,IF($W112=Armory,12*$V112))</f>
        <v>0</v>
      </c>
      <c r="CE112" s="89">
        <f>IF($O112=CE$2,IF($Q112=Infirmary,$P112)) + IF($R112=CE$2,IF($T112=Infirmary,$S112)) + IF($U112=CE$2,IF($W112=Infirmary,$V112))</f>
        <v>0</v>
      </c>
      <c r="CF112" s="23">
        <f>IF($O112=CF$2,IF($Q112=Infirmary,2*$P112)) + IF($R112=CF$2,IF($T112=Infirmary,2*$S112)) + IF($U112=CF$2,IF($W112=Infirmary,2*$V112))</f>
        <v>0</v>
      </c>
      <c r="CG112" s="23">
        <f>IF($O112=CG$2,IF($Q112=Infirmary,2*$P112)) + IF($R112=CG$2,IF($T112=Infirmary,2*$S112)) + IF($U112=CG$2,IF($W112=Infirmary,2*$V112))</f>
        <v>0</v>
      </c>
      <c r="CH112" s="71">
        <f>IF($O112=CH$2,IF($Q112=Infirmary,12*$P112)) + IF($R112=CH$2,IF($T112=Infirmary,12*$S112)) + IF($U112=CH$2,IF($W112=Infirmary,12*$V112))</f>
        <v>0</v>
      </c>
      <c r="CJ112" s="70" t="e">
        <f>OR(Production!C112,Construction!N112:'Construction'!AF112,Construction!BV112:CN112,Explore!S112:Z112,Military!AF112:AL112,Military!X112,Military!BE112:BL112,Rezone!L112:R112,Magic!G112:Q112)</f>
        <v>#VALUE!</v>
      </c>
      <c r="CK112" s="526">
        <f>M112</f>
        <v>0</v>
      </c>
      <c r="CL112" s="526"/>
      <c r="CM112" s="557">
        <f t="shared" si="59"/>
        <v>43769.135416666402</v>
      </c>
      <c r="CN112" s="565">
        <f t="shared" si="60"/>
        <v>43768.968749999738</v>
      </c>
      <c r="CO112" s="627"/>
      <c r="CP112" s="805"/>
      <c r="CQ112" s="810"/>
    </row>
    <row r="113" spans="1:95" s="16" customFormat="1" x14ac:dyDescent="0.25">
      <c r="A113" s="511">
        <f>Construction!E113</f>
        <v>1000</v>
      </c>
      <c r="C113" s="56">
        <f ca="1">Production!H113</f>
        <v>5025269</v>
      </c>
      <c r="D113" s="26">
        <f ca="1">Production!J113</f>
        <v>284759</v>
      </c>
      <c r="E113" s="26">
        <f ca="1">Production!L113</f>
        <v>300000</v>
      </c>
      <c r="F113" s="57">
        <f ca="1">Production!M113</f>
        <v>20000</v>
      </c>
      <c r="G113" s="26"/>
      <c r="H113" s="56">
        <f ca="1">Military!Z113</f>
        <v>5295</v>
      </c>
      <c r="I113" s="538">
        <f ca="1">Population!I113</f>
        <v>1</v>
      </c>
      <c r="J113" s="165">
        <f ca="1">Population!F113/Population!U113</f>
        <v>1</v>
      </c>
      <c r="K113" s="1000">
        <f>Rezone!J113</f>
        <v>111</v>
      </c>
      <c r="L113" s="582">
        <f t="shared" si="58"/>
        <v>43769.145833333067</v>
      </c>
      <c r="M113" s="316">
        <f t="shared" si="67"/>
        <v>0</v>
      </c>
      <c r="N113" s="638">
        <f t="shared" si="46"/>
        <v>1000</v>
      </c>
      <c r="O113" s="423" t="s">
        <v>4</v>
      </c>
      <c r="P113" s="370"/>
      <c r="Q113" s="424" t="s">
        <v>223</v>
      </c>
      <c r="R113" s="423" t="s">
        <v>7</v>
      </c>
      <c r="S113" s="370"/>
      <c r="T113" s="425" t="s">
        <v>223</v>
      </c>
      <c r="U113" s="424" t="s">
        <v>3</v>
      </c>
      <c r="V113" s="370"/>
      <c r="W113" s="425" t="s">
        <v>223</v>
      </c>
      <c r="Y113" s="522">
        <f ca="1">science_cap*(1-EXP(-AH113/(science_param*($A114-Explore!$S114*20)+15000)))*(1+(mason_bonus*Construction!BB113/Construction!BS113))+IF(Overview!$B$14="Beastfolk",Construction!DA113/Construction!E113,0)*(1 + Production!O113/100*prestige_pop_multiplier)</f>
        <v>0</v>
      </c>
      <c r="Z113" s="284">
        <f ca="1">keep_cap*(1-EXP(-AI113/(keep_param*($A114-Explore!$S114*20)+15000)))*(1+(mason_bonus*Construction!BB113/Construction!BS113))+IF(Overview!$B$14="Beastfolk",Construction!DF113/Construction!E113,0)*(1 + Production!O113/100*prestige_pop_multiplier)</f>
        <v>0</v>
      </c>
      <c r="AA113" s="284">
        <f ca="1">harbor_towers_cap*(1-EXP(-AJ113/(harbor_towers_param*($A114-Explore!$S114*20)+15000)))*(1+(mason_bonus*Construction!BB113/Construction!BS113))+IF(Overview!$B$14="Beastfolk",2*Construction!DC113/Construction!E113,0)*(1 + Production!O113/100*prestige_pop_multiplier)</f>
        <v>0</v>
      </c>
      <c r="AB113" s="284">
        <f ca="1">walls_forges_cap*(1-EXP(-AK113/(walls_forges_param*($A114-Explore!$S114*20)+15000)))*(1+(mason_bonus*Construction!BB113/Construction!BS113))+IF(Overview!$B$14="Beastfolk",0.2*Construction!CY113/Construction!E113,0)</f>
        <v>0</v>
      </c>
      <c r="AC113" s="284">
        <f ca="1">walls_forges_cap*(1-EXP(-AL113/(walls_forges_param*($A114-Explore!$S114*20)+15000)))*(1+(mason_bonus*Construction!BB113/Construction!BS113))+IF(Overview!$B$14="Beastfolk",5*Construction!DB113/Construction!E113,0)</f>
        <v>0</v>
      </c>
      <c r="AD113" s="97">
        <f ca="1">harbor_towers_cap*(1-EXP(-AM113/(harbor_towers_param*($A114-Explore!$S114*20)+15000)))*(1+(mason_bonus*Construction!BB113/Construction!BS113))+IF(Overview!$B$14="Beastfolk",Construction!DE113/Construction!E113)*(1 + Production!O113/100*prestige_pop_multiplier)</f>
        <v>0</v>
      </c>
      <c r="AE113" s="97">
        <f ca="1">armory_cap*(1-EXP(-AN113/(armory_param*($A114-Explore!$S114*20)+15000)))*(1+(mason_bonus*Construction!$BB113/Construction!$BS113))</f>
        <v>0</v>
      </c>
      <c r="AF113" s="97">
        <f ca="1">infirmary_cap*(1-EXP(-AO113/(infirmary_param*($A114-Explore!$S114*20)+15000)))*(1+(mason_bonus*Construction!$BB113/Construction!$BS113))</f>
        <v>0</v>
      </c>
      <c r="AH113" s="56">
        <f ca="1">(1+Overview!$O$28+IF(Magic!BA113&gt;0,0.1,0))*SUM(AV113:AY113) + AH112</f>
        <v>0</v>
      </c>
      <c r="AI113" s="26">
        <f ca="1">(1+Overview!$O$28+IF(Magic!BA113&gt;0,0.1,0))*SUM(BA113:BD113) + AI112</f>
        <v>0</v>
      </c>
      <c r="AJ113" s="164">
        <f ca="1">(1+Overview!$O$28+IF(Magic!BA113&gt;0,0.1,0))*SUM(BF113:BI113) + AJ112</f>
        <v>0</v>
      </c>
      <c r="AK113" s="164">
        <f ca="1">(1+Overview!$O$28+IF(Magic!BA113&gt;0,0.1,0))*SUM(BK113:BN113) + AK112</f>
        <v>0</v>
      </c>
      <c r="AL113" s="164">
        <f ca="1">(1+Overview!$O$28+IF(Magic!BA113&gt;0,0.1,0))*SUM(BP113:BS113) + AL112</f>
        <v>0</v>
      </c>
      <c r="AM113" s="166">
        <f ca="1">(1+Overview!$O$28+IF(Magic!BA113&gt;0,0.1,0))*SUM(BU113:BX113) + AM112</f>
        <v>0</v>
      </c>
      <c r="AN113" s="166">
        <f ca="1">(1+Overview!$O$28+IF(Magic!BA113&gt;0,0.1,0))*SUM(BZ113:CC113)+AN112</f>
        <v>0</v>
      </c>
      <c r="AO113" s="164">
        <f ca="1">(1+Overview!$O$28+IF(Magic!BA113&gt;0,0.1,0))*SUM(CE113:CH113)+AO112</f>
        <v>0</v>
      </c>
      <c r="AQ113" s="52">
        <f t="shared" si="69"/>
        <v>0</v>
      </c>
      <c r="AR113" s="16">
        <f t="shared" si="69"/>
        <v>0</v>
      </c>
      <c r="AS113" s="16">
        <f t="shared" si="69"/>
        <v>0</v>
      </c>
      <c r="AT113" s="53">
        <f t="shared" si="69"/>
        <v>0</v>
      </c>
      <c r="AV113" s="56">
        <f t="shared" si="47"/>
        <v>0</v>
      </c>
      <c r="AW113" s="26">
        <f t="shared" si="70"/>
        <v>0</v>
      </c>
      <c r="AX113" s="26">
        <f t="shared" si="70"/>
        <v>0</v>
      </c>
      <c r="AY113" s="57">
        <f t="shared" si="48"/>
        <v>0</v>
      </c>
      <c r="BA113" s="56">
        <f t="shared" si="49"/>
        <v>0</v>
      </c>
      <c r="BB113" s="26">
        <f t="shared" si="71"/>
        <v>0</v>
      </c>
      <c r="BC113" s="26">
        <f t="shared" si="71"/>
        <v>0</v>
      </c>
      <c r="BD113" s="57">
        <f t="shared" si="50"/>
        <v>0</v>
      </c>
      <c r="BF113" s="56">
        <f t="shared" si="51"/>
        <v>0</v>
      </c>
      <c r="BG113" s="26">
        <f t="shared" si="52"/>
        <v>0</v>
      </c>
      <c r="BH113" s="26">
        <f t="shared" si="68"/>
        <v>0</v>
      </c>
      <c r="BI113" s="57">
        <f t="shared" si="53"/>
        <v>0</v>
      </c>
      <c r="BK113" s="56">
        <f t="shared" si="54"/>
        <v>0</v>
      </c>
      <c r="BL113" s="26">
        <f t="shared" si="72"/>
        <v>0</v>
      </c>
      <c r="BM113" s="26">
        <f t="shared" si="72"/>
        <v>0</v>
      </c>
      <c r="BN113" s="57">
        <f t="shared" si="55"/>
        <v>0</v>
      </c>
      <c r="BP113" s="56">
        <f t="shared" si="56"/>
        <v>0</v>
      </c>
      <c r="BQ113" s="26">
        <f t="shared" si="73"/>
        <v>0</v>
      </c>
      <c r="BR113" s="26">
        <f t="shared" si="73"/>
        <v>0</v>
      </c>
      <c r="BS113" s="57">
        <f t="shared" si="57"/>
        <v>0</v>
      </c>
      <c r="BU113" s="56">
        <f>IF($O113=BU$2,IF($Q113=$AD$2,$P113)) + IF($R113=BU$2,IF($T113=$AD$2,$S113)) + IF($U113=BU$2,IF($W113=$AD$2,$V113))</f>
        <v>0</v>
      </c>
      <c r="BV113" s="26">
        <f>IF($O113=BV$2,IF($Q113=$AD$2,2*$P113)) + IF($R113=BV$2,IF($T113=$AD$2,2*$S113)) + IF($U113=BV$2,IF($W113=$AD$2,2*$V113))</f>
        <v>0</v>
      </c>
      <c r="BW113" s="26">
        <f>IF($O113=BW$2,IF($Q113=$AD$2,2*$P113)) + IF($R113=BW$2,IF($T113=$AD$2,2*$S113)) + IF($U113=BW$2,IF($W113=$AD$2,2*$V113))</f>
        <v>0</v>
      </c>
      <c r="BX113" s="57">
        <f>IF($O113=BX$2,IF($Q113=$AD$2,12*$P113)) + IF($R113=BX$2,IF($T113=$AD$2,12*$S113)) + IF($U113=BX$2,IF($W113=$AD$2,12*$V113))</f>
        <v>0</v>
      </c>
      <c r="BZ113" s="56">
        <f>IF($O113=BZ$2,IF($Q113=Armory,$P113)) + IF($R113=BZ$2,IF($T113=Armory,$S113)) + IF($U113=BZ$2,IF($W113=Armory,$V113))</f>
        <v>0</v>
      </c>
      <c r="CA113" s="26">
        <f>IF($O113=CA$2,IF($Q113=Armory,2*$P113)) + IF($R113=CA$2,IF($T113=Armory,2*$S113)) + IF($U113=CA$2,IF($W113=Armory,2*$V113))</f>
        <v>0</v>
      </c>
      <c r="CB113" s="26">
        <f>IF($O113=CB$2,IF($Q113=Armory,2*$P113)) + IF($R113=CB$2,IF($T113=Armory,2*$S113)) + IF($U113=CB$2,IF($W113=Armory,2*$V113))</f>
        <v>0</v>
      </c>
      <c r="CC113" s="57">
        <f>IF($O113=CC$2,IF($Q113=Armory,12*$P113)) + IF($R113=CC$2,IF($T113=Armory,12*$S113)) + IF($U113=CC$2,IF($W113=Armory,12*$V113))</f>
        <v>0</v>
      </c>
      <c r="CE113" s="56">
        <f>IF($O113=CE$2,IF($Q113=Infirmary,$P113)) + IF($R113=CE$2,IF($T113=Infirmary,$S113)) + IF($U113=CE$2,IF($W113=Infirmary,$V113))</f>
        <v>0</v>
      </c>
      <c r="CF113" s="26">
        <f>IF($O113=CF$2,IF($Q113=Infirmary,2*$P113)) + IF($R113=CF$2,IF($T113=Infirmary,2*$S113)) + IF($U113=CF$2,IF($W113=Infirmary,2*$V113))</f>
        <v>0</v>
      </c>
      <c r="CG113" s="26">
        <f>IF($O113=CG$2,IF($Q113=Infirmary,2*$P113)) + IF($R113=CG$2,IF($T113=Infirmary,2*$S113)) + IF($U113=CG$2,IF($W113=Infirmary,2*$V113))</f>
        <v>0</v>
      </c>
      <c r="CH113" s="57">
        <f>IF($O113=CH$2,IF($Q113=Infirmary,12*$P113)) + IF($R113=CH$2,IF($T113=Infirmary,12*$S113)) + IF($U113=CH$2,IF($W113=Infirmary,12*$V113))</f>
        <v>0</v>
      </c>
      <c r="CJ113" s="52" t="e">
        <f>OR(Production!C113,Construction!N113:'Construction'!AF113,Construction!BV113:CN113,Explore!S113:Z113,Military!AF113:AL113,Military!X113,Military!BE113:BL113,Rezone!L113:R113,Magic!G113:Q113)</f>
        <v>#VALUE!</v>
      </c>
      <c r="CK113" s="525">
        <f>M113</f>
        <v>0</v>
      </c>
      <c r="CL113" s="525"/>
      <c r="CM113" s="555">
        <f t="shared" si="59"/>
        <v>43769.145833333067</v>
      </c>
      <c r="CN113" s="563">
        <f t="shared" si="60"/>
        <v>43768.979166666402</v>
      </c>
      <c r="CO113" s="802"/>
      <c r="CP113" s="803"/>
      <c r="CQ113" s="808"/>
    </row>
    <row r="114" spans="1:95" s="16" customFormat="1" x14ac:dyDescent="0.25">
      <c r="A114" s="511">
        <f>Construction!E114</f>
        <v>1000</v>
      </c>
      <c r="C114" s="56">
        <f ca="1">Production!H114</f>
        <v>5030250</v>
      </c>
      <c r="D114" s="26">
        <f ca="1">Production!J114</f>
        <v>284411</v>
      </c>
      <c r="E114" s="26">
        <f ca="1">Production!L114</f>
        <v>300000</v>
      </c>
      <c r="F114" s="57">
        <f ca="1">Production!M114</f>
        <v>20000</v>
      </c>
      <c r="G114" s="26"/>
      <c r="H114" s="56">
        <f ca="1">Military!Z114</f>
        <v>5295</v>
      </c>
      <c r="I114" s="538">
        <f ca="1">Population!I114</f>
        <v>1</v>
      </c>
      <c r="J114" s="165">
        <f ca="1">Population!F114/Population!U114</f>
        <v>1</v>
      </c>
      <c r="K114" s="1000">
        <f>Rezone!J114</f>
        <v>112</v>
      </c>
      <c r="L114" s="582">
        <f t="shared" si="58"/>
        <v>43769.156249999731</v>
      </c>
      <c r="M114" s="316">
        <f t="shared" si="67"/>
        <v>0</v>
      </c>
      <c r="N114" s="638">
        <f t="shared" si="46"/>
        <v>1000</v>
      </c>
      <c r="O114" s="423" t="s">
        <v>4</v>
      </c>
      <c r="P114" s="370"/>
      <c r="Q114" s="424" t="s">
        <v>223</v>
      </c>
      <c r="R114" s="423" t="s">
        <v>7</v>
      </c>
      <c r="S114" s="370"/>
      <c r="T114" s="425" t="s">
        <v>223</v>
      </c>
      <c r="U114" s="424" t="s">
        <v>3</v>
      </c>
      <c r="V114" s="370"/>
      <c r="W114" s="425" t="s">
        <v>223</v>
      </c>
      <c r="Y114" s="522">
        <f ca="1">science_cap*(1-EXP(-AH114/(science_param*($A115-Explore!$S115*20)+15000)))*(1+(mason_bonus*Construction!BB114/Construction!BS114))+IF(Overview!$B$14="Beastfolk",Construction!DA114/Construction!E114,0)*(1 + Production!O114/100*prestige_pop_multiplier)</f>
        <v>0</v>
      </c>
      <c r="Z114" s="284">
        <f ca="1">keep_cap*(1-EXP(-AI114/(keep_param*($A115-Explore!$S115*20)+15000)))*(1+(mason_bonus*Construction!BB114/Construction!BS114))+IF(Overview!$B$14="Beastfolk",Construction!DF114/Construction!E114,0)*(1 + Production!O114/100*prestige_pop_multiplier)</f>
        <v>0</v>
      </c>
      <c r="AA114" s="284">
        <f ca="1">harbor_towers_cap*(1-EXP(-AJ114/(harbor_towers_param*($A115-Explore!$S115*20)+15000)))*(1+(mason_bonus*Construction!BB114/Construction!BS114))+IF(Overview!$B$14="Beastfolk",2*Construction!DC114/Construction!E114,0)*(1 + Production!O114/100*prestige_pop_multiplier)</f>
        <v>0</v>
      </c>
      <c r="AB114" s="284">
        <f ca="1">walls_forges_cap*(1-EXP(-AK114/(walls_forges_param*($A115-Explore!$S115*20)+15000)))*(1+(mason_bonus*Construction!BB114/Construction!BS114))+IF(Overview!$B$14="Beastfolk",0.2*Construction!CY114/Construction!E114,0)</f>
        <v>0</v>
      </c>
      <c r="AC114" s="284">
        <f ca="1">walls_forges_cap*(1-EXP(-AL114/(walls_forges_param*($A115-Explore!$S115*20)+15000)))*(1+(mason_bonus*Construction!BB114/Construction!BS114))+IF(Overview!$B$14="Beastfolk",5*Construction!DB114/Construction!E114,0)</f>
        <v>0</v>
      </c>
      <c r="AD114" s="97">
        <f ca="1">harbor_towers_cap*(1-EXP(-AM114/(harbor_towers_param*($A115-Explore!$S115*20)+15000)))*(1+(mason_bonus*Construction!BB114/Construction!BS114))+IF(Overview!$B$14="Beastfolk",Construction!DE114/Construction!E114)*(1 + Production!O114/100*prestige_pop_multiplier)</f>
        <v>0</v>
      </c>
      <c r="AE114" s="97">
        <f ca="1">armory_cap*(1-EXP(-AN114/(armory_param*($A115-Explore!$S115*20)+15000)))*(1+(mason_bonus*Construction!$BB114/Construction!$BS114))</f>
        <v>0</v>
      </c>
      <c r="AF114" s="97">
        <f ca="1">infirmary_cap*(1-EXP(-AO114/(infirmary_param*($A115-Explore!$S115*20)+15000)))*(1+(mason_bonus*Construction!$BB114/Construction!$BS114))</f>
        <v>0</v>
      </c>
      <c r="AH114" s="56">
        <f ca="1">(1+Overview!$O$28+IF(Magic!BA114&gt;0,0.1,0))*SUM(AV114:AY114) + AH113</f>
        <v>0</v>
      </c>
      <c r="AI114" s="26">
        <f ca="1">(1+Overview!$O$28+IF(Magic!BA114&gt;0,0.1,0))*SUM(BA114:BD114) + AI113</f>
        <v>0</v>
      </c>
      <c r="AJ114" s="164">
        <f ca="1">(1+Overview!$O$28+IF(Magic!BA114&gt;0,0.1,0))*SUM(BF114:BI114) + AJ113</f>
        <v>0</v>
      </c>
      <c r="AK114" s="164">
        <f ca="1">(1+Overview!$O$28+IF(Magic!BA114&gt;0,0.1,0))*SUM(BK114:BN114) + AK113</f>
        <v>0</v>
      </c>
      <c r="AL114" s="164">
        <f ca="1">(1+Overview!$O$28+IF(Magic!BA114&gt;0,0.1,0))*SUM(BP114:BS114) + AL113</f>
        <v>0</v>
      </c>
      <c r="AM114" s="166">
        <f ca="1">(1+Overview!$O$28+IF(Magic!BA114&gt;0,0.1,0))*SUM(BU114:BX114) + AM113</f>
        <v>0</v>
      </c>
      <c r="AN114" s="166">
        <f ca="1">(1+Overview!$O$28+IF(Magic!BA114&gt;0,0.1,0))*SUM(BZ114:CC114)+AN113</f>
        <v>0</v>
      </c>
      <c r="AO114" s="164">
        <f ca="1">(1+Overview!$O$28+IF(Magic!BA114&gt;0,0.1,0))*SUM(CE114:CH114)+AO113</f>
        <v>0</v>
      </c>
      <c r="AQ114" s="52">
        <f t="shared" si="69"/>
        <v>0</v>
      </c>
      <c r="AR114" s="16">
        <f t="shared" si="69"/>
        <v>0</v>
      </c>
      <c r="AS114" s="16">
        <f t="shared" si="69"/>
        <v>0</v>
      </c>
      <c r="AT114" s="53">
        <f t="shared" si="69"/>
        <v>0</v>
      </c>
      <c r="AV114" s="56">
        <f t="shared" si="47"/>
        <v>0</v>
      </c>
      <c r="AW114" s="26">
        <f t="shared" si="70"/>
        <v>0</v>
      </c>
      <c r="AX114" s="26">
        <f t="shared" si="70"/>
        <v>0</v>
      </c>
      <c r="AY114" s="57">
        <f t="shared" si="48"/>
        <v>0</v>
      </c>
      <c r="BA114" s="56">
        <f t="shared" si="49"/>
        <v>0</v>
      </c>
      <c r="BB114" s="26">
        <f t="shared" si="71"/>
        <v>0</v>
      </c>
      <c r="BC114" s="26">
        <f t="shared" si="71"/>
        <v>0</v>
      </c>
      <c r="BD114" s="57">
        <f t="shared" si="50"/>
        <v>0</v>
      </c>
      <c r="BF114" s="56">
        <f t="shared" si="51"/>
        <v>0</v>
      </c>
      <c r="BG114" s="26">
        <f t="shared" si="52"/>
        <v>0</v>
      </c>
      <c r="BH114" s="26">
        <f t="shared" si="68"/>
        <v>0</v>
      </c>
      <c r="BI114" s="57">
        <f t="shared" si="53"/>
        <v>0</v>
      </c>
      <c r="BK114" s="56">
        <f t="shared" si="54"/>
        <v>0</v>
      </c>
      <c r="BL114" s="26">
        <f t="shared" si="72"/>
        <v>0</v>
      </c>
      <c r="BM114" s="26">
        <f t="shared" si="72"/>
        <v>0</v>
      </c>
      <c r="BN114" s="57">
        <f t="shared" si="55"/>
        <v>0</v>
      </c>
      <c r="BP114" s="56">
        <f t="shared" si="56"/>
        <v>0</v>
      </c>
      <c r="BQ114" s="26">
        <f t="shared" si="73"/>
        <v>0</v>
      </c>
      <c r="BR114" s="26">
        <f t="shared" si="73"/>
        <v>0</v>
      </c>
      <c r="BS114" s="57">
        <f t="shared" si="57"/>
        <v>0</v>
      </c>
      <c r="BU114" s="56">
        <f>IF($O114=BU$2,IF($Q114=$AD$2,$P114)) + IF($R114=BU$2,IF($T114=$AD$2,$S114)) + IF($U114=BU$2,IF($W114=$AD$2,$V114))</f>
        <v>0</v>
      </c>
      <c r="BV114" s="26">
        <f>IF($O114=BV$2,IF($Q114=$AD$2,2*$P114)) + IF($R114=BV$2,IF($T114=$AD$2,2*$S114)) + IF($U114=BV$2,IF($W114=$AD$2,2*$V114))</f>
        <v>0</v>
      </c>
      <c r="BW114" s="26">
        <f>IF($O114=BW$2,IF($Q114=$AD$2,2*$P114)) + IF($R114=BW$2,IF($T114=$AD$2,2*$S114)) + IF($U114=BW$2,IF($W114=$AD$2,2*$V114))</f>
        <v>0</v>
      </c>
      <c r="BX114" s="57">
        <f>IF($O114=BX$2,IF($Q114=$AD$2,12*$P114)) + IF($R114=BX$2,IF($T114=$AD$2,12*$S114)) + IF($U114=BX$2,IF($W114=$AD$2,12*$V114))</f>
        <v>0</v>
      </c>
      <c r="BZ114" s="56">
        <f>IF($O114=BZ$2,IF($Q114=Armory,$P114)) + IF($R114=BZ$2,IF($T114=Armory,$S114)) + IF($U114=BZ$2,IF($W114=Armory,$V114))</f>
        <v>0</v>
      </c>
      <c r="CA114" s="26">
        <f>IF($O114=CA$2,IF($Q114=Armory,2*$P114)) + IF($R114=CA$2,IF($T114=Armory,2*$S114)) + IF($U114=CA$2,IF($W114=Armory,2*$V114))</f>
        <v>0</v>
      </c>
      <c r="CB114" s="26">
        <f>IF($O114=CB$2,IF($Q114=Armory,2*$P114)) + IF($R114=CB$2,IF($T114=Armory,2*$S114)) + IF($U114=CB$2,IF($W114=Armory,2*$V114))</f>
        <v>0</v>
      </c>
      <c r="CC114" s="57">
        <f>IF($O114=CC$2,IF($Q114=Armory,12*$P114)) + IF($R114=CC$2,IF($T114=Armory,12*$S114)) + IF($U114=CC$2,IF($W114=Armory,12*$V114))</f>
        <v>0</v>
      </c>
      <c r="CE114" s="56">
        <f>IF($O114=CE$2,IF($Q114=Infirmary,$P114)) + IF($R114=CE$2,IF($T114=Infirmary,$S114)) + IF($U114=CE$2,IF($W114=Infirmary,$V114))</f>
        <v>0</v>
      </c>
      <c r="CF114" s="26">
        <f>IF($O114=CF$2,IF($Q114=Infirmary,2*$P114)) + IF($R114=CF$2,IF($T114=Infirmary,2*$S114)) + IF($U114=CF$2,IF($W114=Infirmary,2*$V114))</f>
        <v>0</v>
      </c>
      <c r="CG114" s="26">
        <f>IF($O114=CG$2,IF($Q114=Infirmary,2*$P114)) + IF($R114=CG$2,IF($T114=Infirmary,2*$S114)) + IF($U114=CG$2,IF($W114=Infirmary,2*$V114))</f>
        <v>0</v>
      </c>
      <c r="CH114" s="57">
        <f>IF($O114=CH$2,IF($Q114=Infirmary,12*$P114)) + IF($R114=CH$2,IF($T114=Infirmary,12*$S114)) + IF($U114=CH$2,IF($W114=Infirmary,12*$V114))</f>
        <v>0</v>
      </c>
      <c r="CJ114" s="52" t="e">
        <f>OR(Production!C114,Construction!N114:'Construction'!AF114,Construction!BV114:CN114,Explore!S114:Z114,Military!AF114:AL114,Military!X114,Military!BE114:BL114,Rezone!L114:R114,Magic!G114:Q114)</f>
        <v>#VALUE!</v>
      </c>
      <c r="CK114" s="525">
        <f>M114</f>
        <v>0</v>
      </c>
      <c r="CL114" s="525"/>
      <c r="CM114" s="555">
        <f t="shared" si="59"/>
        <v>43769.156249999731</v>
      </c>
      <c r="CN114" s="563">
        <f t="shared" si="60"/>
        <v>43768.989583333067</v>
      </c>
      <c r="CO114" s="527"/>
      <c r="CP114" s="803"/>
      <c r="CQ114" s="808"/>
    </row>
    <row r="115" spans="1:95" s="16" customFormat="1" x14ac:dyDescent="0.25">
      <c r="A115" s="511">
        <f>Construction!E115</f>
        <v>1000</v>
      </c>
      <c r="C115" s="56">
        <f ca="1">Production!H115</f>
        <v>5035231</v>
      </c>
      <c r="D115" s="26">
        <f ca="1">Production!J115</f>
        <v>284067</v>
      </c>
      <c r="E115" s="26">
        <f ca="1">Production!L115</f>
        <v>300000</v>
      </c>
      <c r="F115" s="57">
        <f ca="1">Production!M115</f>
        <v>20000</v>
      </c>
      <c r="G115" s="26"/>
      <c r="H115" s="56">
        <f ca="1">Military!Z115</f>
        <v>5295</v>
      </c>
      <c r="I115" s="538">
        <f ca="1">Population!I115</f>
        <v>1</v>
      </c>
      <c r="J115" s="165">
        <f ca="1">Population!F115/Population!U115</f>
        <v>1</v>
      </c>
      <c r="K115" s="1000">
        <f>Rezone!J115</f>
        <v>113</v>
      </c>
      <c r="L115" s="582">
        <f t="shared" si="58"/>
        <v>43769.166666666395</v>
      </c>
      <c r="M115" s="316">
        <f t="shared" si="67"/>
        <v>0</v>
      </c>
      <c r="N115" s="638">
        <f t="shared" si="46"/>
        <v>1000</v>
      </c>
      <c r="O115" s="423" t="s">
        <v>4</v>
      </c>
      <c r="P115" s="370"/>
      <c r="Q115" s="424" t="s">
        <v>223</v>
      </c>
      <c r="R115" s="423" t="s">
        <v>7</v>
      </c>
      <c r="S115" s="370"/>
      <c r="T115" s="425" t="s">
        <v>223</v>
      </c>
      <c r="U115" s="424" t="s">
        <v>3</v>
      </c>
      <c r="V115" s="370"/>
      <c r="W115" s="425" t="s">
        <v>223</v>
      </c>
      <c r="Y115" s="522">
        <f ca="1">science_cap*(1-EXP(-AH115/(science_param*($A116-Explore!$S116*20)+15000)))*(1+(mason_bonus*Construction!BB115/Construction!BS115))+IF(Overview!$B$14="Beastfolk",Construction!DA115/Construction!E115,0)*(1 + Production!O115/100*prestige_pop_multiplier)</f>
        <v>0</v>
      </c>
      <c r="Z115" s="284">
        <f ca="1">keep_cap*(1-EXP(-AI115/(keep_param*($A116-Explore!$S116*20)+15000)))*(1+(mason_bonus*Construction!BB115/Construction!BS115))+IF(Overview!$B$14="Beastfolk",Construction!DF115/Construction!E115,0)*(1 + Production!O115/100*prestige_pop_multiplier)</f>
        <v>0</v>
      </c>
      <c r="AA115" s="284">
        <f ca="1">harbor_towers_cap*(1-EXP(-AJ115/(harbor_towers_param*($A116-Explore!$S116*20)+15000)))*(1+(mason_bonus*Construction!BB115/Construction!BS115))+IF(Overview!$B$14="Beastfolk",2*Construction!DC115/Construction!E115,0)*(1 + Production!O115/100*prestige_pop_multiplier)</f>
        <v>0</v>
      </c>
      <c r="AB115" s="284">
        <f ca="1">walls_forges_cap*(1-EXP(-AK115/(walls_forges_param*($A116-Explore!$S116*20)+15000)))*(1+(mason_bonus*Construction!BB115/Construction!BS115))+IF(Overview!$B$14="Beastfolk",0.2*Construction!CY115/Construction!E115,0)</f>
        <v>0</v>
      </c>
      <c r="AC115" s="284">
        <f ca="1">walls_forges_cap*(1-EXP(-AL115/(walls_forges_param*($A116-Explore!$S116*20)+15000)))*(1+(mason_bonus*Construction!BB115/Construction!BS115))+IF(Overview!$B$14="Beastfolk",5*Construction!DB115/Construction!E115,0)</f>
        <v>0</v>
      </c>
      <c r="AD115" s="97">
        <f ca="1">harbor_towers_cap*(1-EXP(-AM115/(harbor_towers_param*($A116-Explore!$S116*20)+15000)))*(1+(mason_bonus*Construction!BB115/Construction!BS115))+IF(Overview!$B$14="Beastfolk",Construction!DE115/Construction!E115)*(1 + Production!O115/100*prestige_pop_multiplier)</f>
        <v>0</v>
      </c>
      <c r="AE115" s="97">
        <f ca="1">armory_cap*(1-EXP(-AN115/(armory_param*($A116-Explore!$S116*20)+15000)))*(1+(mason_bonus*Construction!$BB115/Construction!$BS115))</f>
        <v>0</v>
      </c>
      <c r="AF115" s="97">
        <f ca="1">infirmary_cap*(1-EXP(-AO115/(infirmary_param*($A116-Explore!$S116*20)+15000)))*(1+(mason_bonus*Construction!$BB115/Construction!$BS115))</f>
        <v>0</v>
      </c>
      <c r="AH115" s="56">
        <f ca="1">(1+Overview!$O$28+IF(Magic!BA115&gt;0,0.1,0))*SUM(AV115:AY115) + AH114</f>
        <v>0</v>
      </c>
      <c r="AI115" s="26">
        <f ca="1">(1+Overview!$O$28+IF(Magic!BA115&gt;0,0.1,0))*SUM(BA115:BD115) + AI114</f>
        <v>0</v>
      </c>
      <c r="AJ115" s="164">
        <f ca="1">(1+Overview!$O$28+IF(Magic!BA115&gt;0,0.1,0))*SUM(BF115:BI115) + AJ114</f>
        <v>0</v>
      </c>
      <c r="AK115" s="164">
        <f ca="1">(1+Overview!$O$28+IF(Magic!BA115&gt;0,0.1,0))*SUM(BK115:BN115) + AK114</f>
        <v>0</v>
      </c>
      <c r="AL115" s="164">
        <f ca="1">(1+Overview!$O$28+IF(Magic!BA115&gt;0,0.1,0))*SUM(BP115:BS115) + AL114</f>
        <v>0</v>
      </c>
      <c r="AM115" s="166">
        <f ca="1">(1+Overview!$O$28+IF(Magic!BA115&gt;0,0.1,0))*SUM(BU115:BX115) + AM114</f>
        <v>0</v>
      </c>
      <c r="AN115" s="166">
        <f ca="1">(1+Overview!$O$28+IF(Magic!BA115&gt;0,0.1,0))*SUM(BZ115:CC115)+AN114</f>
        <v>0</v>
      </c>
      <c r="AO115" s="164">
        <f ca="1">(1+Overview!$O$28+IF(Magic!BA115&gt;0,0.1,0))*SUM(CE115:CH115)+AO114</f>
        <v>0</v>
      </c>
      <c r="AQ115" s="52">
        <f t="shared" si="69"/>
        <v>0</v>
      </c>
      <c r="AR115" s="16">
        <f t="shared" si="69"/>
        <v>0</v>
      </c>
      <c r="AS115" s="16">
        <f t="shared" si="69"/>
        <v>0</v>
      </c>
      <c r="AT115" s="53">
        <f t="shared" si="69"/>
        <v>0</v>
      </c>
      <c r="AV115" s="56">
        <f t="shared" si="47"/>
        <v>0</v>
      </c>
      <c r="AW115" s="26">
        <f t="shared" si="70"/>
        <v>0</v>
      </c>
      <c r="AX115" s="26">
        <f t="shared" si="70"/>
        <v>0</v>
      </c>
      <c r="AY115" s="57">
        <f t="shared" si="48"/>
        <v>0</v>
      </c>
      <c r="BA115" s="56">
        <f t="shared" si="49"/>
        <v>0</v>
      </c>
      <c r="BB115" s="26">
        <f t="shared" si="71"/>
        <v>0</v>
      </c>
      <c r="BC115" s="26">
        <f t="shared" si="71"/>
        <v>0</v>
      </c>
      <c r="BD115" s="57">
        <f t="shared" si="50"/>
        <v>0</v>
      </c>
      <c r="BF115" s="56">
        <f t="shared" si="51"/>
        <v>0</v>
      </c>
      <c r="BG115" s="26">
        <f t="shared" si="52"/>
        <v>0</v>
      </c>
      <c r="BH115" s="26">
        <f t="shared" si="68"/>
        <v>0</v>
      </c>
      <c r="BI115" s="57">
        <f t="shared" si="53"/>
        <v>0</v>
      </c>
      <c r="BK115" s="56">
        <f t="shared" si="54"/>
        <v>0</v>
      </c>
      <c r="BL115" s="26">
        <f t="shared" si="72"/>
        <v>0</v>
      </c>
      <c r="BM115" s="26">
        <f t="shared" si="72"/>
        <v>0</v>
      </c>
      <c r="BN115" s="57">
        <f t="shared" si="55"/>
        <v>0</v>
      </c>
      <c r="BP115" s="56">
        <f t="shared" si="56"/>
        <v>0</v>
      </c>
      <c r="BQ115" s="26">
        <f t="shared" si="73"/>
        <v>0</v>
      </c>
      <c r="BR115" s="26">
        <f t="shared" si="73"/>
        <v>0</v>
      </c>
      <c r="BS115" s="57">
        <f t="shared" si="57"/>
        <v>0</v>
      </c>
      <c r="BU115" s="56">
        <f>IF($O115=BU$2,IF($Q115=$AD$2,$P115)) + IF($R115=BU$2,IF($T115=$AD$2,$S115)) + IF($U115=BU$2,IF($W115=$AD$2,$V115))</f>
        <v>0</v>
      </c>
      <c r="BV115" s="26">
        <f>IF($O115=BV$2,IF($Q115=$AD$2,2*$P115)) + IF($R115=BV$2,IF($T115=$AD$2,2*$S115)) + IF($U115=BV$2,IF($W115=$AD$2,2*$V115))</f>
        <v>0</v>
      </c>
      <c r="BW115" s="26">
        <f>IF($O115=BW$2,IF($Q115=$AD$2,2*$P115)) + IF($R115=BW$2,IF($T115=$AD$2,2*$S115)) + IF($U115=BW$2,IF($W115=$AD$2,2*$V115))</f>
        <v>0</v>
      </c>
      <c r="BX115" s="57">
        <f>IF($O115=BX$2,IF($Q115=$AD$2,12*$P115)) + IF($R115=BX$2,IF($T115=$AD$2,12*$S115)) + IF($U115=BX$2,IF($W115=$AD$2,12*$V115))</f>
        <v>0</v>
      </c>
      <c r="BZ115" s="56">
        <f>IF($O115=BZ$2,IF($Q115=Armory,$P115)) + IF($R115=BZ$2,IF($T115=Armory,$S115)) + IF($U115=BZ$2,IF($W115=Armory,$V115))</f>
        <v>0</v>
      </c>
      <c r="CA115" s="26">
        <f>IF($O115=CA$2,IF($Q115=Armory,2*$P115)) + IF($R115=CA$2,IF($T115=Armory,2*$S115)) + IF($U115=CA$2,IF($W115=Armory,2*$V115))</f>
        <v>0</v>
      </c>
      <c r="CB115" s="26">
        <f>IF($O115=CB$2,IF($Q115=Armory,2*$P115)) + IF($R115=CB$2,IF($T115=Armory,2*$S115)) + IF($U115=CB$2,IF($W115=Armory,2*$V115))</f>
        <v>0</v>
      </c>
      <c r="CC115" s="57">
        <f>IF($O115=CC$2,IF($Q115=Armory,12*$P115)) + IF($R115=CC$2,IF($T115=Armory,12*$S115)) + IF($U115=CC$2,IF($W115=Armory,12*$V115))</f>
        <v>0</v>
      </c>
      <c r="CE115" s="56">
        <f>IF($O115=CE$2,IF($Q115=Infirmary,$P115)) + IF($R115=CE$2,IF($T115=Infirmary,$S115)) + IF($U115=CE$2,IF($W115=Infirmary,$V115))</f>
        <v>0</v>
      </c>
      <c r="CF115" s="26">
        <f>IF($O115=CF$2,IF($Q115=Infirmary,2*$P115)) + IF($R115=CF$2,IF($T115=Infirmary,2*$S115)) + IF($U115=CF$2,IF($W115=Infirmary,2*$V115))</f>
        <v>0</v>
      </c>
      <c r="CG115" s="26">
        <f>IF($O115=CG$2,IF($Q115=Infirmary,2*$P115)) + IF($R115=CG$2,IF($T115=Infirmary,2*$S115)) + IF($U115=CG$2,IF($W115=Infirmary,2*$V115))</f>
        <v>0</v>
      </c>
      <c r="CH115" s="57">
        <f>IF($O115=CH$2,IF($Q115=Infirmary,12*$P115)) + IF($R115=CH$2,IF($T115=Infirmary,12*$S115)) + IF($U115=CH$2,IF($W115=Infirmary,12*$V115))</f>
        <v>0</v>
      </c>
      <c r="CJ115" s="52" t="e">
        <f>OR(Production!C115,Construction!N115:'Construction'!AF115,Construction!BV115:CN115,Explore!S115:Z115,Military!AF115:AL115,Military!X115,Military!BE115:BL115,Rezone!L115:R115,Magic!G115:Q115)</f>
        <v>#VALUE!</v>
      </c>
      <c r="CK115" s="525">
        <f>M115</f>
        <v>0</v>
      </c>
      <c r="CL115" s="525"/>
      <c r="CM115" s="555">
        <f t="shared" si="59"/>
        <v>43769.166666666395</v>
      </c>
      <c r="CN115" s="563">
        <f t="shared" si="60"/>
        <v>43768.999999999731</v>
      </c>
      <c r="CO115" s="527"/>
      <c r="CP115" s="803"/>
      <c r="CQ115" s="808"/>
    </row>
    <row r="116" spans="1:95" s="16" customFormat="1" x14ac:dyDescent="0.25">
      <c r="A116" s="511">
        <f>Construction!E116</f>
        <v>1000</v>
      </c>
      <c r="C116" s="56">
        <f ca="1">Production!H116</f>
        <v>5040212</v>
      </c>
      <c r="D116" s="26">
        <f ca="1">Production!J116</f>
        <v>283726</v>
      </c>
      <c r="E116" s="26">
        <f ca="1">Production!L116</f>
        <v>300000</v>
      </c>
      <c r="F116" s="57">
        <f ca="1">Production!M116</f>
        <v>20000</v>
      </c>
      <c r="G116" s="26"/>
      <c r="H116" s="56">
        <f ca="1">Military!Z116</f>
        <v>5295</v>
      </c>
      <c r="I116" s="538">
        <f ca="1">Population!I116</f>
        <v>1</v>
      </c>
      <c r="J116" s="165">
        <f ca="1">Population!F116/Population!U116</f>
        <v>1</v>
      </c>
      <c r="K116" s="1000">
        <f>Rezone!J116</f>
        <v>114</v>
      </c>
      <c r="L116" s="582">
        <f t="shared" si="58"/>
        <v>43769.177083333059</v>
      </c>
      <c r="M116" s="316">
        <f t="shared" si="67"/>
        <v>0</v>
      </c>
      <c r="N116" s="638">
        <f t="shared" si="46"/>
        <v>1000</v>
      </c>
      <c r="O116" s="423" t="s">
        <v>4</v>
      </c>
      <c r="P116" s="370"/>
      <c r="Q116" s="424" t="s">
        <v>223</v>
      </c>
      <c r="R116" s="423" t="s">
        <v>7</v>
      </c>
      <c r="S116" s="370"/>
      <c r="T116" s="425" t="s">
        <v>223</v>
      </c>
      <c r="U116" s="424" t="s">
        <v>3</v>
      </c>
      <c r="V116" s="370"/>
      <c r="W116" s="425" t="s">
        <v>223</v>
      </c>
      <c r="Y116" s="522">
        <f ca="1">science_cap*(1-EXP(-AH116/(science_param*($A117-Explore!$S117*20)+15000)))*(1+(mason_bonus*Construction!BB116/Construction!BS116))+IF(Overview!$B$14="Beastfolk",Construction!DA116/Construction!E116,0)*(1 + Production!O116/100*prestige_pop_multiplier)</f>
        <v>0</v>
      </c>
      <c r="Z116" s="284">
        <f ca="1">keep_cap*(1-EXP(-AI116/(keep_param*($A117-Explore!$S117*20)+15000)))*(1+(mason_bonus*Construction!BB116/Construction!BS116))+IF(Overview!$B$14="Beastfolk",Construction!DF116/Construction!E116,0)*(1 + Production!O116/100*prestige_pop_multiplier)</f>
        <v>0</v>
      </c>
      <c r="AA116" s="284">
        <f ca="1">harbor_towers_cap*(1-EXP(-AJ116/(harbor_towers_param*($A117-Explore!$S117*20)+15000)))*(1+(mason_bonus*Construction!BB116/Construction!BS116))+IF(Overview!$B$14="Beastfolk",2*Construction!DC116/Construction!E116,0)*(1 + Production!O116/100*prestige_pop_multiplier)</f>
        <v>0</v>
      </c>
      <c r="AB116" s="284">
        <f ca="1">walls_forges_cap*(1-EXP(-AK116/(walls_forges_param*($A117-Explore!$S117*20)+15000)))*(1+(mason_bonus*Construction!BB116/Construction!BS116))+IF(Overview!$B$14="Beastfolk",0.2*Construction!CY116/Construction!E116,0)</f>
        <v>0</v>
      </c>
      <c r="AC116" s="284">
        <f ca="1">walls_forges_cap*(1-EXP(-AL116/(walls_forges_param*($A117-Explore!$S117*20)+15000)))*(1+(mason_bonus*Construction!BB116/Construction!BS116))+IF(Overview!$B$14="Beastfolk",5*Construction!DB116/Construction!E116,0)</f>
        <v>0</v>
      </c>
      <c r="AD116" s="97">
        <f ca="1">harbor_towers_cap*(1-EXP(-AM116/(harbor_towers_param*($A117-Explore!$S117*20)+15000)))*(1+(mason_bonus*Construction!BB116/Construction!BS116))+IF(Overview!$B$14="Beastfolk",Construction!DE116/Construction!E116)*(1 + Production!O116/100*prestige_pop_multiplier)</f>
        <v>0</v>
      </c>
      <c r="AE116" s="97">
        <f ca="1">armory_cap*(1-EXP(-AN116/(armory_param*($A117-Explore!$S117*20)+15000)))*(1+(mason_bonus*Construction!$BB116/Construction!$BS116))</f>
        <v>0</v>
      </c>
      <c r="AF116" s="97">
        <f ca="1">infirmary_cap*(1-EXP(-AO116/(infirmary_param*($A117-Explore!$S117*20)+15000)))*(1+(mason_bonus*Construction!$BB116/Construction!$BS116))</f>
        <v>0</v>
      </c>
      <c r="AH116" s="56">
        <f ca="1">(1+Overview!$O$28+IF(Magic!BA116&gt;0,0.1,0))*SUM(AV116:AY116) + AH115</f>
        <v>0</v>
      </c>
      <c r="AI116" s="26">
        <f ca="1">(1+Overview!$O$28+IF(Magic!BA116&gt;0,0.1,0))*SUM(BA116:BD116) + AI115</f>
        <v>0</v>
      </c>
      <c r="AJ116" s="164">
        <f ca="1">(1+Overview!$O$28+IF(Magic!BA116&gt;0,0.1,0))*SUM(BF116:BI116) + AJ115</f>
        <v>0</v>
      </c>
      <c r="AK116" s="164">
        <f ca="1">(1+Overview!$O$28+IF(Magic!BA116&gt;0,0.1,0))*SUM(BK116:BN116) + AK115</f>
        <v>0</v>
      </c>
      <c r="AL116" s="164">
        <f ca="1">(1+Overview!$O$28+IF(Magic!BA116&gt;0,0.1,0))*SUM(BP116:BS116) + AL115</f>
        <v>0</v>
      </c>
      <c r="AM116" s="166">
        <f ca="1">(1+Overview!$O$28+IF(Magic!BA116&gt;0,0.1,0))*SUM(BU116:BX116) + AM115</f>
        <v>0</v>
      </c>
      <c r="AN116" s="166">
        <f ca="1">(1+Overview!$O$28+IF(Magic!BA116&gt;0,0.1,0))*SUM(BZ116:CC116)+AN115</f>
        <v>0</v>
      </c>
      <c r="AO116" s="164">
        <f ca="1">(1+Overview!$O$28+IF(Magic!BA116&gt;0,0.1,0))*SUM(CE116:CH116)+AO115</f>
        <v>0</v>
      </c>
      <c r="AQ116" s="52">
        <f t="shared" si="69"/>
        <v>0</v>
      </c>
      <c r="AR116" s="16">
        <f t="shared" si="69"/>
        <v>0</v>
      </c>
      <c r="AS116" s="16">
        <f t="shared" si="69"/>
        <v>0</v>
      </c>
      <c r="AT116" s="53">
        <f t="shared" si="69"/>
        <v>0</v>
      </c>
      <c r="AV116" s="56">
        <f t="shared" si="47"/>
        <v>0</v>
      </c>
      <c r="AW116" s="26">
        <f t="shared" si="70"/>
        <v>0</v>
      </c>
      <c r="AX116" s="26">
        <f t="shared" si="70"/>
        <v>0</v>
      </c>
      <c r="AY116" s="57">
        <f t="shared" si="48"/>
        <v>0</v>
      </c>
      <c r="BA116" s="56">
        <f t="shared" si="49"/>
        <v>0</v>
      </c>
      <c r="BB116" s="26">
        <f t="shared" si="71"/>
        <v>0</v>
      </c>
      <c r="BC116" s="26">
        <f t="shared" si="71"/>
        <v>0</v>
      </c>
      <c r="BD116" s="57">
        <f t="shared" si="50"/>
        <v>0</v>
      </c>
      <c r="BF116" s="56">
        <f t="shared" si="51"/>
        <v>0</v>
      </c>
      <c r="BG116" s="26">
        <f t="shared" si="52"/>
        <v>0</v>
      </c>
      <c r="BH116" s="26">
        <f t="shared" si="68"/>
        <v>0</v>
      </c>
      <c r="BI116" s="57">
        <f t="shared" si="53"/>
        <v>0</v>
      </c>
      <c r="BK116" s="56">
        <f t="shared" si="54"/>
        <v>0</v>
      </c>
      <c r="BL116" s="26">
        <f t="shared" si="72"/>
        <v>0</v>
      </c>
      <c r="BM116" s="26">
        <f t="shared" si="72"/>
        <v>0</v>
      </c>
      <c r="BN116" s="57">
        <f t="shared" si="55"/>
        <v>0</v>
      </c>
      <c r="BP116" s="56">
        <f t="shared" si="56"/>
        <v>0</v>
      </c>
      <c r="BQ116" s="26">
        <f t="shared" si="73"/>
        <v>0</v>
      </c>
      <c r="BR116" s="26">
        <f t="shared" si="73"/>
        <v>0</v>
      </c>
      <c r="BS116" s="57">
        <f t="shared" si="57"/>
        <v>0</v>
      </c>
      <c r="BU116" s="56">
        <f>IF($O116=BU$2,IF($Q116=$AD$2,$P116)) + IF($R116=BU$2,IF($T116=$AD$2,$S116)) + IF($U116=BU$2,IF($W116=$AD$2,$V116))</f>
        <v>0</v>
      </c>
      <c r="BV116" s="26">
        <f>IF($O116=BV$2,IF($Q116=$AD$2,2*$P116)) + IF($R116=BV$2,IF($T116=$AD$2,2*$S116)) + IF($U116=BV$2,IF($W116=$AD$2,2*$V116))</f>
        <v>0</v>
      </c>
      <c r="BW116" s="26">
        <f>IF($O116=BW$2,IF($Q116=$AD$2,2*$P116)) + IF($R116=BW$2,IF($T116=$AD$2,2*$S116)) + IF($U116=BW$2,IF($W116=$AD$2,2*$V116))</f>
        <v>0</v>
      </c>
      <c r="BX116" s="57">
        <f>IF($O116=BX$2,IF($Q116=$AD$2,12*$P116)) + IF($R116=BX$2,IF($T116=$AD$2,12*$S116)) + IF($U116=BX$2,IF($W116=$AD$2,12*$V116))</f>
        <v>0</v>
      </c>
      <c r="BZ116" s="56">
        <f>IF($O116=BZ$2,IF($Q116=Armory,$P116)) + IF($R116=BZ$2,IF($T116=Armory,$S116)) + IF($U116=BZ$2,IF($W116=Armory,$V116))</f>
        <v>0</v>
      </c>
      <c r="CA116" s="26">
        <f>IF($O116=CA$2,IF($Q116=Armory,2*$P116)) + IF($R116=CA$2,IF($T116=Armory,2*$S116)) + IF($U116=CA$2,IF($W116=Armory,2*$V116))</f>
        <v>0</v>
      </c>
      <c r="CB116" s="26">
        <f>IF($O116=CB$2,IF($Q116=Armory,2*$P116)) + IF($R116=CB$2,IF($T116=Armory,2*$S116)) + IF($U116=CB$2,IF($W116=Armory,2*$V116))</f>
        <v>0</v>
      </c>
      <c r="CC116" s="57">
        <f>IF($O116=CC$2,IF($Q116=Armory,12*$P116)) + IF($R116=CC$2,IF($T116=Armory,12*$S116)) + IF($U116=CC$2,IF($W116=Armory,12*$V116))</f>
        <v>0</v>
      </c>
      <c r="CE116" s="56">
        <f>IF($O116=CE$2,IF($Q116=Infirmary,$P116)) + IF($R116=CE$2,IF($T116=Infirmary,$S116)) + IF($U116=CE$2,IF($W116=Infirmary,$V116))</f>
        <v>0</v>
      </c>
      <c r="CF116" s="26">
        <f>IF($O116=CF$2,IF($Q116=Infirmary,2*$P116)) + IF($R116=CF$2,IF($T116=Infirmary,2*$S116)) + IF($U116=CF$2,IF($W116=Infirmary,2*$V116))</f>
        <v>0</v>
      </c>
      <c r="CG116" s="26">
        <f>IF($O116=CG$2,IF($Q116=Infirmary,2*$P116)) + IF($R116=CG$2,IF($T116=Infirmary,2*$S116)) + IF($U116=CG$2,IF($W116=Infirmary,2*$V116))</f>
        <v>0</v>
      </c>
      <c r="CH116" s="57">
        <f>IF($O116=CH$2,IF($Q116=Infirmary,12*$P116)) + IF($R116=CH$2,IF($T116=Infirmary,12*$S116)) + IF($U116=CH$2,IF($W116=Infirmary,12*$V116))</f>
        <v>0</v>
      </c>
      <c r="CJ116" s="52" t="e">
        <f>OR(Production!C116,Construction!N116:'Construction'!AF116,Construction!BV116:CN116,Explore!S116:Z116,Military!AF116:AL116,Military!X116,Military!BE116:BL116,Rezone!L116:R116,Magic!G116:Q116)</f>
        <v>#VALUE!</v>
      </c>
      <c r="CK116" s="525">
        <f>M116</f>
        <v>0</v>
      </c>
      <c r="CL116" s="525"/>
      <c r="CM116" s="555">
        <f t="shared" si="59"/>
        <v>43769.177083333059</v>
      </c>
      <c r="CN116" s="563">
        <f t="shared" si="60"/>
        <v>43769.010416666395</v>
      </c>
      <c r="CO116" s="527"/>
      <c r="CP116" s="803"/>
      <c r="CQ116" s="808"/>
    </row>
    <row r="117" spans="1:95" s="16" customFormat="1" x14ac:dyDescent="0.25">
      <c r="A117" s="511">
        <f>Construction!E117</f>
        <v>1000</v>
      </c>
      <c r="C117" s="56">
        <f ca="1">Production!H117</f>
        <v>5045193</v>
      </c>
      <c r="D117" s="26">
        <f ca="1">Production!J117</f>
        <v>283389</v>
      </c>
      <c r="E117" s="26">
        <f ca="1">Production!L117</f>
        <v>300000</v>
      </c>
      <c r="F117" s="57">
        <f ca="1">Production!M117</f>
        <v>20000</v>
      </c>
      <c r="G117" s="26"/>
      <c r="H117" s="56">
        <f ca="1">Military!Z117</f>
        <v>5295</v>
      </c>
      <c r="I117" s="538">
        <f ca="1">Population!I117</f>
        <v>1</v>
      </c>
      <c r="J117" s="165">
        <f ca="1">Population!F117/Population!U117</f>
        <v>1</v>
      </c>
      <c r="K117" s="1000">
        <f>Rezone!J117</f>
        <v>115</v>
      </c>
      <c r="L117" s="582">
        <f t="shared" si="58"/>
        <v>43769.187499999724</v>
      </c>
      <c r="M117" s="316">
        <f t="shared" si="67"/>
        <v>0</v>
      </c>
      <c r="N117" s="638">
        <f t="shared" si="46"/>
        <v>1000</v>
      </c>
      <c r="O117" s="423" t="s">
        <v>4</v>
      </c>
      <c r="P117" s="370"/>
      <c r="Q117" s="424" t="s">
        <v>223</v>
      </c>
      <c r="R117" s="423" t="s">
        <v>7</v>
      </c>
      <c r="S117" s="370"/>
      <c r="T117" s="425" t="s">
        <v>223</v>
      </c>
      <c r="U117" s="424" t="s">
        <v>3</v>
      </c>
      <c r="V117" s="370"/>
      <c r="W117" s="425" t="s">
        <v>223</v>
      </c>
      <c r="Y117" s="522">
        <f ca="1">science_cap*(1-EXP(-AH117/(science_param*($A118-Explore!$S118*20)+15000)))*(1+(mason_bonus*Construction!BB117/Construction!BS117))+IF(Overview!$B$14="Beastfolk",Construction!DA117/Construction!E117,0)*(1 + Production!O117/100*prestige_pop_multiplier)</f>
        <v>0</v>
      </c>
      <c r="Z117" s="284">
        <f ca="1">keep_cap*(1-EXP(-AI117/(keep_param*($A118-Explore!$S118*20)+15000)))*(1+(mason_bonus*Construction!BB117/Construction!BS117))+IF(Overview!$B$14="Beastfolk",Construction!DF117/Construction!E117,0)*(1 + Production!O117/100*prestige_pop_multiplier)</f>
        <v>0</v>
      </c>
      <c r="AA117" s="284">
        <f ca="1">harbor_towers_cap*(1-EXP(-AJ117/(harbor_towers_param*($A118-Explore!$S118*20)+15000)))*(1+(mason_bonus*Construction!BB117/Construction!BS117))+IF(Overview!$B$14="Beastfolk",2*Construction!DC117/Construction!E117,0)*(1 + Production!O117/100*prestige_pop_multiplier)</f>
        <v>0</v>
      </c>
      <c r="AB117" s="284">
        <f ca="1">walls_forges_cap*(1-EXP(-AK117/(walls_forges_param*($A118-Explore!$S118*20)+15000)))*(1+(mason_bonus*Construction!BB117/Construction!BS117))+IF(Overview!$B$14="Beastfolk",0.2*Construction!CY117/Construction!E117,0)</f>
        <v>0</v>
      </c>
      <c r="AC117" s="284">
        <f ca="1">walls_forges_cap*(1-EXP(-AL117/(walls_forges_param*($A118-Explore!$S118*20)+15000)))*(1+(mason_bonus*Construction!BB117/Construction!BS117))+IF(Overview!$B$14="Beastfolk",5*Construction!DB117/Construction!E117,0)</f>
        <v>0</v>
      </c>
      <c r="AD117" s="97">
        <f ca="1">harbor_towers_cap*(1-EXP(-AM117/(harbor_towers_param*($A118-Explore!$S118*20)+15000)))*(1+(mason_bonus*Construction!BB117/Construction!BS117))+IF(Overview!$B$14="Beastfolk",Construction!DE117/Construction!E117)*(1 + Production!O117/100*prestige_pop_multiplier)</f>
        <v>0</v>
      </c>
      <c r="AE117" s="97">
        <f ca="1">armory_cap*(1-EXP(-AN117/(armory_param*($A118-Explore!$S118*20)+15000)))*(1+(mason_bonus*Construction!$BB117/Construction!$BS117))</f>
        <v>0</v>
      </c>
      <c r="AF117" s="97">
        <f ca="1">infirmary_cap*(1-EXP(-AO117/(infirmary_param*($A118-Explore!$S118*20)+15000)))*(1+(mason_bonus*Construction!$BB117/Construction!$BS117))</f>
        <v>0</v>
      </c>
      <c r="AH117" s="56">
        <f ca="1">(1+Overview!$O$28+IF(Magic!BA117&gt;0,0.1,0))*SUM(AV117:AY117) + AH116</f>
        <v>0</v>
      </c>
      <c r="AI117" s="26">
        <f ca="1">(1+Overview!$O$28+IF(Magic!BA117&gt;0,0.1,0))*SUM(BA117:BD117) + AI116</f>
        <v>0</v>
      </c>
      <c r="AJ117" s="164">
        <f ca="1">(1+Overview!$O$28+IF(Magic!BA117&gt;0,0.1,0))*SUM(BF117:BI117) + AJ116</f>
        <v>0</v>
      </c>
      <c r="AK117" s="164">
        <f ca="1">(1+Overview!$O$28+IF(Magic!BA117&gt;0,0.1,0))*SUM(BK117:BN117) + AK116</f>
        <v>0</v>
      </c>
      <c r="AL117" s="164">
        <f ca="1">(1+Overview!$O$28+IF(Magic!BA117&gt;0,0.1,0))*SUM(BP117:BS117) + AL116</f>
        <v>0</v>
      </c>
      <c r="AM117" s="166">
        <f ca="1">(1+Overview!$O$28+IF(Magic!BA117&gt;0,0.1,0))*SUM(BU117:BX117) + AM116</f>
        <v>0</v>
      </c>
      <c r="AN117" s="166">
        <f ca="1">(1+Overview!$O$28+IF(Magic!BA117&gt;0,0.1,0))*SUM(BZ117:CC117)+AN116</f>
        <v>0</v>
      </c>
      <c r="AO117" s="164">
        <f ca="1">(1+Overview!$O$28+IF(Magic!BA117&gt;0,0.1,0))*SUM(CE117:CH117)+AO116</f>
        <v>0</v>
      </c>
      <c r="AQ117" s="52">
        <f t="shared" si="69"/>
        <v>0</v>
      </c>
      <c r="AR117" s="16">
        <f t="shared" si="69"/>
        <v>0</v>
      </c>
      <c r="AS117" s="16">
        <f t="shared" si="69"/>
        <v>0</v>
      </c>
      <c r="AT117" s="53">
        <f t="shared" si="69"/>
        <v>0</v>
      </c>
      <c r="AV117" s="56">
        <f t="shared" si="47"/>
        <v>0</v>
      </c>
      <c r="AW117" s="26">
        <f t="shared" si="70"/>
        <v>0</v>
      </c>
      <c r="AX117" s="26">
        <f t="shared" si="70"/>
        <v>0</v>
      </c>
      <c r="AY117" s="57">
        <f t="shared" si="48"/>
        <v>0</v>
      </c>
      <c r="BA117" s="56">
        <f t="shared" si="49"/>
        <v>0</v>
      </c>
      <c r="BB117" s="26">
        <f t="shared" si="71"/>
        <v>0</v>
      </c>
      <c r="BC117" s="26">
        <f t="shared" si="71"/>
        <v>0</v>
      </c>
      <c r="BD117" s="57">
        <f t="shared" si="50"/>
        <v>0</v>
      </c>
      <c r="BF117" s="56">
        <f t="shared" si="51"/>
        <v>0</v>
      </c>
      <c r="BG117" s="26">
        <f t="shared" si="52"/>
        <v>0</v>
      </c>
      <c r="BH117" s="26">
        <f t="shared" si="68"/>
        <v>0</v>
      </c>
      <c r="BI117" s="57">
        <f t="shared" si="53"/>
        <v>0</v>
      </c>
      <c r="BK117" s="56">
        <f t="shared" si="54"/>
        <v>0</v>
      </c>
      <c r="BL117" s="26">
        <f t="shared" si="72"/>
        <v>0</v>
      </c>
      <c r="BM117" s="26">
        <f t="shared" si="72"/>
        <v>0</v>
      </c>
      <c r="BN117" s="57">
        <f t="shared" si="55"/>
        <v>0</v>
      </c>
      <c r="BP117" s="56">
        <f t="shared" si="56"/>
        <v>0</v>
      </c>
      <c r="BQ117" s="26">
        <f t="shared" si="73"/>
        <v>0</v>
      </c>
      <c r="BR117" s="26">
        <f t="shared" si="73"/>
        <v>0</v>
      </c>
      <c r="BS117" s="57">
        <f t="shared" si="57"/>
        <v>0</v>
      </c>
      <c r="BU117" s="56">
        <f>IF($O117=BU$2,IF($Q117=$AD$2,$P117)) + IF($R117=BU$2,IF($T117=$AD$2,$S117)) + IF($U117=BU$2,IF($W117=$AD$2,$V117))</f>
        <v>0</v>
      </c>
      <c r="BV117" s="26">
        <f>IF($O117=BV$2,IF($Q117=$AD$2,2*$P117)) + IF($R117=BV$2,IF($T117=$AD$2,2*$S117)) + IF($U117=BV$2,IF($W117=$AD$2,2*$V117))</f>
        <v>0</v>
      </c>
      <c r="BW117" s="26">
        <f>IF($O117=BW$2,IF($Q117=$AD$2,2*$P117)) + IF($R117=BW$2,IF($T117=$AD$2,2*$S117)) + IF($U117=BW$2,IF($W117=$AD$2,2*$V117))</f>
        <v>0</v>
      </c>
      <c r="BX117" s="57">
        <f>IF($O117=BX$2,IF($Q117=$AD$2,12*$P117)) + IF($R117=BX$2,IF($T117=$AD$2,12*$S117)) + IF($U117=BX$2,IF($W117=$AD$2,12*$V117))</f>
        <v>0</v>
      </c>
      <c r="BZ117" s="56">
        <f>IF($O117=BZ$2,IF($Q117=Armory,$P117)) + IF($R117=BZ$2,IF($T117=Armory,$S117)) + IF($U117=BZ$2,IF($W117=Armory,$V117))</f>
        <v>0</v>
      </c>
      <c r="CA117" s="26">
        <f>IF($O117=CA$2,IF($Q117=Armory,2*$P117)) + IF($R117=CA$2,IF($T117=Armory,2*$S117)) + IF($U117=CA$2,IF($W117=Armory,2*$V117))</f>
        <v>0</v>
      </c>
      <c r="CB117" s="26">
        <f>IF($O117=CB$2,IF($Q117=Armory,2*$P117)) + IF($R117=CB$2,IF($T117=Armory,2*$S117)) + IF($U117=CB$2,IF($W117=Armory,2*$V117))</f>
        <v>0</v>
      </c>
      <c r="CC117" s="57">
        <f>IF($O117=CC$2,IF($Q117=Armory,12*$P117)) + IF($R117=CC$2,IF($T117=Armory,12*$S117)) + IF($U117=CC$2,IF($W117=Armory,12*$V117))</f>
        <v>0</v>
      </c>
      <c r="CE117" s="56">
        <f>IF($O117=CE$2,IF($Q117=Infirmary,$P117)) + IF($R117=CE$2,IF($T117=Infirmary,$S117)) + IF($U117=CE$2,IF($W117=Infirmary,$V117))</f>
        <v>0</v>
      </c>
      <c r="CF117" s="26">
        <f>IF($O117=CF$2,IF($Q117=Infirmary,2*$P117)) + IF($R117=CF$2,IF($T117=Infirmary,2*$S117)) + IF($U117=CF$2,IF($W117=Infirmary,2*$V117))</f>
        <v>0</v>
      </c>
      <c r="CG117" s="26">
        <f>IF($O117=CG$2,IF($Q117=Infirmary,2*$P117)) + IF($R117=CG$2,IF($T117=Infirmary,2*$S117)) + IF($U117=CG$2,IF($W117=Infirmary,2*$V117))</f>
        <v>0</v>
      </c>
      <c r="CH117" s="57">
        <f>IF($O117=CH$2,IF($Q117=Infirmary,12*$P117)) + IF($R117=CH$2,IF($T117=Infirmary,12*$S117)) + IF($U117=CH$2,IF($W117=Infirmary,12*$V117))</f>
        <v>0</v>
      </c>
      <c r="CJ117" s="52" t="e">
        <f>OR(Production!C117,Construction!N117:'Construction'!AF117,Construction!BV117:CN117,Explore!S117:Z117,Military!AF117:AL117,Military!X117,Military!BE117:BL117,Rezone!L117:R117,Magic!G117:Q117)</f>
        <v>#VALUE!</v>
      </c>
      <c r="CK117" s="525">
        <f>M117</f>
        <v>0</v>
      </c>
      <c r="CL117" s="525"/>
      <c r="CM117" s="555">
        <f t="shared" si="59"/>
        <v>43769.187499999724</v>
      </c>
      <c r="CN117" s="563">
        <f t="shared" si="60"/>
        <v>43769.020833333059</v>
      </c>
      <c r="CO117" s="527"/>
      <c r="CP117" s="803"/>
      <c r="CQ117" s="808"/>
    </row>
    <row r="118" spans="1:95" s="16" customFormat="1" x14ac:dyDescent="0.25">
      <c r="A118" s="511">
        <f>Construction!E118</f>
        <v>1000</v>
      </c>
      <c r="C118" s="56">
        <f ca="1">Production!H118</f>
        <v>5050174</v>
      </c>
      <c r="D118" s="26">
        <f ca="1">Production!J118</f>
        <v>283055</v>
      </c>
      <c r="E118" s="26">
        <f ca="1">Production!L118</f>
        <v>300000</v>
      </c>
      <c r="F118" s="57">
        <f ca="1">Production!M118</f>
        <v>20000</v>
      </c>
      <c r="G118" s="26"/>
      <c r="H118" s="56">
        <f ca="1">Military!Z118</f>
        <v>5295</v>
      </c>
      <c r="I118" s="538">
        <f ca="1">Population!I118</f>
        <v>1</v>
      </c>
      <c r="J118" s="165">
        <f ca="1">Population!F118/Population!U118</f>
        <v>1</v>
      </c>
      <c r="K118" s="1000">
        <f>Rezone!J118</f>
        <v>116</v>
      </c>
      <c r="L118" s="582">
        <f t="shared" si="58"/>
        <v>43769.197916666388</v>
      </c>
      <c r="M118" s="316">
        <f t="shared" si="67"/>
        <v>0</v>
      </c>
      <c r="N118" s="638">
        <f t="shared" si="46"/>
        <v>1000</v>
      </c>
      <c r="O118" s="423" t="s">
        <v>4</v>
      </c>
      <c r="P118" s="370"/>
      <c r="Q118" s="424" t="s">
        <v>223</v>
      </c>
      <c r="R118" s="423" t="s">
        <v>7</v>
      </c>
      <c r="S118" s="370"/>
      <c r="T118" s="425" t="s">
        <v>223</v>
      </c>
      <c r="U118" s="424" t="s">
        <v>3</v>
      </c>
      <c r="V118" s="370"/>
      <c r="W118" s="425" t="s">
        <v>223</v>
      </c>
      <c r="Y118" s="522">
        <f ca="1">science_cap*(1-EXP(-AH118/(science_param*($A119-Explore!$S119*20)+15000)))*(1+(mason_bonus*Construction!BB118/Construction!BS118))+IF(Overview!$B$14="Beastfolk",Construction!DA118/Construction!E118,0)*(1 + Production!O118/100*prestige_pop_multiplier)</f>
        <v>0</v>
      </c>
      <c r="Z118" s="284">
        <f ca="1">keep_cap*(1-EXP(-AI118/(keep_param*($A119-Explore!$S119*20)+15000)))*(1+(mason_bonus*Construction!BB118/Construction!BS118))+IF(Overview!$B$14="Beastfolk",Construction!DF118/Construction!E118,0)*(1 + Production!O118/100*prestige_pop_multiplier)</f>
        <v>0</v>
      </c>
      <c r="AA118" s="284">
        <f ca="1">harbor_towers_cap*(1-EXP(-AJ118/(harbor_towers_param*($A119-Explore!$S119*20)+15000)))*(1+(mason_bonus*Construction!BB118/Construction!BS118))+IF(Overview!$B$14="Beastfolk",2*Construction!DC118/Construction!E118,0)*(1 + Production!O118/100*prestige_pop_multiplier)</f>
        <v>0</v>
      </c>
      <c r="AB118" s="284">
        <f ca="1">walls_forges_cap*(1-EXP(-AK118/(walls_forges_param*($A119-Explore!$S119*20)+15000)))*(1+(mason_bonus*Construction!BB118/Construction!BS118))+IF(Overview!$B$14="Beastfolk",0.2*Construction!CY118/Construction!E118,0)</f>
        <v>0</v>
      </c>
      <c r="AC118" s="284">
        <f ca="1">walls_forges_cap*(1-EXP(-AL118/(walls_forges_param*($A119-Explore!$S119*20)+15000)))*(1+(mason_bonus*Construction!BB118/Construction!BS118))+IF(Overview!$B$14="Beastfolk",5*Construction!DB118/Construction!E118,0)</f>
        <v>0</v>
      </c>
      <c r="AD118" s="97">
        <f ca="1">harbor_towers_cap*(1-EXP(-AM118/(harbor_towers_param*($A119-Explore!$S119*20)+15000)))*(1+(mason_bonus*Construction!BB118/Construction!BS118))+IF(Overview!$B$14="Beastfolk",Construction!DE118/Construction!E118)*(1 + Production!O118/100*prestige_pop_multiplier)</f>
        <v>0</v>
      </c>
      <c r="AE118" s="97">
        <f ca="1">armory_cap*(1-EXP(-AN118/(armory_param*($A119-Explore!$S119*20)+15000)))*(1+(mason_bonus*Construction!$BB118/Construction!$BS118))</f>
        <v>0</v>
      </c>
      <c r="AF118" s="97">
        <f ca="1">infirmary_cap*(1-EXP(-AO118/(infirmary_param*($A119-Explore!$S119*20)+15000)))*(1+(mason_bonus*Construction!$BB118/Construction!$BS118))</f>
        <v>0</v>
      </c>
      <c r="AH118" s="56">
        <f ca="1">(1+Overview!$O$28+IF(Magic!BA118&gt;0,0.1,0))*SUM(AV118:AY118) + AH117</f>
        <v>0</v>
      </c>
      <c r="AI118" s="26">
        <f ca="1">(1+Overview!$O$28+IF(Magic!BA118&gt;0,0.1,0))*SUM(BA118:BD118) + AI117</f>
        <v>0</v>
      </c>
      <c r="AJ118" s="164">
        <f ca="1">(1+Overview!$O$28+IF(Magic!BA118&gt;0,0.1,0))*SUM(BF118:BI118) + AJ117</f>
        <v>0</v>
      </c>
      <c r="AK118" s="164">
        <f ca="1">(1+Overview!$O$28+IF(Magic!BA118&gt;0,0.1,0))*SUM(BK118:BN118) + AK117</f>
        <v>0</v>
      </c>
      <c r="AL118" s="164">
        <f ca="1">(1+Overview!$O$28+IF(Magic!BA118&gt;0,0.1,0))*SUM(BP118:BS118) + AL117</f>
        <v>0</v>
      </c>
      <c r="AM118" s="166">
        <f ca="1">(1+Overview!$O$28+IF(Magic!BA118&gt;0,0.1,0))*SUM(BU118:BX118) + AM117</f>
        <v>0</v>
      </c>
      <c r="AN118" s="166">
        <f ca="1">(1+Overview!$O$28+IF(Magic!BA118&gt;0,0.1,0))*SUM(BZ118:CC118)+AN117</f>
        <v>0</v>
      </c>
      <c r="AO118" s="164">
        <f ca="1">(1+Overview!$O$28+IF(Magic!BA118&gt;0,0.1,0))*SUM(CE118:CH118)+AO117</f>
        <v>0</v>
      </c>
      <c r="AQ118" s="52">
        <f t="shared" si="69"/>
        <v>0</v>
      </c>
      <c r="AR118" s="16">
        <f t="shared" si="69"/>
        <v>0</v>
      </c>
      <c r="AS118" s="16">
        <f t="shared" si="69"/>
        <v>0</v>
      </c>
      <c r="AT118" s="53">
        <f t="shared" si="69"/>
        <v>0</v>
      </c>
      <c r="AV118" s="56">
        <f t="shared" si="47"/>
        <v>0</v>
      </c>
      <c r="AW118" s="26">
        <f t="shared" si="70"/>
        <v>0</v>
      </c>
      <c r="AX118" s="26">
        <f t="shared" si="70"/>
        <v>0</v>
      </c>
      <c r="AY118" s="57">
        <f t="shared" si="48"/>
        <v>0</v>
      </c>
      <c r="BA118" s="56">
        <f t="shared" si="49"/>
        <v>0</v>
      </c>
      <c r="BB118" s="26">
        <f t="shared" si="71"/>
        <v>0</v>
      </c>
      <c r="BC118" s="26">
        <f t="shared" si="71"/>
        <v>0</v>
      </c>
      <c r="BD118" s="57">
        <f t="shared" si="50"/>
        <v>0</v>
      </c>
      <c r="BF118" s="56">
        <f t="shared" si="51"/>
        <v>0</v>
      </c>
      <c r="BG118" s="26">
        <f t="shared" si="52"/>
        <v>0</v>
      </c>
      <c r="BH118" s="26">
        <f t="shared" si="68"/>
        <v>0</v>
      </c>
      <c r="BI118" s="57">
        <f t="shared" si="53"/>
        <v>0</v>
      </c>
      <c r="BK118" s="56">
        <f t="shared" si="54"/>
        <v>0</v>
      </c>
      <c r="BL118" s="26">
        <f t="shared" si="72"/>
        <v>0</v>
      </c>
      <c r="BM118" s="26">
        <f t="shared" si="72"/>
        <v>0</v>
      </c>
      <c r="BN118" s="57">
        <f t="shared" si="55"/>
        <v>0</v>
      </c>
      <c r="BP118" s="56">
        <f t="shared" si="56"/>
        <v>0</v>
      </c>
      <c r="BQ118" s="26">
        <f t="shared" si="73"/>
        <v>0</v>
      </c>
      <c r="BR118" s="26">
        <f t="shared" si="73"/>
        <v>0</v>
      </c>
      <c r="BS118" s="57">
        <f t="shared" si="57"/>
        <v>0</v>
      </c>
      <c r="BU118" s="56">
        <f>IF($O118=BU$2,IF($Q118=$AD$2,$P118)) + IF($R118=BU$2,IF($T118=$AD$2,$S118)) + IF($U118=BU$2,IF($W118=$AD$2,$V118))</f>
        <v>0</v>
      </c>
      <c r="BV118" s="26">
        <f>IF($O118=BV$2,IF($Q118=$AD$2,2*$P118)) + IF($R118=BV$2,IF($T118=$AD$2,2*$S118)) + IF($U118=BV$2,IF($W118=$AD$2,2*$V118))</f>
        <v>0</v>
      </c>
      <c r="BW118" s="26">
        <f>IF($O118=BW$2,IF($Q118=$AD$2,2*$P118)) + IF($R118=BW$2,IF($T118=$AD$2,2*$S118)) + IF($U118=BW$2,IF($W118=$AD$2,2*$V118))</f>
        <v>0</v>
      </c>
      <c r="BX118" s="57">
        <f>IF($O118=BX$2,IF($Q118=$AD$2,12*$P118)) + IF($R118=BX$2,IF($T118=$AD$2,12*$S118)) + IF($U118=BX$2,IF($W118=$AD$2,12*$V118))</f>
        <v>0</v>
      </c>
      <c r="BZ118" s="56">
        <f>IF($O118=BZ$2,IF($Q118=Armory,$P118)) + IF($R118=BZ$2,IF($T118=Armory,$S118)) + IF($U118=BZ$2,IF($W118=Armory,$V118))</f>
        <v>0</v>
      </c>
      <c r="CA118" s="26">
        <f>IF($O118=CA$2,IF($Q118=Armory,2*$P118)) + IF($R118=CA$2,IF($T118=Armory,2*$S118)) + IF($U118=CA$2,IF($W118=Armory,2*$V118))</f>
        <v>0</v>
      </c>
      <c r="CB118" s="26">
        <f>IF($O118=CB$2,IF($Q118=Armory,2*$P118)) + IF($R118=CB$2,IF($T118=Armory,2*$S118)) + IF($U118=CB$2,IF($W118=Armory,2*$V118))</f>
        <v>0</v>
      </c>
      <c r="CC118" s="57">
        <f>IF($O118=CC$2,IF($Q118=Armory,12*$P118)) + IF($R118=CC$2,IF($T118=Armory,12*$S118)) + IF($U118=CC$2,IF($W118=Armory,12*$V118))</f>
        <v>0</v>
      </c>
      <c r="CE118" s="56">
        <f>IF($O118=CE$2,IF($Q118=Infirmary,$P118)) + IF($R118=CE$2,IF($T118=Infirmary,$S118)) + IF($U118=CE$2,IF($W118=Infirmary,$V118))</f>
        <v>0</v>
      </c>
      <c r="CF118" s="26">
        <f>IF($O118=CF$2,IF($Q118=Infirmary,2*$P118)) + IF($R118=CF$2,IF($T118=Infirmary,2*$S118)) + IF($U118=CF$2,IF($W118=Infirmary,2*$V118))</f>
        <v>0</v>
      </c>
      <c r="CG118" s="26">
        <f>IF($O118=CG$2,IF($Q118=Infirmary,2*$P118)) + IF($R118=CG$2,IF($T118=Infirmary,2*$S118)) + IF($U118=CG$2,IF($W118=Infirmary,2*$V118))</f>
        <v>0</v>
      </c>
      <c r="CH118" s="57">
        <f>IF($O118=CH$2,IF($Q118=Infirmary,12*$P118)) + IF($R118=CH$2,IF($T118=Infirmary,12*$S118)) + IF($U118=CH$2,IF($W118=Infirmary,12*$V118))</f>
        <v>0</v>
      </c>
      <c r="CJ118" s="52" t="e">
        <f>OR(Production!C118,Construction!N118:'Construction'!AF118,Construction!BV118:CN118,Explore!S118:Z118,Military!AF118:AL118,Military!X118,Military!BE118:BL118,Rezone!L118:R118,Magic!G118:Q118)</f>
        <v>#VALUE!</v>
      </c>
      <c r="CK118" s="525">
        <f>M118</f>
        <v>0</v>
      </c>
      <c r="CL118" s="525"/>
      <c r="CM118" s="555">
        <f t="shared" si="59"/>
        <v>43769.197916666388</v>
      </c>
      <c r="CN118" s="563">
        <f t="shared" si="60"/>
        <v>43769.031249999724</v>
      </c>
      <c r="CO118" s="527"/>
      <c r="CP118" s="803"/>
      <c r="CQ118" s="808"/>
    </row>
    <row r="119" spans="1:95" s="16" customFormat="1" x14ac:dyDescent="0.25">
      <c r="A119" s="511">
        <f>Construction!E119</f>
        <v>1000</v>
      </c>
      <c r="C119" s="56">
        <f ca="1">Production!H119</f>
        <v>5055155</v>
      </c>
      <c r="D119" s="26">
        <f ca="1">Production!J119</f>
        <v>282724</v>
      </c>
      <c r="E119" s="26">
        <f ca="1">Production!L119</f>
        <v>300000</v>
      </c>
      <c r="F119" s="57">
        <f ca="1">Production!M119</f>
        <v>20000</v>
      </c>
      <c r="G119" s="26"/>
      <c r="H119" s="56">
        <f ca="1">Military!Z119</f>
        <v>5295</v>
      </c>
      <c r="I119" s="538">
        <f ca="1">Population!I119</f>
        <v>1</v>
      </c>
      <c r="J119" s="165">
        <f ca="1">Population!F119/Population!U119</f>
        <v>1</v>
      </c>
      <c r="K119" s="1000">
        <f>Rezone!J119</f>
        <v>117</v>
      </c>
      <c r="L119" s="582">
        <f t="shared" si="58"/>
        <v>43769.208333333052</v>
      </c>
      <c r="M119" s="316">
        <f t="shared" si="67"/>
        <v>0</v>
      </c>
      <c r="N119" s="638">
        <f t="shared" si="46"/>
        <v>1000</v>
      </c>
      <c r="O119" s="423" t="s">
        <v>4</v>
      </c>
      <c r="P119" s="370"/>
      <c r="Q119" s="424" t="s">
        <v>223</v>
      </c>
      <c r="R119" s="423" t="s">
        <v>7</v>
      </c>
      <c r="S119" s="370"/>
      <c r="T119" s="425" t="s">
        <v>223</v>
      </c>
      <c r="U119" s="424" t="s">
        <v>3</v>
      </c>
      <c r="V119" s="370"/>
      <c r="W119" s="425" t="s">
        <v>223</v>
      </c>
      <c r="Y119" s="522">
        <f ca="1">science_cap*(1-EXP(-AH119/(science_param*($A120-Explore!$S120*20)+15000)))*(1+(mason_bonus*Construction!BB119/Construction!BS119))+IF(Overview!$B$14="Beastfolk",Construction!DA119/Construction!E119,0)*(1 + Production!O119/100*prestige_pop_multiplier)</f>
        <v>0</v>
      </c>
      <c r="Z119" s="284">
        <f ca="1">keep_cap*(1-EXP(-AI119/(keep_param*($A120-Explore!$S120*20)+15000)))*(1+(mason_bonus*Construction!BB119/Construction!BS119))+IF(Overview!$B$14="Beastfolk",Construction!DF119/Construction!E119,0)*(1 + Production!O119/100*prestige_pop_multiplier)</f>
        <v>0</v>
      </c>
      <c r="AA119" s="284">
        <f ca="1">harbor_towers_cap*(1-EXP(-AJ119/(harbor_towers_param*($A120-Explore!$S120*20)+15000)))*(1+(mason_bonus*Construction!BB119/Construction!BS119))+IF(Overview!$B$14="Beastfolk",2*Construction!DC119/Construction!E119,0)*(1 + Production!O119/100*prestige_pop_multiplier)</f>
        <v>0</v>
      </c>
      <c r="AB119" s="284">
        <f ca="1">walls_forges_cap*(1-EXP(-AK119/(walls_forges_param*($A120-Explore!$S120*20)+15000)))*(1+(mason_bonus*Construction!BB119/Construction!BS119))+IF(Overview!$B$14="Beastfolk",0.2*Construction!CY119/Construction!E119,0)</f>
        <v>0</v>
      </c>
      <c r="AC119" s="284">
        <f ca="1">walls_forges_cap*(1-EXP(-AL119/(walls_forges_param*($A120-Explore!$S120*20)+15000)))*(1+(mason_bonus*Construction!BB119/Construction!BS119))+IF(Overview!$B$14="Beastfolk",5*Construction!DB119/Construction!E119,0)</f>
        <v>0</v>
      </c>
      <c r="AD119" s="97">
        <f ca="1">harbor_towers_cap*(1-EXP(-AM119/(harbor_towers_param*($A120-Explore!$S120*20)+15000)))*(1+(mason_bonus*Construction!BB119/Construction!BS119))+IF(Overview!$B$14="Beastfolk",Construction!DE119/Construction!E119)*(1 + Production!O119/100*prestige_pop_multiplier)</f>
        <v>0</v>
      </c>
      <c r="AE119" s="97">
        <f ca="1">armory_cap*(1-EXP(-AN119/(armory_param*($A120-Explore!$S120*20)+15000)))*(1+(mason_bonus*Construction!$BB119/Construction!$BS119))</f>
        <v>0</v>
      </c>
      <c r="AF119" s="97">
        <f ca="1">infirmary_cap*(1-EXP(-AO119/(infirmary_param*($A120-Explore!$S120*20)+15000)))*(1+(mason_bonus*Construction!$BB119/Construction!$BS119))</f>
        <v>0</v>
      </c>
      <c r="AH119" s="56">
        <f ca="1">(1+Overview!$O$28+IF(Magic!BA119&gt;0,0.1,0))*SUM(AV119:AY119) + AH118</f>
        <v>0</v>
      </c>
      <c r="AI119" s="26">
        <f ca="1">(1+Overview!$O$28+IF(Magic!BA119&gt;0,0.1,0))*SUM(BA119:BD119) + AI118</f>
        <v>0</v>
      </c>
      <c r="AJ119" s="164">
        <f ca="1">(1+Overview!$O$28+IF(Magic!BA119&gt;0,0.1,0))*SUM(BF119:BI119) + AJ118</f>
        <v>0</v>
      </c>
      <c r="AK119" s="164">
        <f ca="1">(1+Overview!$O$28+IF(Magic!BA119&gt;0,0.1,0))*SUM(BK119:BN119) + AK118</f>
        <v>0</v>
      </c>
      <c r="AL119" s="164">
        <f ca="1">(1+Overview!$O$28+IF(Magic!BA119&gt;0,0.1,0))*SUM(BP119:BS119) + AL118</f>
        <v>0</v>
      </c>
      <c r="AM119" s="166">
        <f ca="1">(1+Overview!$O$28+IF(Magic!BA119&gt;0,0.1,0))*SUM(BU119:BX119) + AM118</f>
        <v>0</v>
      </c>
      <c r="AN119" s="166">
        <f ca="1">(1+Overview!$O$28+IF(Magic!BA119&gt;0,0.1,0))*SUM(BZ119:CC119)+AN118</f>
        <v>0</v>
      </c>
      <c r="AO119" s="164">
        <f ca="1">(1+Overview!$O$28+IF(Magic!BA119&gt;0,0.1,0))*SUM(CE119:CH119)+AO118</f>
        <v>0</v>
      </c>
      <c r="AQ119" s="52">
        <f t="shared" si="69"/>
        <v>0</v>
      </c>
      <c r="AR119" s="16">
        <f t="shared" si="69"/>
        <v>0</v>
      </c>
      <c r="AS119" s="16">
        <f t="shared" si="69"/>
        <v>0</v>
      </c>
      <c r="AT119" s="53">
        <f t="shared" si="69"/>
        <v>0</v>
      </c>
      <c r="AV119" s="56">
        <f t="shared" si="47"/>
        <v>0</v>
      </c>
      <c r="AW119" s="26">
        <f t="shared" si="70"/>
        <v>0</v>
      </c>
      <c r="AX119" s="26">
        <f t="shared" si="70"/>
        <v>0</v>
      </c>
      <c r="AY119" s="57">
        <f t="shared" si="48"/>
        <v>0</v>
      </c>
      <c r="BA119" s="56">
        <f t="shared" si="49"/>
        <v>0</v>
      </c>
      <c r="BB119" s="26">
        <f t="shared" si="71"/>
        <v>0</v>
      </c>
      <c r="BC119" s="26">
        <f t="shared" si="71"/>
        <v>0</v>
      </c>
      <c r="BD119" s="57">
        <f t="shared" si="50"/>
        <v>0</v>
      </c>
      <c r="BF119" s="56">
        <f t="shared" si="51"/>
        <v>0</v>
      </c>
      <c r="BG119" s="26">
        <f t="shared" si="52"/>
        <v>0</v>
      </c>
      <c r="BH119" s="26">
        <f t="shared" si="68"/>
        <v>0</v>
      </c>
      <c r="BI119" s="57">
        <f t="shared" si="53"/>
        <v>0</v>
      </c>
      <c r="BK119" s="56">
        <f t="shared" si="54"/>
        <v>0</v>
      </c>
      <c r="BL119" s="26">
        <f t="shared" si="72"/>
        <v>0</v>
      </c>
      <c r="BM119" s="26">
        <f t="shared" si="72"/>
        <v>0</v>
      </c>
      <c r="BN119" s="57">
        <f t="shared" si="55"/>
        <v>0</v>
      </c>
      <c r="BP119" s="56">
        <f t="shared" si="56"/>
        <v>0</v>
      </c>
      <c r="BQ119" s="26">
        <f t="shared" si="73"/>
        <v>0</v>
      </c>
      <c r="BR119" s="26">
        <f t="shared" si="73"/>
        <v>0</v>
      </c>
      <c r="BS119" s="57">
        <f t="shared" si="57"/>
        <v>0</v>
      </c>
      <c r="BU119" s="56">
        <f>IF($O119=BU$2,IF($Q119=$AD$2,$P119)) + IF($R119=BU$2,IF($T119=$AD$2,$S119)) + IF($U119=BU$2,IF($W119=$AD$2,$V119))</f>
        <v>0</v>
      </c>
      <c r="BV119" s="26">
        <f>IF($O119=BV$2,IF($Q119=$AD$2,2*$P119)) + IF($R119=BV$2,IF($T119=$AD$2,2*$S119)) + IF($U119=BV$2,IF($W119=$AD$2,2*$V119))</f>
        <v>0</v>
      </c>
      <c r="BW119" s="26">
        <f>IF($O119=BW$2,IF($Q119=$AD$2,2*$P119)) + IF($R119=BW$2,IF($T119=$AD$2,2*$S119)) + IF($U119=BW$2,IF($W119=$AD$2,2*$V119))</f>
        <v>0</v>
      </c>
      <c r="BX119" s="57">
        <f>IF($O119=BX$2,IF($Q119=$AD$2,12*$P119)) + IF($R119=BX$2,IF($T119=$AD$2,12*$S119)) + IF($U119=BX$2,IF($W119=$AD$2,12*$V119))</f>
        <v>0</v>
      </c>
      <c r="BZ119" s="56">
        <f>IF($O119=BZ$2,IF($Q119=Armory,$P119)) + IF($R119=BZ$2,IF($T119=Armory,$S119)) + IF($U119=BZ$2,IF($W119=Armory,$V119))</f>
        <v>0</v>
      </c>
      <c r="CA119" s="26">
        <f>IF($O119=CA$2,IF($Q119=Armory,2*$P119)) + IF($R119=CA$2,IF($T119=Armory,2*$S119)) + IF($U119=CA$2,IF($W119=Armory,2*$V119))</f>
        <v>0</v>
      </c>
      <c r="CB119" s="26">
        <f>IF($O119=CB$2,IF($Q119=Armory,2*$P119)) + IF($R119=CB$2,IF($T119=Armory,2*$S119)) + IF($U119=CB$2,IF($W119=Armory,2*$V119))</f>
        <v>0</v>
      </c>
      <c r="CC119" s="57">
        <f>IF($O119=CC$2,IF($Q119=Armory,12*$P119)) + IF($R119=CC$2,IF($T119=Armory,12*$S119)) + IF($U119=CC$2,IF($W119=Armory,12*$V119))</f>
        <v>0</v>
      </c>
      <c r="CE119" s="56">
        <f>IF($O119=CE$2,IF($Q119=Infirmary,$P119)) + IF($R119=CE$2,IF($T119=Infirmary,$S119)) + IF($U119=CE$2,IF($W119=Infirmary,$V119))</f>
        <v>0</v>
      </c>
      <c r="CF119" s="26">
        <f>IF($O119=CF$2,IF($Q119=Infirmary,2*$P119)) + IF($R119=CF$2,IF($T119=Infirmary,2*$S119)) + IF($U119=CF$2,IF($W119=Infirmary,2*$V119))</f>
        <v>0</v>
      </c>
      <c r="CG119" s="26">
        <f>IF($O119=CG$2,IF($Q119=Infirmary,2*$P119)) + IF($R119=CG$2,IF($T119=Infirmary,2*$S119)) + IF($U119=CG$2,IF($W119=Infirmary,2*$V119))</f>
        <v>0</v>
      </c>
      <c r="CH119" s="57">
        <f>IF($O119=CH$2,IF($Q119=Infirmary,12*$P119)) + IF($R119=CH$2,IF($T119=Infirmary,12*$S119)) + IF($U119=CH$2,IF($W119=Infirmary,12*$V119))</f>
        <v>0</v>
      </c>
      <c r="CJ119" s="52" t="e">
        <f>OR(Production!C119,Construction!N119:'Construction'!AF119,Construction!BV119:CN119,Explore!S119:Z119,Military!AF119:AL119,Military!X119,Military!BE119:BL119,Rezone!L119:R119,Magic!G119:Q119)</f>
        <v>#VALUE!</v>
      </c>
      <c r="CK119" s="525">
        <f>M119</f>
        <v>0</v>
      </c>
      <c r="CL119" s="525"/>
      <c r="CM119" s="555">
        <f t="shared" si="59"/>
        <v>43769.208333333052</v>
      </c>
      <c r="CN119" s="563">
        <f t="shared" si="60"/>
        <v>43769.041666666388</v>
      </c>
      <c r="CO119" s="527"/>
      <c r="CP119" s="803"/>
      <c r="CQ119" s="808"/>
    </row>
    <row r="120" spans="1:95" s="16" customFormat="1" x14ac:dyDescent="0.25">
      <c r="A120" s="511">
        <f>Construction!E120</f>
        <v>1000</v>
      </c>
      <c r="C120" s="56">
        <f ca="1">Production!H120</f>
        <v>5060136</v>
      </c>
      <c r="D120" s="26">
        <f ca="1">Production!J120</f>
        <v>282397</v>
      </c>
      <c r="E120" s="26">
        <f ca="1">Production!L120</f>
        <v>300000</v>
      </c>
      <c r="F120" s="57">
        <f ca="1">Production!M120</f>
        <v>20000</v>
      </c>
      <c r="G120" s="26"/>
      <c r="H120" s="56">
        <f ca="1">Military!Z120</f>
        <v>5295</v>
      </c>
      <c r="I120" s="538">
        <f ca="1">Population!I120</f>
        <v>1</v>
      </c>
      <c r="J120" s="165">
        <f ca="1">Population!F120/Population!U120</f>
        <v>1</v>
      </c>
      <c r="K120" s="1000">
        <f>Rezone!J120</f>
        <v>118</v>
      </c>
      <c r="L120" s="582">
        <f t="shared" si="58"/>
        <v>43769.218749999716</v>
      </c>
      <c r="M120" s="316">
        <f t="shared" si="67"/>
        <v>0</v>
      </c>
      <c r="N120" s="638">
        <f t="shared" si="46"/>
        <v>1000</v>
      </c>
      <c r="O120" s="423" t="s">
        <v>4</v>
      </c>
      <c r="P120" s="370"/>
      <c r="Q120" s="424" t="s">
        <v>223</v>
      </c>
      <c r="R120" s="406" t="s">
        <v>7</v>
      </c>
      <c r="S120" s="370"/>
      <c r="T120" s="425" t="s">
        <v>223</v>
      </c>
      <c r="U120" s="424" t="s">
        <v>3</v>
      </c>
      <c r="V120" s="370"/>
      <c r="W120" s="425" t="s">
        <v>223</v>
      </c>
      <c r="Y120" s="522">
        <f ca="1">science_cap*(1-EXP(-AH120/(science_param*($A121-Explore!$S121*20)+15000)))*(1+(mason_bonus*Construction!BB120/Construction!BS120))+IF(Overview!$B$14="Beastfolk",Construction!DA120/Construction!E120,0)*(1 + Production!O120/100*prestige_pop_multiplier)</f>
        <v>0</v>
      </c>
      <c r="Z120" s="284">
        <f ca="1">keep_cap*(1-EXP(-AI120/(keep_param*($A121-Explore!$S121*20)+15000)))*(1+(mason_bonus*Construction!BB120/Construction!BS120))+IF(Overview!$B$14="Beastfolk",Construction!DF120/Construction!E120,0)*(1 + Production!O120/100*prestige_pop_multiplier)</f>
        <v>0</v>
      </c>
      <c r="AA120" s="284">
        <f ca="1">harbor_towers_cap*(1-EXP(-AJ120/(harbor_towers_param*($A121-Explore!$S121*20)+15000)))*(1+(mason_bonus*Construction!BB120/Construction!BS120))+IF(Overview!$B$14="Beastfolk",2*Construction!DC120/Construction!E120,0)*(1 + Production!O120/100*prestige_pop_multiplier)</f>
        <v>0</v>
      </c>
      <c r="AB120" s="284">
        <f ca="1">walls_forges_cap*(1-EXP(-AK120/(walls_forges_param*($A121-Explore!$S121*20)+15000)))*(1+(mason_bonus*Construction!BB120/Construction!BS120))+IF(Overview!$B$14="Beastfolk",0.2*Construction!CY120/Construction!E120,0)</f>
        <v>0</v>
      </c>
      <c r="AC120" s="284">
        <f ca="1">walls_forges_cap*(1-EXP(-AL120/(walls_forges_param*($A121-Explore!$S121*20)+15000)))*(1+(mason_bonus*Construction!BB120/Construction!BS120))+IF(Overview!$B$14="Beastfolk",5*Construction!DB120/Construction!E120,0)</f>
        <v>0</v>
      </c>
      <c r="AD120" s="97">
        <f ca="1">harbor_towers_cap*(1-EXP(-AM120/(harbor_towers_param*($A121-Explore!$S121*20)+15000)))*(1+(mason_bonus*Construction!BB120/Construction!BS120))+IF(Overview!$B$14="Beastfolk",Construction!DE120/Construction!E120)*(1 + Production!O120/100*prestige_pop_multiplier)</f>
        <v>0</v>
      </c>
      <c r="AE120" s="97">
        <f ca="1">armory_cap*(1-EXP(-AN120/(armory_param*($A121-Explore!$S121*20)+15000)))*(1+(mason_bonus*Construction!$BB120/Construction!$BS120))</f>
        <v>0</v>
      </c>
      <c r="AF120" s="97">
        <f ca="1">infirmary_cap*(1-EXP(-AO120/(infirmary_param*($A121-Explore!$S121*20)+15000)))*(1+(mason_bonus*Construction!$BB120/Construction!$BS120))</f>
        <v>0</v>
      </c>
      <c r="AH120" s="56">
        <f ca="1">(1+Overview!$O$28+IF(Magic!BA120&gt;0,0.1,0))*SUM(AV120:AY120) + AH119</f>
        <v>0</v>
      </c>
      <c r="AI120" s="26">
        <f ca="1">(1+Overview!$O$28+IF(Magic!BA120&gt;0,0.1,0))*SUM(BA120:BD120) + AI119</f>
        <v>0</v>
      </c>
      <c r="AJ120" s="164">
        <f ca="1">(1+Overview!$O$28+IF(Magic!BA120&gt;0,0.1,0))*SUM(BF120:BI120) + AJ119</f>
        <v>0</v>
      </c>
      <c r="AK120" s="164">
        <f ca="1">(1+Overview!$O$28+IF(Magic!BA120&gt;0,0.1,0))*SUM(BK120:BN120) + AK119</f>
        <v>0</v>
      </c>
      <c r="AL120" s="164">
        <f ca="1">(1+Overview!$O$28+IF(Magic!BA120&gt;0,0.1,0))*SUM(BP120:BS120) + AL119</f>
        <v>0</v>
      </c>
      <c r="AM120" s="166">
        <f ca="1">(1+Overview!$O$28+IF(Magic!BA120&gt;0,0.1,0))*SUM(BU120:BX120) + AM119</f>
        <v>0</v>
      </c>
      <c r="AN120" s="166">
        <f ca="1">(1+Overview!$O$28+IF(Magic!BA120&gt;0,0.1,0))*SUM(BZ120:CC120)+AN119</f>
        <v>0</v>
      </c>
      <c r="AO120" s="164">
        <f ca="1">(1+Overview!$O$28+IF(Magic!BA120&gt;0,0.1,0))*SUM(CE120:CH120)+AO119</f>
        <v>0</v>
      </c>
      <c r="AQ120" s="52">
        <f t="shared" si="69"/>
        <v>0</v>
      </c>
      <c r="AR120" s="16">
        <f t="shared" si="69"/>
        <v>0</v>
      </c>
      <c r="AS120" s="16">
        <f t="shared" si="69"/>
        <v>0</v>
      </c>
      <c r="AT120" s="53">
        <f t="shared" si="69"/>
        <v>0</v>
      </c>
      <c r="AV120" s="56">
        <f t="shared" si="47"/>
        <v>0</v>
      </c>
      <c r="AW120" s="26">
        <f t="shared" si="70"/>
        <v>0</v>
      </c>
      <c r="AX120" s="26">
        <f t="shared" si="70"/>
        <v>0</v>
      </c>
      <c r="AY120" s="57">
        <f t="shared" si="48"/>
        <v>0</v>
      </c>
      <c r="BA120" s="56">
        <f t="shared" si="49"/>
        <v>0</v>
      </c>
      <c r="BB120" s="26">
        <f t="shared" si="71"/>
        <v>0</v>
      </c>
      <c r="BC120" s="26">
        <f t="shared" si="71"/>
        <v>0</v>
      </c>
      <c r="BD120" s="57">
        <f t="shared" si="50"/>
        <v>0</v>
      </c>
      <c r="BF120" s="56">
        <f t="shared" si="51"/>
        <v>0</v>
      </c>
      <c r="BG120" s="26">
        <f t="shared" si="52"/>
        <v>0</v>
      </c>
      <c r="BH120" s="26">
        <f t="shared" si="68"/>
        <v>0</v>
      </c>
      <c r="BI120" s="57">
        <f t="shared" si="53"/>
        <v>0</v>
      </c>
      <c r="BK120" s="56">
        <f t="shared" si="54"/>
        <v>0</v>
      </c>
      <c r="BL120" s="26">
        <f t="shared" si="72"/>
        <v>0</v>
      </c>
      <c r="BM120" s="26">
        <f t="shared" si="72"/>
        <v>0</v>
      </c>
      <c r="BN120" s="57">
        <f t="shared" si="55"/>
        <v>0</v>
      </c>
      <c r="BP120" s="56">
        <f t="shared" si="56"/>
        <v>0</v>
      </c>
      <c r="BQ120" s="26">
        <f t="shared" si="73"/>
        <v>0</v>
      </c>
      <c r="BR120" s="26">
        <f t="shared" si="73"/>
        <v>0</v>
      </c>
      <c r="BS120" s="57">
        <f t="shared" si="57"/>
        <v>0</v>
      </c>
      <c r="BU120" s="56">
        <f>IF($O120=BU$2,IF($Q120=$AD$2,$P120)) + IF($R120=BU$2,IF($T120=$AD$2,$S120)) + IF($U120=BU$2,IF($W120=$AD$2,$V120))</f>
        <v>0</v>
      </c>
      <c r="BV120" s="26">
        <f>IF($O120=BV$2,IF($Q120=$AD$2,2*$P120)) + IF($R120=BV$2,IF($T120=$AD$2,2*$S120)) + IF($U120=BV$2,IF($W120=$AD$2,2*$V120))</f>
        <v>0</v>
      </c>
      <c r="BW120" s="26">
        <f>IF($O120=BW$2,IF($Q120=$AD$2,2*$P120)) + IF($R120=BW$2,IF($T120=$AD$2,2*$S120)) + IF($U120=BW$2,IF($W120=$AD$2,2*$V120))</f>
        <v>0</v>
      </c>
      <c r="BX120" s="57">
        <f>IF($O120=BX$2,IF($Q120=$AD$2,12*$P120)) + IF($R120=BX$2,IF($T120=$AD$2,12*$S120)) + IF($U120=BX$2,IF($W120=$AD$2,12*$V120))</f>
        <v>0</v>
      </c>
      <c r="BZ120" s="56">
        <f>IF($O120=BZ$2,IF($Q120=Armory,$P120)) + IF($R120=BZ$2,IF($T120=Armory,$S120)) + IF($U120=BZ$2,IF($W120=Armory,$V120))</f>
        <v>0</v>
      </c>
      <c r="CA120" s="26">
        <f>IF($O120=CA$2,IF($Q120=Armory,2*$P120)) + IF($R120=CA$2,IF($T120=Armory,2*$S120)) + IF($U120=CA$2,IF($W120=Armory,2*$V120))</f>
        <v>0</v>
      </c>
      <c r="CB120" s="26">
        <f>IF($O120=CB$2,IF($Q120=Armory,2*$P120)) + IF($R120=CB$2,IF($T120=Armory,2*$S120)) + IF($U120=CB$2,IF($W120=Armory,2*$V120))</f>
        <v>0</v>
      </c>
      <c r="CC120" s="57">
        <f>IF($O120=CC$2,IF($Q120=Armory,12*$P120)) + IF($R120=CC$2,IF($T120=Armory,12*$S120)) + IF($U120=CC$2,IF($W120=Armory,12*$V120))</f>
        <v>0</v>
      </c>
      <c r="CE120" s="56">
        <f>IF($O120=CE$2,IF($Q120=Infirmary,$P120)) + IF($R120=CE$2,IF($T120=Infirmary,$S120)) + IF($U120=CE$2,IF($W120=Infirmary,$V120))</f>
        <v>0</v>
      </c>
      <c r="CF120" s="26">
        <f>IF($O120=CF$2,IF($Q120=Infirmary,2*$P120)) + IF($R120=CF$2,IF($T120=Infirmary,2*$S120)) + IF($U120=CF$2,IF($W120=Infirmary,2*$V120))</f>
        <v>0</v>
      </c>
      <c r="CG120" s="26">
        <f>IF($O120=CG$2,IF($Q120=Infirmary,2*$P120)) + IF($R120=CG$2,IF($T120=Infirmary,2*$S120)) + IF($U120=CG$2,IF($W120=Infirmary,2*$V120))</f>
        <v>0</v>
      </c>
      <c r="CH120" s="57">
        <f>IF($O120=CH$2,IF($Q120=Infirmary,12*$P120)) + IF($R120=CH$2,IF($T120=Infirmary,12*$S120)) + IF($U120=CH$2,IF($W120=Infirmary,12*$V120))</f>
        <v>0</v>
      </c>
      <c r="CJ120" s="52" t="e">
        <f>OR(Production!C120,Construction!N120:'Construction'!AF120,Construction!BV120:CN120,Explore!S120:Z120,Military!AF120:AL120,Military!X120,Military!BE120:BL120,Rezone!L120:R120,Magic!G120:Q120)</f>
        <v>#VALUE!</v>
      </c>
      <c r="CK120" s="525">
        <f>M120</f>
        <v>0</v>
      </c>
      <c r="CL120" s="525"/>
      <c r="CM120" s="555">
        <f t="shared" si="59"/>
        <v>43769.218749999716</v>
      </c>
      <c r="CN120" s="563">
        <f t="shared" si="60"/>
        <v>43769.052083333052</v>
      </c>
      <c r="CO120" s="527"/>
      <c r="CP120" s="803"/>
      <c r="CQ120" s="808"/>
    </row>
    <row r="121" spans="1:95" s="16" customFormat="1" x14ac:dyDescent="0.25">
      <c r="A121" s="511">
        <f>Construction!E121</f>
        <v>1000</v>
      </c>
      <c r="C121" s="56">
        <f ca="1">Production!H121</f>
        <v>5065117</v>
      </c>
      <c r="D121" s="26">
        <f ca="1">Production!J121</f>
        <v>282073</v>
      </c>
      <c r="E121" s="26">
        <f ca="1">Production!L121</f>
        <v>300000</v>
      </c>
      <c r="F121" s="57">
        <f ca="1">Production!M121</f>
        <v>20000</v>
      </c>
      <c r="G121" s="26"/>
      <c r="H121" s="56">
        <f ca="1">Military!Z121</f>
        <v>5295</v>
      </c>
      <c r="I121" s="538">
        <f ca="1">Population!I121</f>
        <v>1</v>
      </c>
      <c r="J121" s="165">
        <f ca="1">Population!F121/Population!U121</f>
        <v>1</v>
      </c>
      <c r="K121" s="1000">
        <f>Rezone!J121</f>
        <v>119</v>
      </c>
      <c r="L121" s="582">
        <f t="shared" si="58"/>
        <v>43769.22916666638</v>
      </c>
      <c r="M121" s="316">
        <f t="shared" si="67"/>
        <v>0</v>
      </c>
      <c r="N121" s="638">
        <f t="shared" si="46"/>
        <v>1000</v>
      </c>
      <c r="O121" s="423" t="s">
        <v>4</v>
      </c>
      <c r="P121" s="370"/>
      <c r="Q121" s="424" t="s">
        <v>223</v>
      </c>
      <c r="R121" s="423" t="s">
        <v>7</v>
      </c>
      <c r="S121" s="370"/>
      <c r="T121" s="425" t="s">
        <v>223</v>
      </c>
      <c r="U121" s="424" t="s">
        <v>3</v>
      </c>
      <c r="V121" s="370"/>
      <c r="W121" s="425" t="s">
        <v>223</v>
      </c>
      <c r="Y121" s="522">
        <f ca="1">science_cap*(1-EXP(-AH121/(science_param*($A122-Explore!$S122*20)+15000)))*(1+(mason_bonus*Construction!BB121/Construction!BS121))+IF(Overview!$B$14="Beastfolk",Construction!DA121/Construction!E121,0)*(1 + Production!O121/100*prestige_pop_multiplier)</f>
        <v>0</v>
      </c>
      <c r="Z121" s="284">
        <f ca="1">keep_cap*(1-EXP(-AI121/(keep_param*($A122-Explore!$S122*20)+15000)))*(1+(mason_bonus*Construction!BB121/Construction!BS121))+IF(Overview!$B$14="Beastfolk",Construction!DF121/Construction!E121,0)*(1 + Production!O121/100*prestige_pop_multiplier)</f>
        <v>0</v>
      </c>
      <c r="AA121" s="284">
        <f ca="1">harbor_towers_cap*(1-EXP(-AJ121/(harbor_towers_param*($A122-Explore!$S122*20)+15000)))*(1+(mason_bonus*Construction!BB121/Construction!BS121))+IF(Overview!$B$14="Beastfolk",2*Construction!DC121/Construction!E121,0)*(1 + Production!O121/100*prestige_pop_multiplier)</f>
        <v>0</v>
      </c>
      <c r="AB121" s="284">
        <f ca="1">walls_forges_cap*(1-EXP(-AK121/(walls_forges_param*($A122-Explore!$S122*20)+15000)))*(1+(mason_bonus*Construction!BB121/Construction!BS121))+IF(Overview!$B$14="Beastfolk",0.2*Construction!CY121/Construction!E121,0)</f>
        <v>0</v>
      </c>
      <c r="AC121" s="284">
        <f ca="1">walls_forges_cap*(1-EXP(-AL121/(walls_forges_param*($A122-Explore!$S122*20)+15000)))*(1+(mason_bonus*Construction!BB121/Construction!BS121))+IF(Overview!$B$14="Beastfolk",5*Construction!DB121/Construction!E121,0)</f>
        <v>0</v>
      </c>
      <c r="AD121" s="97">
        <f ca="1">harbor_towers_cap*(1-EXP(-AM121/(harbor_towers_param*($A122-Explore!$S122*20)+15000)))*(1+(mason_bonus*Construction!BB121/Construction!BS121))+IF(Overview!$B$14="Beastfolk",Construction!DE121/Construction!E121)*(1 + Production!O121/100*prestige_pop_multiplier)</f>
        <v>0</v>
      </c>
      <c r="AE121" s="97">
        <f ca="1">armory_cap*(1-EXP(-AN121/(armory_param*($A122-Explore!$S122*20)+15000)))*(1+(mason_bonus*Construction!$BB121/Construction!$BS121))</f>
        <v>0</v>
      </c>
      <c r="AF121" s="97">
        <f ca="1">infirmary_cap*(1-EXP(-AO121/(infirmary_param*($A122-Explore!$S122*20)+15000)))*(1+(mason_bonus*Construction!$BB121/Construction!$BS121))</f>
        <v>0</v>
      </c>
      <c r="AH121" s="56">
        <f ca="1">(1+Overview!$O$28+IF(Magic!BA121&gt;0,0.1,0))*SUM(AV121:AY121) + AH120</f>
        <v>0</v>
      </c>
      <c r="AI121" s="26">
        <f ca="1">(1+Overview!$O$28+IF(Magic!BA121&gt;0,0.1,0))*SUM(BA121:BD121) + AI120</f>
        <v>0</v>
      </c>
      <c r="AJ121" s="164">
        <f ca="1">(1+Overview!$O$28+IF(Magic!BA121&gt;0,0.1,0))*SUM(BF121:BI121) + AJ120</f>
        <v>0</v>
      </c>
      <c r="AK121" s="164">
        <f ca="1">(1+Overview!$O$28+IF(Magic!BA121&gt;0,0.1,0))*SUM(BK121:BN121) + AK120</f>
        <v>0</v>
      </c>
      <c r="AL121" s="164">
        <f ca="1">(1+Overview!$O$28+IF(Magic!BA121&gt;0,0.1,0))*SUM(BP121:BS121) + AL120</f>
        <v>0</v>
      </c>
      <c r="AM121" s="166">
        <f ca="1">(1+Overview!$O$28+IF(Magic!BA121&gt;0,0.1,0))*SUM(BU121:BX121) + AM120</f>
        <v>0</v>
      </c>
      <c r="AN121" s="166">
        <f ca="1">(1+Overview!$O$28+IF(Magic!BA121&gt;0,0.1,0))*SUM(BZ121:CC121)+AN120</f>
        <v>0</v>
      </c>
      <c r="AO121" s="164">
        <f ca="1">(1+Overview!$O$28+IF(Magic!BA121&gt;0,0.1,0))*SUM(CE121:CH121)+AO120</f>
        <v>0</v>
      </c>
      <c r="AQ121" s="52">
        <f t="shared" si="69"/>
        <v>0</v>
      </c>
      <c r="AR121" s="16">
        <f t="shared" si="69"/>
        <v>0</v>
      </c>
      <c r="AS121" s="16">
        <f t="shared" si="69"/>
        <v>0</v>
      </c>
      <c r="AT121" s="53">
        <f t="shared" si="69"/>
        <v>0</v>
      </c>
      <c r="AV121" s="56">
        <f t="shared" si="47"/>
        <v>0</v>
      </c>
      <c r="AW121" s="26">
        <f t="shared" si="70"/>
        <v>0</v>
      </c>
      <c r="AX121" s="26">
        <f t="shared" si="70"/>
        <v>0</v>
      </c>
      <c r="AY121" s="57">
        <f t="shared" si="48"/>
        <v>0</v>
      </c>
      <c r="BA121" s="56">
        <f t="shared" si="49"/>
        <v>0</v>
      </c>
      <c r="BB121" s="26">
        <f t="shared" si="71"/>
        <v>0</v>
      </c>
      <c r="BC121" s="26">
        <f t="shared" si="71"/>
        <v>0</v>
      </c>
      <c r="BD121" s="57">
        <f t="shared" si="50"/>
        <v>0</v>
      </c>
      <c r="BF121" s="56">
        <f t="shared" si="51"/>
        <v>0</v>
      </c>
      <c r="BG121" s="26">
        <f t="shared" si="52"/>
        <v>0</v>
      </c>
      <c r="BH121" s="26">
        <f t="shared" si="68"/>
        <v>0</v>
      </c>
      <c r="BI121" s="57">
        <f t="shared" si="53"/>
        <v>0</v>
      </c>
      <c r="BK121" s="56">
        <f t="shared" si="54"/>
        <v>0</v>
      </c>
      <c r="BL121" s="26">
        <f t="shared" si="72"/>
        <v>0</v>
      </c>
      <c r="BM121" s="26">
        <f t="shared" si="72"/>
        <v>0</v>
      </c>
      <c r="BN121" s="57">
        <f t="shared" si="55"/>
        <v>0</v>
      </c>
      <c r="BP121" s="56">
        <f t="shared" si="56"/>
        <v>0</v>
      </c>
      <c r="BQ121" s="26">
        <f t="shared" si="73"/>
        <v>0</v>
      </c>
      <c r="BR121" s="26">
        <f t="shared" si="73"/>
        <v>0</v>
      </c>
      <c r="BS121" s="57">
        <f t="shared" si="57"/>
        <v>0</v>
      </c>
      <c r="BU121" s="56">
        <f>IF($O121=BU$2,IF($Q121=$AD$2,$P121)) + IF($R121=BU$2,IF($T121=$AD$2,$S121)) + IF($U121=BU$2,IF($W121=$AD$2,$V121))</f>
        <v>0</v>
      </c>
      <c r="BV121" s="26">
        <f>IF($O121=BV$2,IF($Q121=$AD$2,2*$P121)) + IF($R121=BV$2,IF($T121=$AD$2,2*$S121)) + IF($U121=BV$2,IF($W121=$AD$2,2*$V121))</f>
        <v>0</v>
      </c>
      <c r="BW121" s="26">
        <f>IF($O121=BW$2,IF($Q121=$AD$2,2*$P121)) + IF($R121=BW$2,IF($T121=$AD$2,2*$S121)) + IF($U121=BW$2,IF($W121=$AD$2,2*$V121))</f>
        <v>0</v>
      </c>
      <c r="BX121" s="57">
        <f>IF($O121=BX$2,IF($Q121=$AD$2,12*$P121)) + IF($R121=BX$2,IF($T121=$AD$2,12*$S121)) + IF($U121=BX$2,IF($W121=$AD$2,12*$V121))</f>
        <v>0</v>
      </c>
      <c r="BZ121" s="56">
        <f>IF($O121=BZ$2,IF($Q121=Armory,$P121)) + IF($R121=BZ$2,IF($T121=Armory,$S121)) + IF($U121=BZ$2,IF($W121=Armory,$V121))</f>
        <v>0</v>
      </c>
      <c r="CA121" s="26">
        <f>IF($O121=CA$2,IF($Q121=Armory,2*$P121)) + IF($R121=CA$2,IF($T121=Armory,2*$S121)) + IF($U121=CA$2,IF($W121=Armory,2*$V121))</f>
        <v>0</v>
      </c>
      <c r="CB121" s="26">
        <f>IF($O121=CB$2,IF($Q121=Armory,2*$P121)) + IF($R121=CB$2,IF($T121=Armory,2*$S121)) + IF($U121=CB$2,IF($W121=Armory,2*$V121))</f>
        <v>0</v>
      </c>
      <c r="CC121" s="57">
        <f>IF($O121=CC$2,IF($Q121=Armory,12*$P121)) + IF($R121=CC$2,IF($T121=Armory,12*$S121)) + IF($U121=CC$2,IF($W121=Armory,12*$V121))</f>
        <v>0</v>
      </c>
      <c r="CE121" s="56">
        <f>IF($O121=CE$2,IF($Q121=Infirmary,$P121)) + IF($R121=CE$2,IF($T121=Infirmary,$S121)) + IF($U121=CE$2,IF($W121=Infirmary,$V121))</f>
        <v>0</v>
      </c>
      <c r="CF121" s="26">
        <f>IF($O121=CF$2,IF($Q121=Infirmary,2*$P121)) + IF($R121=CF$2,IF($T121=Infirmary,2*$S121)) + IF($U121=CF$2,IF($W121=Infirmary,2*$V121))</f>
        <v>0</v>
      </c>
      <c r="CG121" s="26">
        <f>IF($O121=CG$2,IF($Q121=Infirmary,2*$P121)) + IF($R121=CG$2,IF($T121=Infirmary,2*$S121)) + IF($U121=CG$2,IF($W121=Infirmary,2*$V121))</f>
        <v>0</v>
      </c>
      <c r="CH121" s="57">
        <f>IF($O121=CH$2,IF($Q121=Infirmary,12*$P121)) + IF($R121=CH$2,IF($T121=Infirmary,12*$S121)) + IF($U121=CH$2,IF($W121=Infirmary,12*$V121))</f>
        <v>0</v>
      </c>
      <c r="CJ121" s="52" t="e">
        <f>OR(Production!C121,Construction!N121:'Construction'!AF121,Construction!BV121:CN121,Explore!S121:Z121,Military!AF121:AL121,Military!X121,Military!BE121:BL121,Rezone!L121:R121,Magic!G121:Q121)</f>
        <v>#VALUE!</v>
      </c>
      <c r="CK121" s="525">
        <f>M121</f>
        <v>0</v>
      </c>
      <c r="CL121" s="525"/>
      <c r="CM121" s="555">
        <f t="shared" si="59"/>
        <v>43769.22916666638</v>
      </c>
      <c r="CN121" s="563">
        <f t="shared" si="60"/>
        <v>43769.062499999716</v>
      </c>
      <c r="CO121" s="527"/>
      <c r="CP121" s="803"/>
      <c r="CQ121" s="808"/>
    </row>
    <row r="122" spans="1:95" s="16" customFormat="1" ht="13.8" thickBot="1" x14ac:dyDescent="0.3">
      <c r="A122" s="511">
        <f>Construction!E122</f>
        <v>1000</v>
      </c>
      <c r="C122" s="56">
        <f ca="1">Production!H122</f>
        <v>5070098</v>
      </c>
      <c r="D122" s="26">
        <f ca="1">Production!J122</f>
        <v>281752</v>
      </c>
      <c r="E122" s="26">
        <f ca="1">Production!L122</f>
        <v>300000</v>
      </c>
      <c r="F122" s="57">
        <f ca="1">Production!M122</f>
        <v>20000</v>
      </c>
      <c r="G122" s="26"/>
      <c r="H122" s="56">
        <f ca="1">Military!Z122</f>
        <v>5295</v>
      </c>
      <c r="I122" s="538">
        <f ca="1">Population!I122</f>
        <v>1</v>
      </c>
      <c r="J122" s="165">
        <f ca="1">Population!F122/Population!U122</f>
        <v>1</v>
      </c>
      <c r="K122" s="1000">
        <f>Rezone!J122</f>
        <v>120</v>
      </c>
      <c r="L122" s="582">
        <f t="shared" si="58"/>
        <v>43769.239583333045</v>
      </c>
      <c r="M122" s="316">
        <f t="shared" si="67"/>
        <v>0</v>
      </c>
      <c r="N122" s="638">
        <f t="shared" si="46"/>
        <v>1000</v>
      </c>
      <c r="O122" s="423" t="s">
        <v>4</v>
      </c>
      <c r="P122" s="370"/>
      <c r="Q122" s="424" t="s">
        <v>223</v>
      </c>
      <c r="R122" s="423" t="s">
        <v>7</v>
      </c>
      <c r="S122" s="370"/>
      <c r="T122" s="425" t="s">
        <v>223</v>
      </c>
      <c r="U122" s="424" t="s">
        <v>3</v>
      </c>
      <c r="V122" s="370"/>
      <c r="W122" s="425" t="s">
        <v>223</v>
      </c>
      <c r="Y122" s="522">
        <f ca="1">science_cap*(1-EXP(-AH122/(science_param*($A123-Explore!$S123*20)+15000)))*(1+(mason_bonus*Construction!BB122/Construction!BS122))+IF(Overview!$B$14="Beastfolk",Construction!DA122/Construction!E122,0)*(1 + Production!O122/100*prestige_pop_multiplier)</f>
        <v>0</v>
      </c>
      <c r="Z122" s="284">
        <f ca="1">keep_cap*(1-EXP(-AI122/(keep_param*($A123-Explore!$S123*20)+15000)))*(1+(mason_bonus*Construction!BB122/Construction!BS122))+IF(Overview!$B$14="Beastfolk",Construction!DF122/Construction!E122,0)*(1 + Production!O122/100*prestige_pop_multiplier)</f>
        <v>0</v>
      </c>
      <c r="AA122" s="284">
        <f ca="1">harbor_towers_cap*(1-EXP(-AJ122/(harbor_towers_param*($A123-Explore!$S123*20)+15000)))*(1+(mason_bonus*Construction!BB122/Construction!BS122))+IF(Overview!$B$14="Beastfolk",2*Construction!DC122/Construction!E122,0)*(1 + Production!O122/100*prestige_pop_multiplier)</f>
        <v>0</v>
      </c>
      <c r="AB122" s="284">
        <f ca="1">walls_forges_cap*(1-EXP(-AK122/(walls_forges_param*($A123-Explore!$S123*20)+15000)))*(1+(mason_bonus*Construction!BB122/Construction!BS122))+IF(Overview!$B$14="Beastfolk",0.2*Construction!CY122/Construction!E122,0)</f>
        <v>0</v>
      </c>
      <c r="AC122" s="284">
        <f ca="1">walls_forges_cap*(1-EXP(-AL122/(walls_forges_param*($A123-Explore!$S123*20)+15000)))*(1+(mason_bonus*Construction!BB122/Construction!BS122))+IF(Overview!$B$14="Beastfolk",5*Construction!DB122/Construction!E122,0)</f>
        <v>0</v>
      </c>
      <c r="AD122" s="97">
        <f ca="1">harbor_towers_cap*(1-EXP(-AM122/(harbor_towers_param*($A123-Explore!$S123*20)+15000)))*(1+(mason_bonus*Construction!BB122/Construction!BS122))+IF(Overview!$B$14="Beastfolk",Construction!DE122/Construction!E122)*(1 + Production!O122/100*prestige_pop_multiplier)</f>
        <v>0</v>
      </c>
      <c r="AE122" s="97">
        <f ca="1">armory_cap*(1-EXP(-AN122/(armory_param*($A123-Explore!$S123*20)+15000)))*(1+(mason_bonus*Construction!$BB122/Construction!$BS122))</f>
        <v>0</v>
      </c>
      <c r="AF122" s="97">
        <f ca="1">infirmary_cap*(1-EXP(-AO122/(infirmary_param*($A123-Explore!$S123*20)+15000)))*(1+(mason_bonus*Construction!$BB122/Construction!$BS122))</f>
        <v>0</v>
      </c>
      <c r="AH122" s="56">
        <f ca="1">(1+Overview!$O$28+IF(Magic!BA122&gt;0,0.1,0))*SUM(AV122:AY122) + AH121</f>
        <v>0</v>
      </c>
      <c r="AI122" s="26">
        <f ca="1">(1+Overview!$O$28+IF(Magic!BA122&gt;0,0.1,0))*SUM(BA122:BD122) + AI121</f>
        <v>0</v>
      </c>
      <c r="AJ122" s="164">
        <f ca="1">(1+Overview!$O$28+IF(Magic!BA122&gt;0,0.1,0))*SUM(BF122:BI122) + AJ121</f>
        <v>0</v>
      </c>
      <c r="AK122" s="164">
        <f ca="1">(1+Overview!$O$28+IF(Magic!BA122&gt;0,0.1,0))*SUM(BK122:BN122) + AK121</f>
        <v>0</v>
      </c>
      <c r="AL122" s="164">
        <f ca="1">(1+Overview!$O$28+IF(Magic!BA122&gt;0,0.1,0))*SUM(BP122:BS122) + AL121</f>
        <v>0</v>
      </c>
      <c r="AM122" s="166">
        <f ca="1">(1+Overview!$O$28+IF(Magic!BA122&gt;0,0.1,0))*SUM(BU122:BX122) + AM121</f>
        <v>0</v>
      </c>
      <c r="AN122" s="166">
        <f ca="1">(1+Overview!$O$28+IF(Magic!BA122&gt;0,0.1,0))*SUM(BZ122:CC122)+AN121</f>
        <v>0</v>
      </c>
      <c r="AO122" s="164">
        <f ca="1">(1+Overview!$O$28+IF(Magic!BA122&gt;0,0.1,0))*SUM(CE122:CH122)+AO121</f>
        <v>0</v>
      </c>
      <c r="AQ122" s="52">
        <f t="shared" si="69"/>
        <v>0</v>
      </c>
      <c r="AR122" s="16">
        <f t="shared" si="69"/>
        <v>0</v>
      </c>
      <c r="AS122" s="16">
        <f t="shared" si="69"/>
        <v>0</v>
      </c>
      <c r="AT122" s="53">
        <f t="shared" si="69"/>
        <v>0</v>
      </c>
      <c r="AV122" s="56">
        <f t="shared" si="47"/>
        <v>0</v>
      </c>
      <c r="AW122" s="26">
        <f t="shared" si="70"/>
        <v>0</v>
      </c>
      <c r="AX122" s="26">
        <f t="shared" si="70"/>
        <v>0</v>
      </c>
      <c r="AY122" s="57">
        <f t="shared" si="48"/>
        <v>0</v>
      </c>
      <c r="BA122" s="56">
        <f t="shared" si="49"/>
        <v>0</v>
      </c>
      <c r="BB122" s="26">
        <f t="shared" si="71"/>
        <v>0</v>
      </c>
      <c r="BC122" s="26">
        <f t="shared" si="71"/>
        <v>0</v>
      </c>
      <c r="BD122" s="57">
        <f t="shared" si="50"/>
        <v>0</v>
      </c>
      <c r="BF122" s="56">
        <f t="shared" si="51"/>
        <v>0</v>
      </c>
      <c r="BG122" s="26">
        <f t="shared" si="52"/>
        <v>0</v>
      </c>
      <c r="BH122" s="26">
        <f t="shared" si="68"/>
        <v>0</v>
      </c>
      <c r="BI122" s="57">
        <f t="shared" si="53"/>
        <v>0</v>
      </c>
      <c r="BK122" s="56">
        <f t="shared" si="54"/>
        <v>0</v>
      </c>
      <c r="BL122" s="26">
        <f t="shared" si="72"/>
        <v>0</v>
      </c>
      <c r="BM122" s="26">
        <f t="shared" si="72"/>
        <v>0</v>
      </c>
      <c r="BN122" s="57">
        <f t="shared" si="55"/>
        <v>0</v>
      </c>
      <c r="BP122" s="56">
        <f t="shared" si="56"/>
        <v>0</v>
      </c>
      <c r="BQ122" s="26">
        <f t="shared" si="73"/>
        <v>0</v>
      </c>
      <c r="BR122" s="26">
        <f t="shared" si="73"/>
        <v>0</v>
      </c>
      <c r="BS122" s="57">
        <f t="shared" si="57"/>
        <v>0</v>
      </c>
      <c r="BU122" s="56">
        <f>IF($O122=BU$2,IF($Q122=$AD$2,$P122)) + IF($R122=BU$2,IF($T122=$AD$2,$S122)) + IF($U122=BU$2,IF($W122=$AD$2,$V122))</f>
        <v>0</v>
      </c>
      <c r="BV122" s="26">
        <f>IF($O122=BV$2,IF($Q122=$AD$2,2*$P122)) + IF($R122=BV$2,IF($T122=$AD$2,2*$S122)) + IF($U122=BV$2,IF($W122=$AD$2,2*$V122))</f>
        <v>0</v>
      </c>
      <c r="BW122" s="26">
        <f>IF($O122=BW$2,IF($Q122=$AD$2,2*$P122)) + IF($R122=BW$2,IF($T122=$AD$2,2*$S122)) + IF($U122=BW$2,IF($W122=$AD$2,2*$V122))</f>
        <v>0</v>
      </c>
      <c r="BX122" s="57">
        <f>IF($O122=BX$2,IF($Q122=$AD$2,12*$P122)) + IF($R122=BX$2,IF($T122=$AD$2,12*$S122)) + IF($U122=BX$2,IF($W122=$AD$2,12*$V122))</f>
        <v>0</v>
      </c>
      <c r="BZ122" s="56">
        <f>IF($O122=BZ$2,IF($Q122=Armory,$P122)) + IF($R122=BZ$2,IF($T122=Armory,$S122)) + IF($U122=BZ$2,IF($W122=Armory,$V122))</f>
        <v>0</v>
      </c>
      <c r="CA122" s="26">
        <f>IF($O122=CA$2,IF($Q122=Armory,2*$P122)) + IF($R122=CA$2,IF($T122=Armory,2*$S122)) + IF($U122=CA$2,IF($W122=Armory,2*$V122))</f>
        <v>0</v>
      </c>
      <c r="CB122" s="26">
        <f>IF($O122=CB$2,IF($Q122=Armory,2*$P122)) + IF($R122=CB$2,IF($T122=Armory,2*$S122)) + IF($U122=CB$2,IF($W122=Armory,2*$V122))</f>
        <v>0</v>
      </c>
      <c r="CC122" s="57">
        <f>IF($O122=CC$2,IF($Q122=Armory,12*$P122)) + IF($R122=CC$2,IF($T122=Armory,12*$S122)) + IF($U122=CC$2,IF($W122=Armory,12*$V122))</f>
        <v>0</v>
      </c>
      <c r="CE122" s="56">
        <f>IF($O122=CE$2,IF($Q122=Infirmary,$P122)) + IF($R122=CE$2,IF($T122=Infirmary,$S122)) + IF($U122=CE$2,IF($W122=Infirmary,$V122))</f>
        <v>0</v>
      </c>
      <c r="CF122" s="26">
        <f>IF($O122=CF$2,IF($Q122=Infirmary,2*$P122)) + IF($R122=CF$2,IF($T122=Infirmary,2*$S122)) + IF($U122=CF$2,IF($W122=Infirmary,2*$V122))</f>
        <v>0</v>
      </c>
      <c r="CG122" s="26">
        <f>IF($O122=CG$2,IF($Q122=Infirmary,2*$P122)) + IF($R122=CG$2,IF($T122=Infirmary,2*$S122)) + IF($U122=CG$2,IF($W122=Infirmary,2*$V122))</f>
        <v>0</v>
      </c>
      <c r="CH122" s="57">
        <f>IF($O122=CH$2,IF($Q122=Infirmary,12*$P122)) + IF($R122=CH$2,IF($T122=Infirmary,12*$S122)) + IF($U122=CH$2,IF($W122=Infirmary,12*$V122))</f>
        <v>0</v>
      </c>
      <c r="CJ122" s="52" t="e">
        <f>OR(Production!C122,Construction!N122:'Construction'!AF122,Construction!BV122:CN122,Explore!S122:Z122,Military!AF122:AL122,Military!X122,Military!BE122:BL122,Rezone!L122:R122,Magic!G122:Q122)</f>
        <v>#VALUE!</v>
      </c>
      <c r="CK122" s="525">
        <f>M122</f>
        <v>0</v>
      </c>
      <c r="CL122" s="525"/>
      <c r="CM122" s="555">
        <f t="shared" si="59"/>
        <v>43769.239583333045</v>
      </c>
      <c r="CN122" s="563">
        <f t="shared" si="60"/>
        <v>43769.07291666638</v>
      </c>
      <c r="CO122" s="527"/>
      <c r="CP122" s="803"/>
      <c r="CQ122" s="808"/>
    </row>
    <row r="123" spans="1:95" s="111" customFormat="1" ht="14.4" thickTop="1" thickBot="1" x14ac:dyDescent="0.3">
      <c r="A123" s="515">
        <f>Construction!E123</f>
        <v>1000</v>
      </c>
      <c r="C123" s="110">
        <f ca="1">Production!H123</f>
        <v>5075079</v>
      </c>
      <c r="D123" s="108">
        <f ca="1">Production!J123</f>
        <v>281434</v>
      </c>
      <c r="E123" s="108">
        <f ca="1">Production!L123</f>
        <v>300000</v>
      </c>
      <c r="F123" s="109">
        <f ca="1">Production!M123</f>
        <v>20000</v>
      </c>
      <c r="G123" s="108"/>
      <c r="H123" s="110">
        <f ca="1">Military!Z123</f>
        <v>5295</v>
      </c>
      <c r="I123" s="541">
        <f ca="1">Population!I123</f>
        <v>1</v>
      </c>
      <c r="J123" s="540">
        <f ca="1">Population!F123/Population!U123</f>
        <v>1</v>
      </c>
      <c r="K123" s="1003">
        <f>Rezone!J123</f>
        <v>121</v>
      </c>
      <c r="L123" s="584">
        <f t="shared" si="58"/>
        <v>43769.249999999709</v>
      </c>
      <c r="M123" s="649">
        <f t="shared" si="67"/>
        <v>0</v>
      </c>
      <c r="N123" s="643">
        <f t="shared" si="46"/>
        <v>1000</v>
      </c>
      <c r="O123" s="431" t="s">
        <v>4</v>
      </c>
      <c r="P123" s="432"/>
      <c r="Q123" s="433" t="s">
        <v>223</v>
      </c>
      <c r="R123" s="431" t="s">
        <v>7</v>
      </c>
      <c r="S123" s="432"/>
      <c r="T123" s="434" t="s">
        <v>223</v>
      </c>
      <c r="U123" s="433" t="s">
        <v>3</v>
      </c>
      <c r="V123" s="432"/>
      <c r="W123" s="434" t="s">
        <v>223</v>
      </c>
      <c r="Y123" s="524">
        <f ca="1">science_cap*(1-EXP(-AH123/(science_param*($A124-Explore!$S124*20)+15000)))*(1+(mason_bonus*Construction!BB123/Construction!BS123))+IF(Overview!$B$14="Beastfolk",Construction!DA123/Construction!E123,0)*(1 + Production!O123/100*prestige_pop_multiplier)</f>
        <v>0</v>
      </c>
      <c r="Z123" s="457">
        <f ca="1">keep_cap*(1-EXP(-AI123/(keep_param*($A124-Explore!$S124*20)+15000)))*(1+(mason_bonus*Construction!BB123/Construction!BS123))+IF(Overview!$B$14="Beastfolk",Construction!DF123/Construction!E123,0)*(1 + Production!O123/100*prestige_pop_multiplier)</f>
        <v>0</v>
      </c>
      <c r="AA123" s="457">
        <f ca="1">harbor_towers_cap*(1-EXP(-AJ123/(harbor_towers_param*($A124-Explore!$S124*20)+15000)))*(1+(mason_bonus*Construction!BB123/Construction!BS123))+IF(Overview!$B$14="Beastfolk",2*Construction!DC123/Construction!E123,0)*(1 + Production!O123/100*prestige_pop_multiplier)</f>
        <v>0</v>
      </c>
      <c r="AB123" s="457">
        <f ca="1">walls_forges_cap*(1-EXP(-AK123/(walls_forges_param*($A124-Explore!$S124*20)+15000)))*(1+(mason_bonus*Construction!BB123/Construction!BS123))+IF(Overview!$B$14="Beastfolk",0.2*Construction!CY123/Construction!E123,0)</f>
        <v>0</v>
      </c>
      <c r="AC123" s="457">
        <f ca="1">walls_forges_cap*(1-EXP(-AL123/(walls_forges_param*($A124-Explore!$S124*20)+15000)))*(1+(mason_bonus*Construction!BB123/Construction!BS123))+IF(Overview!$B$14="Beastfolk",5*Construction!DB123/Construction!E123,0)</f>
        <v>0</v>
      </c>
      <c r="AD123" s="135">
        <f ca="1">harbor_towers_cap*(1-EXP(-AM123/(harbor_towers_param*($A124-Explore!$S124*20)+15000)))*(1+(mason_bonus*Construction!BB123/Construction!BS123))+IF(Overview!$B$14="Beastfolk",Construction!DE123/Construction!E123)*(1 + Production!O123/100*prestige_pop_multiplier)</f>
        <v>0</v>
      </c>
      <c r="AE123" s="135">
        <f ca="1">armory_cap*(1-EXP(-AN123/(armory_param*($A124-Explore!$S124*20)+15000)))*(1+(mason_bonus*Construction!$BB123/Construction!$BS123))</f>
        <v>0</v>
      </c>
      <c r="AF123" s="135">
        <f ca="1">infirmary_cap*(1-EXP(-AO123/(infirmary_param*($A124-Explore!$S124*20)+15000)))*(1+(mason_bonus*Construction!$BB123/Construction!$BS123))</f>
        <v>0</v>
      </c>
      <c r="AH123" s="110">
        <f ca="1">(1+Overview!$O$28+IF(Magic!BA123&gt;0,0.1,0))*SUM(AV123:AY123) + AH122</f>
        <v>0</v>
      </c>
      <c r="AI123" s="108">
        <f ca="1">(1+Overview!$O$28+IF(Magic!BA123&gt;0,0.1,0))*SUM(BA123:BD123) + AI122</f>
        <v>0</v>
      </c>
      <c r="AJ123" s="277">
        <f ca="1">(1+Overview!$O$28+IF(Magic!BA123&gt;0,0.1,0))*SUM(BF123:BI123) + AJ122</f>
        <v>0</v>
      </c>
      <c r="AK123" s="277">
        <f ca="1">(1+Overview!$O$28+IF(Magic!BA123&gt;0,0.1,0))*SUM(BK123:BN123) + AK122</f>
        <v>0</v>
      </c>
      <c r="AL123" s="277">
        <f ca="1">(1+Overview!$O$28+IF(Magic!BA123&gt;0,0.1,0))*SUM(BP123:BS123) + AL122</f>
        <v>0</v>
      </c>
      <c r="AM123" s="274">
        <f ca="1">(1+Overview!$O$28+IF(Magic!BA123&gt;0,0.1,0))*SUM(BU123:BX123) + AM122</f>
        <v>0</v>
      </c>
      <c r="AN123" s="274">
        <f ca="1">(1+Overview!$O$28+IF(Magic!BA123&gt;0,0.1,0))*SUM(BZ123:CC123)+AN122</f>
        <v>0</v>
      </c>
      <c r="AO123" s="277">
        <f ca="1">(1+Overview!$O$28+IF(Magic!BA123&gt;0,0.1,0))*SUM(CE123:CH123)+AO122</f>
        <v>0</v>
      </c>
      <c r="AQ123" s="113">
        <f t="shared" si="69"/>
        <v>0</v>
      </c>
      <c r="AR123" s="111">
        <f t="shared" si="69"/>
        <v>0</v>
      </c>
      <c r="AS123" s="111">
        <f t="shared" si="69"/>
        <v>0</v>
      </c>
      <c r="AT123" s="115">
        <f t="shared" si="69"/>
        <v>0</v>
      </c>
      <c r="AV123" s="110">
        <f t="shared" si="47"/>
        <v>0</v>
      </c>
      <c r="AW123" s="108">
        <f t="shared" si="70"/>
        <v>0</v>
      </c>
      <c r="AX123" s="108">
        <f t="shared" si="70"/>
        <v>0</v>
      </c>
      <c r="AY123" s="109">
        <f t="shared" si="48"/>
        <v>0</v>
      </c>
      <c r="BA123" s="110">
        <f t="shared" si="49"/>
        <v>0</v>
      </c>
      <c r="BB123" s="108">
        <f t="shared" si="71"/>
        <v>0</v>
      </c>
      <c r="BC123" s="108">
        <f t="shared" si="71"/>
        <v>0</v>
      </c>
      <c r="BD123" s="109">
        <f t="shared" si="50"/>
        <v>0</v>
      </c>
      <c r="BF123" s="110">
        <f t="shared" si="51"/>
        <v>0</v>
      </c>
      <c r="BG123" s="108">
        <f t="shared" si="52"/>
        <v>0</v>
      </c>
      <c r="BH123" s="108">
        <f t="shared" si="68"/>
        <v>0</v>
      </c>
      <c r="BI123" s="109">
        <f t="shared" si="53"/>
        <v>0</v>
      </c>
      <c r="BK123" s="110">
        <f t="shared" si="54"/>
        <v>0</v>
      </c>
      <c r="BL123" s="108">
        <f t="shared" si="72"/>
        <v>0</v>
      </c>
      <c r="BM123" s="108">
        <f t="shared" si="72"/>
        <v>0</v>
      </c>
      <c r="BN123" s="109">
        <f t="shared" si="55"/>
        <v>0</v>
      </c>
      <c r="BP123" s="110">
        <f t="shared" si="56"/>
        <v>0</v>
      </c>
      <c r="BQ123" s="108">
        <f t="shared" si="73"/>
        <v>0</v>
      </c>
      <c r="BR123" s="108">
        <f t="shared" si="73"/>
        <v>0</v>
      </c>
      <c r="BS123" s="109">
        <f t="shared" si="57"/>
        <v>0</v>
      </c>
      <c r="BU123" s="110">
        <f>IF($O123=BU$2,IF($Q123=$AD$2,$P123)) + IF($R123=BU$2,IF($T123=$AD$2,$S123)) + IF($U123=BU$2,IF($W123=$AD$2,$V123))</f>
        <v>0</v>
      </c>
      <c r="BV123" s="108">
        <f>IF($O123=BV$2,IF($Q123=$AD$2,2*$P123)) + IF($R123=BV$2,IF($T123=$AD$2,2*$S123)) + IF($U123=BV$2,IF($W123=$AD$2,2*$V123))</f>
        <v>0</v>
      </c>
      <c r="BW123" s="108">
        <f>IF($O123=BW$2,IF($Q123=$AD$2,2*$P123)) + IF($R123=BW$2,IF($T123=$AD$2,2*$S123)) + IF($U123=BW$2,IF($W123=$AD$2,2*$V123))</f>
        <v>0</v>
      </c>
      <c r="BX123" s="109">
        <f>IF($O123=BX$2,IF($Q123=$AD$2,12*$P123)) + IF($R123=BX$2,IF($T123=$AD$2,12*$S123)) + IF($U123=BX$2,IF($W123=$AD$2,12*$V123))</f>
        <v>0</v>
      </c>
      <c r="BZ123" s="110">
        <f>IF($O123=BZ$2,IF($Q123=Armory,$P123)) + IF($R123=BZ$2,IF($T123=Armory,$S123)) + IF($U123=BZ$2,IF($W123=Armory,$V123))</f>
        <v>0</v>
      </c>
      <c r="CA123" s="108">
        <f>IF($O123=CA$2,IF($Q123=Armory,2*$P123)) + IF($R123=CA$2,IF($T123=Armory,2*$S123)) + IF($U123=CA$2,IF($W123=Armory,2*$V123))</f>
        <v>0</v>
      </c>
      <c r="CB123" s="108">
        <f>IF($O123=CB$2,IF($Q123=Armory,2*$P123)) + IF($R123=CB$2,IF($T123=Armory,2*$S123)) + IF($U123=CB$2,IF($W123=Armory,2*$V123))</f>
        <v>0</v>
      </c>
      <c r="CC123" s="109">
        <f>IF($O123=CC$2,IF($Q123=Armory,12*$P123)) + IF($R123=CC$2,IF($T123=Armory,12*$S123)) + IF($U123=CC$2,IF($W123=Armory,12*$V123))</f>
        <v>0</v>
      </c>
      <c r="CE123" s="110">
        <f>IF($O123=CE$2,IF($Q123=Infirmary,$P123)) + IF($R123=CE$2,IF($T123=Infirmary,$S123)) + IF($U123=CE$2,IF($W123=Infirmary,$V123))</f>
        <v>0</v>
      </c>
      <c r="CF123" s="108">
        <f>IF($O123=CF$2,IF($Q123=Infirmary,2*$P123)) + IF($R123=CF$2,IF($T123=Infirmary,2*$S123)) + IF($U123=CF$2,IF($W123=Infirmary,2*$V123))</f>
        <v>0</v>
      </c>
      <c r="CG123" s="108">
        <f>IF($O123=CG$2,IF($Q123=Infirmary,2*$P123)) + IF($R123=CG$2,IF($T123=Infirmary,2*$S123)) + IF($U123=CG$2,IF($W123=Infirmary,2*$V123))</f>
        <v>0</v>
      </c>
      <c r="CH123" s="109">
        <f>IF($O123=CH$2,IF($Q123=Infirmary,12*$P123)) + IF($R123=CH$2,IF($T123=Infirmary,12*$S123)) + IF($U123=CH$2,IF($W123=Infirmary,12*$V123))</f>
        <v>0</v>
      </c>
      <c r="CJ123" s="113" t="e">
        <f>OR(Production!C123,Construction!N123:'Construction'!AF123,Construction!BV123:CN123,Explore!S123:Z123,Military!AF123:AL123,Military!X123,Military!BE123:BL123,Rezone!L123:R123,Magic!G123:Q123)</f>
        <v>#VALUE!</v>
      </c>
      <c r="CK123" s="550">
        <f>M123</f>
        <v>0</v>
      </c>
      <c r="CL123" s="550"/>
      <c r="CM123" s="558">
        <f t="shared" si="59"/>
        <v>43769.249999999709</v>
      </c>
      <c r="CN123" s="566">
        <f t="shared" si="60"/>
        <v>43769.083333333045</v>
      </c>
      <c r="CO123" s="631"/>
      <c r="CP123" s="807"/>
      <c r="CQ123" s="811"/>
    </row>
    <row r="124" spans="1:95" s="16" customFormat="1" ht="13.8" thickTop="1" x14ac:dyDescent="0.25">
      <c r="A124" s="511">
        <f>Construction!E124</f>
        <v>1000</v>
      </c>
      <c r="C124" s="56">
        <f ca="1">Production!H124</f>
        <v>5080060</v>
      </c>
      <c r="D124" s="26">
        <f ca="1">Production!J124</f>
        <v>281120</v>
      </c>
      <c r="E124" s="26">
        <f ca="1">Production!L124</f>
        <v>300000</v>
      </c>
      <c r="F124" s="57">
        <f ca="1">Production!M124</f>
        <v>20000</v>
      </c>
      <c r="G124" s="26"/>
      <c r="H124" s="56">
        <f ca="1">Military!Z124</f>
        <v>5295</v>
      </c>
      <c r="I124" s="538">
        <f ca="1">Population!I124</f>
        <v>1</v>
      </c>
      <c r="J124" s="165">
        <f ca="1">Population!F124/Population!U124</f>
        <v>1</v>
      </c>
      <c r="K124" s="1000">
        <f>Rezone!J124</f>
        <v>122</v>
      </c>
      <c r="L124" s="582">
        <f t="shared" si="58"/>
        <v>43769.260416666373</v>
      </c>
      <c r="M124" s="316">
        <f t="shared" si="67"/>
        <v>0</v>
      </c>
      <c r="N124" s="638">
        <f t="shared" si="46"/>
        <v>1000</v>
      </c>
      <c r="O124" s="423" t="s">
        <v>4</v>
      </c>
      <c r="P124" s="370"/>
      <c r="Q124" s="424" t="s">
        <v>223</v>
      </c>
      <c r="R124" s="423" t="s">
        <v>7</v>
      </c>
      <c r="S124" s="370"/>
      <c r="T124" s="425" t="s">
        <v>223</v>
      </c>
      <c r="U124" s="424" t="s">
        <v>3</v>
      </c>
      <c r="V124" s="370"/>
      <c r="W124" s="425" t="s">
        <v>223</v>
      </c>
      <c r="Y124" s="522">
        <f ca="1">science_cap*(1-EXP(-AH124/(science_param*($A125-Explore!$S125*20)+15000)))*(1+(mason_bonus*Construction!BB124/Construction!BS124))+IF(Overview!$B$14="Beastfolk",Construction!DA124/Construction!E124,0)*(1 + Production!O124/100*prestige_pop_multiplier)</f>
        <v>0</v>
      </c>
      <c r="Z124" s="284">
        <f ca="1">keep_cap*(1-EXP(-AI124/(keep_param*($A125-Explore!$S125*20)+15000)))*(1+(mason_bonus*Construction!BB124/Construction!BS124))+IF(Overview!$B$14="Beastfolk",Construction!DF124/Construction!E124,0)*(1 + Production!O124/100*prestige_pop_multiplier)</f>
        <v>0</v>
      </c>
      <c r="AA124" s="284">
        <f ca="1">harbor_towers_cap*(1-EXP(-AJ124/(harbor_towers_param*($A125-Explore!$S125*20)+15000)))*(1+(mason_bonus*Construction!BB124/Construction!BS124))+IF(Overview!$B$14="Beastfolk",2*Construction!DC124/Construction!E124,0)*(1 + Production!O124/100*prestige_pop_multiplier)</f>
        <v>0</v>
      </c>
      <c r="AB124" s="284">
        <f ca="1">walls_forges_cap*(1-EXP(-AK124/(walls_forges_param*($A125-Explore!$S125*20)+15000)))*(1+(mason_bonus*Construction!BB124/Construction!BS124))+IF(Overview!$B$14="Beastfolk",0.2*Construction!CY124/Construction!E124,0)</f>
        <v>0</v>
      </c>
      <c r="AC124" s="284">
        <f ca="1">walls_forges_cap*(1-EXP(-AL124/(walls_forges_param*($A125-Explore!$S125*20)+15000)))*(1+(mason_bonus*Construction!BB124/Construction!BS124))+IF(Overview!$B$14="Beastfolk",5*Construction!DB124/Construction!E124,0)</f>
        <v>0</v>
      </c>
      <c r="AD124" s="97">
        <f ca="1">harbor_towers_cap*(1-EXP(-AM124/(harbor_towers_param*($A125-Explore!$S125*20)+15000)))*(1+(mason_bonus*Construction!BB124/Construction!BS124))+IF(Overview!$B$14="Beastfolk",Construction!DE124/Construction!E124)*(1 + Production!O124/100*prestige_pop_multiplier)</f>
        <v>0</v>
      </c>
      <c r="AE124" s="97">
        <f ca="1">armory_cap*(1-EXP(-AN124/(armory_param*($A125-Explore!$S125*20)+15000)))*(1+(mason_bonus*Construction!$BB124/Construction!$BS124))</f>
        <v>0</v>
      </c>
      <c r="AF124" s="97">
        <f ca="1">infirmary_cap*(1-EXP(-AO124/(infirmary_param*($A125-Explore!$S125*20)+15000)))*(1+(mason_bonus*Construction!$BB124/Construction!$BS124))</f>
        <v>0</v>
      </c>
      <c r="AH124" s="56">
        <f ca="1">(1+Overview!$O$28+IF(Magic!BA124&gt;0,0.1,0))*SUM(AV124:AY124) + AH123</f>
        <v>0</v>
      </c>
      <c r="AI124" s="26">
        <f ca="1">(1+Overview!$O$28+IF(Magic!BA124&gt;0,0.1,0))*SUM(BA124:BD124) + AI123</f>
        <v>0</v>
      </c>
      <c r="AJ124" s="164">
        <f ca="1">(1+Overview!$O$28+IF(Magic!BA124&gt;0,0.1,0))*SUM(BF124:BI124) + AJ123</f>
        <v>0</v>
      </c>
      <c r="AK124" s="164">
        <f ca="1">(1+Overview!$O$28+IF(Magic!BA124&gt;0,0.1,0))*SUM(BK124:BN124) + AK123</f>
        <v>0</v>
      </c>
      <c r="AL124" s="164">
        <f ca="1">(1+Overview!$O$28+IF(Magic!BA124&gt;0,0.1,0))*SUM(BP124:BS124) + AL123</f>
        <v>0</v>
      </c>
      <c r="AM124" s="166">
        <f ca="1">(1+Overview!$O$28+IF(Magic!BA124&gt;0,0.1,0))*SUM(BU124:BX124) + AM123</f>
        <v>0</v>
      </c>
      <c r="AN124" s="166">
        <f ca="1">(1+Overview!$O$28+IF(Magic!BA124&gt;0,0.1,0))*SUM(BZ124:CC124)+AN123</f>
        <v>0</v>
      </c>
      <c r="AO124" s="164">
        <f ca="1">(1+Overview!$O$28+IF(Magic!BA124&gt;0,0.1,0))*SUM(CE124:CH124)+AO123</f>
        <v>0</v>
      </c>
      <c r="AQ124" s="52">
        <f t="shared" si="69"/>
        <v>0</v>
      </c>
      <c r="AR124" s="16">
        <f t="shared" si="69"/>
        <v>0</v>
      </c>
      <c r="AS124" s="16">
        <f t="shared" si="69"/>
        <v>0</v>
      </c>
      <c r="AT124" s="53">
        <f t="shared" si="69"/>
        <v>0</v>
      </c>
      <c r="AV124" s="56">
        <f t="shared" si="47"/>
        <v>0</v>
      </c>
      <c r="AW124" s="26">
        <f t="shared" si="70"/>
        <v>0</v>
      </c>
      <c r="AX124" s="26">
        <f t="shared" si="70"/>
        <v>0</v>
      </c>
      <c r="AY124" s="57">
        <f t="shared" si="48"/>
        <v>0</v>
      </c>
      <c r="BA124" s="56">
        <f t="shared" si="49"/>
        <v>0</v>
      </c>
      <c r="BB124" s="26">
        <f t="shared" si="71"/>
        <v>0</v>
      </c>
      <c r="BC124" s="26">
        <f t="shared" si="71"/>
        <v>0</v>
      </c>
      <c r="BD124" s="57">
        <f t="shared" si="50"/>
        <v>0</v>
      </c>
      <c r="BF124" s="56">
        <f t="shared" si="51"/>
        <v>0</v>
      </c>
      <c r="BG124" s="26">
        <f t="shared" si="52"/>
        <v>0</v>
      </c>
      <c r="BH124" s="26">
        <f t="shared" si="68"/>
        <v>0</v>
      </c>
      <c r="BI124" s="57">
        <f t="shared" si="53"/>
        <v>0</v>
      </c>
      <c r="BK124" s="56">
        <f t="shared" si="54"/>
        <v>0</v>
      </c>
      <c r="BL124" s="26">
        <f t="shared" si="72"/>
        <v>0</v>
      </c>
      <c r="BM124" s="26">
        <f t="shared" si="72"/>
        <v>0</v>
      </c>
      <c r="BN124" s="57">
        <f t="shared" si="55"/>
        <v>0</v>
      </c>
      <c r="BP124" s="56">
        <f t="shared" si="56"/>
        <v>0</v>
      </c>
      <c r="BQ124" s="26">
        <f t="shared" si="73"/>
        <v>0</v>
      </c>
      <c r="BR124" s="26">
        <f t="shared" si="73"/>
        <v>0</v>
      </c>
      <c r="BS124" s="57">
        <f t="shared" si="57"/>
        <v>0</v>
      </c>
      <c r="BU124" s="56">
        <f>IF($O124=BU$2,IF($Q124=$AD$2,$P124)) + IF($R124=BU$2,IF($T124=$AD$2,$S124)) + IF($U124=BU$2,IF($W124=$AD$2,$V124))</f>
        <v>0</v>
      </c>
      <c r="BV124" s="26">
        <f>IF($O124=BV$2,IF($Q124=$AD$2,2*$P124)) + IF($R124=BV$2,IF($T124=$AD$2,2*$S124)) + IF($U124=BV$2,IF($W124=$AD$2,2*$V124))</f>
        <v>0</v>
      </c>
      <c r="BW124" s="26">
        <f>IF($O124=BW$2,IF($Q124=$AD$2,2*$P124)) + IF($R124=BW$2,IF($T124=$AD$2,2*$S124)) + IF($U124=BW$2,IF($W124=$AD$2,2*$V124))</f>
        <v>0</v>
      </c>
      <c r="BX124" s="57">
        <f>IF($O124=BX$2,IF($Q124=$AD$2,12*$P124)) + IF($R124=BX$2,IF($T124=$AD$2,12*$S124)) + IF($U124=BX$2,IF($W124=$AD$2,12*$V124))</f>
        <v>0</v>
      </c>
      <c r="BZ124" s="56">
        <f>IF($O124=BZ$2,IF($Q124=Armory,$P124)) + IF($R124=BZ$2,IF($T124=Armory,$S124)) + IF($U124=BZ$2,IF($W124=Armory,$V124))</f>
        <v>0</v>
      </c>
      <c r="CA124" s="26">
        <f>IF($O124=CA$2,IF($Q124=Armory,2*$P124)) + IF($R124=CA$2,IF($T124=Armory,2*$S124)) + IF($U124=CA$2,IF($W124=Armory,2*$V124))</f>
        <v>0</v>
      </c>
      <c r="CB124" s="26">
        <f>IF($O124=CB$2,IF($Q124=Armory,2*$P124)) + IF($R124=CB$2,IF($T124=Armory,2*$S124)) + IF($U124=CB$2,IF($W124=Armory,2*$V124))</f>
        <v>0</v>
      </c>
      <c r="CC124" s="57">
        <f>IF($O124=CC$2,IF($Q124=Armory,12*$P124)) + IF($R124=CC$2,IF($T124=Armory,12*$S124)) + IF($U124=CC$2,IF($W124=Armory,12*$V124))</f>
        <v>0</v>
      </c>
      <c r="CE124" s="56">
        <f>IF($O124=CE$2,IF($Q124=Infirmary,$P124)) + IF($R124=CE$2,IF($T124=Infirmary,$S124)) + IF($U124=CE$2,IF($W124=Infirmary,$V124))</f>
        <v>0</v>
      </c>
      <c r="CF124" s="26">
        <f>IF($O124=CF$2,IF($Q124=Infirmary,2*$P124)) + IF($R124=CF$2,IF($T124=Infirmary,2*$S124)) + IF($U124=CF$2,IF($W124=Infirmary,2*$V124))</f>
        <v>0</v>
      </c>
      <c r="CG124" s="26">
        <f>IF($O124=CG$2,IF($Q124=Infirmary,2*$P124)) + IF($R124=CG$2,IF($T124=Infirmary,2*$S124)) + IF($U124=CG$2,IF($W124=Infirmary,2*$V124))</f>
        <v>0</v>
      </c>
      <c r="CH124" s="57">
        <f>IF($O124=CH$2,IF($Q124=Infirmary,12*$P124)) + IF($R124=CH$2,IF($T124=Infirmary,12*$S124)) + IF($U124=CH$2,IF($W124=Infirmary,12*$V124))</f>
        <v>0</v>
      </c>
      <c r="CJ124" s="52" t="e">
        <f>OR(Production!C124,Construction!N124:'Construction'!AF124,Construction!BV124:CN124,Explore!S124:Z124,Military!AF124:AL124,Military!X124,Military!BE124:BL124,Rezone!L124:R124,Magic!G124:Q124)</f>
        <v>#VALUE!</v>
      </c>
      <c r="CK124" s="525">
        <f>M124</f>
        <v>0</v>
      </c>
      <c r="CL124" s="525"/>
      <c r="CM124" s="555">
        <f t="shared" si="59"/>
        <v>43769.260416666373</v>
      </c>
      <c r="CN124" s="563">
        <f t="shared" si="60"/>
        <v>43769.093749999709</v>
      </c>
      <c r="CO124" s="527"/>
      <c r="CP124" s="803"/>
      <c r="CQ124" s="808"/>
    </row>
    <row r="125" spans="1:95" s="16" customFormat="1" x14ac:dyDescent="0.25">
      <c r="A125" s="511">
        <f>Construction!E125</f>
        <v>1000</v>
      </c>
      <c r="C125" s="56">
        <f ca="1">Production!H125</f>
        <v>5085041</v>
      </c>
      <c r="D125" s="26">
        <f ca="1">Production!J125</f>
        <v>280809</v>
      </c>
      <c r="E125" s="26">
        <f ca="1">Production!L125</f>
        <v>300000</v>
      </c>
      <c r="F125" s="57">
        <f ca="1">Production!M125</f>
        <v>20000</v>
      </c>
      <c r="G125" s="26"/>
      <c r="H125" s="56">
        <f ca="1">Military!Z125</f>
        <v>5295</v>
      </c>
      <c r="I125" s="538">
        <f ca="1">Population!I125</f>
        <v>1</v>
      </c>
      <c r="J125" s="165">
        <f ca="1">Population!F125/Population!U125</f>
        <v>1</v>
      </c>
      <c r="K125" s="1000">
        <f>Rezone!J125</f>
        <v>123</v>
      </c>
      <c r="L125" s="582">
        <f t="shared" si="58"/>
        <v>43769.270833333037</v>
      </c>
      <c r="M125" s="316">
        <f t="shared" si="67"/>
        <v>0</v>
      </c>
      <c r="N125" s="638">
        <f t="shared" si="46"/>
        <v>1000</v>
      </c>
      <c r="O125" s="423" t="s">
        <v>4</v>
      </c>
      <c r="P125" s="370"/>
      <c r="Q125" s="424" t="s">
        <v>223</v>
      </c>
      <c r="R125" s="423" t="s">
        <v>7</v>
      </c>
      <c r="S125" s="370"/>
      <c r="T125" s="425" t="s">
        <v>223</v>
      </c>
      <c r="U125" s="424" t="s">
        <v>3</v>
      </c>
      <c r="V125" s="370"/>
      <c r="W125" s="425" t="s">
        <v>223</v>
      </c>
      <c r="Y125" s="522">
        <f ca="1">science_cap*(1-EXP(-AH125/(science_param*($A126-Explore!$S126*20)+15000)))*(1+(mason_bonus*Construction!BB125/Construction!BS125))+IF(Overview!$B$14="Beastfolk",Construction!DA125/Construction!E125,0)*(1 + Production!O125/100*prestige_pop_multiplier)</f>
        <v>0</v>
      </c>
      <c r="Z125" s="284">
        <f ca="1">keep_cap*(1-EXP(-AI125/(keep_param*($A126-Explore!$S126*20)+15000)))*(1+(mason_bonus*Construction!BB125/Construction!BS125))+IF(Overview!$B$14="Beastfolk",Construction!DF125/Construction!E125,0)*(1 + Production!O125/100*prestige_pop_multiplier)</f>
        <v>0</v>
      </c>
      <c r="AA125" s="284">
        <f ca="1">harbor_towers_cap*(1-EXP(-AJ125/(harbor_towers_param*($A126-Explore!$S126*20)+15000)))*(1+(mason_bonus*Construction!BB125/Construction!BS125))+IF(Overview!$B$14="Beastfolk",2*Construction!DC125/Construction!E125,0)*(1 + Production!O125/100*prestige_pop_multiplier)</f>
        <v>0</v>
      </c>
      <c r="AB125" s="284">
        <f ca="1">walls_forges_cap*(1-EXP(-AK125/(walls_forges_param*($A126-Explore!$S126*20)+15000)))*(1+(mason_bonus*Construction!BB125/Construction!BS125))+IF(Overview!$B$14="Beastfolk",0.2*Construction!CY125/Construction!E125,0)</f>
        <v>0</v>
      </c>
      <c r="AC125" s="284">
        <f ca="1">walls_forges_cap*(1-EXP(-AL125/(walls_forges_param*($A126-Explore!$S126*20)+15000)))*(1+(mason_bonus*Construction!BB125/Construction!BS125))+IF(Overview!$B$14="Beastfolk",5*Construction!DB125/Construction!E125,0)</f>
        <v>0</v>
      </c>
      <c r="AD125" s="97">
        <f ca="1">harbor_towers_cap*(1-EXP(-AM125/(harbor_towers_param*($A126-Explore!$S126*20)+15000)))*(1+(mason_bonus*Construction!BB125/Construction!BS125))+IF(Overview!$B$14="Beastfolk",Construction!DE125/Construction!E125)*(1 + Production!O125/100*prestige_pop_multiplier)</f>
        <v>0</v>
      </c>
      <c r="AE125" s="97">
        <f ca="1">armory_cap*(1-EXP(-AN125/(armory_param*($A126-Explore!$S126*20)+15000)))*(1+(mason_bonus*Construction!$BB125/Construction!$BS125))</f>
        <v>0</v>
      </c>
      <c r="AF125" s="97">
        <f ca="1">infirmary_cap*(1-EXP(-AO125/(infirmary_param*($A126-Explore!$S126*20)+15000)))*(1+(mason_bonus*Construction!$BB125/Construction!$BS125))</f>
        <v>0</v>
      </c>
      <c r="AH125" s="56">
        <f ca="1">(1+Overview!$O$28+IF(Magic!BA125&gt;0,0.1,0))*SUM(AV125:AY125) + AH124</f>
        <v>0</v>
      </c>
      <c r="AI125" s="26">
        <f ca="1">(1+Overview!$O$28+IF(Magic!BA125&gt;0,0.1,0))*SUM(BA125:BD125) + AI124</f>
        <v>0</v>
      </c>
      <c r="AJ125" s="164">
        <f ca="1">(1+Overview!$O$28+IF(Magic!BA125&gt;0,0.1,0))*SUM(BF125:BI125) + AJ124</f>
        <v>0</v>
      </c>
      <c r="AK125" s="164">
        <f ca="1">(1+Overview!$O$28+IF(Magic!BA125&gt;0,0.1,0))*SUM(BK125:BN125) + AK124</f>
        <v>0</v>
      </c>
      <c r="AL125" s="164">
        <f ca="1">(1+Overview!$O$28+IF(Magic!BA125&gt;0,0.1,0))*SUM(BP125:BS125) + AL124</f>
        <v>0</v>
      </c>
      <c r="AM125" s="166">
        <f ca="1">(1+Overview!$O$28+IF(Magic!BA125&gt;0,0.1,0))*SUM(BU125:BX125) + AM124</f>
        <v>0</v>
      </c>
      <c r="AN125" s="166">
        <f ca="1">(1+Overview!$O$28+IF(Magic!BA125&gt;0,0.1,0))*SUM(BZ125:CC125)+AN124</f>
        <v>0</v>
      </c>
      <c r="AO125" s="164">
        <f ca="1">(1+Overview!$O$28+IF(Magic!BA125&gt;0,0.1,0))*SUM(CE125:CH125)+AO124</f>
        <v>0</v>
      </c>
      <c r="AQ125" s="52">
        <f t="shared" si="69"/>
        <v>0</v>
      </c>
      <c r="AR125" s="16">
        <f t="shared" si="69"/>
        <v>0</v>
      </c>
      <c r="AS125" s="16">
        <f t="shared" si="69"/>
        <v>0</v>
      </c>
      <c r="AT125" s="53">
        <f t="shared" si="69"/>
        <v>0</v>
      </c>
      <c r="AV125" s="56">
        <f t="shared" si="47"/>
        <v>0</v>
      </c>
      <c r="AW125" s="26">
        <f t="shared" si="70"/>
        <v>0</v>
      </c>
      <c r="AX125" s="26">
        <f t="shared" si="70"/>
        <v>0</v>
      </c>
      <c r="AY125" s="57">
        <f t="shared" si="48"/>
        <v>0</v>
      </c>
      <c r="BA125" s="56">
        <f t="shared" si="49"/>
        <v>0</v>
      </c>
      <c r="BB125" s="26">
        <f t="shared" si="71"/>
        <v>0</v>
      </c>
      <c r="BC125" s="26">
        <f t="shared" si="71"/>
        <v>0</v>
      </c>
      <c r="BD125" s="57">
        <f t="shared" si="50"/>
        <v>0</v>
      </c>
      <c r="BF125" s="56">
        <f t="shared" si="51"/>
        <v>0</v>
      </c>
      <c r="BG125" s="26">
        <f t="shared" si="52"/>
        <v>0</v>
      </c>
      <c r="BH125" s="26">
        <f t="shared" si="68"/>
        <v>0</v>
      </c>
      <c r="BI125" s="57">
        <f t="shared" si="53"/>
        <v>0</v>
      </c>
      <c r="BK125" s="56">
        <f t="shared" si="54"/>
        <v>0</v>
      </c>
      <c r="BL125" s="26">
        <f t="shared" si="72"/>
        <v>0</v>
      </c>
      <c r="BM125" s="26">
        <f t="shared" si="72"/>
        <v>0</v>
      </c>
      <c r="BN125" s="57">
        <f t="shared" si="55"/>
        <v>0</v>
      </c>
      <c r="BP125" s="56">
        <f t="shared" si="56"/>
        <v>0</v>
      </c>
      <c r="BQ125" s="26">
        <f t="shared" si="73"/>
        <v>0</v>
      </c>
      <c r="BR125" s="26">
        <f t="shared" si="73"/>
        <v>0</v>
      </c>
      <c r="BS125" s="57">
        <f t="shared" si="57"/>
        <v>0</v>
      </c>
      <c r="BU125" s="56">
        <f>IF($O125=BU$2,IF($Q125=$AD$2,$P125)) + IF($R125=BU$2,IF($T125=$AD$2,$S125)) + IF($U125=BU$2,IF($W125=$AD$2,$V125))</f>
        <v>0</v>
      </c>
      <c r="BV125" s="26">
        <f>IF($O125=BV$2,IF($Q125=$AD$2,2*$P125)) + IF($R125=BV$2,IF($T125=$AD$2,2*$S125)) + IF($U125=BV$2,IF($W125=$AD$2,2*$V125))</f>
        <v>0</v>
      </c>
      <c r="BW125" s="26">
        <f>IF($O125=BW$2,IF($Q125=$AD$2,2*$P125)) + IF($R125=BW$2,IF($T125=$AD$2,2*$S125)) + IF($U125=BW$2,IF($W125=$AD$2,2*$V125))</f>
        <v>0</v>
      </c>
      <c r="BX125" s="57">
        <f>IF($O125=BX$2,IF($Q125=$AD$2,12*$P125)) + IF($R125=BX$2,IF($T125=$AD$2,12*$S125)) + IF($U125=BX$2,IF($W125=$AD$2,12*$V125))</f>
        <v>0</v>
      </c>
      <c r="BZ125" s="56">
        <f>IF($O125=BZ$2,IF($Q125=Armory,$P125)) + IF($R125=BZ$2,IF($T125=Armory,$S125)) + IF($U125=BZ$2,IF($W125=Armory,$V125))</f>
        <v>0</v>
      </c>
      <c r="CA125" s="26">
        <f>IF($O125=CA$2,IF($Q125=Armory,2*$P125)) + IF($R125=CA$2,IF($T125=Armory,2*$S125)) + IF($U125=CA$2,IF($W125=Armory,2*$V125))</f>
        <v>0</v>
      </c>
      <c r="CB125" s="26">
        <f>IF($O125=CB$2,IF($Q125=Armory,2*$P125)) + IF($R125=CB$2,IF($T125=Armory,2*$S125)) + IF($U125=CB$2,IF($W125=Armory,2*$V125))</f>
        <v>0</v>
      </c>
      <c r="CC125" s="57">
        <f>IF($O125=CC$2,IF($Q125=Armory,12*$P125)) + IF($R125=CC$2,IF($T125=Armory,12*$S125)) + IF($U125=CC$2,IF($W125=Armory,12*$V125))</f>
        <v>0</v>
      </c>
      <c r="CE125" s="56">
        <f>IF($O125=CE$2,IF($Q125=Infirmary,$P125)) + IF($R125=CE$2,IF($T125=Infirmary,$S125)) + IF($U125=CE$2,IF($W125=Infirmary,$V125))</f>
        <v>0</v>
      </c>
      <c r="CF125" s="26">
        <f>IF($O125=CF$2,IF($Q125=Infirmary,2*$P125)) + IF($R125=CF$2,IF($T125=Infirmary,2*$S125)) + IF($U125=CF$2,IF($W125=Infirmary,2*$V125))</f>
        <v>0</v>
      </c>
      <c r="CG125" s="26">
        <f>IF($O125=CG$2,IF($Q125=Infirmary,2*$P125)) + IF($R125=CG$2,IF($T125=Infirmary,2*$S125)) + IF($U125=CG$2,IF($W125=Infirmary,2*$V125))</f>
        <v>0</v>
      </c>
      <c r="CH125" s="57">
        <f>IF($O125=CH$2,IF($Q125=Infirmary,12*$P125)) + IF($R125=CH$2,IF($T125=Infirmary,12*$S125)) + IF($U125=CH$2,IF($W125=Infirmary,12*$V125))</f>
        <v>0</v>
      </c>
      <c r="CJ125" s="52" t="e">
        <f>OR(Production!C125,Construction!N125:'Construction'!AF125,Construction!BV125:CN125,Explore!S125:Z125,Military!AF125:AL125,Military!X125,Military!BE125:BL125,Rezone!L125:R125,Magic!G125:Q125)</f>
        <v>#VALUE!</v>
      </c>
      <c r="CK125" s="525">
        <f>M125</f>
        <v>0</v>
      </c>
      <c r="CL125" s="525"/>
      <c r="CM125" s="555">
        <f t="shared" si="59"/>
        <v>43769.270833333037</v>
      </c>
      <c r="CN125" s="563">
        <f t="shared" si="60"/>
        <v>43769.104166666373</v>
      </c>
      <c r="CO125" s="527"/>
      <c r="CP125" s="803"/>
      <c r="CQ125" s="808"/>
    </row>
    <row r="126" spans="1:95" s="16" customFormat="1" x14ac:dyDescent="0.25">
      <c r="A126" s="511">
        <f>Construction!E126</f>
        <v>1000</v>
      </c>
      <c r="C126" s="56">
        <f ca="1">Production!H126</f>
        <v>5090022</v>
      </c>
      <c r="D126" s="26">
        <f ca="1">Production!J126</f>
        <v>280501</v>
      </c>
      <c r="E126" s="26">
        <f ca="1">Production!L126</f>
        <v>300000</v>
      </c>
      <c r="F126" s="57">
        <f ca="1">Production!M126</f>
        <v>20000</v>
      </c>
      <c r="G126" s="26"/>
      <c r="H126" s="56">
        <f ca="1">Military!Z126</f>
        <v>5295</v>
      </c>
      <c r="I126" s="538">
        <f ca="1">Population!I126</f>
        <v>1</v>
      </c>
      <c r="J126" s="165">
        <f ca="1">Population!F126/Population!U126</f>
        <v>1</v>
      </c>
      <c r="K126" s="1000">
        <f>Rezone!J126</f>
        <v>124</v>
      </c>
      <c r="L126" s="582">
        <f t="shared" si="58"/>
        <v>43769.281249999702</v>
      </c>
      <c r="M126" s="316">
        <f t="shared" si="67"/>
        <v>0</v>
      </c>
      <c r="N126" s="638">
        <f t="shared" si="46"/>
        <v>1000</v>
      </c>
      <c r="O126" s="423" t="s">
        <v>4</v>
      </c>
      <c r="P126" s="370"/>
      <c r="Q126" s="424" t="s">
        <v>223</v>
      </c>
      <c r="R126" s="423" t="s">
        <v>7</v>
      </c>
      <c r="S126" s="370"/>
      <c r="T126" s="425" t="s">
        <v>223</v>
      </c>
      <c r="U126" s="424" t="s">
        <v>3</v>
      </c>
      <c r="V126" s="370"/>
      <c r="W126" s="425" t="s">
        <v>223</v>
      </c>
      <c r="Y126" s="522">
        <f ca="1">science_cap*(1-EXP(-AH126/(science_param*($A127-Explore!$S127*20)+15000)))*(1+(mason_bonus*Construction!BB126/Construction!BS126))+IF(Overview!$B$14="Beastfolk",Construction!DA126/Construction!E126,0)*(1 + Production!O126/100*prestige_pop_multiplier)</f>
        <v>0</v>
      </c>
      <c r="Z126" s="284">
        <f ca="1">keep_cap*(1-EXP(-AI126/(keep_param*($A127-Explore!$S127*20)+15000)))*(1+(mason_bonus*Construction!BB126/Construction!BS126))+IF(Overview!$B$14="Beastfolk",Construction!DF126/Construction!E126,0)*(1 + Production!O126/100*prestige_pop_multiplier)</f>
        <v>0</v>
      </c>
      <c r="AA126" s="284">
        <f ca="1">harbor_towers_cap*(1-EXP(-AJ126/(harbor_towers_param*($A127-Explore!$S127*20)+15000)))*(1+(mason_bonus*Construction!BB126/Construction!BS126))+IF(Overview!$B$14="Beastfolk",2*Construction!DC126/Construction!E126,0)*(1 + Production!O126/100*prestige_pop_multiplier)</f>
        <v>0</v>
      </c>
      <c r="AB126" s="284">
        <f ca="1">walls_forges_cap*(1-EXP(-AK126/(walls_forges_param*($A127-Explore!$S127*20)+15000)))*(1+(mason_bonus*Construction!BB126/Construction!BS126))+IF(Overview!$B$14="Beastfolk",0.2*Construction!CY126/Construction!E126,0)</f>
        <v>0</v>
      </c>
      <c r="AC126" s="284">
        <f ca="1">walls_forges_cap*(1-EXP(-AL126/(walls_forges_param*($A127-Explore!$S127*20)+15000)))*(1+(mason_bonus*Construction!BB126/Construction!BS126))+IF(Overview!$B$14="Beastfolk",5*Construction!DB126/Construction!E126,0)</f>
        <v>0</v>
      </c>
      <c r="AD126" s="97">
        <f ca="1">harbor_towers_cap*(1-EXP(-AM126/(harbor_towers_param*($A127-Explore!$S127*20)+15000)))*(1+(mason_bonus*Construction!BB126/Construction!BS126))+IF(Overview!$B$14="Beastfolk",Construction!DE126/Construction!E126)*(1 + Production!O126/100*prestige_pop_multiplier)</f>
        <v>0</v>
      </c>
      <c r="AE126" s="97">
        <f ca="1">armory_cap*(1-EXP(-AN126/(armory_param*($A127-Explore!$S127*20)+15000)))*(1+(mason_bonus*Construction!$BB126/Construction!$BS126))</f>
        <v>0</v>
      </c>
      <c r="AF126" s="97">
        <f ca="1">infirmary_cap*(1-EXP(-AO126/(infirmary_param*($A127-Explore!$S127*20)+15000)))*(1+(mason_bonus*Construction!$BB126/Construction!$BS126))</f>
        <v>0</v>
      </c>
      <c r="AH126" s="56">
        <f ca="1">(1+Overview!$O$28+IF(Magic!BA126&gt;0,0.1,0))*SUM(AV126:AY126) + AH125</f>
        <v>0</v>
      </c>
      <c r="AI126" s="26">
        <f ca="1">(1+Overview!$O$28+IF(Magic!BA126&gt;0,0.1,0))*SUM(BA126:BD126) + AI125</f>
        <v>0</v>
      </c>
      <c r="AJ126" s="164">
        <f ca="1">(1+Overview!$O$28+IF(Magic!BA126&gt;0,0.1,0))*SUM(BF126:BI126) + AJ125</f>
        <v>0</v>
      </c>
      <c r="AK126" s="164">
        <f ca="1">(1+Overview!$O$28+IF(Magic!BA126&gt;0,0.1,0))*SUM(BK126:BN126) + AK125</f>
        <v>0</v>
      </c>
      <c r="AL126" s="164">
        <f ca="1">(1+Overview!$O$28+IF(Magic!BA126&gt;0,0.1,0))*SUM(BP126:BS126) + AL125</f>
        <v>0</v>
      </c>
      <c r="AM126" s="166">
        <f ca="1">(1+Overview!$O$28+IF(Magic!BA126&gt;0,0.1,0))*SUM(BU126:BX126) + AM125</f>
        <v>0</v>
      </c>
      <c r="AN126" s="166">
        <f ca="1">(1+Overview!$O$28+IF(Magic!BA126&gt;0,0.1,0))*SUM(BZ126:CC126)+AN125</f>
        <v>0</v>
      </c>
      <c r="AO126" s="164">
        <f ca="1">(1+Overview!$O$28+IF(Magic!BA126&gt;0,0.1,0))*SUM(CE126:CH126)+AO125</f>
        <v>0</v>
      </c>
      <c r="AQ126" s="52">
        <f t="shared" si="69"/>
        <v>0</v>
      </c>
      <c r="AR126" s="16">
        <f t="shared" si="69"/>
        <v>0</v>
      </c>
      <c r="AS126" s="16">
        <f t="shared" si="69"/>
        <v>0</v>
      </c>
      <c r="AT126" s="53">
        <f t="shared" si="69"/>
        <v>0</v>
      </c>
      <c r="AV126" s="56">
        <f t="shared" si="47"/>
        <v>0</v>
      </c>
      <c r="AW126" s="26">
        <f t="shared" si="70"/>
        <v>0</v>
      </c>
      <c r="AX126" s="26">
        <f t="shared" si="70"/>
        <v>0</v>
      </c>
      <c r="AY126" s="57">
        <f t="shared" si="48"/>
        <v>0</v>
      </c>
      <c r="BA126" s="56">
        <f t="shared" si="49"/>
        <v>0</v>
      </c>
      <c r="BB126" s="26">
        <f t="shared" si="71"/>
        <v>0</v>
      </c>
      <c r="BC126" s="26">
        <f t="shared" si="71"/>
        <v>0</v>
      </c>
      <c r="BD126" s="57">
        <f t="shared" si="50"/>
        <v>0</v>
      </c>
      <c r="BF126" s="56">
        <f t="shared" si="51"/>
        <v>0</v>
      </c>
      <c r="BG126" s="26">
        <f t="shared" si="52"/>
        <v>0</v>
      </c>
      <c r="BH126" s="26">
        <f t="shared" si="68"/>
        <v>0</v>
      </c>
      <c r="BI126" s="57">
        <f t="shared" si="53"/>
        <v>0</v>
      </c>
      <c r="BK126" s="56">
        <f t="shared" si="54"/>
        <v>0</v>
      </c>
      <c r="BL126" s="26">
        <f t="shared" si="72"/>
        <v>0</v>
      </c>
      <c r="BM126" s="26">
        <f t="shared" si="72"/>
        <v>0</v>
      </c>
      <c r="BN126" s="57">
        <f t="shared" si="55"/>
        <v>0</v>
      </c>
      <c r="BP126" s="56">
        <f t="shared" si="56"/>
        <v>0</v>
      </c>
      <c r="BQ126" s="26">
        <f t="shared" si="73"/>
        <v>0</v>
      </c>
      <c r="BR126" s="26">
        <f t="shared" si="73"/>
        <v>0</v>
      </c>
      <c r="BS126" s="57">
        <f t="shared" si="57"/>
        <v>0</v>
      </c>
      <c r="BU126" s="56">
        <f>IF($O126=BU$2,IF($Q126=$AD$2,$P126)) + IF($R126=BU$2,IF($T126=$AD$2,$S126)) + IF($U126=BU$2,IF($W126=$AD$2,$V126))</f>
        <v>0</v>
      </c>
      <c r="BV126" s="26">
        <f>IF($O126=BV$2,IF($Q126=$AD$2,2*$P126)) + IF($R126=BV$2,IF($T126=$AD$2,2*$S126)) + IF($U126=BV$2,IF($W126=$AD$2,2*$V126))</f>
        <v>0</v>
      </c>
      <c r="BW126" s="26">
        <f>IF($O126=BW$2,IF($Q126=$AD$2,2*$P126)) + IF($R126=BW$2,IF($T126=$AD$2,2*$S126)) + IF($U126=BW$2,IF($W126=$AD$2,2*$V126))</f>
        <v>0</v>
      </c>
      <c r="BX126" s="57">
        <f>IF($O126=BX$2,IF($Q126=$AD$2,12*$P126)) + IF($R126=BX$2,IF($T126=$AD$2,12*$S126)) + IF($U126=BX$2,IF($W126=$AD$2,12*$V126))</f>
        <v>0</v>
      </c>
      <c r="BZ126" s="56">
        <f>IF($O126=BZ$2,IF($Q126=Armory,$P126)) + IF($R126=BZ$2,IF($T126=Armory,$S126)) + IF($U126=BZ$2,IF($W126=Armory,$V126))</f>
        <v>0</v>
      </c>
      <c r="CA126" s="26">
        <f>IF($O126=CA$2,IF($Q126=Armory,2*$P126)) + IF($R126=CA$2,IF($T126=Armory,2*$S126)) + IF($U126=CA$2,IF($W126=Armory,2*$V126))</f>
        <v>0</v>
      </c>
      <c r="CB126" s="26">
        <f>IF($O126=CB$2,IF($Q126=Armory,2*$P126)) + IF($R126=CB$2,IF($T126=Armory,2*$S126)) + IF($U126=CB$2,IF($W126=Armory,2*$V126))</f>
        <v>0</v>
      </c>
      <c r="CC126" s="57">
        <f>IF($O126=CC$2,IF($Q126=Armory,12*$P126)) + IF($R126=CC$2,IF($T126=Armory,12*$S126)) + IF($U126=CC$2,IF($W126=Armory,12*$V126))</f>
        <v>0</v>
      </c>
      <c r="CE126" s="56">
        <f>IF($O126=CE$2,IF($Q126=Infirmary,$P126)) + IF($R126=CE$2,IF($T126=Infirmary,$S126)) + IF($U126=CE$2,IF($W126=Infirmary,$V126))</f>
        <v>0</v>
      </c>
      <c r="CF126" s="26">
        <f>IF($O126=CF$2,IF($Q126=Infirmary,2*$P126)) + IF($R126=CF$2,IF($T126=Infirmary,2*$S126)) + IF($U126=CF$2,IF($W126=Infirmary,2*$V126))</f>
        <v>0</v>
      </c>
      <c r="CG126" s="26">
        <f>IF($O126=CG$2,IF($Q126=Infirmary,2*$P126)) + IF($R126=CG$2,IF($T126=Infirmary,2*$S126)) + IF($U126=CG$2,IF($W126=Infirmary,2*$V126))</f>
        <v>0</v>
      </c>
      <c r="CH126" s="57">
        <f>IF($O126=CH$2,IF($Q126=Infirmary,12*$P126)) + IF($R126=CH$2,IF($T126=Infirmary,12*$S126)) + IF($U126=CH$2,IF($W126=Infirmary,12*$V126))</f>
        <v>0</v>
      </c>
      <c r="CJ126" s="52" t="e">
        <f>OR(Production!C126,Construction!N126:'Construction'!AF126,Construction!BV126:CN126,Explore!S126:Z126,Military!AF126:AL126,Military!X126,Military!BE126:BL126,Rezone!L126:R126,Magic!G126:Q126)</f>
        <v>#VALUE!</v>
      </c>
      <c r="CK126" s="525">
        <f>M126</f>
        <v>0</v>
      </c>
      <c r="CL126" s="525"/>
      <c r="CM126" s="555">
        <f t="shared" si="59"/>
        <v>43769.281249999702</v>
      </c>
      <c r="CN126" s="563">
        <f t="shared" si="60"/>
        <v>43769.114583333037</v>
      </c>
      <c r="CO126" s="527"/>
      <c r="CP126" s="803"/>
      <c r="CQ126" s="808"/>
    </row>
    <row r="127" spans="1:95" s="16" customFormat="1" x14ac:dyDescent="0.25">
      <c r="A127" s="511">
        <f>Construction!E127</f>
        <v>1000</v>
      </c>
      <c r="C127" s="56">
        <f ca="1">Production!H127</f>
        <v>5095003</v>
      </c>
      <c r="D127" s="26">
        <f ca="1">Production!J127</f>
        <v>280196</v>
      </c>
      <c r="E127" s="26">
        <f ca="1">Production!L127</f>
        <v>300000</v>
      </c>
      <c r="F127" s="57">
        <f ca="1">Production!M127</f>
        <v>20000</v>
      </c>
      <c r="G127" s="26"/>
      <c r="H127" s="56">
        <f ca="1">Military!Z127</f>
        <v>5295</v>
      </c>
      <c r="I127" s="538">
        <f ca="1">Population!I127</f>
        <v>1</v>
      </c>
      <c r="J127" s="165">
        <f ca="1">Population!F127/Population!U127</f>
        <v>1</v>
      </c>
      <c r="K127" s="1000">
        <f>Rezone!J127</f>
        <v>125</v>
      </c>
      <c r="L127" s="582">
        <f t="shared" si="58"/>
        <v>43769.291666666366</v>
      </c>
      <c r="M127" s="316">
        <f t="shared" si="67"/>
        <v>0</v>
      </c>
      <c r="N127" s="638">
        <f t="shared" si="46"/>
        <v>1000</v>
      </c>
      <c r="O127" s="423" t="s">
        <v>4</v>
      </c>
      <c r="P127" s="370"/>
      <c r="Q127" s="424" t="s">
        <v>223</v>
      </c>
      <c r="R127" s="423" t="s">
        <v>7</v>
      </c>
      <c r="S127" s="370"/>
      <c r="T127" s="425" t="s">
        <v>223</v>
      </c>
      <c r="U127" s="424" t="s">
        <v>3</v>
      </c>
      <c r="V127" s="370"/>
      <c r="W127" s="425" t="s">
        <v>223</v>
      </c>
      <c r="Y127" s="522">
        <f ca="1">science_cap*(1-EXP(-AH127/(science_param*($A128-Explore!$S128*20)+15000)))*(1+(mason_bonus*Construction!BB127/Construction!BS127))+IF(Overview!$B$14="Beastfolk",Construction!DA127/Construction!E127,0)*(1 + Production!O127/100*prestige_pop_multiplier)</f>
        <v>0</v>
      </c>
      <c r="Z127" s="284">
        <f ca="1">keep_cap*(1-EXP(-AI127/(keep_param*($A128-Explore!$S128*20)+15000)))*(1+(mason_bonus*Construction!BB127/Construction!BS127))+IF(Overview!$B$14="Beastfolk",Construction!DF127/Construction!E127,0)*(1 + Production!O127/100*prestige_pop_multiplier)</f>
        <v>0</v>
      </c>
      <c r="AA127" s="284">
        <f ca="1">harbor_towers_cap*(1-EXP(-AJ127/(harbor_towers_param*($A128-Explore!$S128*20)+15000)))*(1+(mason_bonus*Construction!BB127/Construction!BS127))+IF(Overview!$B$14="Beastfolk",2*Construction!DC127/Construction!E127,0)*(1 + Production!O127/100*prestige_pop_multiplier)</f>
        <v>0</v>
      </c>
      <c r="AB127" s="284">
        <f ca="1">walls_forges_cap*(1-EXP(-AK127/(walls_forges_param*($A128-Explore!$S128*20)+15000)))*(1+(mason_bonus*Construction!BB127/Construction!BS127))+IF(Overview!$B$14="Beastfolk",0.2*Construction!CY127/Construction!E127,0)</f>
        <v>0</v>
      </c>
      <c r="AC127" s="284">
        <f ca="1">walls_forges_cap*(1-EXP(-AL127/(walls_forges_param*($A128-Explore!$S128*20)+15000)))*(1+(mason_bonus*Construction!BB127/Construction!BS127))+IF(Overview!$B$14="Beastfolk",5*Construction!DB127/Construction!E127,0)</f>
        <v>0</v>
      </c>
      <c r="AD127" s="97">
        <f ca="1">harbor_towers_cap*(1-EXP(-AM127/(harbor_towers_param*($A128-Explore!$S128*20)+15000)))*(1+(mason_bonus*Construction!BB127/Construction!BS127))+IF(Overview!$B$14="Beastfolk",Construction!DE127/Construction!E127)*(1 + Production!O127/100*prestige_pop_multiplier)</f>
        <v>0</v>
      </c>
      <c r="AE127" s="97">
        <f ca="1">armory_cap*(1-EXP(-AN127/(armory_param*($A128-Explore!$S128*20)+15000)))*(1+(mason_bonus*Construction!$BB127/Construction!$BS127))</f>
        <v>0</v>
      </c>
      <c r="AF127" s="97">
        <f ca="1">infirmary_cap*(1-EXP(-AO127/(infirmary_param*($A128-Explore!$S128*20)+15000)))*(1+(mason_bonus*Construction!$BB127/Construction!$BS127))</f>
        <v>0</v>
      </c>
      <c r="AH127" s="56">
        <f ca="1">(1+Overview!$O$28+IF(Magic!BA127&gt;0,0.1,0))*SUM(AV127:AY127) + AH126</f>
        <v>0</v>
      </c>
      <c r="AI127" s="26">
        <f ca="1">(1+Overview!$O$28+IF(Magic!BA127&gt;0,0.1,0))*SUM(BA127:BD127) + AI126</f>
        <v>0</v>
      </c>
      <c r="AJ127" s="164">
        <f ca="1">(1+Overview!$O$28+IF(Magic!BA127&gt;0,0.1,0))*SUM(BF127:BI127) + AJ126</f>
        <v>0</v>
      </c>
      <c r="AK127" s="164">
        <f ca="1">(1+Overview!$O$28+IF(Magic!BA127&gt;0,0.1,0))*SUM(BK127:BN127) + AK126</f>
        <v>0</v>
      </c>
      <c r="AL127" s="164">
        <f ca="1">(1+Overview!$O$28+IF(Magic!BA127&gt;0,0.1,0))*SUM(BP127:BS127) + AL126</f>
        <v>0</v>
      </c>
      <c r="AM127" s="166">
        <f ca="1">(1+Overview!$O$28+IF(Magic!BA127&gt;0,0.1,0))*SUM(BU127:BX127) + AM126</f>
        <v>0</v>
      </c>
      <c r="AN127" s="166">
        <f ca="1">(1+Overview!$O$28+IF(Magic!BA127&gt;0,0.1,0))*SUM(BZ127:CC127)+AN126</f>
        <v>0</v>
      </c>
      <c r="AO127" s="164">
        <f ca="1">(1+Overview!$O$28+IF(Magic!BA127&gt;0,0.1,0))*SUM(CE127:CH127)+AO126</f>
        <v>0</v>
      </c>
      <c r="AQ127" s="52">
        <f t="shared" si="69"/>
        <v>0</v>
      </c>
      <c r="AR127" s="16">
        <f t="shared" si="69"/>
        <v>0</v>
      </c>
      <c r="AS127" s="16">
        <f t="shared" si="69"/>
        <v>0</v>
      </c>
      <c r="AT127" s="53">
        <f t="shared" si="69"/>
        <v>0</v>
      </c>
      <c r="AV127" s="56">
        <f t="shared" si="47"/>
        <v>0</v>
      </c>
      <c r="AW127" s="26">
        <f t="shared" si="70"/>
        <v>0</v>
      </c>
      <c r="AX127" s="26">
        <f t="shared" si="70"/>
        <v>0</v>
      </c>
      <c r="AY127" s="57">
        <f t="shared" si="48"/>
        <v>0</v>
      </c>
      <c r="BA127" s="56">
        <f t="shared" si="49"/>
        <v>0</v>
      </c>
      <c r="BB127" s="26">
        <f t="shared" si="71"/>
        <v>0</v>
      </c>
      <c r="BC127" s="26">
        <f t="shared" si="71"/>
        <v>0</v>
      </c>
      <c r="BD127" s="57">
        <f t="shared" si="50"/>
        <v>0</v>
      </c>
      <c r="BF127" s="56">
        <f t="shared" si="51"/>
        <v>0</v>
      </c>
      <c r="BG127" s="26">
        <f t="shared" si="52"/>
        <v>0</v>
      </c>
      <c r="BH127" s="26">
        <f t="shared" si="68"/>
        <v>0</v>
      </c>
      <c r="BI127" s="57">
        <f t="shared" si="53"/>
        <v>0</v>
      </c>
      <c r="BK127" s="56">
        <f t="shared" si="54"/>
        <v>0</v>
      </c>
      <c r="BL127" s="26">
        <f t="shared" si="72"/>
        <v>0</v>
      </c>
      <c r="BM127" s="26">
        <f t="shared" si="72"/>
        <v>0</v>
      </c>
      <c r="BN127" s="57">
        <f t="shared" si="55"/>
        <v>0</v>
      </c>
      <c r="BP127" s="56">
        <f t="shared" si="56"/>
        <v>0</v>
      </c>
      <c r="BQ127" s="26">
        <f t="shared" si="73"/>
        <v>0</v>
      </c>
      <c r="BR127" s="26">
        <f t="shared" si="73"/>
        <v>0</v>
      </c>
      <c r="BS127" s="57">
        <f t="shared" si="57"/>
        <v>0</v>
      </c>
      <c r="BU127" s="56">
        <f>IF($O127=BU$2,IF($Q127=$AD$2,$P127)) + IF($R127=BU$2,IF($T127=$AD$2,$S127)) + IF($U127=BU$2,IF($W127=$AD$2,$V127))</f>
        <v>0</v>
      </c>
      <c r="BV127" s="26">
        <f>IF($O127=BV$2,IF($Q127=$AD$2,2*$P127)) + IF($R127=BV$2,IF($T127=$AD$2,2*$S127)) + IF($U127=BV$2,IF($W127=$AD$2,2*$V127))</f>
        <v>0</v>
      </c>
      <c r="BW127" s="26">
        <f>IF($O127=BW$2,IF($Q127=$AD$2,2*$P127)) + IF($R127=BW$2,IF($T127=$AD$2,2*$S127)) + IF($U127=BW$2,IF($W127=$AD$2,2*$V127))</f>
        <v>0</v>
      </c>
      <c r="BX127" s="57">
        <f>IF($O127=BX$2,IF($Q127=$AD$2,12*$P127)) + IF($R127=BX$2,IF($T127=$AD$2,12*$S127)) + IF($U127=BX$2,IF($W127=$AD$2,12*$V127))</f>
        <v>0</v>
      </c>
      <c r="BZ127" s="56">
        <f>IF($O127=BZ$2,IF($Q127=Armory,$P127)) + IF($R127=BZ$2,IF($T127=Armory,$S127)) + IF($U127=BZ$2,IF($W127=Armory,$V127))</f>
        <v>0</v>
      </c>
      <c r="CA127" s="26">
        <f>IF($O127=CA$2,IF($Q127=Armory,2*$P127)) + IF($R127=CA$2,IF($T127=Armory,2*$S127)) + IF($U127=CA$2,IF($W127=Armory,2*$V127))</f>
        <v>0</v>
      </c>
      <c r="CB127" s="26">
        <f>IF($O127=CB$2,IF($Q127=Armory,2*$P127)) + IF($R127=CB$2,IF($T127=Armory,2*$S127)) + IF($U127=CB$2,IF($W127=Armory,2*$V127))</f>
        <v>0</v>
      </c>
      <c r="CC127" s="57">
        <f>IF($O127=CC$2,IF($Q127=Armory,12*$P127)) + IF($R127=CC$2,IF($T127=Armory,12*$S127)) + IF($U127=CC$2,IF($W127=Armory,12*$V127))</f>
        <v>0</v>
      </c>
      <c r="CE127" s="56">
        <f>IF($O127=CE$2,IF($Q127=Infirmary,$P127)) + IF($R127=CE$2,IF($T127=Infirmary,$S127)) + IF($U127=CE$2,IF($W127=Infirmary,$V127))</f>
        <v>0</v>
      </c>
      <c r="CF127" s="26">
        <f>IF($O127=CF$2,IF($Q127=Infirmary,2*$P127)) + IF($R127=CF$2,IF($T127=Infirmary,2*$S127)) + IF($U127=CF$2,IF($W127=Infirmary,2*$V127))</f>
        <v>0</v>
      </c>
      <c r="CG127" s="26">
        <f>IF($O127=CG$2,IF($Q127=Infirmary,2*$P127)) + IF($R127=CG$2,IF($T127=Infirmary,2*$S127)) + IF($U127=CG$2,IF($W127=Infirmary,2*$V127))</f>
        <v>0</v>
      </c>
      <c r="CH127" s="57">
        <f>IF($O127=CH$2,IF($Q127=Infirmary,12*$P127)) + IF($R127=CH$2,IF($T127=Infirmary,12*$S127)) + IF($U127=CH$2,IF($W127=Infirmary,12*$V127))</f>
        <v>0</v>
      </c>
      <c r="CJ127" s="52" t="e">
        <f>OR(Production!C127,Construction!N127:'Construction'!AF127,Construction!BV127:CN127,Explore!S127:Z127,Military!AF127:AL127,Military!X127,Military!BE127:BL127,Rezone!L127:R127,Magic!G127:Q127)</f>
        <v>#VALUE!</v>
      </c>
      <c r="CK127" s="525">
        <f>M127</f>
        <v>0</v>
      </c>
      <c r="CL127" s="525"/>
      <c r="CM127" s="555">
        <f t="shared" si="59"/>
        <v>43769.291666666366</v>
      </c>
      <c r="CN127" s="563">
        <f t="shared" si="60"/>
        <v>43769.124999999702</v>
      </c>
      <c r="CO127" s="527"/>
      <c r="CP127" s="803"/>
      <c r="CQ127" s="808"/>
    </row>
    <row r="128" spans="1:95" s="16" customFormat="1" x14ac:dyDescent="0.25">
      <c r="A128" s="511">
        <f>Construction!E128</f>
        <v>1000</v>
      </c>
      <c r="C128" s="56">
        <f ca="1">Production!H128</f>
        <v>5099984</v>
      </c>
      <c r="D128" s="26">
        <f ca="1">Production!J128</f>
        <v>279894</v>
      </c>
      <c r="E128" s="26">
        <f ca="1">Production!L128</f>
        <v>300000</v>
      </c>
      <c r="F128" s="57">
        <f ca="1">Production!M128</f>
        <v>20000</v>
      </c>
      <c r="G128" s="26"/>
      <c r="H128" s="56">
        <f ca="1">Military!Z128</f>
        <v>5295</v>
      </c>
      <c r="I128" s="538">
        <f ca="1">Population!I128</f>
        <v>1</v>
      </c>
      <c r="J128" s="165">
        <f ca="1">Population!F128/Population!U128</f>
        <v>1</v>
      </c>
      <c r="K128" s="1000">
        <f>Rezone!J128</f>
        <v>126</v>
      </c>
      <c r="L128" s="582">
        <f t="shared" si="58"/>
        <v>43769.30208333303</v>
      </c>
      <c r="M128" s="316">
        <f t="shared" si="67"/>
        <v>0</v>
      </c>
      <c r="N128" s="638">
        <f t="shared" si="46"/>
        <v>1000</v>
      </c>
      <c r="O128" s="423" t="s">
        <v>4</v>
      </c>
      <c r="P128" s="370"/>
      <c r="Q128" s="424" t="s">
        <v>223</v>
      </c>
      <c r="R128" s="423" t="s">
        <v>7</v>
      </c>
      <c r="S128" s="370"/>
      <c r="T128" s="425" t="s">
        <v>223</v>
      </c>
      <c r="U128" s="424" t="s">
        <v>3</v>
      </c>
      <c r="V128" s="370"/>
      <c r="W128" s="425" t="s">
        <v>223</v>
      </c>
      <c r="Y128" s="522">
        <f ca="1">science_cap*(1-EXP(-AH128/(science_param*($A129-Explore!$S129*20)+15000)))*(1+(mason_bonus*Construction!BB128/Construction!BS128))+IF(Overview!$B$14="Beastfolk",Construction!DA128/Construction!E128,0)*(1 + Production!O128/100*prestige_pop_multiplier)</f>
        <v>0</v>
      </c>
      <c r="Z128" s="284">
        <f ca="1">keep_cap*(1-EXP(-AI128/(keep_param*($A129-Explore!$S129*20)+15000)))*(1+(mason_bonus*Construction!BB128/Construction!BS128))+IF(Overview!$B$14="Beastfolk",Construction!DF128/Construction!E128,0)*(1 + Production!O128/100*prestige_pop_multiplier)</f>
        <v>0</v>
      </c>
      <c r="AA128" s="284">
        <f ca="1">harbor_towers_cap*(1-EXP(-AJ128/(harbor_towers_param*($A129-Explore!$S129*20)+15000)))*(1+(mason_bonus*Construction!BB128/Construction!BS128))+IF(Overview!$B$14="Beastfolk",2*Construction!DC128/Construction!E128,0)*(1 + Production!O128/100*prestige_pop_multiplier)</f>
        <v>0</v>
      </c>
      <c r="AB128" s="284">
        <f ca="1">walls_forges_cap*(1-EXP(-AK128/(walls_forges_param*($A129-Explore!$S129*20)+15000)))*(1+(mason_bonus*Construction!BB128/Construction!BS128))+IF(Overview!$B$14="Beastfolk",0.2*Construction!CY128/Construction!E128,0)</f>
        <v>0</v>
      </c>
      <c r="AC128" s="284">
        <f ca="1">walls_forges_cap*(1-EXP(-AL128/(walls_forges_param*($A129-Explore!$S129*20)+15000)))*(1+(mason_bonus*Construction!BB128/Construction!BS128))+IF(Overview!$B$14="Beastfolk",5*Construction!DB128/Construction!E128,0)</f>
        <v>0</v>
      </c>
      <c r="AD128" s="97">
        <f ca="1">harbor_towers_cap*(1-EXP(-AM128/(harbor_towers_param*($A129-Explore!$S129*20)+15000)))*(1+(mason_bonus*Construction!BB128/Construction!BS128))+IF(Overview!$B$14="Beastfolk",Construction!DE128/Construction!E128)*(1 + Production!O128/100*prestige_pop_multiplier)</f>
        <v>0</v>
      </c>
      <c r="AE128" s="97">
        <f ca="1">armory_cap*(1-EXP(-AN128/(armory_param*($A129-Explore!$S129*20)+15000)))*(1+(mason_bonus*Construction!$BB128/Construction!$BS128))</f>
        <v>0</v>
      </c>
      <c r="AF128" s="97">
        <f ca="1">infirmary_cap*(1-EXP(-AO128/(infirmary_param*($A129-Explore!$S129*20)+15000)))*(1+(mason_bonus*Construction!$BB128/Construction!$BS128))</f>
        <v>0</v>
      </c>
      <c r="AH128" s="56">
        <f ca="1">(1+Overview!$O$28+IF(Magic!BA128&gt;0,0.1,0))*SUM(AV128:AY128) + AH127</f>
        <v>0</v>
      </c>
      <c r="AI128" s="26">
        <f ca="1">(1+Overview!$O$28+IF(Magic!BA128&gt;0,0.1,0))*SUM(BA128:BD128) + AI127</f>
        <v>0</v>
      </c>
      <c r="AJ128" s="164">
        <f ca="1">(1+Overview!$O$28+IF(Magic!BA128&gt;0,0.1,0))*SUM(BF128:BI128) + AJ127</f>
        <v>0</v>
      </c>
      <c r="AK128" s="164">
        <f ca="1">(1+Overview!$O$28+IF(Magic!BA128&gt;0,0.1,0))*SUM(BK128:BN128) + AK127</f>
        <v>0</v>
      </c>
      <c r="AL128" s="164">
        <f ca="1">(1+Overview!$O$28+IF(Magic!BA128&gt;0,0.1,0))*SUM(BP128:BS128) + AL127</f>
        <v>0</v>
      </c>
      <c r="AM128" s="166">
        <f ca="1">(1+Overview!$O$28+IF(Magic!BA128&gt;0,0.1,0))*SUM(BU128:BX128) + AM127</f>
        <v>0</v>
      </c>
      <c r="AN128" s="166">
        <f ca="1">(1+Overview!$O$28+IF(Magic!BA128&gt;0,0.1,0))*SUM(BZ128:CC128)+AN127</f>
        <v>0</v>
      </c>
      <c r="AO128" s="164">
        <f ca="1">(1+Overview!$O$28+IF(Magic!BA128&gt;0,0.1,0))*SUM(CE128:CH128)+AO127</f>
        <v>0</v>
      </c>
      <c r="AQ128" s="52">
        <f t="shared" si="69"/>
        <v>0</v>
      </c>
      <c r="AR128" s="16">
        <f t="shared" si="69"/>
        <v>0</v>
      </c>
      <c r="AS128" s="16">
        <f t="shared" si="69"/>
        <v>0</v>
      </c>
      <c r="AT128" s="53">
        <f t="shared" si="69"/>
        <v>0</v>
      </c>
      <c r="AV128" s="56">
        <f t="shared" si="47"/>
        <v>0</v>
      </c>
      <c r="AW128" s="26">
        <f t="shared" si="70"/>
        <v>0</v>
      </c>
      <c r="AX128" s="26">
        <f t="shared" si="70"/>
        <v>0</v>
      </c>
      <c r="AY128" s="57">
        <f t="shared" si="48"/>
        <v>0</v>
      </c>
      <c r="BA128" s="56">
        <f t="shared" si="49"/>
        <v>0</v>
      </c>
      <c r="BB128" s="26">
        <f t="shared" si="71"/>
        <v>0</v>
      </c>
      <c r="BC128" s="26">
        <f t="shared" si="71"/>
        <v>0</v>
      </c>
      <c r="BD128" s="57">
        <f t="shared" si="50"/>
        <v>0</v>
      </c>
      <c r="BF128" s="56">
        <f t="shared" si="51"/>
        <v>0</v>
      </c>
      <c r="BG128" s="26">
        <f t="shared" si="52"/>
        <v>0</v>
      </c>
      <c r="BH128" s="26">
        <f t="shared" si="68"/>
        <v>0</v>
      </c>
      <c r="BI128" s="57">
        <f t="shared" si="53"/>
        <v>0</v>
      </c>
      <c r="BK128" s="56">
        <f t="shared" si="54"/>
        <v>0</v>
      </c>
      <c r="BL128" s="26">
        <f t="shared" si="72"/>
        <v>0</v>
      </c>
      <c r="BM128" s="26">
        <f t="shared" si="72"/>
        <v>0</v>
      </c>
      <c r="BN128" s="57">
        <f t="shared" si="55"/>
        <v>0</v>
      </c>
      <c r="BP128" s="56">
        <f t="shared" si="56"/>
        <v>0</v>
      </c>
      <c r="BQ128" s="26">
        <f t="shared" si="73"/>
        <v>0</v>
      </c>
      <c r="BR128" s="26">
        <f t="shared" si="73"/>
        <v>0</v>
      </c>
      <c r="BS128" s="57">
        <f t="shared" si="57"/>
        <v>0</v>
      </c>
      <c r="BU128" s="56">
        <f>IF($O128=BU$2,IF($Q128=$AD$2,$P128)) + IF($R128=BU$2,IF($T128=$AD$2,$S128)) + IF($U128=BU$2,IF($W128=$AD$2,$V128))</f>
        <v>0</v>
      </c>
      <c r="BV128" s="26">
        <f>IF($O128=BV$2,IF($Q128=$AD$2,2*$P128)) + IF($R128=BV$2,IF($T128=$AD$2,2*$S128)) + IF($U128=BV$2,IF($W128=$AD$2,2*$V128))</f>
        <v>0</v>
      </c>
      <c r="BW128" s="26">
        <f>IF($O128=BW$2,IF($Q128=$AD$2,2*$P128)) + IF($R128=BW$2,IF($T128=$AD$2,2*$S128)) + IF($U128=BW$2,IF($W128=$AD$2,2*$V128))</f>
        <v>0</v>
      </c>
      <c r="BX128" s="57">
        <f>IF($O128=BX$2,IF($Q128=$AD$2,12*$P128)) + IF($R128=BX$2,IF($T128=$AD$2,12*$S128)) + IF($U128=BX$2,IF($W128=$AD$2,12*$V128))</f>
        <v>0</v>
      </c>
      <c r="BZ128" s="56">
        <f>IF($O128=BZ$2,IF($Q128=Armory,$P128)) + IF($R128=BZ$2,IF($T128=Armory,$S128)) + IF($U128=BZ$2,IF($W128=Armory,$V128))</f>
        <v>0</v>
      </c>
      <c r="CA128" s="26">
        <f>IF($O128=CA$2,IF($Q128=Armory,2*$P128)) + IF($R128=CA$2,IF($T128=Armory,2*$S128)) + IF($U128=CA$2,IF($W128=Armory,2*$V128))</f>
        <v>0</v>
      </c>
      <c r="CB128" s="26">
        <f>IF($O128=CB$2,IF($Q128=Armory,2*$P128)) + IF($R128=CB$2,IF($T128=Armory,2*$S128)) + IF($U128=CB$2,IF($W128=Armory,2*$V128))</f>
        <v>0</v>
      </c>
      <c r="CC128" s="57">
        <f>IF($O128=CC$2,IF($Q128=Armory,12*$P128)) + IF($R128=CC$2,IF($T128=Armory,12*$S128)) + IF($U128=CC$2,IF($W128=Armory,12*$V128))</f>
        <v>0</v>
      </c>
      <c r="CE128" s="56">
        <f>IF($O128=CE$2,IF($Q128=Infirmary,$P128)) + IF($R128=CE$2,IF($T128=Infirmary,$S128)) + IF($U128=CE$2,IF($W128=Infirmary,$V128))</f>
        <v>0</v>
      </c>
      <c r="CF128" s="26">
        <f>IF($O128=CF$2,IF($Q128=Infirmary,2*$P128)) + IF($R128=CF$2,IF($T128=Infirmary,2*$S128)) + IF($U128=CF$2,IF($W128=Infirmary,2*$V128))</f>
        <v>0</v>
      </c>
      <c r="CG128" s="26">
        <f>IF($O128=CG$2,IF($Q128=Infirmary,2*$P128)) + IF($R128=CG$2,IF($T128=Infirmary,2*$S128)) + IF($U128=CG$2,IF($W128=Infirmary,2*$V128))</f>
        <v>0</v>
      </c>
      <c r="CH128" s="57">
        <f>IF($O128=CH$2,IF($Q128=Infirmary,12*$P128)) + IF($R128=CH$2,IF($T128=Infirmary,12*$S128)) + IF($U128=CH$2,IF($W128=Infirmary,12*$V128))</f>
        <v>0</v>
      </c>
      <c r="CJ128" s="52" t="e">
        <f>OR(Production!C128,Construction!N128:'Construction'!AF128,Construction!BV128:CN128,Explore!S128:Z128,Military!AF128:AL128,Military!X128,Military!BE128:BL128,Rezone!L128:R128,Magic!G128:Q128)</f>
        <v>#VALUE!</v>
      </c>
      <c r="CK128" s="525">
        <f>M128</f>
        <v>0</v>
      </c>
      <c r="CL128" s="525"/>
      <c r="CM128" s="555">
        <f t="shared" si="59"/>
        <v>43769.30208333303</v>
      </c>
      <c r="CN128" s="563">
        <f t="shared" si="60"/>
        <v>43769.135416666366</v>
      </c>
      <c r="CO128" s="527"/>
      <c r="CP128" s="803"/>
      <c r="CQ128" s="808"/>
    </row>
    <row r="129" spans="1:95" s="16" customFormat="1" x14ac:dyDescent="0.25">
      <c r="A129" s="511">
        <f>Construction!E129</f>
        <v>1000</v>
      </c>
      <c r="C129" s="56">
        <f ca="1">Production!H129</f>
        <v>5104965</v>
      </c>
      <c r="D129" s="26">
        <f ca="1">Production!J129</f>
        <v>279595</v>
      </c>
      <c r="E129" s="26">
        <f ca="1">Production!L129</f>
        <v>300000</v>
      </c>
      <c r="F129" s="57">
        <f ca="1">Production!M129</f>
        <v>20000</v>
      </c>
      <c r="G129" s="26"/>
      <c r="H129" s="56">
        <f ca="1">Military!Z129</f>
        <v>5295</v>
      </c>
      <c r="I129" s="538">
        <f ca="1">Population!I129</f>
        <v>1</v>
      </c>
      <c r="J129" s="165">
        <f ca="1">Population!F129/Population!U129</f>
        <v>1</v>
      </c>
      <c r="K129" s="1000">
        <f>Rezone!J129</f>
        <v>127</v>
      </c>
      <c r="L129" s="582">
        <f t="shared" si="58"/>
        <v>43769.312499999694</v>
      </c>
      <c r="M129" s="316">
        <f t="shared" si="67"/>
        <v>0</v>
      </c>
      <c r="N129" s="638">
        <f t="shared" si="46"/>
        <v>1000</v>
      </c>
      <c r="O129" s="423" t="s">
        <v>4</v>
      </c>
      <c r="P129" s="370"/>
      <c r="Q129" s="424" t="s">
        <v>223</v>
      </c>
      <c r="R129" s="423" t="s">
        <v>7</v>
      </c>
      <c r="S129" s="370"/>
      <c r="T129" s="425" t="s">
        <v>223</v>
      </c>
      <c r="U129" s="424" t="s">
        <v>3</v>
      </c>
      <c r="V129" s="370"/>
      <c r="W129" s="425" t="s">
        <v>223</v>
      </c>
      <c r="Y129" s="522">
        <f ca="1">science_cap*(1-EXP(-AH129/(science_param*($A130-Explore!$S130*20)+15000)))*(1+(mason_bonus*Construction!BB129/Construction!BS129))+IF(Overview!$B$14="Beastfolk",Construction!DA129/Construction!E129,0)*(1 + Production!O129/100*prestige_pop_multiplier)</f>
        <v>0</v>
      </c>
      <c r="Z129" s="284">
        <f ca="1">keep_cap*(1-EXP(-AI129/(keep_param*($A130-Explore!$S130*20)+15000)))*(1+(mason_bonus*Construction!BB129/Construction!BS129))+IF(Overview!$B$14="Beastfolk",Construction!DF129/Construction!E129,0)*(1 + Production!O129/100*prestige_pop_multiplier)</f>
        <v>0</v>
      </c>
      <c r="AA129" s="284">
        <f ca="1">harbor_towers_cap*(1-EXP(-AJ129/(harbor_towers_param*($A130-Explore!$S130*20)+15000)))*(1+(mason_bonus*Construction!BB129/Construction!BS129))+IF(Overview!$B$14="Beastfolk",2*Construction!DC129/Construction!E129,0)*(1 + Production!O129/100*prestige_pop_multiplier)</f>
        <v>0</v>
      </c>
      <c r="AB129" s="284">
        <f ca="1">walls_forges_cap*(1-EXP(-AK129/(walls_forges_param*($A130-Explore!$S130*20)+15000)))*(1+(mason_bonus*Construction!BB129/Construction!BS129))+IF(Overview!$B$14="Beastfolk",0.2*Construction!CY129/Construction!E129,0)</f>
        <v>0</v>
      </c>
      <c r="AC129" s="284">
        <f ca="1">walls_forges_cap*(1-EXP(-AL129/(walls_forges_param*($A130-Explore!$S130*20)+15000)))*(1+(mason_bonus*Construction!BB129/Construction!BS129))+IF(Overview!$B$14="Beastfolk",5*Construction!DB129/Construction!E129,0)</f>
        <v>0</v>
      </c>
      <c r="AD129" s="97">
        <f ca="1">harbor_towers_cap*(1-EXP(-AM129/(harbor_towers_param*($A130-Explore!$S130*20)+15000)))*(1+(mason_bonus*Construction!BB129/Construction!BS129))+IF(Overview!$B$14="Beastfolk",Construction!DE129/Construction!E129)*(1 + Production!O129/100*prestige_pop_multiplier)</f>
        <v>0</v>
      </c>
      <c r="AE129" s="97">
        <f ca="1">armory_cap*(1-EXP(-AN129/(armory_param*($A130-Explore!$S130*20)+15000)))*(1+(mason_bonus*Construction!$BB129/Construction!$BS129))</f>
        <v>0</v>
      </c>
      <c r="AF129" s="97">
        <f ca="1">infirmary_cap*(1-EXP(-AO129/(infirmary_param*($A130-Explore!$S130*20)+15000)))*(1+(mason_bonus*Construction!$BB129/Construction!$BS129))</f>
        <v>0</v>
      </c>
      <c r="AH129" s="56">
        <f ca="1">(1+Overview!$O$28+IF(Magic!BA129&gt;0,0.1,0))*SUM(AV129:AY129) + AH128</f>
        <v>0</v>
      </c>
      <c r="AI129" s="26">
        <f ca="1">(1+Overview!$O$28+IF(Magic!BA129&gt;0,0.1,0))*SUM(BA129:BD129) + AI128</f>
        <v>0</v>
      </c>
      <c r="AJ129" s="164">
        <f ca="1">(1+Overview!$O$28+IF(Magic!BA129&gt;0,0.1,0))*SUM(BF129:BI129) + AJ128</f>
        <v>0</v>
      </c>
      <c r="AK129" s="164">
        <f ca="1">(1+Overview!$O$28+IF(Magic!BA129&gt;0,0.1,0))*SUM(BK129:BN129) + AK128</f>
        <v>0</v>
      </c>
      <c r="AL129" s="164">
        <f ca="1">(1+Overview!$O$28+IF(Magic!BA129&gt;0,0.1,0))*SUM(BP129:BS129) + AL128</f>
        <v>0</v>
      </c>
      <c r="AM129" s="166">
        <f ca="1">(1+Overview!$O$28+IF(Magic!BA129&gt;0,0.1,0))*SUM(BU129:BX129) + AM128</f>
        <v>0</v>
      </c>
      <c r="AN129" s="166">
        <f ca="1">(1+Overview!$O$28+IF(Magic!BA129&gt;0,0.1,0))*SUM(BZ129:CC129)+AN128</f>
        <v>0</v>
      </c>
      <c r="AO129" s="164">
        <f ca="1">(1+Overview!$O$28+IF(Magic!BA129&gt;0,0.1,0))*SUM(CE129:CH129)+AO128</f>
        <v>0</v>
      </c>
      <c r="AQ129" s="52">
        <f t="shared" si="69"/>
        <v>0</v>
      </c>
      <c r="AR129" s="16">
        <f t="shared" si="69"/>
        <v>0</v>
      </c>
      <c r="AS129" s="16">
        <f t="shared" si="69"/>
        <v>0</v>
      </c>
      <c r="AT129" s="53">
        <f t="shared" si="69"/>
        <v>0</v>
      </c>
      <c r="AV129" s="56">
        <f t="shared" si="47"/>
        <v>0</v>
      </c>
      <c r="AW129" s="26">
        <f t="shared" si="70"/>
        <v>0</v>
      </c>
      <c r="AX129" s="26">
        <f t="shared" si="70"/>
        <v>0</v>
      </c>
      <c r="AY129" s="57">
        <f t="shared" si="48"/>
        <v>0</v>
      </c>
      <c r="BA129" s="56">
        <f t="shared" si="49"/>
        <v>0</v>
      </c>
      <c r="BB129" s="26">
        <f t="shared" si="71"/>
        <v>0</v>
      </c>
      <c r="BC129" s="26">
        <f t="shared" si="71"/>
        <v>0</v>
      </c>
      <c r="BD129" s="57">
        <f t="shared" si="50"/>
        <v>0</v>
      </c>
      <c r="BF129" s="56">
        <f t="shared" si="51"/>
        <v>0</v>
      </c>
      <c r="BG129" s="26">
        <f t="shared" si="52"/>
        <v>0</v>
      </c>
      <c r="BH129" s="26">
        <f t="shared" si="68"/>
        <v>0</v>
      </c>
      <c r="BI129" s="57">
        <f t="shared" si="53"/>
        <v>0</v>
      </c>
      <c r="BK129" s="56">
        <f t="shared" si="54"/>
        <v>0</v>
      </c>
      <c r="BL129" s="26">
        <f t="shared" si="72"/>
        <v>0</v>
      </c>
      <c r="BM129" s="26">
        <f t="shared" si="72"/>
        <v>0</v>
      </c>
      <c r="BN129" s="57">
        <f t="shared" si="55"/>
        <v>0</v>
      </c>
      <c r="BP129" s="56">
        <f t="shared" si="56"/>
        <v>0</v>
      </c>
      <c r="BQ129" s="26">
        <f t="shared" si="73"/>
        <v>0</v>
      </c>
      <c r="BR129" s="26">
        <f t="shared" si="73"/>
        <v>0</v>
      </c>
      <c r="BS129" s="57">
        <f t="shared" si="57"/>
        <v>0</v>
      </c>
      <c r="BU129" s="56">
        <f>IF($O129=BU$2,IF($Q129=$AD$2,$P129)) + IF($R129=BU$2,IF($T129=$AD$2,$S129)) + IF($U129=BU$2,IF($W129=$AD$2,$V129))</f>
        <v>0</v>
      </c>
      <c r="BV129" s="26">
        <f>IF($O129=BV$2,IF($Q129=$AD$2,2*$P129)) + IF($R129=BV$2,IF($T129=$AD$2,2*$S129)) + IF($U129=BV$2,IF($W129=$AD$2,2*$V129))</f>
        <v>0</v>
      </c>
      <c r="BW129" s="26">
        <f>IF($O129=BW$2,IF($Q129=$AD$2,2*$P129)) + IF($R129=BW$2,IF($T129=$AD$2,2*$S129)) + IF($U129=BW$2,IF($W129=$AD$2,2*$V129))</f>
        <v>0</v>
      </c>
      <c r="BX129" s="57">
        <f>IF($O129=BX$2,IF($Q129=$AD$2,12*$P129)) + IF($R129=BX$2,IF($T129=$AD$2,12*$S129)) + IF($U129=BX$2,IF($W129=$AD$2,12*$V129))</f>
        <v>0</v>
      </c>
      <c r="BZ129" s="56">
        <f>IF($O129=BZ$2,IF($Q129=Armory,$P129)) + IF($R129=BZ$2,IF($T129=Armory,$S129)) + IF($U129=BZ$2,IF($W129=Armory,$V129))</f>
        <v>0</v>
      </c>
      <c r="CA129" s="26">
        <f>IF($O129=CA$2,IF($Q129=Armory,2*$P129)) + IF($R129=CA$2,IF($T129=Armory,2*$S129)) + IF($U129=CA$2,IF($W129=Armory,2*$V129))</f>
        <v>0</v>
      </c>
      <c r="CB129" s="26">
        <f>IF($O129=CB$2,IF($Q129=Armory,2*$P129)) + IF($R129=CB$2,IF($T129=Armory,2*$S129)) + IF($U129=CB$2,IF($W129=Armory,2*$V129))</f>
        <v>0</v>
      </c>
      <c r="CC129" s="57">
        <f>IF($O129=CC$2,IF($Q129=Armory,12*$P129)) + IF($R129=CC$2,IF($T129=Armory,12*$S129)) + IF($U129=CC$2,IF($W129=Armory,12*$V129))</f>
        <v>0</v>
      </c>
      <c r="CE129" s="56">
        <f>IF($O129=CE$2,IF($Q129=Infirmary,$P129)) + IF($R129=CE$2,IF($T129=Infirmary,$S129)) + IF($U129=CE$2,IF($W129=Infirmary,$V129))</f>
        <v>0</v>
      </c>
      <c r="CF129" s="26">
        <f>IF($O129=CF$2,IF($Q129=Infirmary,2*$P129)) + IF($R129=CF$2,IF($T129=Infirmary,2*$S129)) + IF($U129=CF$2,IF($W129=Infirmary,2*$V129))</f>
        <v>0</v>
      </c>
      <c r="CG129" s="26">
        <f>IF($O129=CG$2,IF($Q129=Infirmary,2*$P129)) + IF($R129=CG$2,IF($T129=Infirmary,2*$S129)) + IF($U129=CG$2,IF($W129=Infirmary,2*$V129))</f>
        <v>0</v>
      </c>
      <c r="CH129" s="57">
        <f>IF($O129=CH$2,IF($Q129=Infirmary,12*$P129)) + IF($R129=CH$2,IF($T129=Infirmary,12*$S129)) + IF($U129=CH$2,IF($W129=Infirmary,12*$V129))</f>
        <v>0</v>
      </c>
      <c r="CJ129" s="52" t="e">
        <f>OR(Production!C129,Construction!N129:'Construction'!AF129,Construction!BV129:CN129,Explore!S129:Z129,Military!AF129:AL129,Military!X129,Military!BE129:BL129,Rezone!L129:R129,Magic!G129:Q129)</f>
        <v>#VALUE!</v>
      </c>
      <c r="CK129" s="525">
        <f>M129</f>
        <v>0</v>
      </c>
      <c r="CL129" s="525"/>
      <c r="CM129" s="555">
        <f t="shared" si="59"/>
        <v>43769.312499999694</v>
      </c>
      <c r="CN129" s="563">
        <f t="shared" si="60"/>
        <v>43769.14583333303</v>
      </c>
      <c r="CO129" s="527"/>
      <c r="CP129" s="803"/>
      <c r="CQ129" s="808"/>
    </row>
    <row r="130" spans="1:95" s="16" customFormat="1" x14ac:dyDescent="0.25">
      <c r="A130" s="511">
        <f>Construction!E130</f>
        <v>1000</v>
      </c>
      <c r="C130" s="56">
        <f ca="1">Production!H130</f>
        <v>5109946</v>
      </c>
      <c r="D130" s="26">
        <f ca="1">Production!J130</f>
        <v>279299</v>
      </c>
      <c r="E130" s="26">
        <f ca="1">Production!L130</f>
        <v>300000</v>
      </c>
      <c r="F130" s="57">
        <f ca="1">Production!M130</f>
        <v>20000</v>
      </c>
      <c r="G130" s="26"/>
      <c r="H130" s="56">
        <f ca="1">Military!Z130</f>
        <v>5295</v>
      </c>
      <c r="I130" s="538">
        <f ca="1">Population!I130</f>
        <v>1</v>
      </c>
      <c r="J130" s="165">
        <f ca="1">Population!F130/Population!U130</f>
        <v>1</v>
      </c>
      <c r="K130" s="1000">
        <f>Rezone!J130</f>
        <v>128</v>
      </c>
      <c r="L130" s="582">
        <f t="shared" si="58"/>
        <v>43769.322916666359</v>
      </c>
      <c r="M130" s="316">
        <f t="shared" si="67"/>
        <v>0</v>
      </c>
      <c r="N130" s="638">
        <f t="shared" si="46"/>
        <v>1000</v>
      </c>
      <c r="O130" s="423" t="s">
        <v>4</v>
      </c>
      <c r="P130" s="370"/>
      <c r="Q130" s="424" t="s">
        <v>223</v>
      </c>
      <c r="R130" s="423" t="s">
        <v>7</v>
      </c>
      <c r="S130" s="370"/>
      <c r="T130" s="425" t="s">
        <v>223</v>
      </c>
      <c r="U130" s="424" t="s">
        <v>3</v>
      </c>
      <c r="V130" s="370"/>
      <c r="W130" s="425" t="s">
        <v>223</v>
      </c>
      <c r="Y130" s="522">
        <f ca="1">science_cap*(1-EXP(-AH130/(science_param*($A131-Explore!$S131*20)+15000)))*(1+(mason_bonus*Construction!BB130/Construction!BS130))+IF(Overview!$B$14="Beastfolk",Construction!DA130/Construction!E130,0)*(1 + Production!O130/100*prestige_pop_multiplier)</f>
        <v>0</v>
      </c>
      <c r="Z130" s="284">
        <f ca="1">keep_cap*(1-EXP(-AI130/(keep_param*($A131-Explore!$S131*20)+15000)))*(1+(mason_bonus*Construction!BB130/Construction!BS130))+IF(Overview!$B$14="Beastfolk",Construction!DF130/Construction!E130,0)*(1 + Production!O130/100*prestige_pop_multiplier)</f>
        <v>0</v>
      </c>
      <c r="AA130" s="284">
        <f ca="1">harbor_towers_cap*(1-EXP(-AJ130/(harbor_towers_param*($A131-Explore!$S131*20)+15000)))*(1+(mason_bonus*Construction!BB130/Construction!BS130))+IF(Overview!$B$14="Beastfolk",2*Construction!DC130/Construction!E130,0)*(1 + Production!O130/100*prestige_pop_multiplier)</f>
        <v>0</v>
      </c>
      <c r="AB130" s="284">
        <f ca="1">walls_forges_cap*(1-EXP(-AK130/(walls_forges_param*($A131-Explore!$S131*20)+15000)))*(1+(mason_bonus*Construction!BB130/Construction!BS130))+IF(Overview!$B$14="Beastfolk",0.2*Construction!CY130/Construction!E130,0)</f>
        <v>0</v>
      </c>
      <c r="AC130" s="284">
        <f ca="1">walls_forges_cap*(1-EXP(-AL130/(walls_forges_param*($A131-Explore!$S131*20)+15000)))*(1+(mason_bonus*Construction!BB130/Construction!BS130))+IF(Overview!$B$14="Beastfolk",5*Construction!DB130/Construction!E130,0)</f>
        <v>0</v>
      </c>
      <c r="AD130" s="97">
        <f ca="1">harbor_towers_cap*(1-EXP(-AM130/(harbor_towers_param*($A131-Explore!$S131*20)+15000)))*(1+(mason_bonus*Construction!BB130/Construction!BS130))+IF(Overview!$B$14="Beastfolk",Construction!DE130/Construction!E130)*(1 + Production!O130/100*prestige_pop_multiplier)</f>
        <v>0</v>
      </c>
      <c r="AE130" s="97">
        <f ca="1">armory_cap*(1-EXP(-AN130/(armory_param*($A131-Explore!$S131*20)+15000)))*(1+(mason_bonus*Construction!$BB130/Construction!$BS130))</f>
        <v>0</v>
      </c>
      <c r="AF130" s="97">
        <f ca="1">infirmary_cap*(1-EXP(-AO130/(infirmary_param*($A131-Explore!$S131*20)+15000)))*(1+(mason_bonus*Construction!$BB130/Construction!$BS130))</f>
        <v>0</v>
      </c>
      <c r="AH130" s="56">
        <f ca="1">(1+Overview!$O$28+IF(Magic!BA130&gt;0,0.1,0))*SUM(AV130:AY130) + AH129</f>
        <v>0</v>
      </c>
      <c r="AI130" s="26">
        <f ca="1">(1+Overview!$O$28+IF(Magic!BA130&gt;0,0.1,0))*SUM(BA130:BD130) + AI129</f>
        <v>0</v>
      </c>
      <c r="AJ130" s="164">
        <f ca="1">(1+Overview!$O$28+IF(Magic!BA130&gt;0,0.1,0))*SUM(BF130:BI130) + AJ129</f>
        <v>0</v>
      </c>
      <c r="AK130" s="164">
        <f ca="1">(1+Overview!$O$28+IF(Magic!BA130&gt;0,0.1,0))*SUM(BK130:BN130) + AK129</f>
        <v>0</v>
      </c>
      <c r="AL130" s="164">
        <f ca="1">(1+Overview!$O$28+IF(Magic!BA130&gt;0,0.1,0))*SUM(BP130:BS130) + AL129</f>
        <v>0</v>
      </c>
      <c r="AM130" s="166">
        <f ca="1">(1+Overview!$O$28+IF(Magic!BA130&gt;0,0.1,0))*SUM(BU130:BX130) + AM129</f>
        <v>0</v>
      </c>
      <c r="AN130" s="166">
        <f ca="1">(1+Overview!$O$28+IF(Magic!BA130&gt;0,0.1,0))*SUM(BZ130:CC130)+AN129</f>
        <v>0</v>
      </c>
      <c r="AO130" s="164">
        <f ca="1">(1+Overview!$O$28+IF(Magic!BA130&gt;0,0.1,0))*SUM(CE130:CH130)+AO129</f>
        <v>0</v>
      </c>
      <c r="AQ130" s="52">
        <f t="shared" si="69"/>
        <v>0</v>
      </c>
      <c r="AR130" s="16">
        <f t="shared" si="69"/>
        <v>0</v>
      </c>
      <c r="AS130" s="16">
        <f t="shared" si="69"/>
        <v>0</v>
      </c>
      <c r="AT130" s="53">
        <f t="shared" si="69"/>
        <v>0</v>
      </c>
      <c r="AV130" s="56">
        <f t="shared" si="47"/>
        <v>0</v>
      </c>
      <c r="AW130" s="26">
        <f t="shared" si="70"/>
        <v>0</v>
      </c>
      <c r="AX130" s="26">
        <f t="shared" si="70"/>
        <v>0</v>
      </c>
      <c r="AY130" s="57">
        <f t="shared" si="48"/>
        <v>0</v>
      </c>
      <c r="BA130" s="56">
        <f t="shared" si="49"/>
        <v>0</v>
      </c>
      <c r="BB130" s="26">
        <f t="shared" si="71"/>
        <v>0</v>
      </c>
      <c r="BC130" s="26">
        <f t="shared" si="71"/>
        <v>0</v>
      </c>
      <c r="BD130" s="57">
        <f t="shared" si="50"/>
        <v>0</v>
      </c>
      <c r="BF130" s="56">
        <f t="shared" si="51"/>
        <v>0</v>
      </c>
      <c r="BG130" s="26">
        <f t="shared" si="52"/>
        <v>0</v>
      </c>
      <c r="BH130" s="26">
        <f t="shared" si="68"/>
        <v>0</v>
      </c>
      <c r="BI130" s="57">
        <f t="shared" si="53"/>
        <v>0</v>
      </c>
      <c r="BK130" s="56">
        <f t="shared" si="54"/>
        <v>0</v>
      </c>
      <c r="BL130" s="26">
        <f t="shared" si="72"/>
        <v>0</v>
      </c>
      <c r="BM130" s="26">
        <f t="shared" si="72"/>
        <v>0</v>
      </c>
      <c r="BN130" s="57">
        <f t="shared" si="55"/>
        <v>0</v>
      </c>
      <c r="BP130" s="56">
        <f t="shared" si="56"/>
        <v>0</v>
      </c>
      <c r="BQ130" s="26">
        <f t="shared" si="73"/>
        <v>0</v>
      </c>
      <c r="BR130" s="26">
        <f t="shared" si="73"/>
        <v>0</v>
      </c>
      <c r="BS130" s="57">
        <f t="shared" si="57"/>
        <v>0</v>
      </c>
      <c r="BU130" s="56">
        <f>IF($O130=BU$2,IF($Q130=$AD$2,$P130)) + IF($R130=BU$2,IF($T130=$AD$2,$S130)) + IF($U130=BU$2,IF($W130=$AD$2,$V130))</f>
        <v>0</v>
      </c>
      <c r="BV130" s="26">
        <f>IF($O130=BV$2,IF($Q130=$AD$2,2*$P130)) + IF($R130=BV$2,IF($T130=$AD$2,2*$S130)) + IF($U130=BV$2,IF($W130=$AD$2,2*$V130))</f>
        <v>0</v>
      </c>
      <c r="BW130" s="26">
        <f>IF($O130=BW$2,IF($Q130=$AD$2,2*$P130)) + IF($R130=BW$2,IF($T130=$AD$2,2*$S130)) + IF($U130=BW$2,IF($W130=$AD$2,2*$V130))</f>
        <v>0</v>
      </c>
      <c r="BX130" s="57">
        <f>IF($O130=BX$2,IF($Q130=$AD$2,12*$P130)) + IF($R130=BX$2,IF($T130=$AD$2,12*$S130)) + IF($U130=BX$2,IF($W130=$AD$2,12*$V130))</f>
        <v>0</v>
      </c>
      <c r="BZ130" s="56">
        <f>IF($O130=BZ$2,IF($Q130=Armory,$P130)) + IF($R130=BZ$2,IF($T130=Armory,$S130)) + IF($U130=BZ$2,IF($W130=Armory,$V130))</f>
        <v>0</v>
      </c>
      <c r="CA130" s="26">
        <f>IF($O130=CA$2,IF($Q130=Armory,2*$P130)) + IF($R130=CA$2,IF($T130=Armory,2*$S130)) + IF($U130=CA$2,IF($W130=Armory,2*$V130))</f>
        <v>0</v>
      </c>
      <c r="CB130" s="26">
        <f>IF($O130=CB$2,IF($Q130=Armory,2*$P130)) + IF($R130=CB$2,IF($T130=Armory,2*$S130)) + IF($U130=CB$2,IF($W130=Armory,2*$V130))</f>
        <v>0</v>
      </c>
      <c r="CC130" s="57">
        <f>IF($O130=CC$2,IF($Q130=Armory,12*$P130)) + IF($R130=CC$2,IF($T130=Armory,12*$S130)) + IF($U130=CC$2,IF($W130=Armory,12*$V130))</f>
        <v>0</v>
      </c>
      <c r="CE130" s="56">
        <f>IF($O130=CE$2,IF($Q130=Infirmary,$P130)) + IF($R130=CE$2,IF($T130=Infirmary,$S130)) + IF($U130=CE$2,IF($W130=Infirmary,$V130))</f>
        <v>0</v>
      </c>
      <c r="CF130" s="26">
        <f>IF($O130=CF$2,IF($Q130=Infirmary,2*$P130)) + IF($R130=CF$2,IF($T130=Infirmary,2*$S130)) + IF($U130=CF$2,IF($W130=Infirmary,2*$V130))</f>
        <v>0</v>
      </c>
      <c r="CG130" s="26">
        <f>IF($O130=CG$2,IF($Q130=Infirmary,2*$P130)) + IF($R130=CG$2,IF($T130=Infirmary,2*$S130)) + IF($U130=CG$2,IF($W130=Infirmary,2*$V130))</f>
        <v>0</v>
      </c>
      <c r="CH130" s="57">
        <f>IF($O130=CH$2,IF($Q130=Infirmary,12*$P130)) + IF($R130=CH$2,IF($T130=Infirmary,12*$S130)) + IF($U130=CH$2,IF($W130=Infirmary,12*$V130))</f>
        <v>0</v>
      </c>
      <c r="CJ130" s="52" t="e">
        <f>OR(Production!C130,Construction!N130:'Construction'!AF130,Construction!BV130:CN130,Explore!S130:Z130,Military!AF130:AL130,Military!X130,Military!BE130:BL130,Rezone!L130:R130,Magic!G130:Q130)</f>
        <v>#VALUE!</v>
      </c>
      <c r="CK130" s="525">
        <f>M130</f>
        <v>0</v>
      </c>
      <c r="CL130" s="525"/>
      <c r="CM130" s="555">
        <f t="shared" si="59"/>
        <v>43769.322916666359</v>
      </c>
      <c r="CN130" s="563">
        <f t="shared" si="60"/>
        <v>43769.156249999694</v>
      </c>
      <c r="CO130" s="527"/>
      <c r="CP130" s="803"/>
      <c r="CQ130" s="808"/>
    </row>
    <row r="131" spans="1:95" s="16" customFormat="1" x14ac:dyDescent="0.25">
      <c r="A131" s="511">
        <f>Construction!E131</f>
        <v>1000</v>
      </c>
      <c r="C131" s="56">
        <f ca="1">Production!H131</f>
        <v>5114927</v>
      </c>
      <c r="D131" s="26">
        <f ca="1">Production!J131</f>
        <v>279006</v>
      </c>
      <c r="E131" s="26">
        <f ca="1">Production!L131</f>
        <v>300000</v>
      </c>
      <c r="F131" s="57">
        <f ca="1">Production!M131</f>
        <v>20000</v>
      </c>
      <c r="G131" s="26"/>
      <c r="H131" s="56">
        <f ca="1">Military!Z131</f>
        <v>5295</v>
      </c>
      <c r="I131" s="538">
        <f ca="1">Population!I131</f>
        <v>1</v>
      </c>
      <c r="J131" s="165">
        <f ca="1">Population!F131/Population!U131</f>
        <v>1</v>
      </c>
      <c r="K131" s="1000">
        <f>Rezone!J131</f>
        <v>129</v>
      </c>
      <c r="L131" s="582">
        <f t="shared" si="58"/>
        <v>43769.333333333023</v>
      </c>
      <c r="M131" s="316">
        <f t="shared" si="67"/>
        <v>0</v>
      </c>
      <c r="N131" s="638">
        <f t="shared" si="46"/>
        <v>1000</v>
      </c>
      <c r="O131" s="423" t="s">
        <v>4</v>
      </c>
      <c r="P131" s="370"/>
      <c r="Q131" s="424" t="s">
        <v>223</v>
      </c>
      <c r="R131" s="423" t="s">
        <v>7</v>
      </c>
      <c r="S131" s="370"/>
      <c r="T131" s="425" t="s">
        <v>223</v>
      </c>
      <c r="U131" s="424" t="s">
        <v>3</v>
      </c>
      <c r="V131" s="370"/>
      <c r="W131" s="425" t="s">
        <v>223</v>
      </c>
      <c r="Y131" s="522">
        <f ca="1">science_cap*(1-EXP(-AH131/(science_param*($A132-Explore!$S132*20)+15000)))*(1+(mason_bonus*Construction!BB131/Construction!BS131))+IF(Overview!$B$14="Beastfolk",Construction!DA131/Construction!E131,0)*(1 + Production!O131/100*prestige_pop_multiplier)</f>
        <v>0</v>
      </c>
      <c r="Z131" s="284">
        <f ca="1">keep_cap*(1-EXP(-AI131/(keep_param*($A132-Explore!$S132*20)+15000)))*(1+(mason_bonus*Construction!BB131/Construction!BS131))+IF(Overview!$B$14="Beastfolk",Construction!DF131/Construction!E131,0)*(1 + Production!O131/100*prestige_pop_multiplier)</f>
        <v>0</v>
      </c>
      <c r="AA131" s="284">
        <f ca="1">harbor_towers_cap*(1-EXP(-AJ131/(harbor_towers_param*($A132-Explore!$S132*20)+15000)))*(1+(mason_bonus*Construction!BB131/Construction!BS131))+IF(Overview!$B$14="Beastfolk",2*Construction!DC131/Construction!E131,0)*(1 + Production!O131/100*prestige_pop_multiplier)</f>
        <v>0</v>
      </c>
      <c r="AB131" s="284">
        <f ca="1">walls_forges_cap*(1-EXP(-AK131/(walls_forges_param*($A132-Explore!$S132*20)+15000)))*(1+(mason_bonus*Construction!BB131/Construction!BS131))+IF(Overview!$B$14="Beastfolk",0.2*Construction!CY131/Construction!E131,0)</f>
        <v>0</v>
      </c>
      <c r="AC131" s="284">
        <f ca="1">walls_forges_cap*(1-EXP(-AL131/(walls_forges_param*($A132-Explore!$S132*20)+15000)))*(1+(mason_bonus*Construction!BB131/Construction!BS131))+IF(Overview!$B$14="Beastfolk",5*Construction!DB131/Construction!E131,0)</f>
        <v>0</v>
      </c>
      <c r="AD131" s="97">
        <f ca="1">harbor_towers_cap*(1-EXP(-AM131/(harbor_towers_param*($A132-Explore!$S132*20)+15000)))*(1+(mason_bonus*Construction!BB131/Construction!BS131))+IF(Overview!$B$14="Beastfolk",Construction!DE131/Construction!E131)*(1 + Production!O131/100*prestige_pop_multiplier)</f>
        <v>0</v>
      </c>
      <c r="AE131" s="97">
        <f ca="1">armory_cap*(1-EXP(-AN131/(armory_param*($A132-Explore!$S132*20)+15000)))*(1+(mason_bonus*Construction!$BB131/Construction!$BS131))</f>
        <v>0</v>
      </c>
      <c r="AF131" s="97">
        <f ca="1">infirmary_cap*(1-EXP(-AO131/(infirmary_param*($A132-Explore!$S132*20)+15000)))*(1+(mason_bonus*Construction!$BB131/Construction!$BS131))</f>
        <v>0</v>
      </c>
      <c r="AH131" s="56">
        <f ca="1">(1+Overview!$O$28+IF(Magic!BA131&gt;0,0.1,0))*SUM(AV131:AY131) + AH130</f>
        <v>0</v>
      </c>
      <c r="AI131" s="26">
        <f ca="1">(1+Overview!$O$28+IF(Magic!BA131&gt;0,0.1,0))*SUM(BA131:BD131) + AI130</f>
        <v>0</v>
      </c>
      <c r="AJ131" s="164">
        <f ca="1">(1+Overview!$O$28+IF(Magic!BA131&gt;0,0.1,0))*SUM(BF131:BI131) + AJ130</f>
        <v>0</v>
      </c>
      <c r="AK131" s="164">
        <f ca="1">(1+Overview!$O$28+IF(Magic!BA131&gt;0,0.1,0))*SUM(BK131:BN131) + AK130</f>
        <v>0</v>
      </c>
      <c r="AL131" s="164">
        <f ca="1">(1+Overview!$O$28+IF(Magic!BA131&gt;0,0.1,0))*SUM(BP131:BS131) + AL130</f>
        <v>0</v>
      </c>
      <c r="AM131" s="166">
        <f ca="1">(1+Overview!$O$28+IF(Magic!BA131&gt;0,0.1,0))*SUM(BU131:BX131) + AM130</f>
        <v>0</v>
      </c>
      <c r="AN131" s="166">
        <f ca="1">(1+Overview!$O$28+IF(Magic!BA131&gt;0,0.1,0))*SUM(BZ131:CC131)+AN130</f>
        <v>0</v>
      </c>
      <c r="AO131" s="164">
        <f ca="1">(1+Overview!$O$28+IF(Magic!BA131&gt;0,0.1,0))*SUM(CE131:CH131)+AO130</f>
        <v>0</v>
      </c>
      <c r="AQ131" s="52">
        <f t="shared" si="69"/>
        <v>0</v>
      </c>
      <c r="AR131" s="16">
        <f t="shared" si="69"/>
        <v>0</v>
      </c>
      <c r="AS131" s="16">
        <f t="shared" si="69"/>
        <v>0</v>
      </c>
      <c r="AT131" s="53">
        <f t="shared" si="69"/>
        <v>0</v>
      </c>
      <c r="AV131" s="56">
        <f t="shared" si="47"/>
        <v>0</v>
      </c>
      <c r="AW131" s="26">
        <f t="shared" si="70"/>
        <v>0</v>
      </c>
      <c r="AX131" s="26">
        <f t="shared" si="70"/>
        <v>0</v>
      </c>
      <c r="AY131" s="57">
        <f t="shared" si="48"/>
        <v>0</v>
      </c>
      <c r="BA131" s="56">
        <f t="shared" si="49"/>
        <v>0</v>
      </c>
      <c r="BB131" s="26">
        <f t="shared" si="71"/>
        <v>0</v>
      </c>
      <c r="BC131" s="26">
        <f t="shared" si="71"/>
        <v>0</v>
      </c>
      <c r="BD131" s="57">
        <f t="shared" si="50"/>
        <v>0</v>
      </c>
      <c r="BF131" s="56">
        <f t="shared" si="51"/>
        <v>0</v>
      </c>
      <c r="BG131" s="26">
        <f t="shared" si="52"/>
        <v>0</v>
      </c>
      <c r="BH131" s="26">
        <f t="shared" si="68"/>
        <v>0</v>
      </c>
      <c r="BI131" s="57">
        <f t="shared" si="53"/>
        <v>0</v>
      </c>
      <c r="BK131" s="56">
        <f t="shared" si="54"/>
        <v>0</v>
      </c>
      <c r="BL131" s="26">
        <f t="shared" si="72"/>
        <v>0</v>
      </c>
      <c r="BM131" s="26">
        <f t="shared" si="72"/>
        <v>0</v>
      </c>
      <c r="BN131" s="57">
        <f t="shared" si="55"/>
        <v>0</v>
      </c>
      <c r="BP131" s="56">
        <f t="shared" si="56"/>
        <v>0</v>
      </c>
      <c r="BQ131" s="26">
        <f t="shared" si="73"/>
        <v>0</v>
      </c>
      <c r="BR131" s="26">
        <f t="shared" si="73"/>
        <v>0</v>
      </c>
      <c r="BS131" s="57">
        <f t="shared" si="57"/>
        <v>0</v>
      </c>
      <c r="BU131" s="56">
        <f>IF($O131=BU$2,IF($Q131=$AD$2,$P131)) + IF($R131=BU$2,IF($T131=$AD$2,$S131)) + IF($U131=BU$2,IF($W131=$AD$2,$V131))</f>
        <v>0</v>
      </c>
      <c r="BV131" s="26">
        <f>IF($O131=BV$2,IF($Q131=$AD$2,2*$P131)) + IF($R131=BV$2,IF($T131=$AD$2,2*$S131)) + IF($U131=BV$2,IF($W131=$AD$2,2*$V131))</f>
        <v>0</v>
      </c>
      <c r="BW131" s="26">
        <f>IF($O131=BW$2,IF($Q131=$AD$2,2*$P131)) + IF($R131=BW$2,IF($T131=$AD$2,2*$S131)) + IF($U131=BW$2,IF($W131=$AD$2,2*$V131))</f>
        <v>0</v>
      </c>
      <c r="BX131" s="57">
        <f>IF($O131=BX$2,IF($Q131=$AD$2,12*$P131)) + IF($R131=BX$2,IF($T131=$AD$2,12*$S131)) + IF($U131=BX$2,IF($W131=$AD$2,12*$V131))</f>
        <v>0</v>
      </c>
      <c r="BZ131" s="56">
        <f>IF($O131=BZ$2,IF($Q131=Armory,$P131)) + IF($R131=BZ$2,IF($T131=Armory,$S131)) + IF($U131=BZ$2,IF($W131=Armory,$V131))</f>
        <v>0</v>
      </c>
      <c r="CA131" s="26">
        <f>IF($O131=CA$2,IF($Q131=Armory,2*$P131)) + IF($R131=CA$2,IF($T131=Armory,2*$S131)) + IF($U131=CA$2,IF($W131=Armory,2*$V131))</f>
        <v>0</v>
      </c>
      <c r="CB131" s="26">
        <f>IF($O131=CB$2,IF($Q131=Armory,2*$P131)) + IF($R131=CB$2,IF($T131=Armory,2*$S131)) + IF($U131=CB$2,IF($W131=Armory,2*$V131))</f>
        <v>0</v>
      </c>
      <c r="CC131" s="57">
        <f>IF($O131=CC$2,IF($Q131=Armory,12*$P131)) + IF($R131=CC$2,IF($T131=Armory,12*$S131)) + IF($U131=CC$2,IF($W131=Armory,12*$V131))</f>
        <v>0</v>
      </c>
      <c r="CE131" s="56">
        <f>IF($O131=CE$2,IF($Q131=Infirmary,$P131)) + IF($R131=CE$2,IF($T131=Infirmary,$S131)) + IF($U131=CE$2,IF($W131=Infirmary,$V131))</f>
        <v>0</v>
      </c>
      <c r="CF131" s="26">
        <f>IF($O131=CF$2,IF($Q131=Infirmary,2*$P131)) + IF($R131=CF$2,IF($T131=Infirmary,2*$S131)) + IF($U131=CF$2,IF($W131=Infirmary,2*$V131))</f>
        <v>0</v>
      </c>
      <c r="CG131" s="26">
        <f>IF($O131=CG$2,IF($Q131=Infirmary,2*$P131)) + IF($R131=CG$2,IF($T131=Infirmary,2*$S131)) + IF($U131=CG$2,IF($W131=Infirmary,2*$V131))</f>
        <v>0</v>
      </c>
      <c r="CH131" s="57">
        <f>IF($O131=CH$2,IF($Q131=Infirmary,12*$P131)) + IF($R131=CH$2,IF($T131=Infirmary,12*$S131)) + IF($U131=CH$2,IF($W131=Infirmary,12*$V131))</f>
        <v>0</v>
      </c>
      <c r="CJ131" s="52" t="e">
        <f>OR(Production!C131,Construction!N131:'Construction'!AF131,Construction!BV131:CN131,Explore!S131:Z131,Military!AF131:AL131,Military!X131,Military!BE131:BL131,Rezone!L131:R131,Magic!G131:Q131)</f>
        <v>#VALUE!</v>
      </c>
      <c r="CK131" s="525">
        <f>M131</f>
        <v>0</v>
      </c>
      <c r="CL131" s="525"/>
      <c r="CM131" s="555">
        <f t="shared" si="59"/>
        <v>43769.333333333023</v>
      </c>
      <c r="CN131" s="563">
        <f t="shared" si="60"/>
        <v>43769.166666666359</v>
      </c>
      <c r="CO131" s="527"/>
      <c r="CP131" s="803"/>
      <c r="CQ131" s="808"/>
    </row>
    <row r="132" spans="1:95" s="16" customFormat="1" x14ac:dyDescent="0.25">
      <c r="A132" s="511">
        <f>Construction!E132</f>
        <v>1000</v>
      </c>
      <c r="C132" s="56">
        <f ca="1">Production!H132</f>
        <v>5119908</v>
      </c>
      <c r="D132" s="26">
        <f ca="1">Production!J132</f>
        <v>278716</v>
      </c>
      <c r="E132" s="26">
        <f ca="1">Production!L132</f>
        <v>300000</v>
      </c>
      <c r="F132" s="57">
        <f ca="1">Production!M132</f>
        <v>20000</v>
      </c>
      <c r="G132" s="26"/>
      <c r="H132" s="56">
        <f ca="1">Military!Z132</f>
        <v>5295</v>
      </c>
      <c r="I132" s="538">
        <f ca="1">Population!I132</f>
        <v>1</v>
      </c>
      <c r="J132" s="165">
        <f ca="1">Population!F132/Population!U132</f>
        <v>1</v>
      </c>
      <c r="K132" s="1000">
        <f>Rezone!J132</f>
        <v>130</v>
      </c>
      <c r="L132" s="582">
        <f t="shared" si="58"/>
        <v>43769.343749999687</v>
      </c>
      <c r="M132" s="316">
        <f t="shared" si="67"/>
        <v>0</v>
      </c>
      <c r="N132" s="638">
        <f>A132</f>
        <v>1000</v>
      </c>
      <c r="O132" s="423" t="s">
        <v>4</v>
      </c>
      <c r="P132" s="370"/>
      <c r="Q132" s="424" t="s">
        <v>223</v>
      </c>
      <c r="R132" s="423" t="s">
        <v>7</v>
      </c>
      <c r="S132" s="370"/>
      <c r="T132" s="425" t="s">
        <v>223</v>
      </c>
      <c r="U132" s="424" t="s">
        <v>3</v>
      </c>
      <c r="V132" s="370"/>
      <c r="W132" s="425" t="s">
        <v>223</v>
      </c>
      <c r="Y132" s="522">
        <f ca="1">science_cap*(1-EXP(-AH132/(science_param*($A133-Explore!$S133*20)+15000)))*(1+(mason_bonus*Construction!BB132/Construction!BS132))+IF(Overview!$B$14="Beastfolk",Construction!DA132/Construction!E132,0)*(1 + Production!O132/100*prestige_pop_multiplier)</f>
        <v>0</v>
      </c>
      <c r="Z132" s="284">
        <f ca="1">keep_cap*(1-EXP(-AI132/(keep_param*($A133-Explore!$S133*20)+15000)))*(1+(mason_bonus*Construction!BB132/Construction!BS132))+IF(Overview!$B$14="Beastfolk",Construction!DF132/Construction!E132,0)*(1 + Production!O132/100*prestige_pop_multiplier)</f>
        <v>0</v>
      </c>
      <c r="AA132" s="284">
        <f ca="1">harbor_towers_cap*(1-EXP(-AJ132/(harbor_towers_param*($A133-Explore!$S133*20)+15000)))*(1+(mason_bonus*Construction!BB132/Construction!BS132))+IF(Overview!$B$14="Beastfolk",2*Construction!DC132/Construction!E132,0)*(1 + Production!O132/100*prestige_pop_multiplier)</f>
        <v>0</v>
      </c>
      <c r="AB132" s="284">
        <f ca="1">walls_forges_cap*(1-EXP(-AK132/(walls_forges_param*($A133-Explore!$S133*20)+15000)))*(1+(mason_bonus*Construction!BB132/Construction!BS132))+IF(Overview!$B$14="Beastfolk",0.2*Construction!CY132/Construction!E132,0)</f>
        <v>0</v>
      </c>
      <c r="AC132" s="284">
        <f ca="1">walls_forges_cap*(1-EXP(-AL132/(walls_forges_param*($A133-Explore!$S133*20)+15000)))*(1+(mason_bonus*Construction!BB132/Construction!BS132))+IF(Overview!$B$14="Beastfolk",5*Construction!DB132/Construction!E132,0)</f>
        <v>0</v>
      </c>
      <c r="AD132" s="97">
        <f ca="1">harbor_towers_cap*(1-EXP(-AM132/(harbor_towers_param*($A133-Explore!$S133*20)+15000)))*(1+(mason_bonus*Construction!BB132/Construction!BS132))+IF(Overview!$B$14="Beastfolk",Construction!DE132/Construction!E132)*(1 + Production!O132/100*prestige_pop_multiplier)</f>
        <v>0</v>
      </c>
      <c r="AE132" s="97">
        <f ca="1">armory_cap*(1-EXP(-AN132/(armory_param*($A133-Explore!$S133*20)+15000)))*(1+(mason_bonus*Construction!$BB132/Construction!$BS132))</f>
        <v>0</v>
      </c>
      <c r="AF132" s="97">
        <f ca="1">infirmary_cap*(1-EXP(-AO132/(infirmary_param*($A133-Explore!$S133*20)+15000)))*(1+(mason_bonus*Construction!$BB132/Construction!$BS132))</f>
        <v>0</v>
      </c>
      <c r="AH132" s="56">
        <f ca="1">(1+Overview!$O$28+IF(Magic!BA132&gt;0,0.1,0))*SUM(AV132:AY132) + AH131</f>
        <v>0</v>
      </c>
      <c r="AI132" s="26">
        <f ca="1">(1+Overview!$O$28+IF(Magic!BA132&gt;0,0.1,0))*SUM(BA132:BD132) + AI131</f>
        <v>0</v>
      </c>
      <c r="AJ132" s="164">
        <f ca="1">(1+Overview!$O$28+IF(Magic!BA132&gt;0,0.1,0))*SUM(BF132:BI132) + AJ131</f>
        <v>0</v>
      </c>
      <c r="AK132" s="164">
        <f ca="1">(1+Overview!$O$28+IF(Magic!BA132&gt;0,0.1,0))*SUM(BK132:BN132) + AK131</f>
        <v>0</v>
      </c>
      <c r="AL132" s="164">
        <f ca="1">(1+Overview!$O$28+IF(Magic!BA132&gt;0,0.1,0))*SUM(BP132:BS132) + AL131</f>
        <v>0</v>
      </c>
      <c r="AM132" s="166">
        <f ca="1">(1+Overview!$O$28+IF(Magic!BA132&gt;0,0.1,0))*SUM(BU132:BX132) + AM131</f>
        <v>0</v>
      </c>
      <c r="AN132" s="166">
        <f ca="1">(1+Overview!$O$28+IF(Magic!BA132&gt;0,0.1,0))*SUM(BZ132:CC132)+AN131</f>
        <v>0</v>
      </c>
      <c r="AO132" s="164">
        <f ca="1">(1+Overview!$O$28+IF(Magic!BA132&gt;0,0.1,0))*SUM(CE132:CH132)+AO131</f>
        <v>0</v>
      </c>
      <c r="AQ132" s="52">
        <f t="shared" si="69"/>
        <v>0</v>
      </c>
      <c r="AR132" s="16">
        <f t="shared" si="69"/>
        <v>0</v>
      </c>
      <c r="AS132" s="16">
        <f t="shared" si="69"/>
        <v>0</v>
      </c>
      <c r="AT132" s="53">
        <f t="shared" si="69"/>
        <v>0</v>
      </c>
      <c r="AV132" s="56">
        <f>IF($O132=AV$2,IF($Q132=$Y$2,$P132)) + IF($R132=AV$2,IF($T132=$Y$2,$S132)) + IF($U132=AV$2,IF($W132=$Y$2,$V132))</f>
        <v>0</v>
      </c>
      <c r="AW132" s="26">
        <f t="shared" si="70"/>
        <v>0</v>
      </c>
      <c r="AX132" s="26">
        <f t="shared" si="70"/>
        <v>0</v>
      </c>
      <c r="AY132" s="57">
        <f>IF($O132=AY$2,IF($Q132=$Y$2,12*$P132)) + IF($R132=AY$2,IF($T132=$Y$2,12*$S132)) + IF($U132=AY$2,IF($W132=$Y$2,12*$V132))</f>
        <v>0</v>
      </c>
      <c r="BA132" s="56">
        <f>IF($O132=BA$2,IF($Q132=$Z$2,$P132)) + IF($R132=BA$2,IF($T132=$Z$2,$S132)) + IF($U132=BA$2,IF($W132=$Z$2,$V132))</f>
        <v>0</v>
      </c>
      <c r="BB132" s="26">
        <f t="shared" si="71"/>
        <v>0</v>
      </c>
      <c r="BC132" s="26">
        <f t="shared" si="71"/>
        <v>0</v>
      </c>
      <c r="BD132" s="57">
        <f>IF($O132=BD$2,IF($Q132=$Z$2,12*$P132)) + IF($R132=BD$2,IF($T132=$Z$2,12*$S132)) + IF($U132=BD$2,IF($W132=$Z$2,12*$V132))</f>
        <v>0</v>
      </c>
      <c r="BF132" s="56">
        <f>IF($O132=BF$2,IF($Q132=$AA$2,$P132)) + IF($R132=BF$2,IF($T132=$AA$2,$S132)) + IF($U132=BF$2,IF($W132=$AA$2,$V132))</f>
        <v>0</v>
      </c>
      <c r="BG132" s="26">
        <f>IF($O132=BG$2,IF($Q132=$AA$2,2*$P132)) + IF($R132=BG$2,IF($T132=$AA$2,2*$S132)) + IF($U132=BG$2,IF($W132=$AA$2,2*$V132))</f>
        <v>0</v>
      </c>
      <c r="BH132" s="26">
        <f t="shared" si="68"/>
        <v>0</v>
      </c>
      <c r="BI132" s="57">
        <f>IF($O132=BI$2,IF($Q132=$AA$2,12*$P132)) + IF($R132=BI$2,IF($T132=$AA$2,12*$S132)) + IF($U132=BI$2,IF($W132=$AA$2,12*$V132))</f>
        <v>0</v>
      </c>
      <c r="BK132" s="56">
        <f>IF($O132=BK$2,IF($Q132=$AB$2,$P132)) + IF($R132=BK$2,IF($T132=$AB$2,$S132)) + IF($U132=BK$2,IF($W132=$AB$2,$V132))</f>
        <v>0</v>
      </c>
      <c r="BL132" s="26">
        <f t="shared" si="72"/>
        <v>0</v>
      </c>
      <c r="BM132" s="26">
        <f t="shared" si="72"/>
        <v>0</v>
      </c>
      <c r="BN132" s="57">
        <f>IF($O132=BN$2,IF($Q132=$AB$2,12*$P132)) + IF($R132=BN$2,IF($T132=$AB$2,12*$S132)) + IF($U132=BN$2,IF($W132=$AB$2,12*$V132))</f>
        <v>0</v>
      </c>
      <c r="BP132" s="56">
        <f>IF($O132=BP$2,IF($Q132=$AC$2,$P132)) + IF($R132=BP$2,IF($T132=$AC$2,$S132)) + IF($U132=BP$2,IF($W132=$AC$2,$V132))</f>
        <v>0</v>
      </c>
      <c r="BQ132" s="26">
        <f t="shared" si="73"/>
        <v>0</v>
      </c>
      <c r="BR132" s="26">
        <f t="shared" si="73"/>
        <v>0</v>
      </c>
      <c r="BS132" s="57">
        <f>IF($O132=BS$2,IF($Q132=$AC$2,12*$P132)) + IF($R132=BS$2,IF($T132=$AC$2,12*$S132)) + IF($U132=BS$2,IF($W132=$AC$2,12*$V132))</f>
        <v>0</v>
      </c>
      <c r="BU132" s="56">
        <f>IF($O132=BU$2,IF($Q132=$AD$2,$P132)) + IF($R132=BU$2,IF($T132=$AD$2,$S132)) + IF($U132=BU$2,IF($W132=$AD$2,$V132))</f>
        <v>0</v>
      </c>
      <c r="BV132" s="26">
        <f>IF($O132=BV$2,IF($Q132=$AD$2,2*$P132)) + IF($R132=BV$2,IF($T132=$AD$2,2*$S132)) + IF($U132=BV$2,IF($W132=$AD$2,2*$V132))</f>
        <v>0</v>
      </c>
      <c r="BW132" s="26">
        <f>IF($O132=BW$2,IF($Q132=$AD$2,2*$P132)) + IF($R132=BW$2,IF($T132=$AD$2,2*$S132)) + IF($U132=BW$2,IF($W132=$AD$2,2*$V132))</f>
        <v>0</v>
      </c>
      <c r="BX132" s="57">
        <f>IF($O132=BX$2,IF($Q132=$AD$2,12*$P132)) + IF($R132=BX$2,IF($T132=$AD$2,12*$S132)) + IF($U132=BX$2,IF($W132=$AD$2,12*$V132))</f>
        <v>0</v>
      </c>
      <c r="BZ132" s="56">
        <f>IF($O132=BZ$2,IF($Q132=Armory,$P132)) + IF($R132=BZ$2,IF($T132=Armory,$S132)) + IF($U132=BZ$2,IF($W132=Armory,$V132))</f>
        <v>0</v>
      </c>
      <c r="CA132" s="26">
        <f>IF($O132=CA$2,IF($Q132=Armory,2*$P132)) + IF($R132=CA$2,IF($T132=Armory,2*$S132)) + IF($U132=CA$2,IF($W132=Armory,2*$V132))</f>
        <v>0</v>
      </c>
      <c r="CB132" s="26">
        <f>IF($O132=CB$2,IF($Q132=Armory,2*$P132)) + IF($R132=CB$2,IF($T132=Armory,2*$S132)) + IF($U132=CB$2,IF($W132=Armory,2*$V132))</f>
        <v>0</v>
      </c>
      <c r="CC132" s="57">
        <f>IF($O132=CC$2,IF($Q132=Armory,12*$P132)) + IF($R132=CC$2,IF($T132=Armory,12*$S132)) + IF($U132=CC$2,IF($W132=Armory,12*$V132))</f>
        <v>0</v>
      </c>
      <c r="CE132" s="56">
        <f>IF($O132=CE$2,IF($Q132=Infirmary,$P132)) + IF($R132=CE$2,IF($T132=Infirmary,$S132)) + IF($U132=CE$2,IF($W132=Infirmary,$V132))</f>
        <v>0</v>
      </c>
      <c r="CF132" s="26">
        <f>IF($O132=CF$2,IF($Q132=Infirmary,2*$P132)) + IF($R132=CF$2,IF($T132=Infirmary,2*$S132)) + IF($U132=CF$2,IF($W132=Infirmary,2*$V132))</f>
        <v>0</v>
      </c>
      <c r="CG132" s="26">
        <f>IF($O132=CG$2,IF($Q132=Infirmary,2*$P132)) + IF($R132=CG$2,IF($T132=Infirmary,2*$S132)) + IF($U132=CG$2,IF($W132=Infirmary,2*$V132))</f>
        <v>0</v>
      </c>
      <c r="CH132" s="57">
        <f>IF($O132=CH$2,IF($Q132=Infirmary,12*$P132)) + IF($R132=CH$2,IF($T132=Infirmary,12*$S132)) + IF($U132=CH$2,IF($W132=Infirmary,12*$V132))</f>
        <v>0</v>
      </c>
      <c r="CJ132" s="52" t="e">
        <f>OR(Production!C132,Construction!N132:'Construction'!AF132,Construction!BV132:CN132,Explore!S132:Z132,Military!AF132:AL132,Military!X132,Military!BE132:BL132,Rezone!L132:R132,Magic!G132:Q132)</f>
        <v>#VALUE!</v>
      </c>
      <c r="CK132" s="525">
        <f>M132</f>
        <v>0</v>
      </c>
      <c r="CL132" s="525"/>
      <c r="CM132" s="555">
        <f t="shared" si="59"/>
        <v>43769.343749999687</v>
      </c>
      <c r="CN132" s="563">
        <f t="shared" si="60"/>
        <v>43769.177083333023</v>
      </c>
      <c r="CO132" s="527"/>
      <c r="CP132" s="803"/>
      <c r="CQ132" s="808"/>
    </row>
    <row r="133" spans="1:95" s="16" customFormat="1" x14ac:dyDescent="0.25">
      <c r="A133" s="511">
        <f>Construction!E133</f>
        <v>1000</v>
      </c>
      <c r="C133" s="56">
        <f ca="1">Production!H133</f>
        <v>5124889</v>
      </c>
      <c r="D133" s="26">
        <f ca="1">Production!J133</f>
        <v>278429</v>
      </c>
      <c r="E133" s="26">
        <f ca="1">Production!L133</f>
        <v>300000</v>
      </c>
      <c r="F133" s="57">
        <f ca="1">Production!M133</f>
        <v>20000</v>
      </c>
      <c r="G133" s="26"/>
      <c r="H133" s="56">
        <f ca="1">Military!Z133</f>
        <v>5295</v>
      </c>
      <c r="I133" s="538">
        <f ca="1">Population!I133</f>
        <v>1</v>
      </c>
      <c r="J133" s="165">
        <f ca="1">Population!F133/Population!U133</f>
        <v>1</v>
      </c>
      <c r="K133" s="1000">
        <f>Rezone!J133</f>
        <v>131</v>
      </c>
      <c r="L133" s="582">
        <f t="shared" ref="L133:L135" si="74">L132+1/24/4</f>
        <v>43769.354166666351</v>
      </c>
      <c r="M133" s="316">
        <f t="shared" si="67"/>
        <v>0</v>
      </c>
      <c r="N133" s="638">
        <f>A133</f>
        <v>1000</v>
      </c>
      <c r="O133" s="423" t="s">
        <v>4</v>
      </c>
      <c r="P133" s="370"/>
      <c r="Q133" s="424" t="s">
        <v>223</v>
      </c>
      <c r="R133" s="423" t="s">
        <v>7</v>
      </c>
      <c r="S133" s="370"/>
      <c r="T133" s="425" t="s">
        <v>223</v>
      </c>
      <c r="U133" s="424" t="s">
        <v>3</v>
      </c>
      <c r="V133" s="370"/>
      <c r="W133" s="425" t="s">
        <v>223</v>
      </c>
      <c r="Y133" s="522">
        <f ca="1">science_cap*(1-EXP(-AH133/(science_param*($A134-Explore!$S134*20)+15000)))*(1+(mason_bonus*Construction!BB133/Construction!BS133))+IF(Overview!$B$14="Beastfolk",Construction!DA133/Construction!E133,0)*(1 + Production!O133/100*prestige_pop_multiplier)</f>
        <v>0</v>
      </c>
      <c r="Z133" s="284">
        <f ca="1">keep_cap*(1-EXP(-AI133/(keep_param*($A134-Explore!$S134*20)+15000)))*(1+(mason_bonus*Construction!BB133/Construction!BS133))+IF(Overview!$B$14="Beastfolk",Construction!DF133/Construction!E133,0)*(1 + Production!O133/100*prestige_pop_multiplier)</f>
        <v>0</v>
      </c>
      <c r="AA133" s="284">
        <f ca="1">harbor_towers_cap*(1-EXP(-AJ133/(harbor_towers_param*($A134-Explore!$S134*20)+15000)))*(1+(mason_bonus*Construction!BB133/Construction!BS133))+IF(Overview!$B$14="Beastfolk",2*Construction!DC133/Construction!E133,0)*(1 + Production!O133/100*prestige_pop_multiplier)</f>
        <v>0</v>
      </c>
      <c r="AB133" s="284">
        <f ca="1">walls_forges_cap*(1-EXP(-AK133/(walls_forges_param*($A134-Explore!$S134*20)+15000)))*(1+(mason_bonus*Construction!BB133/Construction!BS133))+IF(Overview!$B$14="Beastfolk",0.2*Construction!CY133/Construction!E133,0)</f>
        <v>0</v>
      </c>
      <c r="AC133" s="284">
        <f ca="1">walls_forges_cap*(1-EXP(-AL133/(walls_forges_param*($A134-Explore!$S134*20)+15000)))*(1+(mason_bonus*Construction!BB133/Construction!BS133))+IF(Overview!$B$14="Beastfolk",5*Construction!DB133/Construction!E133,0)</f>
        <v>0</v>
      </c>
      <c r="AD133" s="97">
        <f ca="1">harbor_towers_cap*(1-EXP(-AM133/(harbor_towers_param*($A134-Explore!$S134*20)+15000)))*(1+(mason_bonus*Construction!BB133/Construction!BS133))+IF(Overview!$B$14="Beastfolk",Construction!DE133/Construction!E133)*(1 + Production!O133/100*prestige_pop_multiplier)</f>
        <v>0</v>
      </c>
      <c r="AE133" s="97">
        <f ca="1">armory_cap*(1-EXP(-AN133/(armory_param*($A134-Explore!$S134*20)+15000)))*(1+(mason_bonus*Construction!$BB133/Construction!$BS133))</f>
        <v>0</v>
      </c>
      <c r="AF133" s="97">
        <f ca="1">infirmary_cap*(1-EXP(-AO133/(infirmary_param*($A134-Explore!$S134*20)+15000)))*(1+(mason_bonus*Construction!$BB133/Construction!$BS133))</f>
        <v>0</v>
      </c>
      <c r="AH133" s="56">
        <f ca="1">(1+Overview!$O$28+IF(Magic!BA133&gt;0,0.1,0))*SUM(AV133:AY133) + AH132</f>
        <v>0</v>
      </c>
      <c r="AI133" s="26">
        <f ca="1">(1+Overview!$O$28+IF(Magic!BA133&gt;0,0.1,0))*SUM(BA133:BD133) + AI132</f>
        <v>0</v>
      </c>
      <c r="AJ133" s="164">
        <f ca="1">(1+Overview!$O$28+IF(Magic!BA133&gt;0,0.1,0))*SUM(BF133:BI133) + AJ132</f>
        <v>0</v>
      </c>
      <c r="AK133" s="164">
        <f ca="1">(1+Overview!$O$28+IF(Magic!BA133&gt;0,0.1,0))*SUM(BK133:BN133) + AK132</f>
        <v>0</v>
      </c>
      <c r="AL133" s="164">
        <f ca="1">(1+Overview!$O$28+IF(Magic!BA133&gt;0,0.1,0))*SUM(BP133:BS133) + AL132</f>
        <v>0</v>
      </c>
      <c r="AM133" s="166">
        <f ca="1">(1+Overview!$O$28+IF(Magic!BA133&gt;0,0.1,0))*SUM(BU133:BX133) + AM132</f>
        <v>0</v>
      </c>
      <c r="AN133" s="166">
        <f ca="1">(1+Overview!$O$28+IF(Magic!BA133&gt;0,0.1,0))*SUM(BZ133:CC133)+AN132</f>
        <v>0</v>
      </c>
      <c r="AO133" s="164">
        <f ca="1">(1+Overview!$O$28+IF(Magic!BA133&gt;0,0.1,0))*SUM(CE133:CH133)+AO132</f>
        <v>0</v>
      </c>
      <c r="AQ133" s="52">
        <f t="shared" si="69"/>
        <v>0</v>
      </c>
      <c r="AR133" s="16">
        <f t="shared" si="69"/>
        <v>0</v>
      </c>
      <c r="AS133" s="16">
        <f t="shared" si="69"/>
        <v>0</v>
      </c>
      <c r="AT133" s="53">
        <f t="shared" si="69"/>
        <v>0</v>
      </c>
      <c r="AV133" s="56">
        <f>IF($O133=AV$2,IF($Q133=$Y$2,$P133)) + IF($R133=AV$2,IF($T133=$Y$2,$S133)) + IF($U133=AV$2,IF($W133=$Y$2,$V133))</f>
        <v>0</v>
      </c>
      <c r="AW133" s="26">
        <f t="shared" si="70"/>
        <v>0</v>
      </c>
      <c r="AX133" s="26">
        <f t="shared" si="70"/>
        <v>0</v>
      </c>
      <c r="AY133" s="57">
        <f>IF($O133=AY$2,IF($Q133=$Y$2,12*$P133)) + IF($R133=AY$2,IF($T133=$Y$2,12*$S133)) + IF($U133=AY$2,IF($W133=$Y$2,12*$V133))</f>
        <v>0</v>
      </c>
      <c r="BA133" s="56">
        <f>IF($O133=BA$2,IF($Q133=$Z$2,$P133)) + IF($R133=BA$2,IF($T133=$Z$2,$S133)) + IF($U133=BA$2,IF($W133=$Z$2,$V133))</f>
        <v>0</v>
      </c>
      <c r="BB133" s="26">
        <f t="shared" si="71"/>
        <v>0</v>
      </c>
      <c r="BC133" s="26">
        <f t="shared" si="71"/>
        <v>0</v>
      </c>
      <c r="BD133" s="57">
        <f>IF($O133=BD$2,IF($Q133=$Z$2,12*$P133)) + IF($R133=BD$2,IF($T133=$Z$2,12*$S133)) + IF($U133=BD$2,IF($W133=$Z$2,12*$V133))</f>
        <v>0</v>
      </c>
      <c r="BF133" s="56">
        <f>IF($O133=BF$2,IF($Q133=$AA$2,$P133)) + IF($R133=BF$2,IF($T133=$AA$2,$S133)) + IF($U133=BF$2,IF($W133=$AA$2,$V133))</f>
        <v>0</v>
      </c>
      <c r="BG133" s="26">
        <f>IF($O133=BG$2,IF($Q133=$AA$2,2*$P133)) + IF($R133=BG$2,IF($T133=$AA$2,2*$S133)) + IF($U133=BG$2,IF($W133=$AA$2,2*$V133))</f>
        <v>0</v>
      </c>
      <c r="BH133" s="26">
        <f t="shared" si="68"/>
        <v>0</v>
      </c>
      <c r="BI133" s="57">
        <f>IF($O133=BI$2,IF($Q133=$AA$2,12*$P133)) + IF($R133=BI$2,IF($T133=$AA$2,12*$S133)) + IF($U133=BI$2,IF($W133=$AA$2,12*$V133))</f>
        <v>0</v>
      </c>
      <c r="BK133" s="56">
        <f>IF($O133=BK$2,IF($Q133=$AB$2,$P133)) + IF($R133=BK$2,IF($T133=$AB$2,$S133)) + IF($U133=BK$2,IF($W133=$AB$2,$V133))</f>
        <v>0</v>
      </c>
      <c r="BL133" s="26">
        <f t="shared" si="72"/>
        <v>0</v>
      </c>
      <c r="BM133" s="26">
        <f t="shared" si="72"/>
        <v>0</v>
      </c>
      <c r="BN133" s="57">
        <f>IF($O133=BN$2,IF($Q133=$AB$2,12*$P133)) + IF($R133=BN$2,IF($T133=$AB$2,12*$S133)) + IF($U133=BN$2,IF($W133=$AB$2,12*$V133))</f>
        <v>0</v>
      </c>
      <c r="BP133" s="56">
        <f>IF($O133=BP$2,IF($Q133=$AC$2,$P133)) + IF($R133=BP$2,IF($T133=$AC$2,$S133)) + IF($U133=BP$2,IF($W133=$AC$2,$V133))</f>
        <v>0</v>
      </c>
      <c r="BQ133" s="26">
        <f t="shared" si="73"/>
        <v>0</v>
      </c>
      <c r="BR133" s="26">
        <f t="shared" si="73"/>
        <v>0</v>
      </c>
      <c r="BS133" s="57">
        <f>IF($O133=BS$2,IF($Q133=$AC$2,12*$P133)) + IF($R133=BS$2,IF($T133=$AC$2,12*$S133)) + IF($U133=BS$2,IF($W133=$AC$2,12*$V133))</f>
        <v>0</v>
      </c>
      <c r="BU133" s="56">
        <f>IF($O133=BU$2,IF($Q133=$AD$2,$P133)) + IF($R133=BU$2,IF($T133=$AD$2,$S133)) + IF($U133=BU$2,IF($W133=$AD$2,$V133))</f>
        <v>0</v>
      </c>
      <c r="BV133" s="26">
        <f>IF($O133=BV$2,IF($Q133=$AD$2,2*$P133)) + IF($R133=BV$2,IF($T133=$AD$2,2*$S133)) + IF($U133=BV$2,IF($W133=$AD$2,2*$V133))</f>
        <v>0</v>
      </c>
      <c r="BW133" s="26">
        <f>IF($O133=BW$2,IF($Q133=$AD$2,2*$P133)) + IF($R133=BW$2,IF($T133=$AD$2,2*$S133)) + IF($U133=BW$2,IF($W133=$AD$2,2*$V133))</f>
        <v>0</v>
      </c>
      <c r="BX133" s="57">
        <f>IF($O133=BX$2,IF($Q133=$AD$2,12*$P133)) + IF($R133=BX$2,IF($T133=$AD$2,12*$S133)) + IF($U133=BX$2,IF($W133=$AD$2,12*$V133))</f>
        <v>0</v>
      </c>
      <c r="BZ133" s="56">
        <f>IF($O133=BZ$2,IF($Q133=Armory,$P133)) + IF($R133=BZ$2,IF($T133=Armory,$S133)) + IF($U133=BZ$2,IF($W133=Armory,$V133))</f>
        <v>0</v>
      </c>
      <c r="CA133" s="26">
        <f>IF($O133=CA$2,IF($Q133=Armory,2*$P133)) + IF($R133=CA$2,IF($T133=Armory,2*$S133)) + IF($U133=CA$2,IF($W133=Armory,2*$V133))</f>
        <v>0</v>
      </c>
      <c r="CB133" s="26">
        <f>IF($O133=CB$2,IF($Q133=Armory,2*$P133)) + IF($R133=CB$2,IF($T133=Armory,2*$S133)) + IF($U133=CB$2,IF($W133=Armory,2*$V133))</f>
        <v>0</v>
      </c>
      <c r="CC133" s="57">
        <f>IF($O133=CC$2,IF($Q133=Armory,12*$P133)) + IF($R133=CC$2,IF($T133=Armory,12*$S133)) + IF($U133=CC$2,IF($W133=Armory,12*$V133))</f>
        <v>0</v>
      </c>
      <c r="CE133" s="56">
        <f>IF($O133=CE$2,IF($Q133=Infirmary,$P133)) + IF($R133=CE$2,IF($T133=Infirmary,$S133)) + IF($U133=CE$2,IF($W133=Infirmary,$V133))</f>
        <v>0</v>
      </c>
      <c r="CF133" s="26">
        <f>IF($O133=CF$2,IF($Q133=Infirmary,2*$P133)) + IF($R133=CF$2,IF($T133=Infirmary,2*$S133)) + IF($U133=CF$2,IF($W133=Infirmary,2*$V133))</f>
        <v>0</v>
      </c>
      <c r="CG133" s="26">
        <f>IF($O133=CG$2,IF($Q133=Infirmary,2*$P133)) + IF($R133=CG$2,IF($T133=Infirmary,2*$S133)) + IF($U133=CG$2,IF($W133=Infirmary,2*$V133))</f>
        <v>0</v>
      </c>
      <c r="CH133" s="57">
        <f>IF($O133=CH$2,IF($Q133=Infirmary,12*$P133)) + IF($R133=CH$2,IF($T133=Infirmary,12*$S133)) + IF($U133=CH$2,IF($W133=Infirmary,12*$V133))</f>
        <v>0</v>
      </c>
      <c r="CJ133" s="52" t="e">
        <f>OR(Production!C133,Construction!N133:'Construction'!AF133,Construction!BV133:CN133,Explore!S133:Z133,Military!AF133:AL133,Military!X133,Military!BE133:BL133,Rezone!L133:R133,Magic!G133:Q133)</f>
        <v>#VALUE!</v>
      </c>
      <c r="CK133" s="525">
        <f>M133</f>
        <v>0</v>
      </c>
      <c r="CL133" s="525"/>
      <c r="CM133" s="555">
        <f t="shared" ref="CM133:CM135" si="75">CM132+1/24/4</f>
        <v>43769.354166666351</v>
      </c>
      <c r="CN133" s="563">
        <f t="shared" ref="CN133:CN135" si="76">CN132+1/24/4</f>
        <v>43769.187499999687</v>
      </c>
      <c r="CO133" s="527"/>
      <c r="CP133" s="803"/>
      <c r="CQ133" s="808"/>
    </row>
    <row r="134" spans="1:95" s="16" customFormat="1" x14ac:dyDescent="0.25">
      <c r="A134" s="511">
        <f>Construction!E134</f>
        <v>1000</v>
      </c>
      <c r="C134" s="56">
        <f ca="1">Production!H134</f>
        <v>5129870</v>
      </c>
      <c r="D134" s="26">
        <f ca="1">Production!J134</f>
        <v>278145</v>
      </c>
      <c r="E134" s="26">
        <f ca="1">Production!L134</f>
        <v>300000</v>
      </c>
      <c r="F134" s="57">
        <f ca="1">Production!M134</f>
        <v>20000</v>
      </c>
      <c r="G134" s="26"/>
      <c r="H134" s="56">
        <f ca="1">Military!Z134</f>
        <v>5295</v>
      </c>
      <c r="I134" s="538">
        <f ca="1">Population!I134</f>
        <v>1</v>
      </c>
      <c r="J134" s="165">
        <f ca="1">Population!F134/Population!U134</f>
        <v>1</v>
      </c>
      <c r="K134" s="1000">
        <f>Rezone!J134</f>
        <v>132</v>
      </c>
      <c r="L134" s="582">
        <f t="shared" si="74"/>
        <v>43769.364583333016</v>
      </c>
      <c r="M134" s="316">
        <f t="shared" si="67"/>
        <v>0</v>
      </c>
      <c r="N134" s="638">
        <f>A134</f>
        <v>1000</v>
      </c>
      <c r="O134" s="423" t="s">
        <v>4</v>
      </c>
      <c r="P134" s="370"/>
      <c r="Q134" s="424" t="s">
        <v>223</v>
      </c>
      <c r="R134" s="423" t="s">
        <v>7</v>
      </c>
      <c r="S134" s="370"/>
      <c r="T134" s="425" t="s">
        <v>223</v>
      </c>
      <c r="U134" s="424" t="s">
        <v>3</v>
      </c>
      <c r="V134" s="370"/>
      <c r="W134" s="425" t="s">
        <v>223</v>
      </c>
      <c r="Y134" s="522">
        <f ca="1">science_cap*(1-EXP(-AH134/(science_param*($A135-Explore!$S135*20)+15000)))*(1+(mason_bonus*Construction!BB134/Construction!BS134))+IF(Overview!$B$14="Beastfolk",Construction!DA134/Construction!E134,0)*(1 + Production!O134/100*prestige_pop_multiplier)</f>
        <v>0</v>
      </c>
      <c r="Z134" s="284">
        <f ca="1">keep_cap*(1-EXP(-AI134/(keep_param*($A135-Explore!$S135*20)+15000)))*(1+(mason_bonus*Construction!BB134/Construction!BS134))+IF(Overview!$B$14="Beastfolk",Construction!DF134/Construction!E134,0)*(1 + Production!O134/100*prestige_pop_multiplier)</f>
        <v>0</v>
      </c>
      <c r="AA134" s="284">
        <f ca="1">harbor_towers_cap*(1-EXP(-AJ134/(harbor_towers_param*($A135-Explore!$S135*20)+15000)))*(1+(mason_bonus*Construction!BB134/Construction!BS134))+IF(Overview!$B$14="Beastfolk",2*Construction!DC134/Construction!E134,0)*(1 + Production!O134/100*prestige_pop_multiplier)</f>
        <v>0</v>
      </c>
      <c r="AB134" s="284">
        <f ca="1">walls_forges_cap*(1-EXP(-AK134/(walls_forges_param*($A135-Explore!$S135*20)+15000)))*(1+(mason_bonus*Construction!BB134/Construction!BS134))+IF(Overview!$B$14="Beastfolk",0.2*Construction!CY134/Construction!E134,0)</f>
        <v>0</v>
      </c>
      <c r="AC134" s="284">
        <f ca="1">walls_forges_cap*(1-EXP(-AL134/(walls_forges_param*($A135-Explore!$S135*20)+15000)))*(1+(mason_bonus*Construction!BB134/Construction!BS134))+IF(Overview!$B$14="Beastfolk",5*Construction!DB134/Construction!E134,0)</f>
        <v>0</v>
      </c>
      <c r="AD134" s="97">
        <f ca="1">harbor_towers_cap*(1-EXP(-AM134/(harbor_towers_param*($A135-Explore!$S135*20)+15000)))*(1+(mason_bonus*Construction!BB134/Construction!BS134))+IF(Overview!$B$14="Beastfolk",Construction!DE134/Construction!E134)*(1 + Production!O134/100*prestige_pop_multiplier)</f>
        <v>0</v>
      </c>
      <c r="AE134" s="97">
        <f ca="1">armory_cap*(1-EXP(-AN134/(armory_param*($A135-Explore!$S135*20)+15000)))*(1+(mason_bonus*Construction!$BB134/Construction!$BS134))</f>
        <v>0</v>
      </c>
      <c r="AF134" s="97">
        <f ca="1">infirmary_cap*(1-EXP(-AO134/(infirmary_param*($A135-Explore!$S135*20)+15000)))*(1+(mason_bonus*Construction!$BB134/Construction!$BS134))</f>
        <v>0</v>
      </c>
      <c r="AH134" s="56">
        <f ca="1">(1+Overview!$O$28+IF(Magic!BA134&gt;0,0.1,0))*SUM(AV134:AY134) + AH133</f>
        <v>0</v>
      </c>
      <c r="AI134" s="26">
        <f ca="1">(1+Overview!$O$28+IF(Magic!BA134&gt;0,0.1,0))*SUM(BA134:BD134) + AI133</f>
        <v>0</v>
      </c>
      <c r="AJ134" s="164">
        <f ca="1">(1+Overview!$O$28+IF(Magic!BA134&gt;0,0.1,0))*SUM(BF134:BI134) + AJ133</f>
        <v>0</v>
      </c>
      <c r="AK134" s="164">
        <f ca="1">(1+Overview!$O$28+IF(Magic!BA134&gt;0,0.1,0))*SUM(BK134:BN134) + AK133</f>
        <v>0</v>
      </c>
      <c r="AL134" s="164">
        <f ca="1">(1+Overview!$O$28+IF(Magic!BA134&gt;0,0.1,0))*SUM(BP134:BS134) + AL133</f>
        <v>0</v>
      </c>
      <c r="AM134" s="166">
        <f ca="1">(1+Overview!$O$28+IF(Magic!BA134&gt;0,0.1,0))*SUM(BU134:BX134) + AM133</f>
        <v>0</v>
      </c>
      <c r="AN134" s="166">
        <f ca="1">(1+Overview!$O$28+IF(Magic!BA134&gt;0,0.1,0))*SUM(BZ134:CC134)+AN133</f>
        <v>0</v>
      </c>
      <c r="AO134" s="164">
        <f ca="1">(1+Overview!$O$28+IF(Magic!BA134&gt;0,0.1,0))*SUM(CE134:CH134)+AO133</f>
        <v>0</v>
      </c>
      <c r="AQ134" s="52">
        <f t="shared" si="69"/>
        <v>0</v>
      </c>
      <c r="AR134" s="16">
        <f t="shared" si="69"/>
        <v>0</v>
      </c>
      <c r="AS134" s="16">
        <f t="shared" si="69"/>
        <v>0</v>
      </c>
      <c r="AT134" s="53">
        <f t="shared" si="69"/>
        <v>0</v>
      </c>
      <c r="AV134" s="56">
        <f>IF($O134=AV$2,IF($Q134=$Y$2,$P134)) + IF($R134=AV$2,IF($T134=$Y$2,$S134)) + IF($U134=AV$2,IF($W134=$Y$2,$V134))</f>
        <v>0</v>
      </c>
      <c r="AW134" s="26">
        <f t="shared" si="70"/>
        <v>0</v>
      </c>
      <c r="AX134" s="26">
        <f t="shared" si="70"/>
        <v>0</v>
      </c>
      <c r="AY134" s="57">
        <f>IF($O134=AY$2,IF($Q134=$Y$2,12*$P134)) + IF($R134=AY$2,IF($T134=$Y$2,12*$S134)) + IF($U134=AY$2,IF($W134=$Y$2,12*$V134))</f>
        <v>0</v>
      </c>
      <c r="BA134" s="56">
        <f>IF($O134=BA$2,IF($Q134=$Z$2,$P134)) + IF($R134=BA$2,IF($T134=$Z$2,$S134)) + IF($U134=BA$2,IF($W134=$Z$2,$V134))</f>
        <v>0</v>
      </c>
      <c r="BB134" s="26">
        <f t="shared" si="71"/>
        <v>0</v>
      </c>
      <c r="BC134" s="26">
        <f t="shared" si="71"/>
        <v>0</v>
      </c>
      <c r="BD134" s="57">
        <f>IF($O134=BD$2,IF($Q134=$Z$2,12*$P134)) + IF($R134=BD$2,IF($T134=$Z$2,12*$S134)) + IF($U134=BD$2,IF($W134=$Z$2,12*$V134))</f>
        <v>0</v>
      </c>
      <c r="BF134" s="56">
        <f>IF($O134=BF$2,IF($Q134=$AA$2,$P134)) + IF($R134=BF$2,IF($T134=$AA$2,$S134)) + IF($U134=BF$2,IF($W134=$AA$2,$V134))</f>
        <v>0</v>
      </c>
      <c r="BG134" s="26">
        <f>IF($O134=BG$2,IF($Q134=$AA$2,2*$P134)) + IF($R134=BG$2,IF($T134=$AA$2,2*$S134)) + IF($U134=BG$2,IF($W134=$AA$2,2*$V134))</f>
        <v>0</v>
      </c>
      <c r="BH134" s="26">
        <f t="shared" si="68"/>
        <v>0</v>
      </c>
      <c r="BI134" s="57">
        <f>IF($O134=BI$2,IF($Q134=$AA$2,12*$P134)) + IF($R134=BI$2,IF($T134=$AA$2,12*$S134)) + IF($U134=BI$2,IF($W134=$AA$2,12*$V134))</f>
        <v>0</v>
      </c>
      <c r="BK134" s="56">
        <f>IF($O134=BK$2,IF($Q134=$AB$2,$P134)) + IF($R134=BK$2,IF($T134=$AB$2,$S134)) + IF($U134=BK$2,IF($W134=$AB$2,$V134))</f>
        <v>0</v>
      </c>
      <c r="BL134" s="26">
        <f t="shared" si="72"/>
        <v>0</v>
      </c>
      <c r="BM134" s="26">
        <f t="shared" si="72"/>
        <v>0</v>
      </c>
      <c r="BN134" s="57">
        <f>IF($O134=BN$2,IF($Q134=$AB$2,12*$P134)) + IF($R134=BN$2,IF($T134=$AB$2,12*$S134)) + IF($U134=BN$2,IF($W134=$AB$2,12*$V134))</f>
        <v>0</v>
      </c>
      <c r="BP134" s="56">
        <f>IF($O134=BP$2,IF($Q134=$AC$2,$P134)) + IF($R134=BP$2,IF($T134=$AC$2,$S134)) + IF($U134=BP$2,IF($W134=$AC$2,$V134))</f>
        <v>0</v>
      </c>
      <c r="BQ134" s="26">
        <f t="shared" si="73"/>
        <v>0</v>
      </c>
      <c r="BR134" s="26">
        <f t="shared" si="73"/>
        <v>0</v>
      </c>
      <c r="BS134" s="57">
        <f>IF($O134=BS$2,IF($Q134=$AC$2,12*$P134)) + IF($R134=BS$2,IF($T134=$AC$2,12*$S134)) + IF($U134=BS$2,IF($W134=$AC$2,12*$V134))</f>
        <v>0</v>
      </c>
      <c r="BU134" s="56">
        <f>IF($O134=BU$2,IF($Q134=$AD$2,$P134)) + IF($R134=BU$2,IF($T134=$AD$2,$S134)) + IF($U134=BU$2,IF($W134=$AD$2,$V134))</f>
        <v>0</v>
      </c>
      <c r="BV134" s="26">
        <f>IF($O134=BV$2,IF($Q134=$AD$2,2*$P134)) + IF($R134=BV$2,IF($T134=$AD$2,2*$S134)) + IF($U134=BV$2,IF($W134=$AD$2,2*$V134))</f>
        <v>0</v>
      </c>
      <c r="BW134" s="26">
        <f>IF($O134=BW$2,IF($Q134=$AD$2,2*$P134)) + IF($R134=BW$2,IF($T134=$AD$2,2*$S134)) + IF($U134=BW$2,IF($W134=$AD$2,2*$V134))</f>
        <v>0</v>
      </c>
      <c r="BX134" s="57">
        <f>IF($O134=BX$2,IF($Q134=$AD$2,12*$P134)) + IF($R134=BX$2,IF($T134=$AD$2,12*$S134)) + IF($U134=BX$2,IF($W134=$AD$2,12*$V134))</f>
        <v>0</v>
      </c>
      <c r="BZ134" s="56">
        <f>IF($O134=BZ$2,IF($Q134=Armory,$P134)) + IF($R134=BZ$2,IF($T134=Armory,$S134)) + IF($U134=BZ$2,IF($W134=Armory,$V134))</f>
        <v>0</v>
      </c>
      <c r="CA134" s="26">
        <f>IF($O134=CA$2,IF($Q134=Armory,2*$P134)) + IF($R134=CA$2,IF($T134=Armory,2*$S134)) + IF($U134=CA$2,IF($W134=Armory,2*$V134))</f>
        <v>0</v>
      </c>
      <c r="CB134" s="26">
        <f>IF($O134=CB$2,IF($Q134=Armory,2*$P134)) + IF($R134=CB$2,IF($T134=Armory,2*$S134)) + IF($U134=CB$2,IF($W134=Armory,2*$V134))</f>
        <v>0</v>
      </c>
      <c r="CC134" s="57">
        <f>IF($O134=CC$2,IF($Q134=Armory,12*$P134)) + IF($R134=CC$2,IF($T134=Armory,12*$S134)) + IF($U134=CC$2,IF($W134=Armory,12*$V134))</f>
        <v>0</v>
      </c>
      <c r="CE134" s="56">
        <f>IF($O134=CE$2,IF($Q134=Infirmary,$P134)) + IF($R134=CE$2,IF($T134=Infirmary,$S134)) + IF($U134=CE$2,IF($W134=Infirmary,$V134))</f>
        <v>0</v>
      </c>
      <c r="CF134" s="26">
        <f>IF($O134=CF$2,IF($Q134=Infirmary,2*$P134)) + IF($R134=CF$2,IF($T134=Infirmary,2*$S134)) + IF($U134=CF$2,IF($W134=Infirmary,2*$V134))</f>
        <v>0</v>
      </c>
      <c r="CG134" s="26">
        <f>IF($O134=CG$2,IF($Q134=Infirmary,2*$P134)) + IF($R134=CG$2,IF($T134=Infirmary,2*$S134)) + IF($U134=CG$2,IF($W134=Infirmary,2*$V134))</f>
        <v>0</v>
      </c>
      <c r="CH134" s="57">
        <f>IF($O134=CH$2,IF($Q134=Infirmary,12*$P134)) + IF($R134=CH$2,IF($T134=Infirmary,12*$S134)) + IF($U134=CH$2,IF($W134=Infirmary,12*$V134))</f>
        <v>0</v>
      </c>
      <c r="CJ134" s="52" t="e">
        <f>OR(Production!C134,Construction!N134:'Construction'!AF134,Construction!BV134:CN134,Explore!S134:Z134,Military!AF134:AL134,Military!X134,Military!BE134:BL134,Rezone!L134:R134,Magic!G134:Q134)</f>
        <v>#VALUE!</v>
      </c>
      <c r="CK134" s="525">
        <f>M134</f>
        <v>0</v>
      </c>
      <c r="CL134" s="525"/>
      <c r="CM134" s="555">
        <f t="shared" si="75"/>
        <v>43769.364583333016</v>
      </c>
      <c r="CN134" s="563">
        <f t="shared" si="76"/>
        <v>43769.197916666351</v>
      </c>
      <c r="CO134" s="527"/>
      <c r="CP134" s="803"/>
      <c r="CQ134" s="808"/>
    </row>
    <row r="135" spans="1:95" s="12" customFormat="1" x14ac:dyDescent="0.25">
      <c r="A135" s="513">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1">
        <f>Rezone!J135</f>
        <v>133</v>
      </c>
      <c r="L135" s="581">
        <f t="shared" si="74"/>
        <v>43769.37499999968</v>
      </c>
      <c r="M135" s="648">
        <f t="shared" si="67"/>
        <v>0</v>
      </c>
      <c r="N135" s="641">
        <f>A135</f>
        <v>1000</v>
      </c>
      <c r="O135" s="427" t="s">
        <v>4</v>
      </c>
      <c r="P135" s="428"/>
      <c r="Q135" s="429" t="s">
        <v>223</v>
      </c>
      <c r="R135" s="427" t="s">
        <v>7</v>
      </c>
      <c r="S135" s="428"/>
      <c r="T135" s="430" t="s">
        <v>223</v>
      </c>
      <c r="U135" s="429" t="s">
        <v>3</v>
      </c>
      <c r="V135" s="428"/>
      <c r="W135" s="430" t="s">
        <v>223</v>
      </c>
      <c r="Y135" s="523">
        <f ca="1">science_cap*(1-EXP(-AH135/(science_param*($A136-Explore!$S136*20)+15000)))*(1+(mason_bonus*Construction!BB135/Construction!BS135))+IF(Overview!$B$14="Beastfolk",Construction!DA135/Construction!E135,0)*(1 + Production!O135/100*prestige_pop_multiplier)</f>
        <v>0</v>
      </c>
      <c r="Z135" s="456">
        <f ca="1">keep_cap*(1-EXP(-AI135/(keep_param*($A136-Explore!$S136*20)+15000)))*(1+(mason_bonus*Construction!BB135/Construction!BS135))+IF(Overview!$B$14="Beastfolk",Construction!DF135/Construction!E135,0)*(1 + Production!O135/100*prestige_pop_multiplier)</f>
        <v>0</v>
      </c>
      <c r="AA135" s="456">
        <f ca="1">harbor_towers_cap*(1-EXP(-AJ135/(harbor_towers_param*($A136-Explore!$S136*20)+15000)))*(1+(mason_bonus*Construction!BB135/Construction!BS135))+IF(Overview!$B$14="Beastfolk",2*Construction!DC135/Construction!E135,0)*(1 + Production!O135/100*prestige_pop_multiplier)</f>
        <v>0</v>
      </c>
      <c r="AB135" s="456">
        <f ca="1">walls_forges_cap*(1-EXP(-AK135/(walls_forges_param*($A136-Explore!$S136*20)+15000)))*(1+(mason_bonus*Construction!BB135/Construction!BS135))+IF(Overview!$B$14="Beastfolk",0.2*Construction!CY135/Construction!E135,0)</f>
        <v>0</v>
      </c>
      <c r="AC135" s="456">
        <f ca="1">walls_forges_cap*(1-EXP(-AL135/(walls_forges_param*($A136-Explore!$S136*20)+15000)))*(1+(mason_bonus*Construction!BB135/Construction!BS135))+IF(Overview!$B$14="Beastfolk",5*Construction!DB135/Construction!E135,0)</f>
        <v>0</v>
      </c>
      <c r="AD135" s="96">
        <f ca="1">harbor_towers_cap*(1-EXP(-AM135/(harbor_towers_param*($A136-Explore!$S136*20)+15000)))*(1+(mason_bonus*Construction!BB135/Construction!BS135))+IF(Overview!$B$14="Beastfolk",Construction!DE135/Construction!E135)*(1 + Production!O135/100*prestige_pop_multiplier)</f>
        <v>0</v>
      </c>
      <c r="AE135" s="96">
        <f ca="1">armory_cap*(1-EXP(-AN135/(armory_param*($A136-Explore!$S136*20)+15000)))*(1+(mason_bonus*Construction!$BB135/Construction!$BS135))</f>
        <v>0</v>
      </c>
      <c r="AF135" s="96">
        <f ca="1">infirmary_cap*(1-EXP(-AO135/(infirmary_param*($A136-Explore!$S136*20)+15000)))*(1+(mason_bonus*Construction!$BB135/Construction!$BS135))</f>
        <v>0</v>
      </c>
      <c r="AG135" s="50"/>
      <c r="AH135" s="54">
        <f ca="1">(1+Overview!$O$28+IF(Magic!BA135&gt;0,0.1,0))*SUM(AV135:AY135) + AH134</f>
        <v>0</v>
      </c>
      <c r="AI135" s="13">
        <f ca="1">(1+Overview!$O$28+IF(Magic!BA135&gt;0,0.1,0))*SUM(BA135:BD135) + AI134</f>
        <v>0</v>
      </c>
      <c r="AJ135" s="153">
        <f ca="1">(1+Overview!$O$28+IF(Magic!BA135&gt;0,0.1,0))*SUM(BF135:BI135) + AJ134</f>
        <v>0</v>
      </c>
      <c r="AK135" s="153">
        <f ca="1">(1+Overview!$O$28+IF(Magic!BA135&gt;0,0.1,0))*SUM(BK135:BN135) + AK134</f>
        <v>0</v>
      </c>
      <c r="AL135" s="153">
        <f ca="1">(1+Overview!$O$28+IF(Magic!BA135&gt;0,0.1,0))*SUM(BP135:BS135) + AL134</f>
        <v>0</v>
      </c>
      <c r="AM135" s="158">
        <f ca="1">(1+Overview!$O$28+IF(Magic!BA135&gt;0,0.1,0))*SUM(BU135:BX135) + AM134</f>
        <v>0</v>
      </c>
      <c r="AN135" s="158">
        <f ca="1">(1+Overview!$O$28+IF(Magic!BA135&gt;0,0.1,0))*SUM(BZ135:CC135)+AN134</f>
        <v>0</v>
      </c>
      <c r="AO135" s="158">
        <f ca="1">(1+Overview!$O$28+IF(Magic!BA135&gt;0,0.1,0))*SUM(CE135:CH135)+AO134</f>
        <v>0</v>
      </c>
      <c r="AP135" s="51"/>
      <c r="AQ135" s="50">
        <f t="shared" si="69"/>
        <v>0</v>
      </c>
      <c r="AR135" s="12">
        <f t="shared" si="69"/>
        <v>0</v>
      </c>
      <c r="AS135" s="12">
        <f t="shared" si="69"/>
        <v>0</v>
      </c>
      <c r="AT135" s="51">
        <f t="shared" si="69"/>
        <v>0</v>
      </c>
      <c r="AV135" s="54">
        <f>IF($O135=AV$2,IF($Q135=$Y$2,$P135)) + IF($R135=AV$2,IF($T135=$Y$2,$S135)) + IF($U135=AV$2,IF($W135=$Y$2,$V135))</f>
        <v>0</v>
      </c>
      <c r="AW135" s="13">
        <f t="shared" si="70"/>
        <v>0</v>
      </c>
      <c r="AX135" s="13">
        <f t="shared" si="70"/>
        <v>0</v>
      </c>
      <c r="AY135" s="55">
        <f>IF($O135=AY$2,IF($Q135=$Y$2,12*$P135)) + IF($R135=AY$2,IF($T135=$Y$2,12*$S135)) + IF($U135=AY$2,IF($W135=$Y$2,12*$V135))</f>
        <v>0</v>
      </c>
      <c r="BA135" s="54">
        <f>IF($O135=BA$2,IF($Q135=$Z$2,$P135)) + IF($R135=BA$2,IF($T135=$Z$2,$S135)) + IF($U135=BA$2,IF($W135=$Z$2,$V135))</f>
        <v>0</v>
      </c>
      <c r="BB135" s="13">
        <f t="shared" si="71"/>
        <v>0</v>
      </c>
      <c r="BC135" s="13">
        <f t="shared" si="71"/>
        <v>0</v>
      </c>
      <c r="BD135" s="55">
        <f>IF($O135=BD$2,IF($Q135=$Z$2,12*$P135)) + IF($R135=BD$2,IF($T135=$Z$2,12*$S135)) + IF($U135=BD$2,IF($W135=$Z$2,12*$V135))</f>
        <v>0</v>
      </c>
      <c r="BF135" s="54">
        <f>IF($O135=BF$2,IF($Q135=$AA$2,$P135)) + IF($R135=BF$2,IF($T135=$AA$2,$S135)) + IF($U135=BF$2,IF($W135=$AA$2,$V135))</f>
        <v>0</v>
      </c>
      <c r="BG135" s="13">
        <f>IF($O135=BG$2,IF($Q135=$AA$2,2*$P135)) + IF($R135=BG$2,IF($T135=$AA$2,2*$S135)) + IF($U135=BG$2,IF($W135=$AA$2,2*$V135))</f>
        <v>0</v>
      </c>
      <c r="BH135" s="13">
        <f t="shared" si="68"/>
        <v>0</v>
      </c>
      <c r="BI135" s="55">
        <f>IF($O135=BI$2,IF($Q135=$AA$2,12*$P135)) + IF($R135=BI$2,IF($T135=$AA$2,12*$S135)) + IF($U135=BI$2,IF($W135=$AA$2,12*$V135))</f>
        <v>0</v>
      </c>
      <c r="BK135" s="54">
        <f>IF($O135=BK$2,IF($Q135=$AB$2,$P135)) + IF($R135=BK$2,IF($T135=$AB$2,$S135)) + IF($U135=BK$2,IF($W135=$AB$2,$V135))</f>
        <v>0</v>
      </c>
      <c r="BL135" s="13">
        <f t="shared" si="72"/>
        <v>0</v>
      </c>
      <c r="BM135" s="13">
        <f t="shared" si="72"/>
        <v>0</v>
      </c>
      <c r="BN135" s="55">
        <f>IF($O135=BN$2,IF($Q135=$AB$2,12*$P135)) + IF($R135=BN$2,IF($T135=$AB$2,12*$S135)) + IF($U135=BN$2,IF($W135=$AB$2,12*$V135))</f>
        <v>0</v>
      </c>
      <c r="BP135" s="54">
        <f>IF($O135=BP$2,IF($Q135=$AC$2,$P135)) + IF($R135=BP$2,IF($T135=$AC$2,$S135)) + IF($U135=BP$2,IF($W135=$AC$2,$V135))</f>
        <v>0</v>
      </c>
      <c r="BQ135" s="13">
        <f t="shared" si="73"/>
        <v>0</v>
      </c>
      <c r="BR135" s="13">
        <f t="shared" si="73"/>
        <v>0</v>
      </c>
      <c r="BS135" s="55">
        <f>IF($O135=BS$2,IF($Q135=$AC$2,12*$P135)) + IF($R135=BS$2,IF($T135=$AC$2,12*$S135)) + IF($U135=BS$2,IF($W135=$AC$2,12*$V135))</f>
        <v>0</v>
      </c>
      <c r="BU135" s="54">
        <f>IF($O135=BU$2,IF($Q135=$AD$2,$P135)) + IF($R135=BU$2,IF($T135=$AD$2,$S135)) + IF($U135=BU$2,IF($W135=$AD$2,$V135))</f>
        <v>0</v>
      </c>
      <c r="BV135" s="13">
        <f>IF($O135=BV$2,IF($Q135=$AD$2,2*$P135)) + IF($R135=BV$2,IF($T135=$AD$2,2*$S135)) + IF($U135=BV$2,IF($W135=$AD$2,2*$V135))</f>
        <v>0</v>
      </c>
      <c r="BW135" s="13">
        <f>IF($O135=BW$2,IF($Q135=$AD$2,2*$P135)) + IF($R135=BW$2,IF($T135=$AD$2,2*$S135)) + IF($U135=BW$2,IF($W135=$AD$2,2*$V135))</f>
        <v>0</v>
      </c>
      <c r="BX135" s="55">
        <f>IF($O135=BX$2,IF($Q135=$AD$2,12*$P135)) + IF($R135=BX$2,IF($T135=$AD$2,12*$S135)) + IF($U135=BX$2,IF($W135=$AD$2,12*$V135))</f>
        <v>0</v>
      </c>
      <c r="BZ135" s="54">
        <f>IF($O135=BZ$2,IF($Q135=Armory,$P135)) + IF($R135=BZ$2,IF($T135=Armory,$S135)) + IF($U135=BZ$2,IF($W135=Armory,$V135))</f>
        <v>0</v>
      </c>
      <c r="CA135" s="13">
        <f>IF($O135=CA$2,IF($Q135=Armory,2*$P135)) + IF($R135=CA$2,IF($T135=Armory,2*$S135)) + IF($U135=CA$2,IF($W135=Armory,2*$V135))</f>
        <v>0</v>
      </c>
      <c r="CB135" s="13">
        <f>IF($O135=CB$2,IF($Q135=Armory,2*$P135)) + IF($R135=CB$2,IF($T135=Armory,2*$S135)) + IF($U135=CB$2,IF($W135=Armory,2*$V135))</f>
        <v>0</v>
      </c>
      <c r="CC135" s="55">
        <f>IF($O135=CC$2,IF($Q135=Armory,12*$P135)) + IF($R135=CC$2,IF($T135=Armory,12*$S135)) + IF($U135=CC$2,IF($W135=Armory,12*$V135))</f>
        <v>0</v>
      </c>
      <c r="CE135" s="54">
        <f>IF($O135=CE$2,IF($Q135=Infirmary,$P135)) + IF($R135=CE$2,IF($T135=Infirmary,$S135)) + IF($U135=CE$2,IF($W135=Infirmary,$V135))</f>
        <v>0</v>
      </c>
      <c r="CF135" s="13">
        <f>IF($O135=CF$2,IF($Q135=Infirmary,2*$P135)) + IF($R135=CF$2,IF($T135=Infirmary,2*$S135)) + IF($U135=CF$2,IF($W135=Infirmary,2*$V135))</f>
        <v>0</v>
      </c>
      <c r="CG135" s="13">
        <f>IF($O135=CG$2,IF($Q135=Infirmary,2*$P135)) + IF($R135=CG$2,IF($T135=Infirmary,2*$S135)) + IF($U135=CG$2,IF($W135=Infirmary,2*$V135))</f>
        <v>0</v>
      </c>
      <c r="CH135" s="55">
        <f>IF($O135=CH$2,IF($Q135=Infirmary,12*$P135)) + IF($R135=CH$2,IF($T135=Infirmary,12*$S135)) + IF($U135=CH$2,IF($W135=Infirmary,12*$V135))</f>
        <v>0</v>
      </c>
      <c r="CJ135" s="50" t="e">
        <f>OR(Production!C135,Construction!N135:'Construction'!AF135,Construction!BV135:CN135,Explore!S135:Z135,Military!AF135:AL135,Military!X135,Military!BE135:BL135,Rezone!L135:R135,Magic!G135:Q135)</f>
        <v>#VALUE!</v>
      </c>
      <c r="CK135" s="549">
        <f>M135</f>
        <v>0</v>
      </c>
      <c r="CL135" s="549"/>
      <c r="CM135" s="556">
        <f t="shared" si="75"/>
        <v>43769.37499999968</v>
      </c>
      <c r="CN135" s="564">
        <f t="shared" si="76"/>
        <v>43769.208333333016</v>
      </c>
      <c r="CO135" s="629"/>
      <c r="CP135" s="804"/>
      <c r="CQ135" s="809"/>
    </row>
    <row r="1268" spans="2:23" x14ac:dyDescent="0.25">
      <c r="B1268" s="1464" t="s">
        <v>330</v>
      </c>
      <c r="C1268" s="1415"/>
      <c r="O1268" s="16"/>
      <c r="P1268" s="16"/>
      <c r="Q1268" s="16"/>
      <c r="R1268" s="16"/>
      <c r="S1268" s="16"/>
      <c r="T1268" s="16"/>
      <c r="U1268" s="16"/>
      <c r="V1268" s="16"/>
      <c r="W1268" s="313"/>
    </row>
    <row r="1269" spans="2:23" x14ac:dyDescent="0.25">
      <c r="B1269" s="669">
        <f ca="1">Overview!E17</f>
        <v>-42</v>
      </c>
      <c r="C1269" s="669"/>
      <c r="O1269" s="16"/>
      <c r="P1269" s="16"/>
      <c r="Q1269" s="16"/>
      <c r="R1269" s="16"/>
      <c r="S1269" s="16"/>
      <c r="T1269" s="16"/>
      <c r="U1269" s="16"/>
      <c r="V1269" s="16"/>
      <c r="W1269" s="313"/>
    </row>
  </sheetData>
  <mergeCells count="12">
    <mergeCell ref="BZ1:CB1"/>
    <mergeCell ref="CE1:CG1"/>
    <mergeCell ref="BF1:BI1"/>
    <mergeCell ref="BK1:BM1"/>
    <mergeCell ref="BP1:BR1"/>
    <mergeCell ref="BU1:BW1"/>
    <mergeCell ref="B1268:C1268"/>
    <mergeCell ref="AV1:AX1"/>
    <mergeCell ref="BA1:BC1"/>
    <mergeCell ref="AQ1:AR1"/>
    <mergeCell ref="AH1:AI1"/>
    <mergeCell ref="C1:F1"/>
  </mergeCells>
  <phoneticPr fontId="0" type="noConversion"/>
  <conditionalFormatting sqref="JJ29206:JJ65009 CR1270:JJ60114 A1270:AD60157 A136:AD1267 AG136:AM1267 AG1270:AM60157 AP1270:BY60157 AP136:BY1267 CJ136:XFD1267 CJ1270:CQ60157">
    <cfRule type="expression" dxfId="88" priority="74" stopIfTrue="1">
      <formula>ROW()-2=#REF!</formula>
    </cfRule>
  </conditionalFormatting>
  <conditionalFormatting sqref="A1268:AD1268 AG1268:AM1268 AP1268:BY1268 CJ1268:CQ1268">
    <cfRule type="expression" dxfId="87" priority="75" stopIfTrue="1">
      <formula>$B$1269&gt;84</formula>
    </cfRule>
  </conditionalFormatting>
  <conditionalFormatting sqref="A1268:AD1269 AG1268:AM1269 AP1268:BY1269 CJ1268:XFD1269">
    <cfRule type="expression" dxfId="86" priority="76" stopIfTrue="1">
      <formula>$B$1269&gt;144</formula>
    </cfRule>
  </conditionalFormatting>
  <conditionalFormatting sqref="K3:N18 Q3:Q18 T3:T18 BY3:BY18 CK3:JJ18 W3:AD18 W32:AD135 CK32:JJ135 BY32:BY135 T32:T135 Q32:Q135 K32:N135 W28:AD30 CK28:JJ30 BY28:BY30 T28:T30 Q28:Q30 K28:N30 W20:AD26 CK20:JJ26 BY20:BY26 T20:T26 Q20:Q26 K20:N26 AG20:AG26 AG28:AG30 AG32:AG135 AG3:AG18">
    <cfRule type="expression" dxfId="85" priority="77" stopIfTrue="1">
      <formula>ROW()-3=$B$1269</formula>
    </cfRule>
  </conditionalFormatting>
  <conditionalFormatting sqref="P3:P18 S3:S18 V3:V18 A3:J18 AH3:AM18 AH32:AM135 A32:J135 V32:V135 S32:S135 P32:P135 AH28:AM30 A28:J30 V28:V30 S28:S30 P28:P30 AH20:AM26 A20:J26 V20:V26 S20:S26 P20:P26 AP20:BX26 AP28:BX30 AP32:BX135 AP3:BX18">
    <cfRule type="expression" dxfId="84" priority="78" stopIfTrue="1">
      <formula>OR(ROW()-3=$B$1269,A3&lt;0)</formula>
    </cfRule>
  </conditionalFormatting>
  <conditionalFormatting sqref="R3:R18 U3:U18 U32:U135 R32:R135 U28:U30 R28:R30 U20:U26 R20:R26">
    <cfRule type="expression" dxfId="83" priority="79" stopIfTrue="1">
      <formula>OR(ROW()-3=$B$1269,AND(R3&lt;&gt;"Platinum",R3&lt;&gt;"Lumber",R3&lt;&gt;"Ore",R3&lt;&gt;"Gems",R3&lt;&gt;""))</formula>
    </cfRule>
  </conditionalFormatting>
  <conditionalFormatting sqref="O3:O18 O32:O135 O28:O30 O20:O26">
    <cfRule type="expression" dxfId="82" priority="80" stopIfTrue="1">
      <formula>OR(ROW()-3=$B$1269,AND(O3&lt;&gt;"Platinum",O3&lt;&gt;"Gems",O3&lt;&gt;"Ore",O3&lt;&gt;"Lumber",O3&lt;&gt;""))</formula>
    </cfRule>
  </conditionalFormatting>
  <conditionalFormatting sqref="CJ3:CJ18 CJ76:CJ135 CJ32:CJ74 CJ28:CJ30 CJ20:CJ26">
    <cfRule type="expression" dxfId="81" priority="81" stopIfTrue="1">
      <formula>AND(ROW()-3=$B$1269,ISERROR(CJ3))</formula>
    </cfRule>
    <cfRule type="expression" dxfId="80" priority="82" stopIfTrue="1">
      <formula>ROW()-3=$B$1269</formula>
    </cfRule>
    <cfRule type="expression" dxfId="79" priority="83" stopIfTrue="1">
      <formula>ISERROR(CJ3)</formula>
    </cfRule>
  </conditionalFormatting>
  <conditionalFormatting sqref="CJ75">
    <cfRule type="expression" dxfId="78" priority="84" stopIfTrue="1">
      <formula>AND(ROW()-3=$B$1269,ISERROR(CJ75))</formula>
    </cfRule>
    <cfRule type="expression" dxfId="77" priority="85" stopIfTrue="1">
      <formula>ROW()-3=$B$1269</formula>
    </cfRule>
    <cfRule type="expression" dxfId="76" priority="86" stopIfTrue="1">
      <formula>ISERROR(CJ75)</formula>
    </cfRule>
  </conditionalFormatting>
  <conditionalFormatting sqref="A1:AD2 AG1:AM2 AP1:BY2 CJ1:XFD2">
    <cfRule type="expression" dxfId="75" priority="87" stopIfTrue="1">
      <formula>$B$1269&lt;0</formula>
    </cfRule>
  </conditionalFormatting>
  <conditionalFormatting sqref="CJ75">
    <cfRule type="expression" dxfId="74" priority="71" stopIfTrue="1">
      <formula>AND(ROW()-3=$B$1269,ISERROR(CJ75))</formula>
    </cfRule>
    <cfRule type="expression" dxfId="73" priority="72" stopIfTrue="1">
      <formula>ROW()-3=$B$1269</formula>
    </cfRule>
    <cfRule type="expression" dxfId="72" priority="73" stopIfTrue="1">
      <formula>ISERROR(CJ75)</formula>
    </cfRule>
  </conditionalFormatting>
  <conditionalFormatting sqref="K19:N19 Q19 T19 BY19 CK19:JJ19 W19:AD19 AG19">
    <cfRule type="expression" dxfId="71" priority="50" stopIfTrue="1">
      <formula>ROW()-3=$B$1269</formula>
    </cfRule>
  </conditionalFormatting>
  <conditionalFormatting sqref="AN19:AO19">
    <cfRule type="expression" dxfId="70" priority="34" stopIfTrue="1">
      <formula>OR(ROW()-3=$B$1269,AN19&lt;0)</formula>
    </cfRule>
  </conditionalFormatting>
  <conditionalFormatting sqref="K31:N31 Q31 T31 BY31 CK31:JJ31 W31:AD31 AG31">
    <cfRule type="expression" dxfId="69" priority="64" stopIfTrue="1">
      <formula>ROW()-3=$B$1269</formula>
    </cfRule>
  </conditionalFormatting>
  <conditionalFormatting sqref="P31 S31 V31 A31:J31 AH31:AM31 AP31:BX31">
    <cfRule type="expression" dxfId="68" priority="65" stopIfTrue="1">
      <formula>OR(ROW()-3=$B$1269,A31&lt;0)</formula>
    </cfRule>
  </conditionalFormatting>
  <conditionalFormatting sqref="R31 U31">
    <cfRule type="expression" dxfId="67" priority="66" stopIfTrue="1">
      <formula>OR(ROW()-3=$B$1269,AND(R31&lt;&gt;"Platinum",R31&lt;&gt;"Lumber",R31&lt;&gt;"Ore",R31&lt;&gt;"Gems",R31&lt;&gt;""))</formula>
    </cfRule>
  </conditionalFormatting>
  <conditionalFormatting sqref="O31">
    <cfRule type="expression" dxfId="66" priority="67" stopIfTrue="1">
      <formula>OR(ROW()-3=$B$1269,AND(O31&lt;&gt;"Platinum",O31&lt;&gt;"Gems",O31&lt;&gt;"Ore",O31&lt;&gt;"Lumber",O31&lt;&gt;""))</formula>
    </cfRule>
  </conditionalFormatting>
  <conditionalFormatting sqref="CJ31">
    <cfRule type="expression" dxfId="65" priority="68" stopIfTrue="1">
      <formula>AND(ROW()-3=$B$1269,ISERROR(CJ31))</formula>
    </cfRule>
    <cfRule type="expression" dxfId="64" priority="69" stopIfTrue="1">
      <formula>ROW()-3=$B$1269</formula>
    </cfRule>
    <cfRule type="expression" dxfId="63" priority="70" stopIfTrue="1">
      <formula>ISERROR(CJ31)</formula>
    </cfRule>
  </conditionalFormatting>
  <conditionalFormatting sqref="K27:N27 Q27 T27 BY27 CK27:JJ27 W27:AD27 AG27">
    <cfRule type="expression" dxfId="62" priority="57" stopIfTrue="1">
      <formula>ROW()-3=$B$1269</formula>
    </cfRule>
  </conditionalFormatting>
  <conditionalFormatting sqref="P27 S27 V27 A27:J27 AH27:AM27 AP27:BX27">
    <cfRule type="expression" dxfId="61" priority="58" stopIfTrue="1">
      <formula>OR(ROW()-3=$B$1269,A27&lt;0)</formula>
    </cfRule>
  </conditionalFormatting>
  <conditionalFormatting sqref="R27 U27">
    <cfRule type="expression" dxfId="60" priority="59" stopIfTrue="1">
      <formula>OR(ROW()-3=$B$1269,AND(R27&lt;&gt;"Platinum",R27&lt;&gt;"Lumber",R27&lt;&gt;"Ore",R27&lt;&gt;"Gems",R27&lt;&gt;""))</formula>
    </cfRule>
  </conditionalFormatting>
  <conditionalFormatting sqref="O27">
    <cfRule type="expression" dxfId="59" priority="60" stopIfTrue="1">
      <formula>OR(ROW()-3=$B$1269,AND(O27&lt;&gt;"Platinum",O27&lt;&gt;"Gems",O27&lt;&gt;"Ore",O27&lt;&gt;"Lumber",O27&lt;&gt;""))</formula>
    </cfRule>
  </conditionalFormatting>
  <conditionalFormatting sqref="CJ27">
    <cfRule type="expression" dxfId="58" priority="61" stopIfTrue="1">
      <formula>AND(ROW()-3=$B$1269,ISERROR(CJ27))</formula>
    </cfRule>
    <cfRule type="expression" dxfId="57" priority="62" stopIfTrue="1">
      <formula>ROW()-3=$B$1269</formula>
    </cfRule>
    <cfRule type="expression" dxfId="56" priority="63" stopIfTrue="1">
      <formula>ISERROR(CJ27)</formula>
    </cfRule>
  </conditionalFormatting>
  <conditionalFormatting sqref="AE19">
    <cfRule type="expression" dxfId="55" priority="42" stopIfTrue="1">
      <formula>ROW()-3=$B$1269</formula>
    </cfRule>
  </conditionalFormatting>
  <conditionalFormatting sqref="P19 S19 V19 A19:J19 AH19:AM19 AP19:BX19">
    <cfRule type="expression" dxfId="54" priority="51" stopIfTrue="1">
      <formula>OR(ROW()-3=$B$1269,A19&lt;0)</formula>
    </cfRule>
  </conditionalFormatting>
  <conditionalFormatting sqref="R19 U19">
    <cfRule type="expression" dxfId="53" priority="52" stopIfTrue="1">
      <formula>OR(ROW()-3=$B$1269,AND(R19&lt;&gt;"Platinum",R19&lt;&gt;"Lumber",R19&lt;&gt;"Ore",R19&lt;&gt;"Gems",R19&lt;&gt;""))</formula>
    </cfRule>
  </conditionalFormatting>
  <conditionalFormatting sqref="O19">
    <cfRule type="expression" dxfId="52" priority="53" stopIfTrue="1">
      <formula>OR(ROW()-3=$B$1269,AND(O19&lt;&gt;"Platinum",O19&lt;&gt;"Gems",O19&lt;&gt;"Ore",O19&lt;&gt;"Lumber",O19&lt;&gt;""))</formula>
    </cfRule>
  </conditionalFormatting>
  <conditionalFormatting sqref="CJ19">
    <cfRule type="expression" dxfId="51" priority="54" stopIfTrue="1">
      <formula>AND(ROW()-3=$B$1269,ISERROR(CJ19))</formula>
    </cfRule>
    <cfRule type="expression" dxfId="50" priority="55" stopIfTrue="1">
      <formula>ROW()-3=$B$1269</formula>
    </cfRule>
    <cfRule type="expression" dxfId="49" priority="56" stopIfTrue="1">
      <formula>ISERROR(CJ19)</formula>
    </cfRule>
  </conditionalFormatting>
  <conditionalFormatting sqref="AE1270:AE60157 AE136:AE1267">
    <cfRule type="expression" dxfId="48" priority="45" stopIfTrue="1">
      <formula>ROW()-2=#REF!</formula>
    </cfRule>
  </conditionalFormatting>
  <conditionalFormatting sqref="AE1268">
    <cfRule type="expression" dxfId="47" priority="46" stopIfTrue="1">
      <formula>$B$1269&gt;84</formula>
    </cfRule>
  </conditionalFormatting>
  <conditionalFormatting sqref="AE1268:AE1269">
    <cfRule type="expression" dxfId="46" priority="47" stopIfTrue="1">
      <formula>$B$1269&gt;144</formula>
    </cfRule>
  </conditionalFormatting>
  <conditionalFormatting sqref="AE3:AE18 AE32:AE135 AE28:AE30 AE20:AE26">
    <cfRule type="expression" dxfId="45" priority="48" stopIfTrue="1">
      <formula>ROW()-3=$B$1269</formula>
    </cfRule>
  </conditionalFormatting>
  <conditionalFormatting sqref="AE1:AE2">
    <cfRule type="expression" dxfId="44" priority="49" stopIfTrue="1">
      <formula>$B$1269&lt;0</formula>
    </cfRule>
  </conditionalFormatting>
  <conditionalFormatting sqref="CD19">
    <cfRule type="expression" dxfId="43" priority="22" stopIfTrue="1">
      <formula>ROW()-3=$B$1269</formula>
    </cfRule>
  </conditionalFormatting>
  <conditionalFormatting sqref="AE31">
    <cfRule type="expression" dxfId="42" priority="44" stopIfTrue="1">
      <formula>ROW()-3=$B$1269</formula>
    </cfRule>
  </conditionalFormatting>
  <conditionalFormatting sqref="AE27">
    <cfRule type="expression" dxfId="41" priority="43" stopIfTrue="1">
      <formula>ROW()-3=$B$1269</formula>
    </cfRule>
  </conditionalFormatting>
  <conditionalFormatting sqref="AN136:AO1267 AN1270:AO60157">
    <cfRule type="expression" dxfId="40" priority="37" stopIfTrue="1">
      <formula>ROW()-2=#REF!</formula>
    </cfRule>
  </conditionalFormatting>
  <conditionalFormatting sqref="AN1268:AO1268">
    <cfRule type="expression" dxfId="39" priority="38" stopIfTrue="1">
      <formula>$B$1269&gt;84</formula>
    </cfRule>
  </conditionalFormatting>
  <conditionalFormatting sqref="AN1268:AO1269">
    <cfRule type="expression" dxfId="38" priority="39" stopIfTrue="1">
      <formula>$B$1269&gt;144</formula>
    </cfRule>
  </conditionalFormatting>
  <conditionalFormatting sqref="AN3:AO18 AN32:AO135 AN28:AO30 AN20:AO26">
    <cfRule type="expression" dxfId="37" priority="40" stopIfTrue="1">
      <formula>OR(ROW()-3=$B$1269,AN3&lt;0)</formula>
    </cfRule>
  </conditionalFormatting>
  <conditionalFormatting sqref="AN1:AO2">
    <cfRule type="expression" dxfId="36" priority="41" stopIfTrue="1">
      <formula>$B$1269&lt;0</formula>
    </cfRule>
  </conditionalFormatting>
  <conditionalFormatting sqref="AN31:AO31">
    <cfRule type="expression" dxfId="35" priority="36" stopIfTrue="1">
      <formula>OR(ROW()-3=$B$1269,AN31&lt;0)</formula>
    </cfRule>
  </conditionalFormatting>
  <conditionalFormatting sqref="AN27:AO27">
    <cfRule type="expression" dxfId="34" priority="35" stopIfTrue="1">
      <formula>OR(ROW()-3=$B$1269,AN27&lt;0)</formula>
    </cfRule>
  </conditionalFormatting>
  <conditionalFormatting sqref="BZ1270:CD60157 BZ136:CD1267">
    <cfRule type="expression" dxfId="33" priority="28" stopIfTrue="1">
      <formula>ROW()-2=#REF!</formula>
    </cfRule>
  </conditionalFormatting>
  <conditionalFormatting sqref="BZ1268:CD1268">
    <cfRule type="expression" dxfId="32" priority="29" stopIfTrue="1">
      <formula>$B$1269&gt;84</formula>
    </cfRule>
  </conditionalFormatting>
  <conditionalFormatting sqref="BZ1268:CD1269">
    <cfRule type="expression" dxfId="31" priority="30" stopIfTrue="1">
      <formula>$B$1269&gt;144</formula>
    </cfRule>
  </conditionalFormatting>
  <conditionalFormatting sqref="CD3:CD18 CD32:CD135 CD28:CD30 CD20:CD26">
    <cfRule type="expression" dxfId="30" priority="31" stopIfTrue="1">
      <formula>ROW()-3=$B$1269</formula>
    </cfRule>
  </conditionalFormatting>
  <conditionalFormatting sqref="BZ20:CC26 BZ28:CC30 BZ32:CC135 BZ3:CC18">
    <cfRule type="expression" dxfId="29" priority="32" stopIfTrue="1">
      <formula>OR(ROW()-3=$B$1269,BZ3&lt;0)</formula>
    </cfRule>
  </conditionalFormatting>
  <conditionalFormatting sqref="BZ1:CD2">
    <cfRule type="expression" dxfId="28" priority="33" stopIfTrue="1">
      <formula>$B$1269&lt;0</formula>
    </cfRule>
  </conditionalFormatting>
  <conditionalFormatting sqref="CI19">
    <cfRule type="expression" dxfId="27" priority="10" stopIfTrue="1">
      <formula>ROW()-3=$B$1269</formula>
    </cfRule>
  </conditionalFormatting>
  <conditionalFormatting sqref="CD31">
    <cfRule type="expression" dxfId="26" priority="26" stopIfTrue="1">
      <formula>ROW()-3=$B$1269</formula>
    </cfRule>
  </conditionalFormatting>
  <conditionalFormatting sqref="BZ31:CC31">
    <cfRule type="expression" dxfId="25" priority="27" stopIfTrue="1">
      <formula>OR(ROW()-3=$B$1269,BZ31&lt;0)</formula>
    </cfRule>
  </conditionalFormatting>
  <conditionalFormatting sqref="CD27">
    <cfRule type="expression" dxfId="24" priority="24" stopIfTrue="1">
      <formula>ROW()-3=$B$1269</formula>
    </cfRule>
  </conditionalFormatting>
  <conditionalFormatting sqref="BZ27:CC27">
    <cfRule type="expression" dxfId="23" priority="25" stopIfTrue="1">
      <formula>OR(ROW()-3=$B$1269,BZ27&lt;0)</formula>
    </cfRule>
  </conditionalFormatting>
  <conditionalFormatting sqref="BZ19:CC19">
    <cfRule type="expression" dxfId="22" priority="23" stopIfTrue="1">
      <formula>OR(ROW()-3=$B$1269,BZ19&lt;0)</formula>
    </cfRule>
  </conditionalFormatting>
  <conditionalFormatting sqref="CE1270:CI60157 CE136:CI1267">
    <cfRule type="expression" dxfId="21" priority="16" stopIfTrue="1">
      <formula>ROW()-2=#REF!</formula>
    </cfRule>
  </conditionalFormatting>
  <conditionalFormatting sqref="CE1268:CI1268">
    <cfRule type="expression" dxfId="20" priority="17" stopIfTrue="1">
      <formula>$B$1269&gt;84</formula>
    </cfRule>
  </conditionalFormatting>
  <conditionalFormatting sqref="CE1268:CI1269">
    <cfRule type="expression" dxfId="19" priority="18" stopIfTrue="1">
      <formula>$B$1269&gt;144</formula>
    </cfRule>
  </conditionalFormatting>
  <conditionalFormatting sqref="CI3:CI18 CI32:CI135 CI28:CI30 CI20:CI26">
    <cfRule type="expression" dxfId="18" priority="19" stopIfTrue="1">
      <formula>ROW()-3=$B$1269</formula>
    </cfRule>
  </conditionalFormatting>
  <conditionalFormatting sqref="CE20:CH26 CE28:CH30 CE32:CH135 CE3:CH18">
    <cfRule type="expression" dxfId="17" priority="20" stopIfTrue="1">
      <formula>OR(ROW()-3=$B$1269,CE3&lt;0)</formula>
    </cfRule>
  </conditionalFormatting>
  <conditionalFormatting sqref="CE1:CI2">
    <cfRule type="expression" dxfId="16" priority="21" stopIfTrue="1">
      <formula>$B$1269&lt;0</formula>
    </cfRule>
  </conditionalFormatting>
  <conditionalFormatting sqref="CI31">
    <cfRule type="expression" dxfId="15" priority="14" stopIfTrue="1">
      <formula>ROW()-3=$B$1269</formula>
    </cfRule>
  </conditionalFormatting>
  <conditionalFormatting sqref="CE31:CH31">
    <cfRule type="expression" dxfId="14" priority="15" stopIfTrue="1">
      <formula>OR(ROW()-3=$B$1269,CE31&lt;0)</formula>
    </cfRule>
  </conditionalFormatting>
  <conditionalFormatting sqref="CI27">
    <cfRule type="expression" dxfId="13" priority="12" stopIfTrue="1">
      <formula>ROW()-3=$B$1269</formula>
    </cfRule>
  </conditionalFormatting>
  <conditionalFormatting sqref="CE27:CH27">
    <cfRule type="expression" dxfId="12" priority="13" stopIfTrue="1">
      <formula>OR(ROW()-3=$B$1269,CE27&lt;0)</formula>
    </cfRule>
  </conditionalFormatting>
  <conditionalFormatting sqref="CE19:CH19">
    <cfRule type="expression" dxfId="11" priority="11" stopIfTrue="1">
      <formula>OR(ROW()-3=$B$1269,CE19&lt;0)</formula>
    </cfRule>
  </conditionalFormatting>
  <conditionalFormatting sqref="AF19">
    <cfRule type="expression" dxfId="7" priority="1" stopIfTrue="1">
      <formula>ROW()-3=$B$1269</formula>
    </cfRule>
  </conditionalFormatting>
  <conditionalFormatting sqref="AF1270:AF60157 AF136:AF1267">
    <cfRule type="expression" dxfId="6" priority="4" stopIfTrue="1">
      <formula>ROW()-2=#REF!</formula>
    </cfRule>
  </conditionalFormatting>
  <conditionalFormatting sqref="AF1268">
    <cfRule type="expression" dxfId="5" priority="5" stopIfTrue="1">
      <formula>$B$1269&gt;84</formula>
    </cfRule>
  </conditionalFormatting>
  <conditionalFormatting sqref="AF1268:AF1269">
    <cfRule type="expression" dxfId="4" priority="6" stopIfTrue="1">
      <formula>$B$1269&gt;144</formula>
    </cfRule>
  </conditionalFormatting>
  <conditionalFormatting sqref="AF3:AF18 AF32:AF135 AF28:AF30 AF20:AF26">
    <cfRule type="expression" dxfId="3" priority="7" stopIfTrue="1">
      <formula>ROW()-3=$B$1269</formula>
    </cfRule>
  </conditionalFormatting>
  <conditionalFormatting sqref="AF1:AF2">
    <cfRule type="expression" dxfId="2" priority="8" stopIfTrue="1">
      <formula>$B$1269&lt;0</formula>
    </cfRule>
  </conditionalFormatting>
  <conditionalFormatting sqref="AF31">
    <cfRule type="expression" dxfId="1" priority="3" stopIfTrue="1">
      <formula>ROW()-3=$B$1269</formula>
    </cfRule>
  </conditionalFormatting>
  <conditionalFormatting sqref="AF27">
    <cfRule type="expression" dxfId="0" priority="2" stopIfTrue="1">
      <formula>ROW()-3=$B$1269</formula>
    </cfRule>
  </conditionalFormatting>
  <dataValidations count="2">
    <dataValidation type="list" allowBlank="1" showInputMessage="1" showErrorMessage="1" sqref="R3:R135 U3:U135 O3:O135" xr:uid="{00000000-0002-0000-0900-000000000000}">
      <formula1>resources</formula1>
    </dataValidation>
    <dataValidation type="list" allowBlank="1" showInputMessage="1" showErrorMessage="1" sqref="W3:W135 T3:T135 Q3:Q135" xr:uid="{00000000-0002-0000-0900-000001000000}">
      <formula1>Imps</formula1>
    </dataValidation>
  </dataValidations>
  <pageMargins left="0.75" right="0.75" top="1" bottom="1" header="0.5" footer="0.5"/>
  <pageSetup paperSize="9" orientation="portrait"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H27:J28"/>
  <sheetViews>
    <sheetView topLeftCell="A3" zoomScale="85" workbookViewId="0">
      <selection activeCell="M58" sqref="M58"/>
    </sheetView>
  </sheetViews>
  <sheetFormatPr defaultRowHeight="13.2" x14ac:dyDescent="0.25"/>
  <cols>
    <col min="1" max="17" width="10.88671875" customWidth="1"/>
    <col min="18" max="18" width="10.109375" customWidth="1"/>
  </cols>
  <sheetData>
    <row r="27" spans="8:10" ht="12.75" customHeight="1" x14ac:dyDescent="0.25">
      <c r="J27" s="107"/>
    </row>
    <row r="28" spans="8:10" x14ac:dyDescent="0.25">
      <c r="H28" s="445" t="s">
        <v>547</v>
      </c>
      <c r="I28" s="1039"/>
    </row>
  </sheetData>
  <phoneticPr fontId="0" type="noConversion"/>
  <dataValidations count="1">
    <dataValidation type="whole" allowBlank="1" showInputMessage="1" showErrorMessage="1" sqref="I28" xr:uid="{00000000-0002-0000-0A00-000000000000}">
      <formula1>0</formula1>
      <formula2>132</formula2>
    </dataValidation>
  </dataValidations>
  <pageMargins left="0.75" right="0.75" top="1" bottom="1" header="0.5" footer="0.5"/>
  <pageSetup orientation="portrait" verticalDpi="300" r:id="rId1"/>
  <headerFooter alignWithMargins="0"/>
  <drawing r:id="rId2"/>
  <legacyDrawing r:id="rId3"/>
  <controls>
    <mc:AlternateContent xmlns:mc="http://schemas.openxmlformats.org/markup-compatibility/2006">
      <mc:Choice Requires="x14">
        <control shapeId="7174" r:id="rId4" name="stat">
          <controlPr locked="0" autoFill="0" autoLine="0" autoPict="0" r:id="rId5">
            <anchor moveWithCells="1">
              <from>
                <xdr:col>0</xdr:col>
                <xdr:colOff>0</xdr:colOff>
                <xdr:row>26</xdr:row>
                <xdr:rowOff>15240</xdr:rowOff>
              </from>
              <to>
                <xdr:col>5</xdr:col>
                <xdr:colOff>617220</xdr:colOff>
                <xdr:row>56</xdr:row>
                <xdr:rowOff>137160</xdr:rowOff>
              </to>
            </anchor>
          </controlPr>
        </control>
      </mc:Choice>
      <mc:Fallback>
        <control shapeId="7174" r:id="rId4" name="stat"/>
      </mc:Fallback>
    </mc:AlternateContent>
    <mc:AlternateContent xmlns:mc="http://schemas.openxmlformats.org/markup-compatibility/2006">
      <mc:Choice Requires="x14">
        <control shapeId="7169" r:id="rId6" name="Log">
          <controlPr locked="0" autoFill="0" autoLine="0" autoPict="0" r:id="rId7">
            <anchor moveWithCells="1">
              <from>
                <xdr:col>0</xdr:col>
                <xdr:colOff>30480</xdr:colOff>
                <xdr:row>0</xdr:row>
                <xdr:rowOff>30480</xdr:rowOff>
              </from>
              <to>
                <xdr:col>13</xdr:col>
                <xdr:colOff>335280</xdr:colOff>
                <xdr:row>20</xdr:row>
                <xdr:rowOff>0</xdr:rowOff>
              </to>
            </anchor>
          </controlPr>
        </control>
      </mc:Choice>
      <mc:Fallback>
        <control shapeId="7169" r:id="rId6" name="Log"/>
      </mc:Fallback>
    </mc:AlternateContent>
    <mc:AlternateContent xmlns:mc="http://schemas.openxmlformats.org/markup-compatibility/2006">
      <mc:Choice Requires="x14">
        <control shapeId="7170" r:id="rId8" name="Button 2">
          <controlPr defaultSize="0" print="0" autoFill="0" autoPict="0" macro="[0]!Sheet13.loghr">
            <anchor moveWithCells="1">
              <from>
                <xdr:col>13</xdr:col>
                <xdr:colOff>449580</xdr:colOff>
                <xdr:row>2</xdr:row>
                <xdr:rowOff>7620</xdr:rowOff>
              </from>
              <to>
                <xdr:col>16</xdr:col>
                <xdr:colOff>106680</xdr:colOff>
                <xdr:row>4</xdr:row>
                <xdr:rowOff>0</xdr:rowOff>
              </to>
            </anchor>
          </controlPr>
        </control>
      </mc:Choice>
    </mc:AlternateContent>
    <mc:AlternateContent xmlns:mc="http://schemas.openxmlformats.org/markup-compatibility/2006">
      <mc:Choice Requires="x14">
        <control shapeId="7171" r:id="rId9" name="Button 3">
          <controlPr defaultSize="0" print="0" autoFill="0" autoPict="0" macro="[0]!Sheet13.TextboxCopy">
            <anchor moveWithCells="1">
              <from>
                <xdr:col>13</xdr:col>
                <xdr:colOff>449580</xdr:colOff>
                <xdr:row>5</xdr:row>
                <xdr:rowOff>7620</xdr:rowOff>
              </from>
              <to>
                <xdr:col>16</xdr:col>
                <xdr:colOff>106680</xdr:colOff>
                <xdr:row>7</xdr:row>
                <xdr:rowOff>0</xdr:rowOff>
              </to>
            </anchor>
          </controlPr>
        </control>
      </mc:Choice>
    </mc:AlternateContent>
    <mc:AlternateContent xmlns:mc="http://schemas.openxmlformats.org/markup-compatibility/2006">
      <mc:Choice Requires="x14">
        <control shapeId="7172" r:id="rId10" name="Button 4">
          <controlPr defaultSize="0" print="0" autoFill="0" autoPict="0" macro="[0]!Sheet13.clear">
            <anchor moveWithCells="1">
              <from>
                <xdr:col>13</xdr:col>
                <xdr:colOff>449580</xdr:colOff>
                <xdr:row>8</xdr:row>
                <xdr:rowOff>68580</xdr:rowOff>
              </from>
              <to>
                <xdr:col>16</xdr:col>
                <xdr:colOff>106680</xdr:colOff>
                <xdr:row>10</xdr:row>
                <xdr:rowOff>60960</xdr:rowOff>
              </to>
            </anchor>
          </controlPr>
        </control>
      </mc:Choice>
    </mc:AlternateContent>
    <mc:AlternateContent xmlns:mc="http://schemas.openxmlformats.org/markup-compatibility/2006">
      <mc:Choice Requires="x14">
        <control shapeId="7173" r:id="rId11" name="Button 5">
          <controlPr defaultSize="0" print="0" autoFill="0" autoPict="0" macro="[0]!Sheet13.currenthour">
            <anchor moveWithCells="1">
              <from>
                <xdr:col>13</xdr:col>
                <xdr:colOff>434340</xdr:colOff>
                <xdr:row>11</xdr:row>
                <xdr:rowOff>91440</xdr:rowOff>
              </from>
              <to>
                <xdr:col>16</xdr:col>
                <xdr:colOff>99060</xdr:colOff>
                <xdr:row>13</xdr:row>
                <xdr:rowOff>76200</xdr:rowOff>
              </to>
            </anchor>
          </controlPr>
        </control>
      </mc:Choice>
    </mc:AlternateContent>
    <mc:AlternateContent xmlns:mc="http://schemas.openxmlformats.org/markup-compatibility/2006">
      <mc:Choice Requires="x14">
        <control shapeId="7193" r:id="rId12" name="Button 25">
          <controlPr defaultSize="0" print="0" autoFill="0" autoPict="0" macro="[0]!Sheet13.stats">
            <anchor moveWithCells="1">
              <from>
                <xdr:col>6</xdr:col>
                <xdr:colOff>617220</xdr:colOff>
                <xdr:row>29</xdr:row>
                <xdr:rowOff>38100</xdr:rowOff>
              </from>
              <to>
                <xdr:col>9</xdr:col>
                <xdr:colOff>106680</xdr:colOff>
                <xdr:row>31</xdr:row>
                <xdr:rowOff>30480</xdr:rowOff>
              </to>
            </anchor>
          </controlPr>
        </control>
      </mc:Choice>
    </mc:AlternateContent>
    <mc:AlternateContent xmlns:mc="http://schemas.openxmlformats.org/markup-compatibility/2006">
      <mc:Choice Requires="x14">
        <control shapeId="7194" r:id="rId13" name="Button 26">
          <controlPr defaultSize="0" print="0" autoFill="0" autoPict="0" macro="[0]!Sheet13.StatCopy">
            <anchor moveWithCells="1">
              <from>
                <xdr:col>6</xdr:col>
                <xdr:colOff>617220</xdr:colOff>
                <xdr:row>32</xdr:row>
                <xdr:rowOff>68580</xdr:rowOff>
              </from>
              <to>
                <xdr:col>9</xdr:col>
                <xdr:colOff>106680</xdr:colOff>
                <xdr:row>34</xdr:row>
                <xdr:rowOff>60960</xdr:rowOff>
              </to>
            </anchor>
          </controlPr>
        </control>
      </mc:Choice>
    </mc:AlternateContent>
    <mc:AlternateContent xmlns:mc="http://schemas.openxmlformats.org/markup-compatibility/2006">
      <mc:Choice Requires="x14">
        <control shapeId="7195" r:id="rId14" name="Button 27">
          <controlPr defaultSize="0" print="0" autoFill="0" autoPict="0" macro="[0]!Sheet13.clearstat">
            <anchor moveWithCells="1">
              <from>
                <xdr:col>6</xdr:col>
                <xdr:colOff>617220</xdr:colOff>
                <xdr:row>35</xdr:row>
                <xdr:rowOff>106680</xdr:rowOff>
              </from>
              <to>
                <xdr:col>9</xdr:col>
                <xdr:colOff>106680</xdr:colOff>
                <xdr:row>37</xdr:row>
                <xdr:rowOff>99060</xdr:rowOff>
              </to>
            </anchor>
          </controlPr>
        </control>
      </mc:Choice>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2:S161"/>
  <sheetViews>
    <sheetView topLeftCell="A98" zoomScale="70" workbookViewId="0">
      <selection activeCell="D121" sqref="D121"/>
    </sheetView>
  </sheetViews>
  <sheetFormatPr defaultRowHeight="13.2" x14ac:dyDescent="0.25"/>
  <cols>
    <col min="1" max="1" width="26.44140625" style="323" customWidth="1"/>
    <col min="2" max="2" width="9.33203125" customWidth="1"/>
    <col min="3" max="3" width="13.6640625" customWidth="1"/>
    <col min="4" max="4" width="10.109375" customWidth="1"/>
    <col min="5" max="5" width="8.33203125" bestFit="1" customWidth="1"/>
    <col min="6" max="6" width="8.5546875" bestFit="1" customWidth="1"/>
    <col min="7" max="7" width="9.33203125" customWidth="1"/>
    <col min="8" max="8" width="8.5546875" customWidth="1"/>
    <col min="9" max="9" width="9.5546875" customWidth="1"/>
    <col min="10" max="10" width="8.33203125" bestFit="1" customWidth="1"/>
    <col min="11" max="11" width="4.5546875" bestFit="1" customWidth="1"/>
    <col min="12" max="12" width="18.109375" bestFit="1" customWidth="1"/>
    <col min="13" max="13" width="21.109375" bestFit="1" customWidth="1"/>
    <col min="14" max="14" width="16.6640625" bestFit="1" customWidth="1"/>
    <col min="15" max="15" width="5.33203125" bestFit="1" customWidth="1"/>
    <col min="16" max="16" width="11.109375" bestFit="1" customWidth="1"/>
    <col min="17" max="17" width="4.5546875" bestFit="1" customWidth="1"/>
    <col min="18" max="18" width="5" bestFit="1" customWidth="1"/>
  </cols>
  <sheetData>
    <row r="2" spans="1:6" x14ac:dyDescent="0.25">
      <c r="A2" s="321" t="s">
        <v>44</v>
      </c>
    </row>
    <row r="3" spans="1:6" x14ac:dyDescent="0.25">
      <c r="A3" s="323" t="s">
        <v>50</v>
      </c>
    </row>
    <row r="4" spans="1:6" x14ac:dyDescent="0.25">
      <c r="A4" s="323" t="s">
        <v>45</v>
      </c>
      <c r="B4">
        <v>45</v>
      </c>
      <c r="C4" t="s">
        <v>6</v>
      </c>
    </row>
    <row r="5" spans="1:6" x14ac:dyDescent="0.25">
      <c r="A5" s="323" t="s">
        <v>52</v>
      </c>
      <c r="B5">
        <v>80</v>
      </c>
      <c r="C5" t="s">
        <v>9</v>
      </c>
    </row>
    <row r="6" spans="1:6" x14ac:dyDescent="0.25">
      <c r="A6" s="323" t="s">
        <v>46</v>
      </c>
      <c r="B6">
        <v>50</v>
      </c>
      <c r="C6" t="s">
        <v>8</v>
      </c>
    </row>
    <row r="7" spans="1:6" x14ac:dyDescent="0.25">
      <c r="A7" s="323" t="s">
        <v>48</v>
      </c>
      <c r="B7">
        <v>60</v>
      </c>
      <c r="C7" t="s">
        <v>10</v>
      </c>
    </row>
    <row r="8" spans="1:6" x14ac:dyDescent="0.25">
      <c r="A8" s="323" t="s">
        <v>49</v>
      </c>
      <c r="B8">
        <v>15</v>
      </c>
      <c r="C8" t="s">
        <v>11</v>
      </c>
    </row>
    <row r="9" spans="1:6" x14ac:dyDescent="0.25">
      <c r="A9" s="323" t="s">
        <v>53</v>
      </c>
      <c r="B9">
        <v>25</v>
      </c>
      <c r="C9" t="s">
        <v>13</v>
      </c>
    </row>
    <row r="10" spans="1:6" x14ac:dyDescent="0.25">
      <c r="A10" s="323" t="s">
        <v>47</v>
      </c>
      <c r="B10">
        <v>0.05</v>
      </c>
      <c r="C10" t="s">
        <v>51</v>
      </c>
      <c r="D10">
        <v>35</v>
      </c>
      <c r="E10" t="s">
        <v>9</v>
      </c>
    </row>
    <row r="11" spans="1:6" x14ac:dyDescent="0.25">
      <c r="A11" s="323" t="s">
        <v>70</v>
      </c>
      <c r="B11" s="1182">
        <v>1.75</v>
      </c>
      <c r="C11" s="98" t="s">
        <v>584</v>
      </c>
      <c r="D11" s="11">
        <v>0.35</v>
      </c>
      <c r="E11" t="s">
        <v>501</v>
      </c>
    </row>
    <row r="12" spans="1:6" x14ac:dyDescent="0.25">
      <c r="A12" s="323" t="s">
        <v>68</v>
      </c>
      <c r="B12" s="1182">
        <v>1.75</v>
      </c>
      <c r="C12" s="98" t="s">
        <v>585</v>
      </c>
      <c r="D12" s="11">
        <v>0.35</v>
      </c>
      <c r="E12" t="s">
        <v>501</v>
      </c>
    </row>
    <row r="13" spans="1:6" x14ac:dyDescent="0.25">
      <c r="A13" s="323" t="s">
        <v>556</v>
      </c>
      <c r="B13" s="965">
        <v>0.75</v>
      </c>
      <c r="C13" t="s">
        <v>557</v>
      </c>
      <c r="D13" s="1057"/>
      <c r="F13" s="11"/>
    </row>
    <row r="14" spans="1:6" x14ac:dyDescent="0.25">
      <c r="B14" s="965">
        <v>0</v>
      </c>
      <c r="C14" t="s">
        <v>558</v>
      </c>
      <c r="D14" s="1056">
        <v>0</v>
      </c>
      <c r="E14" t="s">
        <v>501</v>
      </c>
      <c r="F14" s="11"/>
    </row>
    <row r="15" spans="1:6" x14ac:dyDescent="0.25">
      <c r="A15" s="323" t="s">
        <v>553</v>
      </c>
      <c r="B15" s="965">
        <v>2</v>
      </c>
      <c r="C15" t="s">
        <v>560</v>
      </c>
      <c r="D15" s="1056">
        <v>0.4</v>
      </c>
      <c r="E15" t="s">
        <v>501</v>
      </c>
      <c r="F15" s="11"/>
    </row>
    <row r="16" spans="1:6" x14ac:dyDescent="0.25">
      <c r="B16" s="965">
        <v>2</v>
      </c>
      <c r="C16" t="s">
        <v>559</v>
      </c>
      <c r="D16" s="1056">
        <v>0.4</v>
      </c>
      <c r="E16" t="s">
        <v>501</v>
      </c>
      <c r="F16" s="11"/>
    </row>
    <row r="17" spans="1:19" x14ac:dyDescent="0.25">
      <c r="A17" s="323" t="s">
        <v>196</v>
      </c>
      <c r="B17" s="965">
        <f>IF(race="Beastfolk",2.5,2)</f>
        <v>2</v>
      </c>
      <c r="C17" t="s">
        <v>502</v>
      </c>
      <c r="D17" s="11">
        <f>IF(race="Beastfolk",50%,40%)</f>
        <v>0.4</v>
      </c>
      <c r="E17" t="s">
        <v>501</v>
      </c>
    </row>
    <row r="18" spans="1:19" x14ac:dyDescent="0.25">
      <c r="A18" s="323" t="s">
        <v>527</v>
      </c>
      <c r="B18" s="965">
        <v>2.75</v>
      </c>
      <c r="C18" t="s">
        <v>561</v>
      </c>
    </row>
    <row r="19" spans="1:19" x14ac:dyDescent="0.25">
      <c r="A19" s="323" t="s">
        <v>528</v>
      </c>
      <c r="B19" s="1025">
        <v>4</v>
      </c>
      <c r="C19" t="s">
        <v>529</v>
      </c>
      <c r="D19" s="11">
        <v>0.75</v>
      </c>
      <c r="E19" t="s">
        <v>501</v>
      </c>
    </row>
    <row r="20" spans="1:19" x14ac:dyDescent="0.25">
      <c r="B20" s="1025">
        <v>3</v>
      </c>
      <c r="C20" t="s">
        <v>530</v>
      </c>
      <c r="D20" s="11">
        <v>0.75</v>
      </c>
      <c r="E20" t="s">
        <v>501</v>
      </c>
    </row>
    <row r="21" spans="1:19" x14ac:dyDescent="0.25">
      <c r="A21" s="321" t="s">
        <v>83</v>
      </c>
    </row>
    <row r="22" spans="1:19" ht="13.8" thickBot="1" x14ac:dyDescent="0.3">
      <c r="A22" s="326" t="s">
        <v>75</v>
      </c>
      <c r="B22" s="2" t="s">
        <v>74</v>
      </c>
      <c r="C22" s="2" t="s">
        <v>73</v>
      </c>
      <c r="D22" s="2" t="s">
        <v>72</v>
      </c>
      <c r="E22" s="2" t="s">
        <v>71</v>
      </c>
      <c r="F22" s="3" t="s">
        <v>66</v>
      </c>
      <c r="G22" s="1177" t="s">
        <v>362</v>
      </c>
      <c r="H22" s="4" t="s">
        <v>67</v>
      </c>
      <c r="I22" s="4" t="s">
        <v>68</v>
      </c>
      <c r="J22" s="1133" t="s">
        <v>69</v>
      </c>
      <c r="K22" s="1133" t="s">
        <v>70</v>
      </c>
      <c r="L22" s="1133" t="s">
        <v>364</v>
      </c>
      <c r="M22" s="1178" t="s">
        <v>367</v>
      </c>
      <c r="N22" s="6" t="s">
        <v>77</v>
      </c>
      <c r="O22" s="6" t="s">
        <v>365</v>
      </c>
      <c r="P22" s="1179" t="s">
        <v>582</v>
      </c>
      <c r="Q22" s="7" t="s">
        <v>78</v>
      </c>
      <c r="R22" s="7" t="s">
        <v>383</v>
      </c>
      <c r="S22" s="8" t="s">
        <v>79</v>
      </c>
    </row>
    <row r="23" spans="1:19" x14ac:dyDescent="0.25">
      <c r="A23" s="323">
        <v>0</v>
      </c>
      <c r="B23">
        <v>0</v>
      </c>
      <c r="C23">
        <v>80</v>
      </c>
      <c r="D23">
        <v>0</v>
      </c>
      <c r="E23">
        <v>0</v>
      </c>
      <c r="F23">
        <v>50</v>
      </c>
      <c r="G23">
        <v>0</v>
      </c>
      <c r="H23">
        <v>0</v>
      </c>
      <c r="I23">
        <v>0</v>
      </c>
      <c r="J23">
        <v>0</v>
      </c>
      <c r="K23">
        <v>0</v>
      </c>
      <c r="L23">
        <v>0</v>
      </c>
      <c r="M23">
        <v>0</v>
      </c>
      <c r="N23">
        <v>50</v>
      </c>
      <c r="O23">
        <v>0</v>
      </c>
      <c r="P23">
        <v>0</v>
      </c>
      <c r="Q23">
        <v>0</v>
      </c>
      <c r="R23">
        <v>0</v>
      </c>
      <c r="S23">
        <v>0</v>
      </c>
    </row>
    <row r="25" spans="1:19" x14ac:dyDescent="0.25">
      <c r="A25" s="321" t="s">
        <v>82</v>
      </c>
    </row>
    <row r="26" spans="1:19" x14ac:dyDescent="0.25">
      <c r="A26" s="326" t="s">
        <v>57</v>
      </c>
      <c r="B26" s="3" t="s">
        <v>60</v>
      </c>
      <c r="C26" s="4" t="s">
        <v>61</v>
      </c>
      <c r="D26" s="5" t="s">
        <v>62</v>
      </c>
      <c r="E26" s="6" t="s">
        <v>63</v>
      </c>
      <c r="F26" s="7" t="s">
        <v>64</v>
      </c>
      <c r="G26" s="8" t="s">
        <v>65</v>
      </c>
    </row>
    <row r="27" spans="1:19" s="34" customFormat="1" x14ac:dyDescent="0.25">
      <c r="A27" s="323">
        <f>150-80</f>
        <v>70</v>
      </c>
      <c r="B27">
        <f>150-50</f>
        <v>100</v>
      </c>
      <c r="C27">
        <v>150</v>
      </c>
      <c r="D27">
        <v>150</v>
      </c>
      <c r="E27">
        <f>150-50</f>
        <v>100</v>
      </c>
      <c r="F27">
        <v>150</v>
      </c>
      <c r="G27">
        <v>100</v>
      </c>
      <c r="H27"/>
      <c r="I27"/>
      <c r="J27"/>
      <c r="K27"/>
      <c r="L27"/>
      <c r="M27"/>
      <c r="N27"/>
      <c r="O27"/>
      <c r="P27"/>
      <c r="Q27"/>
      <c r="R27"/>
      <c r="S27"/>
    </row>
    <row r="29" spans="1:19" x14ac:dyDescent="0.25">
      <c r="A29" s="321" t="s">
        <v>86</v>
      </c>
      <c r="B29" s="34"/>
      <c r="C29" s="34"/>
      <c r="D29" s="34" t="s">
        <v>246</v>
      </c>
      <c r="E29" s="34"/>
      <c r="F29" s="34"/>
      <c r="G29" s="34"/>
      <c r="H29" s="34"/>
      <c r="I29" s="34"/>
      <c r="J29" s="34"/>
      <c r="K29" s="34"/>
      <c r="L29" s="34" t="s">
        <v>425</v>
      </c>
      <c r="M29" s="34"/>
      <c r="N29" s="34"/>
      <c r="O29" s="34"/>
      <c r="P29" s="34"/>
      <c r="Q29" s="34"/>
      <c r="R29" s="34"/>
      <c r="S29" s="34"/>
    </row>
    <row r="30" spans="1:19" x14ac:dyDescent="0.25">
      <c r="A30" s="323" t="s">
        <v>21</v>
      </c>
      <c r="B30">
        <f ca="1">1000*15*(1+Population!AC3)-start_draftees</f>
        <v>11025</v>
      </c>
      <c r="D30" t="s">
        <v>500</v>
      </c>
      <c r="E30">
        <v>1</v>
      </c>
      <c r="F30">
        <v>2</v>
      </c>
      <c r="G30">
        <v>3</v>
      </c>
      <c r="H30">
        <v>4</v>
      </c>
      <c r="I30">
        <v>5</v>
      </c>
      <c r="J30">
        <v>6</v>
      </c>
      <c r="L30" t="s">
        <v>398</v>
      </c>
      <c r="M30" s="11">
        <v>0.1</v>
      </c>
      <c r="N30" t="s">
        <v>459</v>
      </c>
    </row>
    <row r="31" spans="1:19" x14ac:dyDescent="0.25">
      <c r="A31" s="323" t="s">
        <v>24</v>
      </c>
      <c r="B31">
        <f ca="1">ROUND(1000*15*(1+Population!AC3)*0.3,0)</f>
        <v>4725</v>
      </c>
      <c r="D31" t="s">
        <v>21</v>
      </c>
      <c r="E31" s="9">
        <v>1300</v>
      </c>
      <c r="F31" s="9">
        <v>1390</v>
      </c>
      <c r="G31" s="9">
        <v>1480</v>
      </c>
      <c r="H31" s="9">
        <v>1570</v>
      </c>
      <c r="I31" s="9">
        <v>1660</v>
      </c>
      <c r="J31" s="9">
        <v>1750</v>
      </c>
      <c r="K31" s="9"/>
      <c r="M31" s="11">
        <v>0.05</v>
      </c>
      <c r="N31" t="s">
        <v>460</v>
      </c>
    </row>
    <row r="32" spans="1:19" x14ac:dyDescent="0.25">
      <c r="A32" s="323" t="str">
        <f>Overview!$A22</f>
        <v>Spearman</v>
      </c>
      <c r="B32">
        <v>0</v>
      </c>
      <c r="D32" t="s">
        <v>2</v>
      </c>
      <c r="E32" s="9">
        <v>100000</v>
      </c>
      <c r="F32" s="9">
        <v>110000</v>
      </c>
      <c r="G32" s="9">
        <v>120000</v>
      </c>
      <c r="H32" s="9">
        <v>130000</v>
      </c>
      <c r="I32" s="9">
        <v>140000</v>
      </c>
      <c r="J32" s="9">
        <v>150000</v>
      </c>
      <c r="M32" s="11">
        <v>0.05</v>
      </c>
      <c r="N32" t="s">
        <v>461</v>
      </c>
    </row>
    <row r="33" spans="1:16" x14ac:dyDescent="0.25">
      <c r="A33" s="323" t="str">
        <f ca="1">Overview!$A23</f>
        <v>Archer</v>
      </c>
      <c r="B33">
        <v>0</v>
      </c>
      <c r="D33" t="s">
        <v>5</v>
      </c>
      <c r="E33" s="9">
        <v>15000</v>
      </c>
      <c r="F33" s="9">
        <v>16000</v>
      </c>
      <c r="G33" s="9">
        <v>17000</v>
      </c>
      <c r="H33" s="9">
        <v>18000</v>
      </c>
      <c r="I33" s="9">
        <v>19000</v>
      </c>
      <c r="J33" s="9">
        <v>20000</v>
      </c>
      <c r="L33" t="s">
        <v>188</v>
      </c>
      <c r="M33" s="11">
        <v>-0.05</v>
      </c>
      <c r="N33" t="s">
        <v>462</v>
      </c>
    </row>
    <row r="34" spans="1:16" x14ac:dyDescent="0.25">
      <c r="A34" s="323" t="str">
        <f ca="1">Overview!$A24</f>
        <v>Knight</v>
      </c>
      <c r="B34">
        <v>0</v>
      </c>
      <c r="D34" t="s">
        <v>7</v>
      </c>
      <c r="E34" s="9">
        <v>15000</v>
      </c>
      <c r="F34" s="9">
        <v>15450</v>
      </c>
      <c r="G34" s="9">
        <v>15900</v>
      </c>
      <c r="H34" s="9">
        <v>16350</v>
      </c>
      <c r="I34" s="9">
        <v>16800</v>
      </c>
      <c r="J34" s="9">
        <v>17250</v>
      </c>
      <c r="M34">
        <v>-1</v>
      </c>
      <c r="N34" t="s">
        <v>463</v>
      </c>
    </row>
    <row r="35" spans="1:16" x14ac:dyDescent="0.25">
      <c r="A35" s="323" t="str">
        <f ca="1">Overview!$A25</f>
        <v>Cavalry</v>
      </c>
      <c r="B35">
        <v>0</v>
      </c>
      <c r="M35" s="11">
        <v>-0.1</v>
      </c>
      <c r="N35" t="s">
        <v>462</v>
      </c>
      <c r="O35">
        <v>-2</v>
      </c>
      <c r="P35" t="s">
        <v>463</v>
      </c>
    </row>
    <row r="36" spans="1:16" x14ac:dyDescent="0.25">
      <c r="A36" s="323" t="s">
        <v>25</v>
      </c>
      <c r="B36">
        <v>0</v>
      </c>
      <c r="D36" t="s">
        <v>382</v>
      </c>
      <c r="E36" s="9">
        <v>1</v>
      </c>
      <c r="F36">
        <v>2</v>
      </c>
      <c r="G36">
        <v>3</v>
      </c>
      <c r="H36">
        <v>4</v>
      </c>
      <c r="I36">
        <v>5</v>
      </c>
      <c r="J36">
        <v>6</v>
      </c>
      <c r="L36" t="s">
        <v>290</v>
      </c>
      <c r="M36" s="11">
        <v>-0.1</v>
      </c>
      <c r="N36" t="s">
        <v>464</v>
      </c>
    </row>
    <row r="37" spans="1:16" x14ac:dyDescent="0.25">
      <c r="A37" s="323" t="s">
        <v>26</v>
      </c>
      <c r="B37">
        <v>0</v>
      </c>
      <c r="D37" t="s">
        <v>21</v>
      </c>
      <c r="E37">
        <v>1200</v>
      </c>
      <c r="F37">
        <v>1325</v>
      </c>
      <c r="G37">
        <v>1450</v>
      </c>
      <c r="H37">
        <v>1575</v>
      </c>
      <c r="I37">
        <v>1700</v>
      </c>
      <c r="J37">
        <v>1825</v>
      </c>
      <c r="M37" s="11">
        <v>-0.1</v>
      </c>
      <c r="N37" t="s">
        <v>465</v>
      </c>
    </row>
    <row r="38" spans="1:16" x14ac:dyDescent="0.25">
      <c r="A38" s="323" t="s">
        <v>27</v>
      </c>
      <c r="B38">
        <v>0</v>
      </c>
      <c r="D38" t="s">
        <v>2</v>
      </c>
      <c r="E38">
        <v>100000</v>
      </c>
      <c r="F38">
        <v>104750</v>
      </c>
      <c r="G38">
        <v>109500</v>
      </c>
      <c r="H38">
        <v>114250</v>
      </c>
      <c r="I38">
        <v>119000</v>
      </c>
      <c r="J38">
        <v>123750</v>
      </c>
      <c r="M38" s="11">
        <v>0.02</v>
      </c>
      <c r="N38" t="s">
        <v>466</v>
      </c>
    </row>
    <row r="39" spans="1:16" x14ac:dyDescent="0.25">
      <c r="D39" t="s">
        <v>5</v>
      </c>
      <c r="E39">
        <v>15000</v>
      </c>
      <c r="F39">
        <v>16000</v>
      </c>
      <c r="G39">
        <v>17000</v>
      </c>
      <c r="H39">
        <v>18000</v>
      </c>
      <c r="I39">
        <v>19000</v>
      </c>
      <c r="J39">
        <v>20000</v>
      </c>
      <c r="L39" t="s">
        <v>22</v>
      </c>
      <c r="M39" s="11">
        <v>-0.1</v>
      </c>
      <c r="N39" t="s">
        <v>467</v>
      </c>
    </row>
    <row r="40" spans="1:16" x14ac:dyDescent="0.25">
      <c r="A40" s="321" t="s">
        <v>81</v>
      </c>
      <c r="D40" t="s">
        <v>7</v>
      </c>
      <c r="E40">
        <v>15000</v>
      </c>
      <c r="F40">
        <v>15450</v>
      </c>
      <c r="G40">
        <v>15900</v>
      </c>
      <c r="H40">
        <v>16350</v>
      </c>
      <c r="I40">
        <v>16800</v>
      </c>
      <c r="J40">
        <v>17250</v>
      </c>
      <c r="M40" s="11">
        <v>-0.1</v>
      </c>
      <c r="N40" t="s">
        <v>468</v>
      </c>
    </row>
    <row r="41" spans="1:16" x14ac:dyDescent="0.25">
      <c r="A41" s="323" t="s">
        <v>2</v>
      </c>
      <c r="B41" s="9">
        <f>IF(Overview!$B$14="Growth",0,4350000*(IF(OR(Overview!$B$14="Gnome",Overview!$B$14="Imperial Gnome"),0.75,1))+IF(ISNUMBER(MATCH(Overview!$B$14,cant_build,0)),355000/2,0)+IF(ISNUMBER(MATCH(Overview!$B$14,cant_invest,0)),20000*2,0))*IF(Overview!$B$14="Void",0.5,1)</f>
        <v>4350000</v>
      </c>
      <c r="C41" s="9"/>
      <c r="M41" s="11">
        <v>0.05</v>
      </c>
      <c r="N41" t="s">
        <v>305</v>
      </c>
    </row>
    <row r="42" spans="1:16" x14ac:dyDescent="0.25">
      <c r="A42" s="323" t="s">
        <v>5</v>
      </c>
      <c r="B42" s="9">
        <f>IF(Overview!$B$14="Growth",5000*1000,50000*IF(ISNUMBER(MATCH(Overview!$B$14,no_food,0)),0,1))</f>
        <v>50000</v>
      </c>
      <c r="C42" s="9"/>
      <c r="D42" t="s">
        <v>505</v>
      </c>
      <c r="L42" t="s">
        <v>76</v>
      </c>
      <c r="M42" s="11">
        <v>-0.1</v>
      </c>
      <c r="N42" t="s">
        <v>469</v>
      </c>
    </row>
    <row r="43" spans="1:16" x14ac:dyDescent="0.25">
      <c r="A43" s="323" t="s">
        <v>84</v>
      </c>
      <c r="B43" s="9">
        <f>355000*IF(ISNUMBER(MATCH(Overview!$B$14,cant_build,0)),0,1)</f>
        <v>355000</v>
      </c>
      <c r="C43" s="9"/>
      <c r="D43" t="s">
        <v>21</v>
      </c>
      <c r="E43">
        <v>100</v>
      </c>
      <c r="M43" s="11">
        <v>-0.2</v>
      </c>
      <c r="N43" t="s">
        <v>470</v>
      </c>
    </row>
    <row r="44" spans="1:16" x14ac:dyDescent="0.25">
      <c r="A44" s="323" t="s">
        <v>12</v>
      </c>
      <c r="B44" s="9">
        <f>IF(Overview!$B$14="Void",start_plat,20000*IF(ISNUMBER(MATCH(Overview!$B$14,double_mana,0)),2,1))</f>
        <v>20000</v>
      </c>
      <c r="C44" s="9"/>
      <c r="D44" t="s">
        <v>2</v>
      </c>
      <c r="E44">
        <v>5000</v>
      </c>
      <c r="M44">
        <v>1</v>
      </c>
      <c r="N44" t="s">
        <v>471</v>
      </c>
    </row>
    <row r="45" spans="1:16" x14ac:dyDescent="0.25">
      <c r="A45" s="323" t="s">
        <v>3</v>
      </c>
      <c r="B45" s="9">
        <f>300000*IF(ISNUMBER(MATCH(Overview!$B$14,extra_ore,0)),3,1)*IF(ISNUMBER(MATCH(Overview!$B$14,no_ore,0)),0,1)</f>
        <v>300000</v>
      </c>
      <c r="C45" s="9"/>
      <c r="D45" t="s">
        <v>5</v>
      </c>
      <c r="E45">
        <v>1500</v>
      </c>
      <c r="L45" t="s">
        <v>194</v>
      </c>
      <c r="M45" s="11">
        <v>-0.1</v>
      </c>
      <c r="N45" t="s">
        <v>472</v>
      </c>
    </row>
    <row r="46" spans="1:16" x14ac:dyDescent="0.25">
      <c r="A46" s="323" t="s">
        <v>4</v>
      </c>
      <c r="B46" s="9">
        <f>IF(OR(Overview!$B$14="Growth",Overview!$B$14="Void"),0,20000*IF(ISNUMBER(MATCH(Overview!$B$14,cant_invest,0)),0,1))</f>
        <v>20000</v>
      </c>
      <c r="C46" s="9"/>
      <c r="D46" t="s">
        <v>7</v>
      </c>
      <c r="E46">
        <v>2500</v>
      </c>
      <c r="M46" s="11">
        <v>-0.2</v>
      </c>
      <c r="N46" t="s">
        <v>473</v>
      </c>
    </row>
    <row r="47" spans="1:16" x14ac:dyDescent="0.25">
      <c r="A47" s="323" t="s">
        <v>85</v>
      </c>
      <c r="B47" s="9">
        <f>200*IF(ISNUMBER(MATCH(Overview!$B$14,no_boats,0)),0,1)</f>
        <v>200</v>
      </c>
      <c r="C47" s="9"/>
      <c r="D47" t="s">
        <v>3</v>
      </c>
      <c r="E47">
        <v>2500</v>
      </c>
      <c r="M47">
        <v>1</v>
      </c>
      <c r="N47" t="s">
        <v>474</v>
      </c>
    </row>
    <row r="48" spans="1:16" x14ac:dyDescent="0.25">
      <c r="D48" t="s">
        <v>12</v>
      </c>
      <c r="E48">
        <v>1000</v>
      </c>
      <c r="L48" t="s">
        <v>399</v>
      </c>
      <c r="M48" s="11">
        <v>-0.1</v>
      </c>
      <c r="N48" t="s">
        <v>475</v>
      </c>
    </row>
    <row r="49" spans="1:16" x14ac:dyDescent="0.25">
      <c r="A49" s="321" t="s">
        <v>89</v>
      </c>
      <c r="D49" t="s">
        <v>506</v>
      </c>
      <c r="E49">
        <v>30</v>
      </c>
      <c r="L49" t="s">
        <v>400</v>
      </c>
      <c r="M49" s="11">
        <v>0.2</v>
      </c>
      <c r="N49" t="s">
        <v>476</v>
      </c>
      <c r="O49" s="11">
        <v>0.1</v>
      </c>
      <c r="P49" t="s">
        <v>460</v>
      </c>
    </row>
    <row r="50" spans="1:16" x14ac:dyDescent="0.25">
      <c r="A50" s="323" t="s">
        <v>21</v>
      </c>
      <c r="B50" s="10">
        <v>0.03</v>
      </c>
      <c r="D50" t="s">
        <v>507</v>
      </c>
      <c r="E50">
        <v>30</v>
      </c>
      <c r="L50" t="s">
        <v>401</v>
      </c>
      <c r="M50" s="946">
        <v>0.06</v>
      </c>
      <c r="N50" t="s">
        <v>466</v>
      </c>
    </row>
    <row r="51" spans="1:16" x14ac:dyDescent="0.25">
      <c r="A51" s="323" t="s">
        <v>24</v>
      </c>
      <c r="B51" s="10">
        <v>0.01</v>
      </c>
      <c r="L51" t="s">
        <v>402</v>
      </c>
      <c r="M51" s="1009">
        <v>0.125</v>
      </c>
      <c r="N51" t="s">
        <v>461</v>
      </c>
    </row>
    <row r="52" spans="1:16" x14ac:dyDescent="0.25">
      <c r="A52" s="323" t="s">
        <v>14</v>
      </c>
      <c r="B52" s="10">
        <v>0.01</v>
      </c>
      <c r="L52" t="s">
        <v>403</v>
      </c>
      <c r="M52" s="11">
        <v>-0.3</v>
      </c>
      <c r="N52" t="s">
        <v>477</v>
      </c>
    </row>
    <row r="53" spans="1:16" x14ac:dyDescent="0.25">
      <c r="A53" s="323" t="s">
        <v>16</v>
      </c>
      <c r="B53" s="10">
        <v>0.01</v>
      </c>
      <c r="L53" t="s">
        <v>404</v>
      </c>
      <c r="M53" s="11">
        <v>-0.2</v>
      </c>
      <c r="N53" t="s">
        <v>462</v>
      </c>
      <c r="O53" s="11">
        <v>0.15</v>
      </c>
      <c r="P53" t="s">
        <v>478</v>
      </c>
    </row>
    <row r="54" spans="1:16" x14ac:dyDescent="0.25">
      <c r="A54" s="323" t="s">
        <v>15</v>
      </c>
      <c r="B54" s="10">
        <v>0.02</v>
      </c>
      <c r="L54" t="s">
        <v>405</v>
      </c>
      <c r="M54" s="11">
        <v>-0.25</v>
      </c>
      <c r="N54" t="s">
        <v>479</v>
      </c>
    </row>
    <row r="55" spans="1:16" x14ac:dyDescent="0.25">
      <c r="L55" t="s">
        <v>406</v>
      </c>
      <c r="M55" s="11">
        <v>0.1</v>
      </c>
      <c r="N55" t="s">
        <v>305</v>
      </c>
      <c r="O55" s="11">
        <v>0.15</v>
      </c>
      <c r="P55" t="s">
        <v>480</v>
      </c>
    </row>
    <row r="56" spans="1:16" x14ac:dyDescent="0.25">
      <c r="L56" t="s">
        <v>407</v>
      </c>
      <c r="M56">
        <v>3</v>
      </c>
      <c r="N56" t="s">
        <v>481</v>
      </c>
    </row>
    <row r="57" spans="1:16" x14ac:dyDescent="0.25">
      <c r="A57" s="323" t="s">
        <v>90</v>
      </c>
      <c r="B57">
        <v>0.25</v>
      </c>
      <c r="C57" t="s">
        <v>91</v>
      </c>
    </row>
    <row r="58" spans="1:16" x14ac:dyDescent="0.25">
      <c r="A58" s="323" t="s">
        <v>178</v>
      </c>
      <c r="B58">
        <v>2.7</v>
      </c>
      <c r="C58" t="s">
        <v>179</v>
      </c>
    </row>
    <row r="59" spans="1:16" x14ac:dyDescent="0.25">
      <c r="L59" t="s">
        <v>33</v>
      </c>
      <c r="M59">
        <v>5</v>
      </c>
      <c r="N59" t="s">
        <v>546</v>
      </c>
    </row>
    <row r="60" spans="1:16" x14ac:dyDescent="0.25">
      <c r="A60" s="321" t="s">
        <v>181</v>
      </c>
    </row>
    <row r="61" spans="1:16" x14ac:dyDescent="0.25">
      <c r="A61" s="322" t="s">
        <v>359</v>
      </c>
      <c r="B61">
        <v>36</v>
      </c>
      <c r="C61" t="s">
        <v>360</v>
      </c>
      <c r="D61" t="s">
        <v>361</v>
      </c>
      <c r="L61" t="s">
        <v>545</v>
      </c>
      <c r="M61">
        <v>5000</v>
      </c>
    </row>
    <row r="62" spans="1:16" x14ac:dyDescent="0.25">
      <c r="A62" s="323" t="s">
        <v>183</v>
      </c>
      <c r="B62">
        <v>30</v>
      </c>
      <c r="C62" t="s">
        <v>281</v>
      </c>
    </row>
    <row r="63" spans="1:16" x14ac:dyDescent="0.25">
      <c r="A63" s="323" t="s">
        <v>552</v>
      </c>
      <c r="B63">
        <v>15</v>
      </c>
      <c r="C63" t="s">
        <v>281</v>
      </c>
      <c r="L63" s="98" t="s">
        <v>674</v>
      </c>
      <c r="M63" s="11">
        <v>0.1</v>
      </c>
    </row>
    <row r="64" spans="1:16" x14ac:dyDescent="0.25">
      <c r="A64" s="323" t="s">
        <v>363</v>
      </c>
      <c r="B64">
        <v>15</v>
      </c>
      <c r="C64" t="s">
        <v>281</v>
      </c>
    </row>
    <row r="65" spans="1:13" x14ac:dyDescent="0.25">
      <c r="A65" s="323" t="s">
        <v>182</v>
      </c>
      <c r="B65">
        <v>15</v>
      </c>
      <c r="C65" t="str">
        <f>C62</f>
        <v>peasants</v>
      </c>
    </row>
    <row r="66" spans="1:13" x14ac:dyDescent="0.25">
      <c r="A66" s="323" t="s">
        <v>282</v>
      </c>
      <c r="B66">
        <f>IF(OR(Overview!$B$14="Halfling",Overview!$B$14="Dwarf",Overview!$B$14="Goblin",Overview!$B$14="Kobold",Overview!$B$14="Gnome",Overview!$B$14="Imperial Gnome",Overview!$B$14="Nomad"),10,5)+IF(Overview!$B$14="Beastfolk",10,0)+IF(Overview!$B$14="Void",20,0)+IF(Overview!$B$14="Growth",100,0)</f>
        <v>5</v>
      </c>
    </row>
    <row r="68" spans="1:13" x14ac:dyDescent="0.25">
      <c r="A68" s="327" t="s">
        <v>283</v>
      </c>
    </row>
    <row r="69" spans="1:13" x14ac:dyDescent="0.25">
      <c r="A69" s="323" t="str">
        <f>CONCATENATE("Your race is ",Overview!B14)</f>
        <v>Your race is Human</v>
      </c>
    </row>
    <row r="71" spans="1:13" x14ac:dyDescent="0.25">
      <c r="A71" s="321" t="s">
        <v>214</v>
      </c>
      <c r="B71" t="s">
        <v>284</v>
      </c>
      <c r="D71" s="1345" t="s">
        <v>730</v>
      </c>
      <c r="F71" t="s">
        <v>219</v>
      </c>
    </row>
    <row r="72" spans="1:13" x14ac:dyDescent="0.25">
      <c r="A72" s="323" t="s">
        <v>209</v>
      </c>
      <c r="B72">
        <v>2</v>
      </c>
      <c r="C72" t="s">
        <v>215</v>
      </c>
      <c r="D72" s="1025">
        <v>48</v>
      </c>
      <c r="F72" s="10">
        <v>0.1</v>
      </c>
      <c r="G72" t="s">
        <v>111</v>
      </c>
    </row>
    <row r="73" spans="1:13" x14ac:dyDescent="0.25">
      <c r="A73" s="323" t="s">
        <v>210</v>
      </c>
      <c r="B73">
        <v>2</v>
      </c>
      <c r="C73" t="s">
        <v>215</v>
      </c>
      <c r="D73" s="1025">
        <v>48</v>
      </c>
      <c r="F73" s="10">
        <v>0.1</v>
      </c>
      <c r="G73" t="s">
        <v>114</v>
      </c>
    </row>
    <row r="74" spans="1:13" x14ac:dyDescent="0.25">
      <c r="A74" s="323" t="s">
        <v>216</v>
      </c>
      <c r="B74">
        <v>2.5</v>
      </c>
      <c r="C74" t="s">
        <v>215</v>
      </c>
      <c r="D74" s="1025">
        <v>48</v>
      </c>
      <c r="F74" s="10">
        <v>0</v>
      </c>
      <c r="G74" t="s">
        <v>32</v>
      </c>
    </row>
    <row r="75" spans="1:13" x14ac:dyDescent="0.25">
      <c r="A75" s="323" t="s">
        <v>213</v>
      </c>
      <c r="B75">
        <v>2.5</v>
      </c>
      <c r="C75" t="s">
        <v>215</v>
      </c>
      <c r="D75" s="1025">
        <v>48</v>
      </c>
      <c r="F75" s="10">
        <v>0.5</v>
      </c>
      <c r="G75" t="s">
        <v>220</v>
      </c>
    </row>
    <row r="76" spans="1:13" x14ac:dyDescent="0.25">
      <c r="A76" s="324" t="s">
        <v>217</v>
      </c>
      <c r="B76" s="1272">
        <v>2.5</v>
      </c>
      <c r="C76" s="1272" t="s">
        <v>215</v>
      </c>
      <c r="D76" s="1352">
        <v>48</v>
      </c>
      <c r="E76" s="1272"/>
      <c r="F76" s="1151">
        <v>0</v>
      </c>
      <c r="G76" s="1272" t="s">
        <v>110</v>
      </c>
    </row>
    <row r="77" spans="1:13" x14ac:dyDescent="0.25">
      <c r="A77" s="1348" t="s">
        <v>275</v>
      </c>
      <c r="B77">
        <v>8</v>
      </c>
      <c r="C77" t="s">
        <v>215</v>
      </c>
      <c r="D77" s="1025">
        <v>48</v>
      </c>
      <c r="F77" s="10">
        <v>0.2</v>
      </c>
      <c r="G77" t="s">
        <v>114</v>
      </c>
      <c r="H77" t="s">
        <v>260</v>
      </c>
      <c r="L77" t="s">
        <v>94</v>
      </c>
    </row>
    <row r="78" spans="1:13" x14ac:dyDescent="0.25">
      <c r="A78" s="1348" t="s">
        <v>275</v>
      </c>
      <c r="B78">
        <v>8</v>
      </c>
      <c r="C78" t="s">
        <v>215</v>
      </c>
      <c r="D78" s="1025">
        <v>48</v>
      </c>
      <c r="F78" s="10">
        <v>0.2</v>
      </c>
      <c r="G78" t="s">
        <v>114</v>
      </c>
      <c r="H78" t="s">
        <v>260</v>
      </c>
      <c r="L78" t="s">
        <v>97</v>
      </c>
    </row>
    <row r="79" spans="1:13" x14ac:dyDescent="0.25">
      <c r="A79" s="1348" t="s">
        <v>733</v>
      </c>
      <c r="B79">
        <v>10</v>
      </c>
      <c r="C79" t="str">
        <f>C77</f>
        <v>* Landsize</v>
      </c>
      <c r="D79" s="748">
        <v>48</v>
      </c>
      <c r="F79" s="10">
        <v>0.1</v>
      </c>
      <c r="G79" t="s">
        <v>32</v>
      </c>
      <c r="H79" t="s">
        <v>272</v>
      </c>
      <c r="L79" t="s">
        <v>96</v>
      </c>
    </row>
    <row r="80" spans="1:13" x14ac:dyDescent="0.25">
      <c r="A80" s="1348" t="s">
        <v>725</v>
      </c>
      <c r="B80">
        <v>10</v>
      </c>
      <c r="C80" t="str">
        <f>C77</f>
        <v>* Landsize</v>
      </c>
      <c r="D80" s="748">
        <v>48</v>
      </c>
      <c r="F80" s="10">
        <v>0.1</v>
      </c>
      <c r="G80" t="s">
        <v>31</v>
      </c>
      <c r="L80" t="s">
        <v>99</v>
      </c>
      <c r="M80" t="s">
        <v>629</v>
      </c>
    </row>
    <row r="81" spans="1:19" x14ac:dyDescent="0.25">
      <c r="A81" s="323" t="s">
        <v>313</v>
      </c>
      <c r="B81">
        <v>10</v>
      </c>
      <c r="C81" t="str">
        <f>C80</f>
        <v>* Landsize</v>
      </c>
      <c r="D81" s="748">
        <v>48</v>
      </c>
      <c r="F81" s="11">
        <v>0.2</v>
      </c>
      <c r="G81" s="315" t="s">
        <v>111</v>
      </c>
      <c r="H81" s="11">
        <v>0.1</v>
      </c>
      <c r="I81" t="s">
        <v>112</v>
      </c>
      <c r="L81" t="s">
        <v>95</v>
      </c>
    </row>
    <row r="82" spans="1:19" x14ac:dyDescent="0.25">
      <c r="A82" s="323" t="s">
        <v>350</v>
      </c>
      <c r="B82">
        <v>10</v>
      </c>
      <c r="C82" t="str">
        <f>C81</f>
        <v>* Landsize</v>
      </c>
      <c r="D82" s="748">
        <v>48</v>
      </c>
      <c r="F82" s="11">
        <v>0.1</v>
      </c>
      <c r="G82" s="315" t="s">
        <v>31</v>
      </c>
      <c r="H82" s="11">
        <v>0.1</v>
      </c>
      <c r="I82" t="s">
        <v>32</v>
      </c>
      <c r="L82" t="s">
        <v>106</v>
      </c>
    </row>
    <row r="83" spans="1:19" x14ac:dyDescent="0.25">
      <c r="A83" s="323" t="s">
        <v>349</v>
      </c>
      <c r="B83">
        <v>10</v>
      </c>
      <c r="C83" t="str">
        <f>C82</f>
        <v>* Landsize</v>
      </c>
      <c r="D83" s="748">
        <v>48</v>
      </c>
      <c r="F83" s="11">
        <v>0.05</v>
      </c>
      <c r="G83" s="315" t="s">
        <v>32</v>
      </c>
      <c r="H83" s="11" t="s">
        <v>351</v>
      </c>
      <c r="L83" t="s">
        <v>344</v>
      </c>
    </row>
    <row r="84" spans="1:19" x14ac:dyDescent="0.25">
      <c r="A84" s="323" t="s">
        <v>356</v>
      </c>
      <c r="B84">
        <v>10</v>
      </c>
      <c r="C84" s="292" t="str">
        <f>C83</f>
        <v>* Landsize</v>
      </c>
      <c r="D84" s="748">
        <v>48</v>
      </c>
      <c r="F84" s="748">
        <v>15</v>
      </c>
      <c r="G84" s="315" t="s">
        <v>357</v>
      </c>
      <c r="H84" s="11"/>
      <c r="L84" t="s">
        <v>358</v>
      </c>
      <c r="M84" t="s">
        <v>104</v>
      </c>
    </row>
    <row r="85" spans="1:19" x14ac:dyDescent="0.25">
      <c r="A85" s="323" t="s">
        <v>489</v>
      </c>
      <c r="B85">
        <v>10</v>
      </c>
      <c r="C85" t="str">
        <f>C84</f>
        <v>* Landsize</v>
      </c>
      <c r="D85" s="748">
        <v>48</v>
      </c>
      <c r="F85" s="11">
        <v>0.05</v>
      </c>
      <c r="G85" s="315" t="s">
        <v>31</v>
      </c>
      <c r="L85" t="s">
        <v>574</v>
      </c>
    </row>
    <row r="86" spans="1:19" x14ac:dyDescent="0.25">
      <c r="A86" s="323" t="s">
        <v>721</v>
      </c>
      <c r="B86">
        <v>8</v>
      </c>
      <c r="C86" t="s">
        <v>215</v>
      </c>
      <c r="D86" s="748">
        <v>48</v>
      </c>
      <c r="F86" s="11">
        <v>0.05</v>
      </c>
      <c r="G86" s="1350" t="s">
        <v>31</v>
      </c>
      <c r="H86" s="11"/>
      <c r="L86" t="s">
        <v>92</v>
      </c>
      <c r="M86" t="s">
        <v>623</v>
      </c>
    </row>
    <row r="87" spans="1:19" x14ac:dyDescent="0.25">
      <c r="A87" s="1348" t="s">
        <v>722</v>
      </c>
      <c r="B87">
        <v>10</v>
      </c>
      <c r="C87" t="s">
        <v>215</v>
      </c>
      <c r="D87" s="748">
        <v>48</v>
      </c>
      <c r="F87" s="1351">
        <v>0.1</v>
      </c>
      <c r="G87" s="1350" t="s">
        <v>31</v>
      </c>
      <c r="L87" t="s">
        <v>100</v>
      </c>
    </row>
    <row r="88" spans="1:19" x14ac:dyDescent="0.25">
      <c r="A88" s="1348" t="s">
        <v>723</v>
      </c>
      <c r="B88">
        <v>8</v>
      </c>
      <c r="C88" t="s">
        <v>215</v>
      </c>
      <c r="D88" s="748">
        <v>48</v>
      </c>
      <c r="F88" s="11">
        <v>0.1</v>
      </c>
      <c r="G88" s="1350" t="s">
        <v>31</v>
      </c>
      <c r="L88" t="s">
        <v>150</v>
      </c>
      <c r="M88" t="s">
        <v>639</v>
      </c>
    </row>
    <row r="89" spans="1:19" x14ac:dyDescent="0.25">
      <c r="A89" s="323" t="s">
        <v>724</v>
      </c>
      <c r="B89">
        <v>10</v>
      </c>
      <c r="C89" t="str">
        <f>C75</f>
        <v>* Landsize</v>
      </c>
      <c r="D89" s="748">
        <v>48</v>
      </c>
      <c r="F89" s="1351" t="s">
        <v>732</v>
      </c>
      <c r="G89" s="1350"/>
      <c r="L89" t="s">
        <v>102</v>
      </c>
      <c r="M89" t="s">
        <v>648</v>
      </c>
      <c r="P89" s="1359" t="s">
        <v>102</v>
      </c>
      <c r="Q89" s="1359" t="s">
        <v>724</v>
      </c>
      <c r="R89" s="1359">
        <v>10</v>
      </c>
      <c r="S89" s="1360">
        <v>48</v>
      </c>
    </row>
    <row r="90" spans="1:19" x14ac:dyDescent="0.25">
      <c r="A90" s="1348" t="s">
        <v>741</v>
      </c>
      <c r="B90">
        <v>10</v>
      </c>
      <c r="C90" t="str">
        <f>C76</f>
        <v>* Landsize</v>
      </c>
      <c r="D90" s="748">
        <v>48</v>
      </c>
      <c r="F90" s="1351" t="s">
        <v>732</v>
      </c>
      <c r="G90" s="1350"/>
      <c r="L90" t="s">
        <v>105</v>
      </c>
      <c r="P90" s="1359" t="s">
        <v>648</v>
      </c>
      <c r="Q90" s="1359" t="s">
        <v>724</v>
      </c>
      <c r="R90" s="1359">
        <v>10</v>
      </c>
      <c r="S90" s="1360">
        <v>48</v>
      </c>
    </row>
    <row r="91" spans="1:19" x14ac:dyDescent="0.25">
      <c r="A91" s="1348" t="s">
        <v>734</v>
      </c>
      <c r="B91">
        <v>8</v>
      </c>
      <c r="C91" t="str">
        <f>C77</f>
        <v>* Landsize</v>
      </c>
      <c r="D91" s="748">
        <v>48</v>
      </c>
      <c r="F91" s="1351" t="s">
        <v>732</v>
      </c>
      <c r="G91" s="1350"/>
      <c r="L91" t="s">
        <v>667</v>
      </c>
      <c r="P91" s="1359" t="s">
        <v>105</v>
      </c>
      <c r="Q91" s="1359" t="s">
        <v>741</v>
      </c>
      <c r="R91" s="1359">
        <v>10</v>
      </c>
      <c r="S91" s="1360">
        <v>48</v>
      </c>
    </row>
    <row r="92" spans="1:19" x14ac:dyDescent="0.25">
      <c r="A92" s="323" t="s">
        <v>728</v>
      </c>
      <c r="B92">
        <v>8</v>
      </c>
      <c r="C92" t="str">
        <f t="shared" ref="C92:C97" si="0">C79</f>
        <v>* Landsize</v>
      </c>
      <c r="D92" s="748">
        <v>48</v>
      </c>
      <c r="F92" s="1351">
        <v>0.1</v>
      </c>
      <c r="G92" s="1349" t="s">
        <v>32</v>
      </c>
      <c r="L92" t="s">
        <v>618</v>
      </c>
      <c r="P92" s="1359" t="s">
        <v>667</v>
      </c>
      <c r="Q92" s="1359" t="s">
        <v>734</v>
      </c>
      <c r="R92" s="1359">
        <v>8</v>
      </c>
      <c r="S92" s="1360">
        <v>48</v>
      </c>
    </row>
    <row r="93" spans="1:19" x14ac:dyDescent="0.25">
      <c r="A93" s="1348" t="s">
        <v>731</v>
      </c>
      <c r="B93">
        <v>8</v>
      </c>
      <c r="C93" t="str">
        <f t="shared" si="0"/>
        <v>* Landsize</v>
      </c>
      <c r="D93" s="748">
        <v>48</v>
      </c>
      <c r="F93" s="1351" t="s">
        <v>732</v>
      </c>
      <c r="G93" s="1350"/>
      <c r="L93" t="s">
        <v>103</v>
      </c>
      <c r="P93" s="1359"/>
      <c r="Q93" s="1359"/>
      <c r="R93" s="1359"/>
      <c r="S93" s="1360"/>
    </row>
    <row r="94" spans="1:19" x14ac:dyDescent="0.25">
      <c r="A94" s="323" t="s">
        <v>729</v>
      </c>
      <c r="B94">
        <v>6</v>
      </c>
      <c r="C94" t="str">
        <f t="shared" si="0"/>
        <v>* Landsize</v>
      </c>
      <c r="D94" s="748">
        <v>24</v>
      </c>
      <c r="F94" s="1351" t="s">
        <v>732</v>
      </c>
      <c r="G94" s="1350"/>
      <c r="L94" t="s">
        <v>643</v>
      </c>
      <c r="P94" s="1359" t="s">
        <v>103</v>
      </c>
      <c r="Q94" s="1359" t="s">
        <v>731</v>
      </c>
      <c r="R94" s="1359">
        <v>8</v>
      </c>
      <c r="S94" s="1360">
        <v>48</v>
      </c>
    </row>
    <row r="95" spans="1:19" x14ac:dyDescent="0.25">
      <c r="A95" s="1348" t="s">
        <v>740</v>
      </c>
      <c r="B95">
        <v>10</v>
      </c>
      <c r="C95" t="str">
        <f t="shared" si="0"/>
        <v>* Landsize</v>
      </c>
      <c r="D95" s="748">
        <v>48</v>
      </c>
      <c r="F95" s="1351" t="s">
        <v>732</v>
      </c>
      <c r="G95" s="1350"/>
      <c r="L95" t="s">
        <v>29</v>
      </c>
      <c r="M95" t="s">
        <v>634</v>
      </c>
      <c r="N95" t="s">
        <v>107</v>
      </c>
      <c r="P95" s="1359" t="s">
        <v>643</v>
      </c>
      <c r="Q95" s="1359" t="s">
        <v>729</v>
      </c>
      <c r="R95" s="1359">
        <v>6</v>
      </c>
      <c r="S95" s="1360">
        <v>24</v>
      </c>
    </row>
    <row r="96" spans="1:19" x14ac:dyDescent="0.25">
      <c r="A96" s="323" t="s">
        <v>726</v>
      </c>
      <c r="B96">
        <v>10</v>
      </c>
      <c r="C96" t="str">
        <f t="shared" si="0"/>
        <v>* Landsize</v>
      </c>
      <c r="D96" s="748">
        <v>4</v>
      </c>
      <c r="F96" s="1351" t="s">
        <v>732</v>
      </c>
      <c r="L96" t="s">
        <v>93</v>
      </c>
      <c r="P96" s="1359" t="s">
        <v>29</v>
      </c>
      <c r="Q96" s="1359" t="s">
        <v>740</v>
      </c>
      <c r="R96" s="1359">
        <v>10</v>
      </c>
      <c r="S96" s="1360">
        <v>48</v>
      </c>
    </row>
    <row r="97" spans="1:19" x14ac:dyDescent="0.25">
      <c r="A97" s="323" t="s">
        <v>727</v>
      </c>
      <c r="B97">
        <v>2</v>
      </c>
      <c r="C97" t="str">
        <f t="shared" si="0"/>
        <v>* Landsize</v>
      </c>
      <c r="D97" s="748">
        <v>4</v>
      </c>
      <c r="F97" s="1351" t="s">
        <v>732</v>
      </c>
      <c r="L97" t="s">
        <v>608</v>
      </c>
      <c r="P97" s="1359" t="s">
        <v>634</v>
      </c>
      <c r="Q97" s="1359" t="s">
        <v>740</v>
      </c>
      <c r="R97" s="1359">
        <v>10</v>
      </c>
      <c r="S97" s="1360">
        <v>48</v>
      </c>
    </row>
    <row r="98" spans="1:19" x14ac:dyDescent="0.25">
      <c r="A98" s="1348" t="s">
        <v>735</v>
      </c>
      <c r="B98">
        <v>5</v>
      </c>
      <c r="C98" t="str">
        <f>C103</f>
        <v>* Landsize</v>
      </c>
      <c r="D98" s="748">
        <f>12*4</f>
        <v>48</v>
      </c>
      <c r="F98" s="1351" t="s">
        <v>732</v>
      </c>
      <c r="G98" s="1349"/>
      <c r="L98" t="s">
        <v>98</v>
      </c>
      <c r="P98" s="1359" t="s">
        <v>107</v>
      </c>
      <c r="Q98" s="1359" t="s">
        <v>740</v>
      </c>
      <c r="R98" s="1359">
        <v>10</v>
      </c>
      <c r="S98" s="1360">
        <v>48</v>
      </c>
    </row>
    <row r="99" spans="1:19" x14ac:dyDescent="0.25">
      <c r="A99" s="1348" t="s">
        <v>712</v>
      </c>
      <c r="B99">
        <v>6</v>
      </c>
      <c r="C99" t="str">
        <f>C85</f>
        <v>* Landsize</v>
      </c>
      <c r="D99" s="748">
        <v>48</v>
      </c>
      <c r="F99" s="11">
        <v>0.02</v>
      </c>
      <c r="G99" s="1350" t="s">
        <v>717</v>
      </c>
      <c r="L99" t="s">
        <v>598</v>
      </c>
      <c r="P99" s="1359" t="s">
        <v>93</v>
      </c>
      <c r="Q99" s="1359" t="s">
        <v>726</v>
      </c>
      <c r="R99" s="1359">
        <v>10</v>
      </c>
      <c r="S99" s="1360">
        <v>4</v>
      </c>
    </row>
    <row r="100" spans="1:19" x14ac:dyDescent="0.25">
      <c r="A100" s="1348" t="s">
        <v>713</v>
      </c>
      <c r="B100">
        <v>10</v>
      </c>
      <c r="C100" t="str">
        <f>C99</f>
        <v>* Landsize</v>
      </c>
      <c r="D100" s="748">
        <v>48</v>
      </c>
      <c r="F100" s="11">
        <v>0.01</v>
      </c>
      <c r="G100" s="1350" t="s">
        <v>718</v>
      </c>
      <c r="L100" t="s">
        <v>603</v>
      </c>
      <c r="P100" s="1359" t="s">
        <v>608</v>
      </c>
      <c r="Q100" s="1364" t="s">
        <v>727</v>
      </c>
      <c r="R100" s="1359">
        <v>2</v>
      </c>
      <c r="S100" s="1360">
        <v>4</v>
      </c>
    </row>
    <row r="101" spans="1:19" x14ac:dyDescent="0.25">
      <c r="A101" s="1348" t="s">
        <v>714</v>
      </c>
      <c r="B101">
        <v>6</v>
      </c>
      <c r="C101" t="str">
        <f>C100</f>
        <v>* Landsize</v>
      </c>
      <c r="D101" s="748">
        <v>24</v>
      </c>
      <c r="F101" s="11"/>
      <c r="G101" s="1270"/>
      <c r="L101" t="s">
        <v>613</v>
      </c>
      <c r="P101" s="1359" t="s">
        <v>98</v>
      </c>
      <c r="Q101" s="1364" t="s">
        <v>735</v>
      </c>
      <c r="R101" s="1359">
        <v>5</v>
      </c>
      <c r="S101" s="1360">
        <v>48</v>
      </c>
    </row>
    <row r="102" spans="1:19" x14ac:dyDescent="0.25">
      <c r="A102" s="1348" t="s">
        <v>715</v>
      </c>
      <c r="B102">
        <v>8</v>
      </c>
      <c r="C102" t="str">
        <f>C101</f>
        <v>* Landsize</v>
      </c>
      <c r="D102" s="748">
        <v>48</v>
      </c>
      <c r="F102" s="11">
        <v>-0.5</v>
      </c>
      <c r="G102" s="1350" t="s">
        <v>719</v>
      </c>
      <c r="L102" t="s">
        <v>180</v>
      </c>
      <c r="P102" s="1361" t="s">
        <v>576</v>
      </c>
      <c r="Q102" s="1363" t="s">
        <v>742</v>
      </c>
      <c r="R102" s="1361">
        <v>0</v>
      </c>
      <c r="S102" s="1362">
        <v>0</v>
      </c>
    </row>
    <row r="103" spans="1:19" x14ac:dyDescent="0.25">
      <c r="A103" s="1348" t="s">
        <v>716</v>
      </c>
      <c r="B103">
        <v>8</v>
      </c>
      <c r="C103" t="str">
        <f>C102</f>
        <v>* Landsize</v>
      </c>
      <c r="D103" s="748">
        <v>48</v>
      </c>
      <c r="F103" s="11">
        <v>0.1</v>
      </c>
      <c r="G103" s="1349" t="s">
        <v>720</v>
      </c>
      <c r="L103" t="s">
        <v>657</v>
      </c>
    </row>
    <row r="104" spans="1:19" x14ac:dyDescent="0.25">
      <c r="P104" s="1361"/>
    </row>
    <row r="105" spans="1:19" x14ac:dyDescent="0.25">
      <c r="A105" s="321" t="s">
        <v>85</v>
      </c>
      <c r="P105" s="1361"/>
    </row>
    <row r="106" spans="1:19" x14ac:dyDescent="0.25">
      <c r="A106" s="323" t="s">
        <v>280</v>
      </c>
      <c r="B106">
        <f>IF(Overview!$B$14="Kobold",40,30)</f>
        <v>30</v>
      </c>
      <c r="C106" t="s">
        <v>252</v>
      </c>
      <c r="D106" s="98"/>
    </row>
    <row r="107" spans="1:19" x14ac:dyDescent="0.25">
      <c r="L107" s="1345"/>
    </row>
    <row r="108" spans="1:19" x14ac:dyDescent="0.25">
      <c r="A108" s="321" t="s">
        <v>366</v>
      </c>
      <c r="L108" s="1384" t="s">
        <v>598</v>
      </c>
      <c r="M108" s="1384" t="s">
        <v>97</v>
      </c>
      <c r="N108" s="1384" t="s">
        <v>180</v>
      </c>
      <c r="O108" s="1384" t="s">
        <v>667</v>
      </c>
      <c r="P108" s="1345"/>
    </row>
    <row r="109" spans="1:19" x14ac:dyDescent="0.25">
      <c r="A109" s="322" t="s">
        <v>577</v>
      </c>
      <c r="B109">
        <v>500</v>
      </c>
      <c r="L109" s="1384" t="s">
        <v>603</v>
      </c>
      <c r="M109" s="1384" t="s">
        <v>657</v>
      </c>
      <c r="N109" s="1384"/>
      <c r="O109" s="1384"/>
    </row>
    <row r="110" spans="1:19" x14ac:dyDescent="0.25">
      <c r="A110" s="322" t="s">
        <v>578</v>
      </c>
      <c r="B110" s="11">
        <v>0.01</v>
      </c>
      <c r="L110" s="1384" t="s">
        <v>608</v>
      </c>
      <c r="M110" s="1384"/>
      <c r="N110" s="1384"/>
      <c r="O110" s="1384"/>
    </row>
    <row r="111" spans="1:19" x14ac:dyDescent="0.25">
      <c r="A111" s="322" t="s">
        <v>579</v>
      </c>
      <c r="B111" s="11">
        <v>0.01</v>
      </c>
      <c r="L111" s="1384" t="s">
        <v>94</v>
      </c>
      <c r="M111" s="1384"/>
      <c r="N111" s="1384"/>
      <c r="O111" s="1384"/>
    </row>
    <row r="112" spans="1:19" x14ac:dyDescent="0.25">
      <c r="A112" s="322" t="s">
        <v>580</v>
      </c>
      <c r="B112" s="11">
        <v>0.01</v>
      </c>
      <c r="L112" s="1384" t="s">
        <v>358</v>
      </c>
      <c r="M112" s="1384"/>
      <c r="N112" s="1384"/>
      <c r="O112" s="1384"/>
    </row>
    <row r="113" spans="1:15" x14ac:dyDescent="0.25">
      <c r="L113" s="1384" t="s">
        <v>96</v>
      </c>
      <c r="M113" s="1384"/>
      <c r="N113" s="1384"/>
      <c r="O113" s="1384"/>
    </row>
    <row r="114" spans="1:15" x14ac:dyDescent="0.25">
      <c r="A114" s="321" t="s">
        <v>531</v>
      </c>
      <c r="L114" s="1384" t="s">
        <v>92</v>
      </c>
      <c r="M114" s="1384"/>
      <c r="N114" s="1384"/>
      <c r="O114" s="1384"/>
    </row>
    <row r="115" spans="1:15" x14ac:dyDescent="0.25">
      <c r="L115" s="1384" t="s">
        <v>106</v>
      </c>
      <c r="M115" s="1384"/>
      <c r="N115" s="1384"/>
      <c r="O115" s="1384"/>
    </row>
    <row r="116" spans="1:15" x14ac:dyDescent="0.25">
      <c r="A116" s="323" t="s">
        <v>532</v>
      </c>
      <c r="B116" t="s">
        <v>223</v>
      </c>
      <c r="D116" s="10">
        <f>30%*IF(race="Void",1.5,1)</f>
        <v>0.3</v>
      </c>
      <c r="E116" s="98" t="s">
        <v>501</v>
      </c>
      <c r="L116" s="1384" t="s">
        <v>613</v>
      </c>
      <c r="M116" s="1384"/>
      <c r="N116" s="1384"/>
      <c r="O116" s="1384"/>
    </row>
    <row r="117" spans="1:15" x14ac:dyDescent="0.25">
      <c r="B117" t="s">
        <v>221</v>
      </c>
      <c r="D117" s="10">
        <f>20%*IF(race="Void",1.5,1)</f>
        <v>0.2</v>
      </c>
      <c r="E117" s="98" t="s">
        <v>501</v>
      </c>
      <c r="L117" s="1384" t="s">
        <v>98</v>
      </c>
      <c r="M117" s="1384"/>
      <c r="N117" s="1384"/>
      <c r="O117" s="1384"/>
    </row>
    <row r="118" spans="1:15" x14ac:dyDescent="0.25">
      <c r="B118" t="s">
        <v>533</v>
      </c>
      <c r="D118" s="10">
        <f>30%*IF(race="Void",1.5,1)</f>
        <v>0.3</v>
      </c>
      <c r="E118" s="98" t="s">
        <v>501</v>
      </c>
      <c r="L118" s="1384" t="s">
        <v>618</v>
      </c>
      <c r="M118" s="1384"/>
      <c r="N118" s="1384"/>
      <c r="O118" s="1384"/>
    </row>
    <row r="119" spans="1:15" x14ac:dyDescent="0.25">
      <c r="B119" s="1345" t="s">
        <v>770</v>
      </c>
      <c r="D119" s="10">
        <f>40%*IF(race="Void",1.5,1)</f>
        <v>0.4</v>
      </c>
      <c r="E119" s="98" t="s">
        <v>501</v>
      </c>
      <c r="L119" s="1384" t="s">
        <v>623</v>
      </c>
      <c r="M119" s="1384"/>
      <c r="N119" s="1384"/>
      <c r="O119" s="1384"/>
    </row>
    <row r="120" spans="1:15" x14ac:dyDescent="0.25">
      <c r="B120" s="1345" t="s">
        <v>764</v>
      </c>
      <c r="D120" s="10">
        <v>0.2</v>
      </c>
      <c r="E120" s="1345" t="s">
        <v>501</v>
      </c>
      <c r="L120" s="1384" t="s">
        <v>104</v>
      </c>
      <c r="M120" s="1384"/>
      <c r="N120" s="1384"/>
      <c r="O120" s="1384"/>
    </row>
    <row r="121" spans="1:15" x14ac:dyDescent="0.25">
      <c r="B121" s="1345" t="s">
        <v>766</v>
      </c>
      <c r="D121" s="10">
        <v>0.3</v>
      </c>
      <c r="E121" s="1345" t="s">
        <v>501</v>
      </c>
      <c r="L121" s="1384" t="s">
        <v>99</v>
      </c>
      <c r="M121" s="1384"/>
      <c r="N121" s="1384"/>
      <c r="O121" s="1384"/>
    </row>
    <row r="122" spans="1:15" x14ac:dyDescent="0.25">
      <c r="L122" s="1384" t="s">
        <v>629</v>
      </c>
      <c r="M122" s="1384"/>
      <c r="N122" s="1384"/>
      <c r="O122" s="1384"/>
    </row>
    <row r="123" spans="1:15" x14ac:dyDescent="0.25">
      <c r="A123" s="323" t="s">
        <v>534</v>
      </c>
      <c r="B123" t="s">
        <v>223</v>
      </c>
      <c r="D123">
        <v>4000</v>
      </c>
      <c r="E123" s="98" t="s">
        <v>581</v>
      </c>
      <c r="L123" s="1384" t="s">
        <v>95</v>
      </c>
      <c r="M123" s="1384"/>
      <c r="N123" s="1384"/>
      <c r="O123" s="1384"/>
    </row>
    <row r="124" spans="1:15" x14ac:dyDescent="0.25">
      <c r="B124" t="s">
        <v>221</v>
      </c>
      <c r="D124">
        <v>4000</v>
      </c>
      <c r="E124" s="98" t="s">
        <v>581</v>
      </c>
      <c r="L124" s="1384" t="s">
        <v>634</v>
      </c>
      <c r="M124" s="1384"/>
      <c r="N124" s="1384"/>
      <c r="O124" s="1384"/>
    </row>
    <row r="125" spans="1:15" x14ac:dyDescent="0.25">
      <c r="B125" t="s">
        <v>533</v>
      </c>
      <c r="D125">
        <v>7500</v>
      </c>
      <c r="E125" s="98" t="s">
        <v>581</v>
      </c>
      <c r="L125" s="1384" t="s">
        <v>639</v>
      </c>
      <c r="M125" s="1384"/>
      <c r="N125" s="1384"/>
      <c r="O125" s="1384"/>
    </row>
    <row r="126" spans="1:15" x14ac:dyDescent="0.25">
      <c r="B126" s="1345" t="s">
        <v>770</v>
      </c>
      <c r="D126">
        <v>5000</v>
      </c>
      <c r="E126" s="98" t="s">
        <v>581</v>
      </c>
      <c r="L126" s="1384" t="s">
        <v>102</v>
      </c>
      <c r="M126" s="1384"/>
      <c r="N126" s="1384"/>
      <c r="O126" s="1384"/>
    </row>
    <row r="127" spans="1:15" x14ac:dyDescent="0.25">
      <c r="B127" s="1345" t="s">
        <v>764</v>
      </c>
      <c r="D127">
        <v>4000</v>
      </c>
      <c r="E127" s="1345" t="s">
        <v>581</v>
      </c>
      <c r="L127" s="1384" t="s">
        <v>643</v>
      </c>
      <c r="M127" s="1384"/>
      <c r="N127" s="1384"/>
      <c r="O127" s="1384"/>
    </row>
    <row r="128" spans="1:15" x14ac:dyDescent="0.25">
      <c r="B128" s="1345" t="s">
        <v>766</v>
      </c>
      <c r="D128">
        <v>4000</v>
      </c>
      <c r="E128" s="1345" t="s">
        <v>581</v>
      </c>
      <c r="L128" s="1384" t="s">
        <v>648</v>
      </c>
      <c r="M128" s="1384"/>
      <c r="N128" s="1384"/>
      <c r="O128" s="1384"/>
    </row>
    <row r="129" spans="1:15" x14ac:dyDescent="0.25">
      <c r="L129" s="1384" t="s">
        <v>100</v>
      </c>
      <c r="M129" s="1384"/>
      <c r="N129" s="1384"/>
      <c r="O129" s="1384"/>
    </row>
    <row r="130" spans="1:15" x14ac:dyDescent="0.25">
      <c r="A130" s="321" t="s">
        <v>536</v>
      </c>
      <c r="F130" t="s">
        <v>538</v>
      </c>
      <c r="L130" s="1384" t="s">
        <v>344</v>
      </c>
      <c r="M130" s="1384"/>
      <c r="N130" s="1384"/>
      <c r="O130" s="1384"/>
    </row>
    <row r="131" spans="1:15" x14ac:dyDescent="0.25">
      <c r="A131" s="323" t="s">
        <v>130</v>
      </c>
      <c r="B131" s="505"/>
      <c r="C131" s="1028">
        <v>0.2</v>
      </c>
      <c r="D131" t="s">
        <v>543</v>
      </c>
      <c r="F131" s="1" t="s">
        <v>542</v>
      </c>
      <c r="L131" s="1384" t="s">
        <v>107</v>
      </c>
      <c r="M131" s="1384"/>
      <c r="N131" s="1384"/>
      <c r="O131" s="1384"/>
    </row>
    <row r="132" spans="1:15" x14ac:dyDescent="0.25">
      <c r="A132" s="323" t="s">
        <v>131</v>
      </c>
      <c r="B132" s="1026" t="s">
        <v>305</v>
      </c>
      <c r="C132" s="1028">
        <v>0.2</v>
      </c>
      <c r="D132" t="s">
        <v>543</v>
      </c>
      <c r="F132" s="1" t="s">
        <v>542</v>
      </c>
      <c r="L132" s="1384" t="s">
        <v>105</v>
      </c>
      <c r="M132" s="1384"/>
      <c r="N132" s="1384"/>
      <c r="O132" s="1384"/>
    </row>
    <row r="133" spans="1:15" x14ac:dyDescent="0.25">
      <c r="B133" t="s">
        <v>304</v>
      </c>
      <c r="C133" s="1009">
        <v>0.2</v>
      </c>
      <c r="D133" t="s">
        <v>543</v>
      </c>
      <c r="F133" s="1" t="s">
        <v>542</v>
      </c>
      <c r="L133" s="1384" t="s">
        <v>93</v>
      </c>
      <c r="M133" s="1384"/>
      <c r="N133" s="1384"/>
      <c r="O133" s="1384"/>
    </row>
    <row r="134" spans="1:15" x14ac:dyDescent="0.25">
      <c r="A134" s="323" t="s">
        <v>146</v>
      </c>
      <c r="B134" s="505"/>
      <c r="C134" s="1028">
        <v>0.2</v>
      </c>
      <c r="D134" t="s">
        <v>543</v>
      </c>
      <c r="F134" s="1">
        <v>4</v>
      </c>
      <c r="L134" s="1384" t="s">
        <v>574</v>
      </c>
      <c r="M134" s="1384"/>
      <c r="N134" s="1384"/>
      <c r="O134" s="1384"/>
    </row>
    <row r="135" spans="1:15" x14ac:dyDescent="0.25">
      <c r="A135" s="323" t="s">
        <v>138</v>
      </c>
      <c r="B135" s="505"/>
      <c r="C135" s="1028">
        <v>0.2</v>
      </c>
      <c r="D135" t="s">
        <v>544</v>
      </c>
      <c r="F135" s="1">
        <v>2</v>
      </c>
      <c r="L135" s="1384" t="s">
        <v>150</v>
      </c>
      <c r="M135" s="1384"/>
      <c r="N135" s="1384"/>
      <c r="O135" s="1384"/>
    </row>
    <row r="136" spans="1:15" x14ac:dyDescent="0.25">
      <c r="A136" s="323" t="s">
        <v>154</v>
      </c>
      <c r="B136" s="1026" t="s">
        <v>305</v>
      </c>
      <c r="C136" s="1028">
        <v>0.1</v>
      </c>
      <c r="D136" t="s">
        <v>310</v>
      </c>
      <c r="F136" s="1">
        <v>5</v>
      </c>
      <c r="L136" s="1384" t="s">
        <v>29</v>
      </c>
      <c r="M136" s="1384"/>
      <c r="N136" s="1384"/>
      <c r="O136" s="1384"/>
    </row>
    <row r="137" spans="1:15" x14ac:dyDescent="0.25">
      <c r="B137" t="s">
        <v>304</v>
      </c>
      <c r="C137" s="1029">
        <v>0.1</v>
      </c>
      <c r="D137" t="s">
        <v>310</v>
      </c>
      <c r="F137" s="1">
        <v>5</v>
      </c>
      <c r="L137" s="1384" t="s">
        <v>103</v>
      </c>
      <c r="M137" s="1384"/>
      <c r="N137" s="1384"/>
      <c r="O137" s="1384"/>
    </row>
    <row r="138" spans="1:15" x14ac:dyDescent="0.25">
      <c r="A138" s="323" t="s">
        <v>537</v>
      </c>
      <c r="B138" s="505"/>
      <c r="C138" s="1028">
        <v>0.2</v>
      </c>
      <c r="D138" t="s">
        <v>544</v>
      </c>
      <c r="F138" s="1">
        <v>3</v>
      </c>
    </row>
    <row r="139" spans="1:15" x14ac:dyDescent="0.25">
      <c r="A139" s="323" t="s">
        <v>348</v>
      </c>
      <c r="C139" s="1">
        <v>0.9</v>
      </c>
      <c r="D139" t="s">
        <v>539</v>
      </c>
      <c r="F139" s="1">
        <v>3</v>
      </c>
    </row>
    <row r="140" spans="1:15" x14ac:dyDescent="0.25">
      <c r="A140" s="323" t="s">
        <v>387</v>
      </c>
      <c r="B140" s="1" t="s">
        <v>541</v>
      </c>
      <c r="C140" s="1026">
        <v>600</v>
      </c>
      <c r="D140" t="s">
        <v>540</v>
      </c>
      <c r="F140" s="1">
        <v>2</v>
      </c>
    </row>
    <row r="141" spans="1:15" x14ac:dyDescent="0.25">
      <c r="A141" s="323" t="s">
        <v>487</v>
      </c>
      <c r="B141" s="505"/>
      <c r="C141" s="1009">
        <v>0.1</v>
      </c>
      <c r="D141" s="98" t="s">
        <v>573</v>
      </c>
      <c r="F141" s="1">
        <v>4</v>
      </c>
    </row>
    <row r="142" spans="1:15" x14ac:dyDescent="0.25">
      <c r="A142" s="322" t="s">
        <v>602</v>
      </c>
      <c r="C142" s="946">
        <v>0.1</v>
      </c>
      <c r="D142" s="98" t="s">
        <v>675</v>
      </c>
      <c r="F142" s="1">
        <v>1</v>
      </c>
      <c r="G142" s="98" t="s">
        <v>598</v>
      </c>
    </row>
    <row r="143" spans="1:15" x14ac:dyDescent="0.25">
      <c r="A143" s="322" t="s">
        <v>611</v>
      </c>
      <c r="B143" s="98" t="s">
        <v>304</v>
      </c>
      <c r="C143" s="946">
        <v>0.1</v>
      </c>
      <c r="D143" s="98" t="s">
        <v>543</v>
      </c>
      <c r="F143" s="1">
        <v>3</v>
      </c>
      <c r="G143" s="98" t="s">
        <v>608</v>
      </c>
    </row>
    <row r="144" spans="1:15" x14ac:dyDescent="0.25">
      <c r="A144" s="322" t="s">
        <v>612</v>
      </c>
      <c r="B144" s="98" t="s">
        <v>304</v>
      </c>
      <c r="C144" s="946">
        <v>0.1</v>
      </c>
      <c r="D144" s="98" t="s">
        <v>543</v>
      </c>
      <c r="F144" s="1">
        <v>3</v>
      </c>
    </row>
    <row r="145" spans="1:6" x14ac:dyDescent="0.25">
      <c r="A145" s="322" t="s">
        <v>626</v>
      </c>
      <c r="B145" s="98" t="s">
        <v>305</v>
      </c>
      <c r="C145" s="946">
        <v>0.05</v>
      </c>
      <c r="D145" s="98" t="s">
        <v>676</v>
      </c>
      <c r="F145" s="1">
        <v>3</v>
      </c>
    </row>
    <row r="146" spans="1:6" x14ac:dyDescent="0.25">
      <c r="A146" s="322"/>
      <c r="B146" s="98" t="s">
        <v>304</v>
      </c>
      <c r="C146" s="946">
        <v>0.05</v>
      </c>
      <c r="D146" s="98" t="s">
        <v>676</v>
      </c>
      <c r="F146" s="1">
        <v>3</v>
      </c>
    </row>
    <row r="147" spans="1:6" x14ac:dyDescent="0.25">
      <c r="A147" s="322" t="s">
        <v>627</v>
      </c>
      <c r="C147" s="946">
        <v>0.05</v>
      </c>
      <c r="D147" s="98" t="s">
        <v>677</v>
      </c>
      <c r="F147" s="1">
        <v>3</v>
      </c>
    </row>
    <row r="148" spans="1:6" x14ac:dyDescent="0.25">
      <c r="A148" s="322" t="s">
        <v>159</v>
      </c>
      <c r="B148" s="98" t="s">
        <v>305</v>
      </c>
      <c r="C148" s="11">
        <v>0.4</v>
      </c>
      <c r="D148" s="98" t="s">
        <v>678</v>
      </c>
      <c r="F148" s="1">
        <v>1</v>
      </c>
    </row>
    <row r="149" spans="1:6" x14ac:dyDescent="0.25">
      <c r="B149" s="98" t="s">
        <v>304</v>
      </c>
      <c r="C149" s="11">
        <v>0.4</v>
      </c>
      <c r="D149" s="98" t="s">
        <v>678</v>
      </c>
      <c r="F149" s="1">
        <v>1</v>
      </c>
    </row>
    <row r="150" spans="1:6" x14ac:dyDescent="0.25">
      <c r="A150" s="322" t="s">
        <v>158</v>
      </c>
      <c r="B150" s="98" t="s">
        <v>305</v>
      </c>
      <c r="C150" s="11">
        <v>0.2</v>
      </c>
      <c r="D150" s="98" t="s">
        <v>678</v>
      </c>
      <c r="F150" s="1">
        <v>2</v>
      </c>
    </row>
    <row r="151" spans="1:6" x14ac:dyDescent="0.25">
      <c r="B151" s="98" t="s">
        <v>304</v>
      </c>
      <c r="C151" s="11">
        <v>0.2</v>
      </c>
      <c r="D151" s="98" t="s">
        <v>678</v>
      </c>
      <c r="F151" s="1">
        <v>2</v>
      </c>
    </row>
    <row r="152" spans="1:6" x14ac:dyDescent="0.25">
      <c r="A152" s="322" t="s">
        <v>666</v>
      </c>
      <c r="C152" s="1182">
        <v>1</v>
      </c>
      <c r="D152" t="s">
        <v>539</v>
      </c>
      <c r="F152" s="1">
        <v>1</v>
      </c>
    </row>
    <row r="153" spans="1:6" x14ac:dyDescent="0.25">
      <c r="A153" s="1348" t="s">
        <v>134</v>
      </c>
      <c r="C153" s="1182">
        <v>1</v>
      </c>
      <c r="D153" s="1345" t="s">
        <v>745</v>
      </c>
      <c r="F153" s="1">
        <v>2</v>
      </c>
    </row>
    <row r="154" spans="1:6" x14ac:dyDescent="0.25">
      <c r="A154" s="323" t="s">
        <v>621</v>
      </c>
      <c r="B154" s="1" t="s">
        <v>541</v>
      </c>
      <c r="C154" s="1026">
        <v>500</v>
      </c>
      <c r="D154" t="s">
        <v>540</v>
      </c>
      <c r="F154" s="1">
        <v>2</v>
      </c>
    </row>
    <row r="155" spans="1:6" x14ac:dyDescent="0.25">
      <c r="A155" s="1348" t="s">
        <v>641</v>
      </c>
      <c r="B155" s="1" t="s">
        <v>541</v>
      </c>
      <c r="C155" s="1026">
        <v>500</v>
      </c>
      <c r="D155" t="s">
        <v>540</v>
      </c>
      <c r="F155" s="1">
        <v>10</v>
      </c>
    </row>
    <row r="156" spans="1:6" x14ac:dyDescent="0.25">
      <c r="A156" s="1348" t="s">
        <v>172</v>
      </c>
      <c r="C156" s="11">
        <v>0.05</v>
      </c>
      <c r="D156" s="1345" t="s">
        <v>749</v>
      </c>
      <c r="F156" s="1">
        <v>3</v>
      </c>
    </row>
    <row r="159" spans="1:6" x14ac:dyDescent="0.25">
      <c r="A159" s="321" t="s">
        <v>276</v>
      </c>
    </row>
    <row r="160" spans="1:6" x14ac:dyDescent="0.25">
      <c r="A160" s="323" t="s">
        <v>555</v>
      </c>
      <c r="B160">
        <v>20</v>
      </c>
    </row>
    <row r="161" spans="1:3" x14ac:dyDescent="0.25">
      <c r="A161" s="323" t="s">
        <v>553</v>
      </c>
      <c r="B161">
        <v>0</v>
      </c>
      <c r="C161" t="s">
        <v>554</v>
      </c>
    </row>
  </sheetData>
  <phoneticPr fontId="0" type="noConversion"/>
  <conditionalFormatting sqref="J22:L22">
    <cfRule type="expression" dxfId="10" priority="1" stopIfTrue="1">
      <formula>$A$1292&lt;0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H187"/>
  <sheetViews>
    <sheetView zoomScale="75" workbookViewId="0">
      <pane ySplit="4" topLeftCell="A110" activePane="bottomLeft" state="frozenSplit"/>
      <selection pane="bottomLeft" activeCell="E105" sqref="E105"/>
    </sheetView>
  </sheetViews>
  <sheetFormatPr defaultRowHeight="13.2" x14ac:dyDescent="0.25"/>
  <cols>
    <col min="1" max="1" width="15.6640625" style="323" bestFit="1" customWidth="1"/>
    <col min="2" max="3" width="10" bestFit="1" customWidth="1"/>
    <col min="4" max="4" width="15.6640625" bestFit="1" customWidth="1"/>
    <col min="5" max="5" width="8.109375" bestFit="1" customWidth="1"/>
    <col min="6" max="6" width="8.5546875" bestFit="1" customWidth="1"/>
    <col min="7" max="7" width="6.88671875" customWidth="1"/>
    <col min="8" max="9" width="7" bestFit="1" customWidth="1"/>
    <col min="10" max="13" width="5.109375" customWidth="1"/>
    <col min="15" max="15" width="2.88671875" customWidth="1"/>
    <col min="16" max="16" width="3" customWidth="1"/>
    <col min="17" max="17" width="11" bestFit="1" customWidth="1"/>
    <col min="18" max="18" width="11.109375" bestFit="1" customWidth="1"/>
    <col min="20" max="20" width="10.33203125" bestFit="1" customWidth="1"/>
    <col min="21" max="21" width="12" bestFit="1" customWidth="1"/>
    <col min="22" max="22" width="10.5546875" bestFit="1" customWidth="1"/>
    <col min="23" max="23" width="8.6640625" bestFit="1" customWidth="1"/>
    <col min="24" max="24" width="9.6640625" bestFit="1" customWidth="1"/>
    <col min="25" max="25" width="10.6640625" bestFit="1" customWidth="1"/>
    <col min="26" max="26" width="8.5546875" bestFit="1" customWidth="1"/>
    <col min="27" max="27" width="8.109375" bestFit="1" customWidth="1"/>
    <col min="28" max="28" width="6.6640625" bestFit="1" customWidth="1"/>
    <col min="31" max="31" width="9.109375" style="10" customWidth="1"/>
  </cols>
  <sheetData>
    <row r="1" spans="1:34" s="34" customFormat="1" x14ac:dyDescent="0.25">
      <c r="A1" s="321" t="s">
        <v>294</v>
      </c>
      <c r="AE1" s="1149"/>
    </row>
    <row r="3" spans="1:34" s="34" customFormat="1" x14ac:dyDescent="0.25">
      <c r="A3" s="321" t="s">
        <v>36</v>
      </c>
      <c r="D3" s="34" t="s">
        <v>38</v>
      </c>
      <c r="O3" s="98"/>
      <c r="P3" s="98"/>
      <c r="Q3" s="34" t="s">
        <v>37</v>
      </c>
      <c r="AE3" s="1149"/>
    </row>
    <row r="4" spans="1:34" s="98" customFormat="1" x14ac:dyDescent="0.25">
      <c r="A4" s="322" t="s">
        <v>34</v>
      </c>
      <c r="B4" s="98" t="s">
        <v>35</v>
      </c>
      <c r="C4" s="98" t="s">
        <v>255</v>
      </c>
      <c r="D4" s="98" t="s">
        <v>34</v>
      </c>
      <c r="E4" s="99" t="s">
        <v>31</v>
      </c>
      <c r="F4" s="99" t="s">
        <v>32</v>
      </c>
      <c r="G4" s="99" t="s">
        <v>39</v>
      </c>
      <c r="H4" s="99" t="s">
        <v>3</v>
      </c>
      <c r="I4" s="99" t="s">
        <v>594</v>
      </c>
      <c r="J4" s="99" t="s">
        <v>595</v>
      </c>
      <c r="K4" s="99" t="s">
        <v>12</v>
      </c>
      <c r="L4" s="99" t="s">
        <v>5</v>
      </c>
      <c r="M4" s="99" t="s">
        <v>596</v>
      </c>
      <c r="N4" s="99" t="s">
        <v>242</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227</v>
      </c>
      <c r="AE4" s="1150" t="s">
        <v>203</v>
      </c>
      <c r="AF4" s="98" t="s">
        <v>562</v>
      </c>
      <c r="AG4" s="98" t="s">
        <v>188</v>
      </c>
      <c r="AH4" s="98" t="s">
        <v>597</v>
      </c>
    </row>
    <row r="5" spans="1:34" s="15" customFormat="1" x14ac:dyDescent="0.25">
      <c r="A5" s="325" t="s">
        <v>92</v>
      </c>
      <c r="B5" s="74" t="s">
        <v>101</v>
      </c>
      <c r="C5" s="15" t="s">
        <v>257</v>
      </c>
      <c r="D5" s="70" t="s">
        <v>119</v>
      </c>
      <c r="E5" s="15">
        <v>3</v>
      </c>
      <c r="G5" s="15">
        <v>275</v>
      </c>
      <c r="H5" s="15">
        <v>25</v>
      </c>
      <c r="N5" s="74">
        <v>5</v>
      </c>
      <c r="Q5" s="444"/>
      <c r="R5" s="100"/>
      <c r="S5" s="100"/>
      <c r="T5" s="100">
        <v>0.05</v>
      </c>
      <c r="U5" s="100"/>
      <c r="V5" s="100"/>
      <c r="W5" s="100"/>
      <c r="X5" s="100"/>
      <c r="Y5" s="100"/>
      <c r="Z5" s="100"/>
      <c r="AA5" s="100"/>
      <c r="AB5" s="100"/>
      <c r="AC5" s="100"/>
      <c r="AD5" s="16"/>
      <c r="AE5" s="17"/>
      <c r="AF5" s="17"/>
      <c r="AG5" s="17"/>
      <c r="AH5" s="74"/>
    </row>
    <row r="6" spans="1:34" s="16" customFormat="1" x14ac:dyDescent="0.25">
      <c r="A6" s="323"/>
      <c r="B6" s="53"/>
      <c r="D6" s="52" t="s">
        <v>120</v>
      </c>
      <c r="F6" s="16">
        <v>3</v>
      </c>
      <c r="G6" s="16">
        <v>275</v>
      </c>
      <c r="H6" s="16">
        <v>10</v>
      </c>
      <c r="N6" s="53">
        <v>5</v>
      </c>
      <c r="Q6" s="772"/>
      <c r="R6" s="65"/>
      <c r="S6" s="65"/>
      <c r="T6" s="65"/>
      <c r="U6" s="65"/>
      <c r="V6" s="65"/>
      <c r="W6" s="65"/>
      <c r="X6" s="65"/>
      <c r="Y6" s="65"/>
      <c r="Z6" s="65"/>
      <c r="AA6" s="65"/>
      <c r="AB6" s="65"/>
      <c r="AC6" s="65"/>
      <c r="AE6" s="17"/>
      <c r="AF6" s="17"/>
      <c r="AG6" s="17"/>
      <c r="AH6" s="53"/>
    </row>
    <row r="7" spans="1:34" s="16" customFormat="1" x14ac:dyDescent="0.25">
      <c r="A7" s="323"/>
      <c r="B7" s="53"/>
      <c r="D7" s="52" t="s">
        <v>121</v>
      </c>
      <c r="E7" s="16">
        <v>2</v>
      </c>
      <c r="F7" s="16">
        <v>6</v>
      </c>
      <c r="G7" s="16">
        <v>1000</v>
      </c>
      <c r="H7" s="16">
        <v>75</v>
      </c>
      <c r="N7" s="53">
        <f>1.8 * MIN(6, MAX(E7,F7)) + 0.45 * MIN(6, MIN(E7,F7)) + IF(E7&gt;6, (E7-6)*0.2) + IF(F7&gt;6, (F7-6)*0.2)</f>
        <v>11.700000000000001</v>
      </c>
      <c r="Q7" s="772"/>
      <c r="R7" s="65"/>
      <c r="S7" s="65"/>
      <c r="T7" s="65"/>
      <c r="U7" s="65"/>
      <c r="V7" s="65"/>
      <c r="W7" s="65"/>
      <c r="X7" s="65"/>
      <c r="Y7" s="65"/>
      <c r="Z7" s="65"/>
      <c r="AA7" s="65"/>
      <c r="AB7" s="65"/>
      <c r="AC7" s="65"/>
      <c r="AE7" s="17"/>
      <c r="AF7" s="17"/>
      <c r="AG7" s="17"/>
      <c r="AH7" s="53"/>
    </row>
    <row r="8" spans="1:34" s="25" customFormat="1" x14ac:dyDescent="0.25">
      <c r="A8" s="324"/>
      <c r="B8" s="75"/>
      <c r="D8" s="72" t="s">
        <v>122</v>
      </c>
      <c r="E8" s="25">
        <v>6</v>
      </c>
      <c r="F8" s="25">
        <v>3</v>
      </c>
      <c r="G8" s="25">
        <v>1250</v>
      </c>
      <c r="H8" s="25">
        <v>100</v>
      </c>
      <c r="N8" s="75">
        <f>1.8 * MIN(6, MAX(E8,F8)) + 0.45 * MIN(6, MIN(E8,F8)) + IF(E8&gt;6, (E8-6)*0.2) + IF(F8&gt;6, (F8-6)*0.2)</f>
        <v>12.15</v>
      </c>
      <c r="Q8" s="773"/>
      <c r="R8" s="102"/>
      <c r="S8" s="102"/>
      <c r="T8" s="102"/>
      <c r="U8" s="102"/>
      <c r="V8" s="102"/>
      <c r="W8" s="102"/>
      <c r="X8" s="102"/>
      <c r="Y8" s="102"/>
      <c r="Z8" s="102"/>
      <c r="AA8" s="102"/>
      <c r="AB8" s="102"/>
      <c r="AC8" s="102"/>
      <c r="AE8" s="1151"/>
      <c r="AF8" s="1151"/>
      <c r="AG8" s="1151"/>
      <c r="AH8" s="75"/>
    </row>
    <row r="9" spans="1:34" s="15" customFormat="1" x14ac:dyDescent="0.25">
      <c r="A9" s="325" t="s">
        <v>93</v>
      </c>
      <c r="B9" s="74" t="s">
        <v>30</v>
      </c>
      <c r="C9" s="15" t="s">
        <v>257</v>
      </c>
      <c r="D9" s="70" t="s">
        <v>123</v>
      </c>
      <c r="E9" s="15">
        <v>3</v>
      </c>
      <c r="F9" s="15">
        <v>0</v>
      </c>
      <c r="G9" s="15">
        <v>280</v>
      </c>
      <c r="H9" s="15">
        <v>25</v>
      </c>
      <c r="N9" s="74">
        <v>5</v>
      </c>
      <c r="Q9" s="444"/>
      <c r="R9" s="100"/>
      <c r="S9" s="100"/>
      <c r="T9" s="100"/>
      <c r="U9" s="100"/>
      <c r="V9" s="100"/>
      <c r="W9" s="100"/>
      <c r="X9" s="100"/>
      <c r="Y9" s="100">
        <v>-0.1</v>
      </c>
      <c r="Z9" s="100"/>
      <c r="AA9" s="100"/>
      <c r="AB9" s="100"/>
      <c r="AC9" s="100"/>
      <c r="AD9" s="16"/>
      <c r="AE9" s="17"/>
      <c r="AF9" s="17">
        <v>0.1</v>
      </c>
      <c r="AG9" s="17"/>
      <c r="AH9" s="74"/>
    </row>
    <row r="10" spans="1:34" s="16" customFormat="1" ht="12.75" customHeight="1" x14ac:dyDescent="0.25">
      <c r="A10" s="323"/>
      <c r="B10" s="53"/>
      <c r="D10" s="52" t="s">
        <v>662</v>
      </c>
      <c r="E10" s="107">
        <v>0</v>
      </c>
      <c r="F10" s="107">
        <v>3</v>
      </c>
      <c r="G10" s="107">
        <v>280</v>
      </c>
      <c r="H10" s="107">
        <v>15</v>
      </c>
      <c r="N10" s="53">
        <v>5</v>
      </c>
      <c r="Q10" s="772"/>
      <c r="R10" s="65"/>
      <c r="S10" s="65"/>
      <c r="T10" s="65"/>
      <c r="U10" s="65"/>
      <c r="V10" s="65"/>
      <c r="W10" s="65"/>
      <c r="X10" s="65"/>
      <c r="Y10" s="65"/>
      <c r="Z10" s="65"/>
      <c r="AA10" s="65"/>
      <c r="AB10" s="65"/>
      <c r="AC10" s="65"/>
      <c r="AE10" s="17"/>
      <c r="AF10" s="17"/>
      <c r="AG10" s="17"/>
      <c r="AH10" s="53"/>
    </row>
    <row r="11" spans="1:34" s="16" customFormat="1" x14ac:dyDescent="0.25">
      <c r="A11" s="323"/>
      <c r="B11" s="53"/>
      <c r="D11" s="52" t="s">
        <v>663</v>
      </c>
      <c r="E11" s="107">
        <v>2</v>
      </c>
      <c r="F11" s="107">
        <v>6</v>
      </c>
      <c r="G11" s="107">
        <v>1050</v>
      </c>
      <c r="H11" s="107">
        <v>75</v>
      </c>
      <c r="N11" s="53">
        <f>1.8 * MIN(6, MAX(E11,F11)) + 0.45 * MIN(6, MIN(E11,F11)) + IF(E11&gt;6, (E11-6)*0.2) + IF(F11&gt;6, (F11-6)*0.2)</f>
        <v>11.700000000000001</v>
      </c>
      <c r="Q11" s="772"/>
      <c r="R11" s="65"/>
      <c r="S11" s="65"/>
      <c r="T11" s="65"/>
      <c r="U11" s="65"/>
      <c r="V11" s="65"/>
      <c r="W11" s="65"/>
      <c r="X11" s="65"/>
      <c r="Y11" s="65"/>
      <c r="Z11" s="65"/>
      <c r="AA11" s="65"/>
      <c r="AB11" s="65"/>
      <c r="AC11" s="65"/>
      <c r="AE11" s="17"/>
      <c r="AF11" s="17"/>
      <c r="AG11" s="17"/>
      <c r="AH11" s="53"/>
    </row>
    <row r="12" spans="1:34" s="16" customFormat="1" x14ac:dyDescent="0.25">
      <c r="A12" s="324"/>
      <c r="B12" s="75"/>
      <c r="C12" s="25"/>
      <c r="D12" s="72" t="s">
        <v>664</v>
      </c>
      <c r="E12" s="25">
        <v>7</v>
      </c>
      <c r="F12" s="25">
        <v>2</v>
      </c>
      <c r="G12" s="25">
        <v>1275</v>
      </c>
      <c r="H12" s="25">
        <v>100</v>
      </c>
      <c r="I12" s="25"/>
      <c r="J12" s="25"/>
      <c r="K12" s="25"/>
      <c r="L12" s="25"/>
      <c r="M12" s="25"/>
      <c r="N12" s="75">
        <f>1.8 * MIN(6, MAX(E12,F12)) + 0.45 * MIN(6, MIN(E12,F12)) + IF(E12&gt;6, (E12-6)*0.2) + IF(F12&gt;6, (F12-6)*0.2)</f>
        <v>11.9</v>
      </c>
      <c r="O12" s="25"/>
      <c r="P12" s="25"/>
      <c r="Q12" s="773"/>
      <c r="R12" s="102"/>
      <c r="S12" s="102"/>
      <c r="T12" s="102"/>
      <c r="U12" s="102"/>
      <c r="V12" s="102"/>
      <c r="W12" s="102"/>
      <c r="X12" s="102"/>
      <c r="Y12" s="102"/>
      <c r="Z12" s="102"/>
      <c r="AA12" s="102"/>
      <c r="AB12" s="102"/>
      <c r="AC12" s="102"/>
      <c r="AD12" s="25"/>
      <c r="AE12" s="1151"/>
      <c r="AF12" s="1151"/>
      <c r="AG12" s="1151"/>
      <c r="AH12" s="75"/>
    </row>
    <row r="13" spans="1:34" s="15" customFormat="1" x14ac:dyDescent="0.25">
      <c r="A13" s="325" t="s">
        <v>94</v>
      </c>
      <c r="B13" s="74" t="s">
        <v>101</v>
      </c>
      <c r="C13" s="15" t="s">
        <v>259</v>
      </c>
      <c r="D13" s="70" t="s">
        <v>124</v>
      </c>
      <c r="E13" s="15">
        <v>3</v>
      </c>
      <c r="G13" s="15">
        <v>275</v>
      </c>
      <c r="H13" s="15">
        <v>25</v>
      </c>
      <c r="N13" s="74">
        <v>5</v>
      </c>
      <c r="O13"/>
      <c r="P13"/>
      <c r="Q13" s="444">
        <v>7.4999999999999997E-2</v>
      </c>
      <c r="R13" s="100"/>
      <c r="S13" s="100"/>
      <c r="T13" s="100"/>
      <c r="U13" s="100"/>
      <c r="V13" s="100"/>
      <c r="W13" s="100">
        <v>0.1</v>
      </c>
      <c r="X13" s="100"/>
      <c r="Y13" s="100"/>
      <c r="Z13" s="100"/>
      <c r="AA13" s="100"/>
      <c r="AB13" s="100"/>
      <c r="AC13" s="100"/>
      <c r="AD13" s="16"/>
      <c r="AE13" s="17"/>
      <c r="AF13" s="17"/>
      <c r="AG13" s="17"/>
      <c r="AH13" s="74"/>
    </row>
    <row r="14" spans="1:34" s="16" customFormat="1" x14ac:dyDescent="0.25">
      <c r="A14" s="323"/>
      <c r="B14" s="53"/>
      <c r="D14" s="52" t="s">
        <v>125</v>
      </c>
      <c r="F14" s="16">
        <v>3</v>
      </c>
      <c r="G14" s="16">
        <v>350</v>
      </c>
      <c r="H14" s="16">
        <v>25</v>
      </c>
      <c r="N14" s="53">
        <v>5</v>
      </c>
      <c r="O14"/>
      <c r="P14"/>
      <c r="Q14" s="772"/>
      <c r="R14" s="65"/>
      <c r="S14" s="65"/>
      <c r="T14" s="65"/>
      <c r="U14" s="65"/>
      <c r="V14" s="65"/>
      <c r="W14" s="65"/>
      <c r="X14" s="65"/>
      <c r="Y14" s="65"/>
      <c r="Z14" s="65"/>
      <c r="AA14" s="65"/>
      <c r="AB14" s="65"/>
      <c r="AC14" s="65"/>
      <c r="AE14" s="17"/>
      <c r="AF14" s="17"/>
      <c r="AG14" s="17"/>
      <c r="AH14" s="53"/>
    </row>
    <row r="15" spans="1:34" s="16" customFormat="1" x14ac:dyDescent="0.25">
      <c r="A15" s="323"/>
      <c r="B15" s="53"/>
      <c r="D15" s="52" t="s">
        <v>126</v>
      </c>
      <c r="E15" s="16">
        <v>4</v>
      </c>
      <c r="F15" s="16">
        <v>4</v>
      </c>
      <c r="G15" s="16">
        <v>760</v>
      </c>
      <c r="H15" s="16">
        <v>0</v>
      </c>
      <c r="N15" s="53">
        <f>1.8 * MIN(6, MAX(E15,F15)) + 0.45 * MIN(6, MIN(E15,F15)) + IF(E15&gt;6, (E15-6)*0.2) + IF(F15&gt;6, (F15-6)*0.2)</f>
        <v>9</v>
      </c>
      <c r="O15"/>
      <c r="P15"/>
      <c r="Q15" s="772"/>
      <c r="R15" s="65"/>
      <c r="S15" s="65"/>
      <c r="T15" s="65"/>
      <c r="U15" s="65"/>
      <c r="V15" s="65"/>
      <c r="W15" s="65"/>
      <c r="X15" s="65"/>
      <c r="Y15" s="65"/>
      <c r="Z15" s="65"/>
      <c r="AA15" s="65"/>
      <c r="AB15" s="65"/>
      <c r="AC15" s="65"/>
      <c r="AE15" s="17"/>
      <c r="AF15" s="17"/>
      <c r="AG15" s="17"/>
      <c r="AH15" s="53"/>
    </row>
    <row r="16" spans="1:34" s="25" customFormat="1" ht="12.75" customHeight="1" x14ac:dyDescent="0.25">
      <c r="A16" s="324"/>
      <c r="B16" s="75"/>
      <c r="D16" s="72" t="s">
        <v>127</v>
      </c>
      <c r="E16" s="25">
        <v>7</v>
      </c>
      <c r="F16" s="25">
        <v>2</v>
      </c>
      <c r="G16" s="25">
        <v>1250</v>
      </c>
      <c r="H16" s="25">
        <v>110</v>
      </c>
      <c r="N16" s="75">
        <f>1.8 * MIN(6, MAX(E16,F16)) + 0.45 * MIN(6, MIN(E16,F16)) + IF(E16&gt;6, (E16-6)*0.2) + IF(F16&gt;6, (F16-6)*0.2)</f>
        <v>11.9</v>
      </c>
      <c r="O16"/>
      <c r="P16"/>
      <c r="Q16" s="773"/>
      <c r="R16" s="102"/>
      <c r="S16" s="102"/>
      <c r="T16" s="102"/>
      <c r="U16" s="102"/>
      <c r="V16" s="102"/>
      <c r="W16" s="102"/>
      <c r="X16" s="102"/>
      <c r="Y16" s="102"/>
      <c r="Z16" s="102"/>
      <c r="AA16" s="102"/>
      <c r="AB16" s="102"/>
      <c r="AC16" s="102"/>
      <c r="AE16" s="1151"/>
      <c r="AF16" s="17"/>
      <c r="AG16" s="1151"/>
      <c r="AH16" s="75"/>
    </row>
    <row r="17" spans="1:34" s="15" customFormat="1" x14ac:dyDescent="0.25">
      <c r="A17" s="325" t="s">
        <v>95</v>
      </c>
      <c r="B17" s="74" t="s">
        <v>101</v>
      </c>
      <c r="C17" s="15" t="s">
        <v>60</v>
      </c>
      <c r="D17" s="52" t="s">
        <v>128</v>
      </c>
      <c r="E17" s="16">
        <v>3</v>
      </c>
      <c r="F17" s="16"/>
      <c r="G17" s="16">
        <v>275</v>
      </c>
      <c r="H17" s="16">
        <v>50</v>
      </c>
      <c r="I17"/>
      <c r="J17"/>
      <c r="K17"/>
      <c r="L17"/>
      <c r="M17"/>
      <c r="N17" s="53">
        <v>5</v>
      </c>
      <c r="Q17" s="444">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x14ac:dyDescent="0.25">
      <c r="A18" s="323"/>
      <c r="B18" s="53"/>
      <c r="D18" s="52" t="s">
        <v>129</v>
      </c>
      <c r="F18" s="16">
        <v>4</v>
      </c>
      <c r="G18" s="16">
        <v>325</v>
      </c>
      <c r="H18" s="16">
        <v>20</v>
      </c>
      <c r="I18"/>
      <c r="J18"/>
      <c r="K18"/>
      <c r="L18"/>
      <c r="M18"/>
      <c r="N18" s="53">
        <v>5</v>
      </c>
      <c r="Q18" s="772"/>
      <c r="R18" s="65"/>
      <c r="S18" s="65"/>
      <c r="T18" s="65"/>
      <c r="U18" s="65"/>
      <c r="V18" s="65"/>
      <c r="W18" s="65"/>
      <c r="X18" s="65"/>
      <c r="Y18" s="65"/>
      <c r="Z18" s="65"/>
      <c r="AA18" s="65"/>
      <c r="AB18" s="65"/>
      <c r="AC18" s="65"/>
      <c r="AE18" s="17"/>
      <c r="AF18" s="17"/>
      <c r="AG18" s="17"/>
      <c r="AH18" s="53"/>
    </row>
    <row r="19" spans="1:34" s="16" customFormat="1" x14ac:dyDescent="0.25">
      <c r="A19" s="323"/>
      <c r="B19" s="53"/>
      <c r="D19" s="52" t="s">
        <v>130</v>
      </c>
      <c r="E19" s="16">
        <v>0</v>
      </c>
      <c r="F19" s="16">
        <v>4</v>
      </c>
      <c r="G19" s="16">
        <v>1075</v>
      </c>
      <c r="H19" s="16">
        <v>0</v>
      </c>
      <c r="I19"/>
      <c r="J19"/>
      <c r="K19"/>
      <c r="L19"/>
      <c r="M19"/>
      <c r="N19" s="53">
        <f>1.8 * MIN(6, MAX(E19,F19)) + 0.45 * MIN(6, MIN(E19,F19)) + IF(E19&gt;6, (E19-6)*0.2) + IF(F19&gt;6, (F19-6)*0.2)</f>
        <v>7.2</v>
      </c>
      <c r="Q19" s="772"/>
      <c r="R19" s="65"/>
      <c r="S19" s="65"/>
      <c r="T19" s="65"/>
      <c r="U19" s="65"/>
      <c r="V19" s="65"/>
      <c r="W19" s="65"/>
      <c r="X19" s="65"/>
      <c r="Y19" s="65"/>
      <c r="Z19" s="65"/>
      <c r="AA19" s="65"/>
      <c r="AB19" s="65"/>
      <c r="AC19" s="65"/>
      <c r="AE19" s="17"/>
      <c r="AF19" s="17"/>
      <c r="AG19" s="17"/>
      <c r="AH19" s="53"/>
    </row>
    <row r="20" spans="1:34" s="25" customFormat="1" x14ac:dyDescent="0.25">
      <c r="A20" s="324"/>
      <c r="B20" s="75"/>
      <c r="D20" s="72" t="s">
        <v>131</v>
      </c>
      <c r="E20" s="25">
        <v>3</v>
      </c>
      <c r="F20" s="25">
        <v>1</v>
      </c>
      <c r="G20" s="25">
        <v>1100</v>
      </c>
      <c r="H20" s="25">
        <v>0</v>
      </c>
      <c r="I20"/>
      <c r="J20"/>
      <c r="K20"/>
      <c r="L20"/>
      <c r="M20"/>
      <c r="N20" s="53">
        <f>1.8 * MIN(6, MAX(E20,F20)) + 0.45 * MIN(6, MIN(E20,F20)) + IF(E20&gt;6, (E20-6)*0.2) + IF(F20&gt;6, (F20-6)*0.2)</f>
        <v>5.8500000000000005</v>
      </c>
      <c r="Q20" s="773"/>
      <c r="R20" s="102"/>
      <c r="S20" s="102"/>
      <c r="T20" s="102"/>
      <c r="U20" s="102"/>
      <c r="V20" s="102"/>
      <c r="W20" s="102"/>
      <c r="X20" s="102"/>
      <c r="Y20" s="102"/>
      <c r="Z20" s="102"/>
      <c r="AA20" s="102"/>
      <c r="AB20" s="102"/>
      <c r="AC20" s="102"/>
      <c r="AE20" s="1151"/>
      <c r="AF20" s="1151"/>
      <c r="AG20" s="1151"/>
      <c r="AH20" s="75"/>
    </row>
    <row r="21" spans="1:34" s="15" customFormat="1" x14ac:dyDescent="0.25">
      <c r="A21" s="325" t="s">
        <v>96</v>
      </c>
      <c r="B21" s="74" t="s">
        <v>101</v>
      </c>
      <c r="C21" s="15" t="s">
        <v>258</v>
      </c>
      <c r="D21" s="52" t="s">
        <v>132</v>
      </c>
      <c r="E21" s="16">
        <v>3</v>
      </c>
      <c r="F21" s="16"/>
      <c r="G21" s="16">
        <v>275</v>
      </c>
      <c r="H21" s="16">
        <v>15</v>
      </c>
      <c r="I21"/>
      <c r="J21"/>
      <c r="K21"/>
      <c r="L21"/>
      <c r="M21"/>
      <c r="N21" s="53">
        <v>5</v>
      </c>
      <c r="Q21" s="772">
        <v>0.05</v>
      </c>
      <c r="R21" s="65"/>
      <c r="S21" s="65"/>
      <c r="T21" s="65"/>
      <c r="U21" s="65"/>
      <c r="V21" s="65"/>
      <c r="W21" s="65"/>
      <c r="X21" s="65"/>
      <c r="Y21" s="65">
        <v>-0.3</v>
      </c>
      <c r="Z21" s="65"/>
      <c r="AA21" s="65"/>
      <c r="AB21" s="65">
        <v>0.3</v>
      </c>
      <c r="AC21" s="65"/>
      <c r="AD21" s="16"/>
      <c r="AE21" s="17"/>
      <c r="AF21" s="17"/>
      <c r="AG21" s="17"/>
      <c r="AH21" s="53"/>
    </row>
    <row r="22" spans="1:34" s="16" customFormat="1" x14ac:dyDescent="0.25">
      <c r="A22" s="323"/>
      <c r="B22" s="53"/>
      <c r="D22" s="52" t="s">
        <v>133</v>
      </c>
      <c r="F22" s="16">
        <v>3</v>
      </c>
      <c r="G22" s="16">
        <v>300</v>
      </c>
      <c r="H22" s="16">
        <v>0</v>
      </c>
      <c r="I22"/>
      <c r="J22"/>
      <c r="K22"/>
      <c r="L22"/>
      <c r="M22"/>
      <c r="N22" s="53">
        <v>5</v>
      </c>
      <c r="Q22" s="772"/>
      <c r="R22" s="65"/>
      <c r="S22" s="65"/>
      <c r="T22" s="65"/>
      <c r="U22" s="65"/>
      <c r="V22" s="65"/>
      <c r="W22" s="65"/>
      <c r="X22" s="65"/>
      <c r="Y22" s="65"/>
      <c r="Z22" s="65"/>
      <c r="AA22" s="65"/>
      <c r="AB22" s="65"/>
      <c r="AC22" s="65"/>
      <c r="AE22" s="17"/>
      <c r="AF22" s="17"/>
      <c r="AG22" s="17"/>
      <c r="AH22" s="53"/>
    </row>
    <row r="23" spans="1:34" s="16" customFormat="1" x14ac:dyDescent="0.25">
      <c r="A23" s="323"/>
      <c r="B23" s="53"/>
      <c r="D23" s="52" t="s">
        <v>134</v>
      </c>
      <c r="E23" s="16">
        <v>5</v>
      </c>
      <c r="F23" s="16">
        <v>3</v>
      </c>
      <c r="G23" s="16">
        <v>1150</v>
      </c>
      <c r="H23" s="16">
        <v>25</v>
      </c>
      <c r="I23"/>
      <c r="J23"/>
      <c r="K23"/>
      <c r="L23"/>
      <c r="M23"/>
      <c r="N23" s="53">
        <f>1.8 * MIN(6, MAX(E23,F23)) + 0.45 * MIN(6, MIN(E23,F23)) + IF(E23&gt;6, (E23-6)*0.2) + IF(F23&gt;6, (F23-6)*0.2)</f>
        <v>10.35</v>
      </c>
      <c r="Q23" s="772"/>
      <c r="R23" s="65"/>
      <c r="S23" s="65"/>
      <c r="T23" s="65"/>
      <c r="U23" s="65"/>
      <c r="V23" s="65"/>
      <c r="W23" s="65"/>
      <c r="X23" s="65"/>
      <c r="Y23" s="65"/>
      <c r="Z23" s="65"/>
      <c r="AA23" s="65"/>
      <c r="AB23" s="65"/>
      <c r="AC23" s="65"/>
      <c r="AE23" s="17"/>
      <c r="AF23" s="17"/>
      <c r="AG23" s="17"/>
      <c r="AH23" s="53"/>
    </row>
    <row r="24" spans="1:34" s="25" customFormat="1" x14ac:dyDescent="0.25">
      <c r="A24" s="324"/>
      <c r="B24" s="75"/>
      <c r="D24" s="52" t="s">
        <v>135</v>
      </c>
      <c r="E24" s="16">
        <v>2</v>
      </c>
      <c r="F24" s="16">
        <v>4</v>
      </c>
      <c r="G24" s="16">
        <v>875</v>
      </c>
      <c r="H24" s="16">
        <v>50</v>
      </c>
      <c r="I24"/>
      <c r="J24"/>
      <c r="K24"/>
      <c r="L24"/>
      <c r="M24"/>
      <c r="N24" s="53">
        <f>1.8 * MIN(6, MAX(E24,F24)) + 0.45 * MIN(6, MIN(E24,F24)) + IF(E24&gt;6, (E24-6)*0.2) + IF(F24&gt;6, (F24-6)*0.2)</f>
        <v>8.1</v>
      </c>
      <c r="Q24" s="773"/>
      <c r="R24" s="102"/>
      <c r="S24" s="102"/>
      <c r="T24" s="102"/>
      <c r="U24" s="102"/>
      <c r="V24" s="102"/>
      <c r="W24" s="102"/>
      <c r="X24" s="102"/>
      <c r="Y24" s="102"/>
      <c r="Z24" s="102"/>
      <c r="AA24" s="102"/>
      <c r="AB24" s="102"/>
      <c r="AC24" s="102"/>
      <c r="AE24" s="1151"/>
      <c r="AF24" s="1151"/>
      <c r="AG24" s="1151"/>
      <c r="AH24" s="75"/>
    </row>
    <row r="25" spans="1:34" s="15" customFormat="1" x14ac:dyDescent="0.25">
      <c r="A25" s="325" t="s">
        <v>97</v>
      </c>
      <c r="B25" s="74" t="s">
        <v>101</v>
      </c>
      <c r="C25" s="15" t="s">
        <v>259</v>
      </c>
      <c r="D25" s="70" t="s">
        <v>136</v>
      </c>
      <c r="E25" s="15">
        <v>4</v>
      </c>
      <c r="G25" s="15">
        <v>200</v>
      </c>
      <c r="H25" s="15">
        <v>50</v>
      </c>
      <c r="N25" s="74">
        <v>5</v>
      </c>
      <c r="Q25" s="444">
        <v>-0.05</v>
      </c>
      <c r="R25" s="100"/>
      <c r="S25" s="100"/>
      <c r="T25" s="100"/>
      <c r="U25" s="100"/>
      <c r="V25" s="100"/>
      <c r="W25" s="100"/>
      <c r="X25" s="100">
        <v>0.05</v>
      </c>
      <c r="Y25" s="100">
        <v>-0.2</v>
      </c>
      <c r="Z25" s="100"/>
      <c r="AA25" s="774">
        <v>7.4999999999999997E-2</v>
      </c>
      <c r="AB25" s="100"/>
      <c r="AC25" s="100"/>
      <c r="AE25" s="1184"/>
      <c r="AF25" s="1184"/>
      <c r="AG25" s="1184"/>
      <c r="AH25" s="74"/>
    </row>
    <row r="26" spans="1:34" s="16" customFormat="1" x14ac:dyDescent="0.25">
      <c r="A26" s="323"/>
      <c r="B26" s="53"/>
      <c r="D26" s="52" t="s">
        <v>137</v>
      </c>
      <c r="F26" s="16">
        <v>3</v>
      </c>
      <c r="G26" s="16">
        <v>300</v>
      </c>
      <c r="H26" s="16">
        <v>5</v>
      </c>
      <c r="N26" s="53">
        <v>5</v>
      </c>
      <c r="Q26" s="772"/>
      <c r="R26" s="65"/>
      <c r="S26" s="65"/>
      <c r="T26" s="65"/>
      <c r="U26" s="65"/>
      <c r="V26" s="65"/>
      <c r="W26" s="65"/>
      <c r="X26" s="65"/>
      <c r="Y26" s="65"/>
      <c r="Z26" s="65"/>
      <c r="AA26" s="65"/>
      <c r="AB26" s="65"/>
      <c r="AC26" s="65"/>
      <c r="AE26" s="17"/>
      <c r="AF26" s="17"/>
      <c r="AG26" s="17"/>
      <c r="AH26" s="53"/>
    </row>
    <row r="27" spans="1:34" s="16" customFormat="1" x14ac:dyDescent="0.25">
      <c r="A27" s="323"/>
      <c r="B27" s="53"/>
      <c r="D27" s="52" t="s">
        <v>138</v>
      </c>
      <c r="E27" s="16">
        <v>2</v>
      </c>
      <c r="F27" s="16">
        <v>4</v>
      </c>
      <c r="G27" s="16">
        <v>675</v>
      </c>
      <c r="H27" s="16">
        <v>330</v>
      </c>
      <c r="N27" s="53">
        <f>1.8 * MIN(6, MAX(E27,F27)) + 0.45 * MIN(6, MIN(E27,F27)) + IF(E27&gt;6, (E27-6)*0.2) + IF(F27&gt;6, (F27-6)*0.2)</f>
        <v>8.1</v>
      </c>
      <c r="Q27" s="772"/>
      <c r="R27" s="65"/>
      <c r="S27" s="65"/>
      <c r="T27" s="65"/>
      <c r="U27" s="65"/>
      <c r="V27" s="65"/>
      <c r="W27" s="65"/>
      <c r="X27" s="65"/>
      <c r="Y27" s="65"/>
      <c r="Z27" s="65"/>
      <c r="AA27" s="65"/>
      <c r="AB27" s="65"/>
      <c r="AC27" s="65"/>
      <c r="AE27" s="17"/>
      <c r="AF27" s="17"/>
      <c r="AG27" s="17"/>
      <c r="AH27" s="53"/>
    </row>
    <row r="28" spans="1:34" s="25" customFormat="1" ht="12.75" customHeight="1" x14ac:dyDescent="0.25">
      <c r="A28" s="323"/>
      <c r="B28" s="53"/>
      <c r="D28" s="72" t="s">
        <v>139</v>
      </c>
      <c r="E28" s="25">
        <v>7.5</v>
      </c>
      <c r="F28" s="25">
        <v>3</v>
      </c>
      <c r="G28" s="25">
        <v>775</v>
      </c>
      <c r="H28" s="25">
        <v>550</v>
      </c>
      <c r="N28" s="75">
        <f>1.8 * MIN(6, MAX(E28,F28)) + 0.45 * MIN(6, MIN(E28,F28)) + IF(E28&gt;6, (E28-6)*0.2) + IF(F28&gt;6, (F28-6)*0.2)</f>
        <v>12.450000000000001</v>
      </c>
      <c r="O28" s="1006" t="s">
        <v>575</v>
      </c>
      <c r="Q28" s="773"/>
      <c r="R28" s="102"/>
      <c r="S28" s="102"/>
      <c r="T28" s="102"/>
      <c r="U28" s="102"/>
      <c r="V28" s="102"/>
      <c r="W28" s="102"/>
      <c r="X28" s="102"/>
      <c r="Y28" s="102"/>
      <c r="Z28" s="102"/>
      <c r="AA28" s="102"/>
      <c r="AB28" s="102"/>
      <c r="AC28" s="102"/>
      <c r="AE28" s="1151"/>
      <c r="AF28" s="1151"/>
      <c r="AG28" s="1151"/>
      <c r="AH28" s="75"/>
    </row>
    <row r="29" spans="1:34" s="15" customFormat="1" x14ac:dyDescent="0.25">
      <c r="A29" s="325" t="s">
        <v>98</v>
      </c>
      <c r="B29" s="74" t="s">
        <v>101</v>
      </c>
      <c r="C29" s="15" t="s">
        <v>65</v>
      </c>
      <c r="D29" s="52" t="s">
        <v>140</v>
      </c>
      <c r="E29" s="16">
        <v>3</v>
      </c>
      <c r="F29" s="16"/>
      <c r="G29" s="16">
        <v>300</v>
      </c>
      <c r="H29" s="16">
        <v>0</v>
      </c>
      <c r="I29"/>
      <c r="J29"/>
      <c r="K29"/>
      <c r="L29"/>
      <c r="M29"/>
      <c r="N29" s="53">
        <v>5</v>
      </c>
      <c r="Q29" s="444"/>
      <c r="R29" s="100"/>
      <c r="S29" s="100"/>
      <c r="T29" s="100">
        <v>0.15</v>
      </c>
      <c r="U29" s="100">
        <v>-0.15</v>
      </c>
      <c r="V29" s="100"/>
      <c r="W29" s="100"/>
      <c r="X29" s="100"/>
      <c r="Y29" s="100"/>
      <c r="Z29" s="100"/>
      <c r="AA29" s="100"/>
      <c r="AB29" s="100"/>
      <c r="AC29" s="100"/>
      <c r="AD29" s="16"/>
      <c r="AE29" s="17"/>
      <c r="AF29" s="17"/>
      <c r="AG29" s="17"/>
      <c r="AH29" s="74"/>
    </row>
    <row r="30" spans="1:34" s="16" customFormat="1" x14ac:dyDescent="0.25">
      <c r="A30" s="323"/>
      <c r="B30" s="53"/>
      <c r="D30" s="52" t="s">
        <v>142</v>
      </c>
      <c r="F30" s="16">
        <v>3</v>
      </c>
      <c r="G30" s="16">
        <v>300</v>
      </c>
      <c r="H30" s="16">
        <v>0</v>
      </c>
      <c r="I30"/>
      <c r="J30"/>
      <c r="K30"/>
      <c r="L30"/>
      <c r="M30"/>
      <c r="N30" s="53">
        <v>5</v>
      </c>
      <c r="Q30" s="772"/>
      <c r="R30" s="65"/>
      <c r="S30" s="65"/>
      <c r="T30" s="65"/>
      <c r="U30" s="65"/>
      <c r="V30" s="65"/>
      <c r="W30" s="65"/>
      <c r="X30" s="65"/>
      <c r="Y30" s="65"/>
      <c r="Z30" s="65"/>
      <c r="AA30" s="65"/>
      <c r="AB30" s="65"/>
      <c r="AC30" s="65"/>
      <c r="AE30" s="17"/>
      <c r="AF30" s="17"/>
      <c r="AG30" s="17"/>
      <c r="AH30" s="53"/>
    </row>
    <row r="31" spans="1:34" s="16" customFormat="1" x14ac:dyDescent="0.25">
      <c r="A31" s="323"/>
      <c r="B31" s="53"/>
      <c r="D31" s="52" t="s">
        <v>141</v>
      </c>
      <c r="E31" s="16">
        <v>12</v>
      </c>
      <c r="F31" s="16">
        <v>7</v>
      </c>
      <c r="G31" s="16">
        <v>2600</v>
      </c>
      <c r="H31" s="16">
        <v>0</v>
      </c>
      <c r="I31"/>
      <c r="J31"/>
      <c r="K31"/>
      <c r="L31"/>
      <c r="M31"/>
      <c r="N31" s="53">
        <f>1.8 * MIN(6, MAX(E31,F31)) + 0.45 * MIN(6, MIN(E31,F31)) + IF(E31&gt;6, (E31-6)*0.2) + IF(F31&gt;6, (F31-6)*0.2)</f>
        <v>14.899999999999999</v>
      </c>
      <c r="Q31" s="772"/>
      <c r="R31" s="65"/>
      <c r="S31" s="65"/>
      <c r="T31" s="65"/>
      <c r="U31" s="65"/>
      <c r="V31" s="65"/>
      <c r="W31" s="65"/>
      <c r="X31" s="65"/>
      <c r="Y31" s="65"/>
      <c r="Z31" s="65"/>
      <c r="AA31" s="65"/>
      <c r="AB31" s="65"/>
      <c r="AC31" s="65"/>
      <c r="AE31" s="17"/>
      <c r="AF31" s="17"/>
      <c r="AG31" s="17"/>
      <c r="AH31" s="53"/>
    </row>
    <row r="32" spans="1:34" s="25" customFormat="1" x14ac:dyDescent="0.25">
      <c r="A32" s="324"/>
      <c r="B32" s="75"/>
      <c r="D32" s="72" t="s">
        <v>143</v>
      </c>
      <c r="E32" s="25">
        <v>0</v>
      </c>
      <c r="F32" s="25">
        <v>22</v>
      </c>
      <c r="G32" s="25">
        <v>3500</v>
      </c>
      <c r="H32" s="25">
        <v>0</v>
      </c>
      <c r="I32"/>
      <c r="J32"/>
      <c r="K32"/>
      <c r="L32"/>
      <c r="M32"/>
      <c r="N32" s="53">
        <f>1.8 * MIN(6, MAX(E32,F32)) + 0.45 * MIN(6, MIN(E32,F32)) + IF(E32&gt;6, (E32-6)*0.2) + IF(F32&gt;6, (F32-6)*0.2)</f>
        <v>14</v>
      </c>
      <c r="Q32" s="773"/>
      <c r="R32" s="102"/>
      <c r="S32" s="102"/>
      <c r="T32" s="102"/>
      <c r="U32" s="102"/>
      <c r="V32" s="102"/>
      <c r="W32" s="102"/>
      <c r="X32" s="102"/>
      <c r="Y32" s="102"/>
      <c r="Z32" s="102"/>
      <c r="AA32" s="102"/>
      <c r="AB32" s="102"/>
      <c r="AC32" s="102"/>
      <c r="AE32" s="1151"/>
      <c r="AF32" s="1151"/>
      <c r="AG32" s="1151"/>
      <c r="AH32" s="75"/>
    </row>
    <row r="33" spans="1:34" s="15" customFormat="1" x14ac:dyDescent="0.25">
      <c r="A33" s="325" t="s">
        <v>99</v>
      </c>
      <c r="B33" s="74" t="s">
        <v>101</v>
      </c>
      <c r="C33" s="15" t="s">
        <v>60</v>
      </c>
      <c r="D33" s="70" t="s">
        <v>144</v>
      </c>
      <c r="E33" s="15">
        <v>3</v>
      </c>
      <c r="G33" s="15">
        <v>275</v>
      </c>
      <c r="H33" s="15">
        <v>0</v>
      </c>
      <c r="N33" s="74">
        <v>5</v>
      </c>
      <c r="Q33" s="444"/>
      <c r="R33" s="100"/>
      <c r="S33" s="100"/>
      <c r="T33" s="100">
        <v>0.1</v>
      </c>
      <c r="U33" s="100">
        <v>0.2</v>
      </c>
      <c r="V33" s="100"/>
      <c r="W33" s="100"/>
      <c r="X33" s="100"/>
      <c r="Y33" s="100"/>
      <c r="Z33" s="100"/>
      <c r="AA33" s="100"/>
      <c r="AB33" s="100"/>
      <c r="AC33" s="100"/>
      <c r="AE33" s="1184"/>
      <c r="AF33" s="1184"/>
      <c r="AG33" s="1184"/>
      <c r="AH33" s="74"/>
    </row>
    <row r="34" spans="1:34" s="16" customFormat="1" ht="13.5" customHeight="1" x14ac:dyDescent="0.25">
      <c r="A34" s="323"/>
      <c r="B34" s="53"/>
      <c r="D34" s="52" t="s">
        <v>145</v>
      </c>
      <c r="F34" s="16">
        <v>3</v>
      </c>
      <c r="G34" s="16">
        <v>300</v>
      </c>
      <c r="H34" s="16">
        <v>0</v>
      </c>
      <c r="N34" s="53">
        <v>5</v>
      </c>
      <c r="Q34" s="772"/>
      <c r="R34" s="65"/>
      <c r="S34" s="65"/>
      <c r="T34" s="65"/>
      <c r="U34" s="65"/>
      <c r="V34" s="65"/>
      <c r="W34" s="65"/>
      <c r="X34" s="65"/>
      <c r="Y34" s="65"/>
      <c r="Z34" s="65"/>
      <c r="AA34" s="65"/>
      <c r="AB34" s="65"/>
      <c r="AC34" s="65"/>
      <c r="AE34" s="17"/>
      <c r="AF34" s="17"/>
      <c r="AG34" s="17"/>
      <c r="AH34" s="53"/>
    </row>
    <row r="35" spans="1:34" s="16" customFormat="1" x14ac:dyDescent="0.25">
      <c r="A35" s="323"/>
      <c r="B35" s="53"/>
      <c r="D35" s="52" t="s">
        <v>146</v>
      </c>
      <c r="E35" s="16">
        <v>0</v>
      </c>
      <c r="F35" s="16">
        <v>3</v>
      </c>
      <c r="G35" s="16">
        <v>1050</v>
      </c>
      <c r="H35" s="16">
        <v>0</v>
      </c>
      <c r="N35" s="53">
        <f>1.8 * MIN(6, MAX(E35,F35)) + 0.45 * MIN(6, MIN(E35,F35)) + IF(E35&gt;6, (E35-6)*0.2) + IF(F35&gt;6, (F35-6)*0.2)</f>
        <v>5.4</v>
      </c>
      <c r="Q35" s="772"/>
      <c r="R35" s="65"/>
      <c r="S35" s="65"/>
      <c r="T35" s="65"/>
      <c r="U35" s="65"/>
      <c r="V35" s="65"/>
      <c r="W35" s="65"/>
      <c r="X35" s="65"/>
      <c r="Y35" s="65"/>
      <c r="Z35" s="65"/>
      <c r="AA35" s="65"/>
      <c r="AB35" s="65"/>
      <c r="AC35" s="65"/>
      <c r="AE35" s="17"/>
      <c r="AF35" s="17"/>
      <c r="AG35" s="17"/>
      <c r="AH35" s="53"/>
    </row>
    <row r="36" spans="1:34" s="25" customFormat="1" x14ac:dyDescent="0.25">
      <c r="A36" s="323"/>
      <c r="B36" s="53"/>
      <c r="D36" s="72" t="s">
        <v>147</v>
      </c>
      <c r="E36" s="25">
        <v>5</v>
      </c>
      <c r="F36" s="25">
        <v>2</v>
      </c>
      <c r="G36" s="25">
        <v>950</v>
      </c>
      <c r="H36" s="25">
        <v>0</v>
      </c>
      <c r="N36" s="75">
        <f>1.8 * MIN(6, MAX(E36,F36)) + 0.45 * MIN(6, MIN(E36,F36)) + IF(E36&gt;6, (E36-6)*0.2) + IF(F36&gt;6, (F36-6)*0.2)</f>
        <v>9.9</v>
      </c>
      <c r="Q36" s="773"/>
      <c r="R36" s="102"/>
      <c r="S36" s="102"/>
      <c r="T36" s="102"/>
      <c r="U36" s="102"/>
      <c r="V36" s="102"/>
      <c r="W36" s="102"/>
      <c r="X36" s="102"/>
      <c r="Y36" s="102"/>
      <c r="Z36" s="102"/>
      <c r="AA36" s="102"/>
      <c r="AB36" s="102"/>
      <c r="AC36" s="102"/>
      <c r="AE36" s="1151"/>
      <c r="AF36" s="1151"/>
      <c r="AG36" s="1151"/>
      <c r="AH36" s="75"/>
    </row>
    <row r="37" spans="1:34" s="15" customFormat="1" ht="13.5" customHeight="1" x14ac:dyDescent="0.25">
      <c r="A37" s="325" t="s">
        <v>100</v>
      </c>
      <c r="B37" s="74" t="s">
        <v>30</v>
      </c>
      <c r="C37" s="15" t="s">
        <v>258</v>
      </c>
      <c r="D37" s="70" t="s">
        <v>148</v>
      </c>
      <c r="E37" s="15">
        <v>3</v>
      </c>
      <c r="G37" s="15">
        <v>325</v>
      </c>
      <c r="H37" s="15">
        <v>25</v>
      </c>
      <c r="N37" s="74">
        <v>5</v>
      </c>
      <c r="Q37" s="444">
        <v>0.2</v>
      </c>
      <c r="R37" s="100"/>
      <c r="S37" s="100"/>
      <c r="T37" s="100"/>
      <c r="U37" s="100"/>
      <c r="V37" s="100"/>
      <c r="W37" s="100"/>
      <c r="X37" s="100">
        <v>0.1</v>
      </c>
      <c r="Y37" s="100"/>
      <c r="Z37" s="100"/>
      <c r="AA37" s="100"/>
      <c r="AB37" s="100"/>
      <c r="AC37" s="100"/>
      <c r="AD37" s="65">
        <v>0.1</v>
      </c>
      <c r="AE37" s="17"/>
      <c r="AF37" s="17"/>
      <c r="AG37" s="17"/>
      <c r="AH37" s="74"/>
    </row>
    <row r="38" spans="1:34" s="16" customFormat="1" x14ac:dyDescent="0.25">
      <c r="A38" s="323"/>
      <c r="B38" s="53"/>
      <c r="D38" s="52" t="s">
        <v>149</v>
      </c>
      <c r="F38" s="16">
        <v>3</v>
      </c>
      <c r="G38" s="16">
        <v>375</v>
      </c>
      <c r="H38" s="16">
        <v>15</v>
      </c>
      <c r="N38" s="53">
        <v>5</v>
      </c>
      <c r="Q38" s="772"/>
      <c r="R38" s="65"/>
      <c r="S38" s="65"/>
      <c r="T38" s="65"/>
      <c r="U38" s="65"/>
      <c r="V38" s="65"/>
      <c r="W38" s="65"/>
      <c r="X38" s="65"/>
      <c r="Y38" s="65"/>
      <c r="Z38" s="65"/>
      <c r="AA38" s="65"/>
      <c r="AB38" s="65"/>
      <c r="AC38" s="65"/>
      <c r="AE38" s="17"/>
      <c r="AF38" s="17"/>
      <c r="AG38" s="17"/>
      <c r="AH38" s="53"/>
    </row>
    <row r="39" spans="1:34" s="16" customFormat="1" x14ac:dyDescent="0.25">
      <c r="A39" s="323"/>
      <c r="B39" s="53"/>
      <c r="D39" s="52" t="s">
        <v>370</v>
      </c>
      <c r="E39" s="16">
        <v>5</v>
      </c>
      <c r="F39" s="16">
        <v>3</v>
      </c>
      <c r="G39" s="16">
        <v>1000</v>
      </c>
      <c r="H39" s="16">
        <v>80</v>
      </c>
      <c r="N39" s="53">
        <f>1.8 * MIN(6, MAX(E39,F39)) + 0.45 * MIN(6, MIN(E39,F39)) + IF(E39&gt;6, (E39-6)*0.2) + IF(F39&gt;6, (F39-6)*0.2)</f>
        <v>10.35</v>
      </c>
      <c r="Q39" s="772"/>
      <c r="R39" s="65"/>
      <c r="S39" s="65"/>
      <c r="T39" s="65"/>
      <c r="U39" s="65"/>
      <c r="V39" s="65"/>
      <c r="W39" s="65"/>
      <c r="X39" s="65"/>
      <c r="Y39" s="65"/>
      <c r="Z39" s="65"/>
      <c r="AA39" s="65"/>
      <c r="AB39" s="65"/>
      <c r="AC39" s="65"/>
      <c r="AE39" s="17"/>
      <c r="AF39" s="17"/>
      <c r="AG39" s="17"/>
      <c r="AH39" s="53"/>
    </row>
    <row r="40" spans="1:34" s="25" customFormat="1" x14ac:dyDescent="0.25">
      <c r="A40" s="324"/>
      <c r="B40" s="75"/>
      <c r="D40" s="52" t="s">
        <v>151</v>
      </c>
      <c r="E40" s="16">
        <v>6</v>
      </c>
      <c r="F40" s="16">
        <v>2</v>
      </c>
      <c r="G40" s="16">
        <v>1300</v>
      </c>
      <c r="H40" s="16">
        <v>130</v>
      </c>
      <c r="I40" s="16"/>
      <c r="J40" s="16"/>
      <c r="K40" s="16"/>
      <c r="L40" s="16"/>
      <c r="M40" s="16"/>
      <c r="N40" s="53">
        <f>1.8 * MIN(6, MAX(E40,F40)) + 0.45 * MIN(6, MIN(E40,F40)) + IF(E40&gt;6, (E40-6)*0.2) + IF(F40&gt;6, (F40-6)*0.2)</f>
        <v>11.700000000000001</v>
      </c>
      <c r="Q40" s="773"/>
      <c r="R40" s="102"/>
      <c r="S40" s="102"/>
      <c r="T40" s="102"/>
      <c r="U40" s="102"/>
      <c r="V40" s="102"/>
      <c r="W40" s="102"/>
      <c r="X40" s="102"/>
      <c r="Y40" s="102"/>
      <c r="Z40" s="102"/>
      <c r="AA40" s="102"/>
      <c r="AB40" s="102"/>
      <c r="AC40" s="102"/>
      <c r="AE40" s="1151"/>
      <c r="AF40" s="1151"/>
      <c r="AG40" s="1151"/>
      <c r="AH40" s="75"/>
    </row>
    <row r="41" spans="1:34" s="15" customFormat="1" x14ac:dyDescent="0.25">
      <c r="A41" s="325" t="s">
        <v>29</v>
      </c>
      <c r="B41" s="74" t="s">
        <v>30</v>
      </c>
      <c r="C41" s="15" t="s">
        <v>257</v>
      </c>
      <c r="D41" s="70" t="s">
        <v>40</v>
      </c>
      <c r="E41" s="15">
        <v>4</v>
      </c>
      <c r="G41" s="15">
        <v>350</v>
      </c>
      <c r="H41" s="15">
        <v>25</v>
      </c>
      <c r="N41" s="74">
        <v>5</v>
      </c>
      <c r="O41" s="16"/>
      <c r="P41" s="16"/>
      <c r="Q41" s="772">
        <v>-0.05</v>
      </c>
      <c r="R41" s="65"/>
      <c r="S41" s="65"/>
      <c r="T41" s="65"/>
      <c r="U41" s="65"/>
      <c r="V41" s="65"/>
      <c r="W41" s="65"/>
      <c r="X41" s="65"/>
      <c r="Y41" s="65">
        <v>0.05</v>
      </c>
      <c r="Z41" s="65"/>
      <c r="AA41" s="65">
        <v>0.1</v>
      </c>
      <c r="AB41" s="65">
        <v>-0.1</v>
      </c>
      <c r="AC41" s="65"/>
      <c r="AD41" s="16"/>
      <c r="AE41" s="17"/>
      <c r="AF41" s="17"/>
      <c r="AG41" s="17"/>
      <c r="AH41" s="53"/>
    </row>
    <row r="42" spans="1:34" s="16" customFormat="1" x14ac:dyDescent="0.25">
      <c r="A42" s="323"/>
      <c r="B42" s="53"/>
      <c r="D42" s="52" t="s">
        <v>41</v>
      </c>
      <c r="F42" s="16">
        <v>3</v>
      </c>
      <c r="G42" s="16">
        <v>300</v>
      </c>
      <c r="H42" s="16">
        <v>25</v>
      </c>
      <c r="N42" s="53">
        <v>5</v>
      </c>
      <c r="Q42" s="772"/>
      <c r="R42" s="65"/>
      <c r="S42" s="65"/>
      <c r="T42" s="65"/>
      <c r="U42" s="65"/>
      <c r="V42" s="65"/>
      <c r="W42" s="65"/>
      <c r="X42" s="65"/>
      <c r="Y42" s="65"/>
      <c r="Z42" s="65"/>
      <c r="AA42" s="65"/>
      <c r="AB42" s="65"/>
      <c r="AC42" s="65"/>
      <c r="AE42" s="17"/>
      <c r="AF42" s="17"/>
      <c r="AG42" s="17"/>
      <c r="AH42" s="53"/>
    </row>
    <row r="43" spans="1:34" s="16" customFormat="1" x14ac:dyDescent="0.25">
      <c r="A43" s="323"/>
      <c r="B43" s="53"/>
      <c r="D43" s="52" t="s">
        <v>42</v>
      </c>
      <c r="E43" s="16">
        <v>5</v>
      </c>
      <c r="F43" s="16">
        <v>2</v>
      </c>
      <c r="G43" s="16">
        <v>1000</v>
      </c>
      <c r="H43" s="16">
        <v>100</v>
      </c>
      <c r="N43" s="53">
        <f>1.8 * MIN(6, MAX(E43,F43)) + 0.45 * MIN(6, MIN(E43,F43)) + IF(E43&gt;6, (E43-6)*0.2) + IF(F43&gt;6, (F43-6)*0.2)</f>
        <v>9.9</v>
      </c>
      <c r="Q43" s="772"/>
      <c r="R43" s="65"/>
      <c r="S43" s="65"/>
      <c r="T43" s="65"/>
      <c r="U43" s="65"/>
      <c r="V43" s="65"/>
      <c r="W43" s="65"/>
      <c r="X43" s="65"/>
      <c r="Y43" s="65"/>
      <c r="Z43" s="65"/>
      <c r="AA43" s="65"/>
      <c r="AB43" s="65"/>
      <c r="AC43" s="65"/>
      <c r="AE43" s="17"/>
      <c r="AF43" s="17"/>
      <c r="AG43" s="17"/>
      <c r="AH43" s="53"/>
    </row>
    <row r="44" spans="1:34" s="25" customFormat="1" x14ac:dyDescent="0.25">
      <c r="A44" s="324"/>
      <c r="B44" s="75"/>
      <c r="D44" s="72" t="s">
        <v>43</v>
      </c>
      <c r="E44" s="1344">
        <v>7</v>
      </c>
      <c r="F44" s="1344">
        <v>7</v>
      </c>
      <c r="G44" s="1344">
        <v>1450</v>
      </c>
      <c r="H44" s="1344">
        <v>135</v>
      </c>
      <c r="I44" s="1344"/>
      <c r="J44" s="1344"/>
      <c r="K44" s="1344"/>
      <c r="L44" s="1344"/>
      <c r="M44" s="1344"/>
      <c r="N44" s="75">
        <f>1.8 * MIN(6, MAX(E44,F44)) + 0.45 * MIN(6, MIN(E44,F44)) + IF(E44&gt;6, (E44-6)*0.2) + IF(F44&gt;6, (F44-6)*0.2)</f>
        <v>13.899999999999999</v>
      </c>
      <c r="Q44" s="773"/>
      <c r="R44" s="102"/>
      <c r="S44" s="102"/>
      <c r="T44" s="102"/>
      <c r="U44" s="102"/>
      <c r="V44" s="102"/>
      <c r="W44" s="102"/>
      <c r="X44" s="102"/>
      <c r="Y44" s="102"/>
      <c r="Z44" s="102"/>
      <c r="AA44" s="102"/>
      <c r="AB44" s="102"/>
      <c r="AC44" s="102"/>
      <c r="AE44" s="1151"/>
      <c r="AF44" s="1151"/>
      <c r="AG44" s="1151"/>
      <c r="AH44" s="75"/>
    </row>
    <row r="45" spans="1:34" s="15" customFormat="1" x14ac:dyDescent="0.25">
      <c r="A45" s="325" t="s">
        <v>102</v>
      </c>
      <c r="B45" s="74" t="s">
        <v>30</v>
      </c>
      <c r="C45" s="15" t="s">
        <v>256</v>
      </c>
      <c r="D45" s="52" t="s">
        <v>152</v>
      </c>
      <c r="E45" s="16">
        <v>4</v>
      </c>
      <c r="F45" s="16"/>
      <c r="G45" s="16">
        <v>325</v>
      </c>
      <c r="H45" s="16">
        <v>25</v>
      </c>
      <c r="I45"/>
      <c r="J45"/>
      <c r="K45"/>
      <c r="L45"/>
      <c r="M45"/>
      <c r="N45" s="53">
        <v>5</v>
      </c>
      <c r="Q45" s="444"/>
      <c r="R45" s="100"/>
      <c r="S45" s="100"/>
      <c r="T45" s="100"/>
      <c r="U45" s="100"/>
      <c r="V45" s="100">
        <v>0.1</v>
      </c>
      <c r="W45" s="100"/>
      <c r="X45" s="100">
        <v>0.1</v>
      </c>
      <c r="Y45" s="100"/>
      <c r="Z45" s="100"/>
      <c r="AA45" s="100"/>
      <c r="AB45" s="100"/>
      <c r="AC45" s="100">
        <v>0.1</v>
      </c>
      <c r="AD45" s="16"/>
      <c r="AE45" s="17"/>
      <c r="AF45" s="17"/>
      <c r="AG45" s="17"/>
      <c r="AH45" s="74"/>
    </row>
    <row r="46" spans="1:34" s="16" customFormat="1" x14ac:dyDescent="0.25">
      <c r="A46" s="323"/>
      <c r="B46" s="53"/>
      <c r="D46" s="52" t="s">
        <v>153</v>
      </c>
      <c r="F46" s="16">
        <v>3</v>
      </c>
      <c r="G46" s="16">
        <v>300</v>
      </c>
      <c r="H46" s="16">
        <v>15</v>
      </c>
      <c r="I46"/>
      <c r="J46"/>
      <c r="K46"/>
      <c r="L46"/>
      <c r="M46"/>
      <c r="N46" s="53">
        <v>5</v>
      </c>
      <c r="Q46" s="772"/>
      <c r="R46" s="65"/>
      <c r="S46" s="65"/>
      <c r="T46" s="65"/>
      <c r="U46" s="65"/>
      <c r="V46" s="65"/>
      <c r="W46" s="65"/>
      <c r="X46" s="65"/>
      <c r="Y46" s="65"/>
      <c r="Z46" s="65"/>
      <c r="AA46" s="65"/>
      <c r="AB46" s="65"/>
      <c r="AC46" s="65"/>
      <c r="AE46" s="17"/>
      <c r="AF46" s="17"/>
      <c r="AG46" s="17"/>
      <c r="AH46" s="53"/>
    </row>
    <row r="47" spans="1:34" s="16" customFormat="1" ht="12.75" customHeight="1" x14ac:dyDescent="0.25">
      <c r="A47" s="323"/>
      <c r="B47" s="53"/>
      <c r="D47" s="52" t="s">
        <v>154</v>
      </c>
      <c r="E47" s="16">
        <v>2</v>
      </c>
      <c r="F47" s="16">
        <v>4</v>
      </c>
      <c r="G47" s="16">
        <v>1000</v>
      </c>
      <c r="H47" s="16">
        <v>55</v>
      </c>
      <c r="I47"/>
      <c r="J47"/>
      <c r="K47"/>
      <c r="L47"/>
      <c r="M47"/>
      <c r="N47" s="53">
        <f>1.8 * MIN(6, MAX(E47,F47)) + 0.45 * MIN(6, MIN(E47,F47)) + IF(E47&gt;6, (E47-6)*0.2) + IF(F47&gt;6, (F47-6)*0.2)</f>
        <v>8.1</v>
      </c>
      <c r="Q47" s="772"/>
      <c r="R47" s="65"/>
      <c r="S47" s="65"/>
      <c r="T47" s="65"/>
      <c r="U47" s="65"/>
      <c r="V47" s="65"/>
      <c r="W47" s="65"/>
      <c r="X47" s="65"/>
      <c r="Y47" s="65"/>
      <c r="Z47" s="65"/>
      <c r="AA47" s="65"/>
      <c r="AB47" s="65"/>
      <c r="AC47" s="65"/>
      <c r="AE47" s="17"/>
      <c r="AF47" s="17"/>
      <c r="AG47" s="17"/>
      <c r="AH47" s="53"/>
    </row>
    <row r="48" spans="1:34" s="25" customFormat="1" x14ac:dyDescent="0.25">
      <c r="A48" s="324"/>
      <c r="B48" s="75"/>
      <c r="D48" s="72" t="s">
        <v>155</v>
      </c>
      <c r="E48" s="25">
        <v>6</v>
      </c>
      <c r="F48" s="25">
        <v>0</v>
      </c>
      <c r="G48" s="25">
        <v>1050</v>
      </c>
      <c r="H48" s="25">
        <v>55</v>
      </c>
      <c r="I48"/>
      <c r="J48"/>
      <c r="K48"/>
      <c r="L48"/>
      <c r="M48"/>
      <c r="N48" s="53">
        <f>1.8 * MIN(6, MAX(E48,F48)) + 0.45 * MIN(6, MIN(E48,F48)) + IF(E48&gt;6, (E48-6)*0.2) + IF(F48&gt;6, (F48-6)*0.2)</f>
        <v>10.8</v>
      </c>
      <c r="Q48" s="772"/>
      <c r="R48" s="65"/>
      <c r="S48" s="65"/>
      <c r="T48" s="65"/>
      <c r="U48" s="65"/>
      <c r="V48" s="65"/>
      <c r="W48" s="65"/>
      <c r="X48" s="65"/>
      <c r="Y48" s="65"/>
      <c r="Z48" s="65"/>
      <c r="AA48" s="65"/>
      <c r="AB48" s="65"/>
      <c r="AC48" s="65"/>
      <c r="AD48" s="16"/>
      <c r="AE48" s="17"/>
      <c r="AF48" s="17"/>
      <c r="AG48" s="17"/>
      <c r="AH48" s="53"/>
    </row>
    <row r="49" spans="1:34" s="15" customFormat="1" x14ac:dyDescent="0.25">
      <c r="A49" s="325" t="s">
        <v>103</v>
      </c>
      <c r="B49" s="74" t="s">
        <v>30</v>
      </c>
      <c r="C49" s="15" t="s">
        <v>63</v>
      </c>
      <c r="D49" s="70" t="s">
        <v>156</v>
      </c>
      <c r="E49" s="15">
        <v>2.5</v>
      </c>
      <c r="G49" s="15">
        <v>225</v>
      </c>
      <c r="N49" s="74">
        <v>5</v>
      </c>
      <c r="Q49" s="444">
        <v>0.15</v>
      </c>
      <c r="R49" s="100"/>
      <c r="S49" s="100"/>
      <c r="T49" s="100"/>
      <c r="U49" s="100"/>
      <c r="V49" s="100">
        <v>0.1</v>
      </c>
      <c r="W49" s="100"/>
      <c r="X49" s="100"/>
      <c r="Y49" s="100">
        <v>-0.75</v>
      </c>
      <c r="Z49" s="100"/>
      <c r="AA49" s="100"/>
      <c r="AB49" s="100"/>
      <c r="AC49" s="100"/>
      <c r="AE49" s="1184"/>
      <c r="AF49" s="1184"/>
      <c r="AG49" s="1184"/>
      <c r="AH49" s="74"/>
    </row>
    <row r="50" spans="1:34" s="16" customFormat="1" x14ac:dyDescent="0.25">
      <c r="A50" s="323"/>
      <c r="B50" s="53"/>
      <c r="D50" s="52" t="s">
        <v>157</v>
      </c>
      <c r="F50" s="107">
        <v>2.5</v>
      </c>
      <c r="G50" s="107">
        <v>225</v>
      </c>
      <c r="N50" s="53">
        <v>5</v>
      </c>
      <c r="Q50" s="772"/>
      <c r="R50" s="65"/>
      <c r="S50" s="65"/>
      <c r="T50" s="65"/>
      <c r="U50" s="65"/>
      <c r="V50" s="65"/>
      <c r="W50" s="65"/>
      <c r="X50" s="65"/>
      <c r="Y50" s="65"/>
      <c r="Z50" s="65"/>
      <c r="AA50" s="65"/>
      <c r="AB50" s="65"/>
      <c r="AC50" s="65"/>
      <c r="AE50" s="17"/>
      <c r="AF50" s="17"/>
      <c r="AG50" s="17"/>
      <c r="AH50" s="53"/>
    </row>
    <row r="51" spans="1:34" s="16" customFormat="1" x14ac:dyDescent="0.25">
      <c r="A51" s="323"/>
      <c r="B51" s="53"/>
      <c r="D51" s="52" t="s">
        <v>665</v>
      </c>
      <c r="E51" s="107">
        <v>2</v>
      </c>
      <c r="F51" s="107">
        <v>4</v>
      </c>
      <c r="G51" s="107">
        <v>900</v>
      </c>
      <c r="K51" s="16">
        <v>10</v>
      </c>
      <c r="N51" s="53">
        <f>1.8 * MIN(6, MAX(E51,F51)) + 0.45 * MIN(6, MIN(E51,F51)) + IF(E51&gt;6, (E51-6)*0.2) + IF(F51&gt;6, (F51-6)*0.2)</f>
        <v>8.1</v>
      </c>
      <c r="Q51" s="772"/>
      <c r="R51" s="65"/>
      <c r="S51" s="65"/>
      <c r="T51" s="65"/>
      <c r="U51" s="65"/>
      <c r="V51" s="65"/>
      <c r="W51" s="65"/>
      <c r="X51" s="65"/>
      <c r="Y51" s="65"/>
      <c r="Z51" s="65"/>
      <c r="AA51" s="65"/>
      <c r="AB51" s="65"/>
      <c r="AC51" s="65"/>
      <c r="AE51" s="17"/>
      <c r="AF51" s="17"/>
      <c r="AG51" s="17"/>
      <c r="AH51" s="53"/>
    </row>
    <row r="52" spans="1:34" s="25" customFormat="1" x14ac:dyDescent="0.25">
      <c r="A52" s="323"/>
      <c r="B52" s="53"/>
      <c r="C52" s="16"/>
      <c r="D52" s="52" t="s">
        <v>666</v>
      </c>
      <c r="E52" s="107">
        <v>4</v>
      </c>
      <c r="F52" s="107">
        <v>3</v>
      </c>
      <c r="G52" s="107">
        <v>1100</v>
      </c>
      <c r="H52" s="16"/>
      <c r="I52" s="16"/>
      <c r="J52" s="16"/>
      <c r="K52" s="16">
        <v>10</v>
      </c>
      <c r="L52" s="16"/>
      <c r="M52" s="16"/>
      <c r="N52" s="53">
        <f>1.8 * MIN(6, MAX(E52,F52)) + 0.45 * MIN(6, MIN(E52,F52)) + IF(E52&gt;6, (E52-6)*0.2) + IF(F52&gt;6, (F52-6)*0.2)</f>
        <v>8.5500000000000007</v>
      </c>
      <c r="O52" s="16"/>
      <c r="P52" s="16"/>
      <c r="Q52" s="773"/>
      <c r="R52" s="102"/>
      <c r="S52" s="102"/>
      <c r="T52" s="102"/>
      <c r="U52" s="102"/>
      <c r="V52" s="102"/>
      <c r="W52" s="102"/>
      <c r="X52" s="102"/>
      <c r="Y52" s="102"/>
      <c r="Z52" s="102"/>
      <c r="AA52" s="102"/>
      <c r="AB52" s="102"/>
      <c r="AC52" s="102"/>
      <c r="AD52" s="1344"/>
      <c r="AE52" s="1151"/>
      <c r="AF52" s="1151"/>
      <c r="AG52" s="1151"/>
      <c r="AH52" s="75"/>
    </row>
    <row r="53" spans="1:34" s="15" customFormat="1" x14ac:dyDescent="0.25">
      <c r="A53" s="325" t="s">
        <v>104</v>
      </c>
      <c r="B53" s="74" t="s">
        <v>101</v>
      </c>
      <c r="C53" s="15" t="s">
        <v>65</v>
      </c>
      <c r="D53" s="70" t="s">
        <v>628</v>
      </c>
      <c r="E53" s="15">
        <v>2</v>
      </c>
      <c r="F53" s="15">
        <v>2</v>
      </c>
      <c r="G53" s="15">
        <v>200</v>
      </c>
      <c r="N53" s="74">
        <v>5</v>
      </c>
      <c r="Q53" s="772">
        <v>-0.1</v>
      </c>
      <c r="R53" s="65"/>
      <c r="S53" s="65"/>
      <c r="T53" s="65"/>
      <c r="U53" s="65"/>
      <c r="V53" s="65"/>
      <c r="W53" s="65"/>
      <c r="X53" s="65"/>
      <c r="Y53" s="65">
        <v>-1</v>
      </c>
      <c r="Z53" s="65"/>
      <c r="AA53" s="65"/>
      <c r="AB53" s="65"/>
      <c r="AC53" s="65"/>
      <c r="AD53" s="16"/>
      <c r="AE53" s="17"/>
      <c r="AF53" s="17"/>
      <c r="AG53" s="17"/>
      <c r="AH53" s="53"/>
    </row>
    <row r="54" spans="1:34" s="16" customFormat="1" x14ac:dyDescent="0.25">
      <c r="A54" s="323"/>
      <c r="B54" s="53"/>
      <c r="D54" s="52" t="s">
        <v>159</v>
      </c>
      <c r="E54" s="107">
        <v>3</v>
      </c>
      <c r="F54" s="107">
        <v>3</v>
      </c>
      <c r="G54" s="107">
        <v>500</v>
      </c>
      <c r="N54" s="53">
        <v>5</v>
      </c>
      <c r="Q54" s="772"/>
      <c r="R54" s="65"/>
      <c r="S54" s="65"/>
      <c r="T54" s="65"/>
      <c r="U54" s="65"/>
      <c r="V54" s="65"/>
      <c r="W54" s="65"/>
      <c r="X54" s="65"/>
      <c r="Y54" s="65"/>
      <c r="Z54" s="65"/>
      <c r="AA54" s="65"/>
      <c r="AB54" s="65"/>
      <c r="AC54" s="65"/>
      <c r="AE54" s="17"/>
      <c r="AF54" s="17"/>
      <c r="AG54" s="17"/>
      <c r="AH54" s="53"/>
    </row>
    <row r="55" spans="1:34" s="16" customFormat="1" ht="12.75" customHeight="1" x14ac:dyDescent="0.25">
      <c r="A55" s="323"/>
      <c r="B55" s="53"/>
      <c r="D55" s="52" t="s">
        <v>158</v>
      </c>
      <c r="E55" s="107">
        <v>4</v>
      </c>
      <c r="F55" s="107">
        <v>4</v>
      </c>
      <c r="G55" s="107">
        <v>1600</v>
      </c>
      <c r="N55" s="53">
        <f>1.8 * MIN(6, MAX(E55,F55)) + 0.45 * MIN(6, MIN(E55,F55)) + IF(E55&gt;6, (E55-6)*0.2) + IF(F55&gt;6, (F55-6)*0.2)</f>
        <v>9</v>
      </c>
      <c r="Q55" s="772"/>
      <c r="R55" s="65"/>
      <c r="S55" s="65"/>
      <c r="T55" s="65"/>
      <c r="U55" s="65"/>
      <c r="V55" s="65"/>
      <c r="W55" s="65"/>
      <c r="X55" s="65"/>
      <c r="Y55" s="65"/>
      <c r="Z55" s="65"/>
      <c r="AA55" s="65"/>
      <c r="AB55" s="65"/>
      <c r="AC55" s="65"/>
      <c r="AE55" s="17"/>
      <c r="AF55" s="17"/>
      <c r="AG55" s="17"/>
      <c r="AH55" s="53"/>
    </row>
    <row r="56" spans="1:34" s="25" customFormat="1" x14ac:dyDescent="0.25">
      <c r="A56" s="324"/>
      <c r="B56" s="75"/>
      <c r="D56" s="52" t="s">
        <v>160</v>
      </c>
      <c r="E56" s="16">
        <v>10</v>
      </c>
      <c r="F56" s="16">
        <v>10</v>
      </c>
      <c r="G56" s="16">
        <v>12000</v>
      </c>
      <c r="H56" s="16"/>
      <c r="I56" s="16"/>
      <c r="J56" s="16"/>
      <c r="K56" s="16"/>
      <c r="L56" s="16"/>
      <c r="M56" s="16"/>
      <c r="N56" s="53">
        <f>1.8 * MIN(6, MAX(E56,F56)) + 0.45 * MIN(6, MIN(E56,F56)) + IF(E56&gt;6, (E56-6)*0.2) + IF(F56&gt;6, (F56-6)*0.2)</f>
        <v>15.100000000000001</v>
      </c>
      <c r="Q56" s="773"/>
      <c r="R56" s="102"/>
      <c r="S56" s="102"/>
      <c r="T56" s="102"/>
      <c r="U56" s="102"/>
      <c r="V56" s="102"/>
      <c r="W56" s="102"/>
      <c r="X56" s="102"/>
      <c r="Y56" s="102"/>
      <c r="Z56" s="102"/>
      <c r="AA56" s="102"/>
      <c r="AB56" s="102"/>
      <c r="AC56" s="102"/>
      <c r="AE56" s="1151"/>
      <c r="AF56" s="1151"/>
      <c r="AG56" s="1151"/>
      <c r="AH56" s="75"/>
    </row>
    <row r="57" spans="1:34" s="15" customFormat="1" x14ac:dyDescent="0.25">
      <c r="A57" s="325" t="s">
        <v>105</v>
      </c>
      <c r="B57" s="74" t="s">
        <v>30</v>
      </c>
      <c r="C57" s="15" t="s">
        <v>256</v>
      </c>
      <c r="D57" s="70" t="s">
        <v>161</v>
      </c>
      <c r="E57" s="15">
        <v>3</v>
      </c>
      <c r="G57" s="15">
        <v>250</v>
      </c>
      <c r="L57" s="15">
        <v>25</v>
      </c>
      <c r="N57" s="74">
        <v>5</v>
      </c>
      <c r="O57" s="16"/>
      <c r="P57" s="16"/>
      <c r="Q57" s="772">
        <v>0.1</v>
      </c>
      <c r="R57" s="65"/>
      <c r="S57" s="65"/>
      <c r="T57" s="65"/>
      <c r="U57" s="65"/>
      <c r="V57" s="65"/>
      <c r="W57" s="65"/>
      <c r="X57" s="65"/>
      <c r="Y57" s="65"/>
      <c r="Z57" s="747"/>
      <c r="AA57" s="65"/>
      <c r="AB57" s="65"/>
      <c r="AC57" s="65"/>
      <c r="AD57" s="16"/>
      <c r="AE57" s="17"/>
      <c r="AF57" s="17"/>
      <c r="AG57" s="17"/>
      <c r="AH57" s="53"/>
    </row>
    <row r="58" spans="1:34" s="16" customFormat="1" ht="12.75" customHeight="1" x14ac:dyDescent="0.25">
      <c r="A58" s="323"/>
      <c r="B58" s="53"/>
      <c r="D58" s="52" t="s">
        <v>162</v>
      </c>
      <c r="F58" s="16">
        <v>3</v>
      </c>
      <c r="G58" s="16">
        <v>250</v>
      </c>
      <c r="H58" s="16">
        <v>0</v>
      </c>
      <c r="N58" s="53">
        <v>5</v>
      </c>
      <c r="Q58" s="772"/>
      <c r="R58" s="65"/>
      <c r="S58" s="65"/>
      <c r="T58" s="65"/>
      <c r="U58" s="65"/>
      <c r="V58" s="65"/>
      <c r="W58" s="65"/>
      <c r="X58" s="65"/>
      <c r="Y58" s="65"/>
      <c r="Z58" s="65"/>
      <c r="AA58" s="65"/>
      <c r="AB58" s="65"/>
      <c r="AC58" s="65"/>
      <c r="AE58" s="17"/>
      <c r="AF58" s="17"/>
      <c r="AG58" s="17"/>
      <c r="AH58" s="53"/>
    </row>
    <row r="59" spans="1:34" s="16" customFormat="1" x14ac:dyDescent="0.25">
      <c r="A59" s="323"/>
      <c r="B59" s="53"/>
      <c r="D59" s="52" t="s">
        <v>163</v>
      </c>
      <c r="E59" s="16">
        <v>4</v>
      </c>
      <c r="F59" s="16">
        <v>4</v>
      </c>
      <c r="G59" s="16">
        <v>850</v>
      </c>
      <c r="H59" s="16">
        <v>55</v>
      </c>
      <c r="N59" s="53">
        <f>1.8 * MIN(6, MAX(E59,F59)) + 0.45 * MIN(6, MIN(E59,F59)) + IF(E59&gt;6, (E59-6)*0.2) + IF(F59&gt;6, (F59-6)*0.2)</f>
        <v>9</v>
      </c>
      <c r="Q59" s="772"/>
      <c r="R59" s="65"/>
      <c r="S59" s="65"/>
      <c r="T59" s="65"/>
      <c r="U59" s="65"/>
      <c r="V59" s="65"/>
      <c r="W59" s="65"/>
      <c r="X59" s="65"/>
      <c r="Y59" s="65"/>
      <c r="Z59" s="65"/>
      <c r="AA59" s="65"/>
      <c r="AB59" s="65"/>
      <c r="AC59" s="65"/>
      <c r="AE59" s="17"/>
      <c r="AF59" s="17"/>
      <c r="AG59" s="17"/>
      <c r="AH59" s="53"/>
    </row>
    <row r="60" spans="1:34" s="25" customFormat="1" x14ac:dyDescent="0.25">
      <c r="A60" s="324"/>
      <c r="B60" s="75"/>
      <c r="D60" s="72" t="s">
        <v>164</v>
      </c>
      <c r="E60" s="1344">
        <v>6</v>
      </c>
      <c r="F60" s="1344">
        <v>0</v>
      </c>
      <c r="G60" s="1344">
        <v>1100</v>
      </c>
      <c r="H60" s="1344">
        <v>110</v>
      </c>
      <c r="I60" s="1344"/>
      <c r="J60" s="1344"/>
      <c r="K60" s="1344"/>
      <c r="L60" s="1344"/>
      <c r="M60" s="1344"/>
      <c r="N60" s="75">
        <f>1.8 * MIN(6, MAX(E60,F60)) + 0.45 * MIN(6, MIN(E60,F60)) + IF(E60&gt;6, (E60-6)*0.2) + IF(F60&gt;6, (F60-6)*0.2)</f>
        <v>10.8</v>
      </c>
      <c r="Q60" s="773"/>
      <c r="R60" s="102"/>
      <c r="S60" s="102"/>
      <c r="T60" s="102"/>
      <c r="U60" s="102"/>
      <c r="V60" s="102"/>
      <c r="W60" s="102"/>
      <c r="X60" s="102"/>
      <c r="Y60" s="102"/>
      <c r="Z60" s="102"/>
      <c r="AA60" s="102"/>
      <c r="AB60" s="102"/>
      <c r="AC60" s="102"/>
      <c r="AE60" s="1151"/>
      <c r="AF60" s="1151"/>
      <c r="AG60" s="1151"/>
      <c r="AH60" s="75"/>
    </row>
    <row r="61" spans="1:34" s="15" customFormat="1" x14ac:dyDescent="0.25">
      <c r="A61" s="325" t="s">
        <v>106</v>
      </c>
      <c r="B61" s="74" t="s">
        <v>101</v>
      </c>
      <c r="C61" s="15" t="s">
        <v>258</v>
      </c>
      <c r="D61" s="52" t="s">
        <v>165</v>
      </c>
      <c r="E61" s="16">
        <v>2</v>
      </c>
      <c r="F61" s="16"/>
      <c r="G61" s="16">
        <v>235</v>
      </c>
      <c r="H61" s="16">
        <v>15</v>
      </c>
      <c r="I61"/>
      <c r="J61"/>
      <c r="K61"/>
      <c r="L61"/>
      <c r="M61"/>
      <c r="N61" s="53">
        <v>5</v>
      </c>
      <c r="Q61" s="444">
        <v>0.4</v>
      </c>
      <c r="R61" s="100">
        <v>0.2</v>
      </c>
      <c r="S61" s="100"/>
      <c r="T61" s="100"/>
      <c r="U61" s="100"/>
      <c r="V61" s="100"/>
      <c r="W61" s="100"/>
      <c r="X61" s="100"/>
      <c r="Y61" s="100">
        <v>-0.3</v>
      </c>
      <c r="Z61" s="100"/>
      <c r="AA61" s="100"/>
      <c r="AB61" s="100">
        <v>-0.1</v>
      </c>
      <c r="AC61" s="100">
        <v>-0.1</v>
      </c>
      <c r="AE61" s="1184"/>
      <c r="AF61" s="1184"/>
      <c r="AG61" s="1184"/>
      <c r="AH61" s="74"/>
    </row>
    <row r="62" spans="1:34" s="16" customFormat="1" x14ac:dyDescent="0.25">
      <c r="A62" s="323"/>
      <c r="B62" s="53"/>
      <c r="D62" s="52" t="s">
        <v>166</v>
      </c>
      <c r="F62" s="16">
        <v>2</v>
      </c>
      <c r="G62" s="16">
        <v>245</v>
      </c>
      <c r="H62" s="16">
        <v>20</v>
      </c>
      <c r="I62"/>
      <c r="J62"/>
      <c r="K62"/>
      <c r="L62"/>
      <c r="M62"/>
      <c r="N62" s="53">
        <v>5</v>
      </c>
      <c r="Q62" s="772"/>
      <c r="R62" s="65"/>
      <c r="S62" s="65"/>
      <c r="T62" s="65"/>
      <c r="U62" s="65"/>
      <c r="V62" s="65"/>
      <c r="W62" s="65"/>
      <c r="X62" s="65"/>
      <c r="Y62" s="65"/>
      <c r="Z62" s="65"/>
      <c r="AA62" s="65"/>
      <c r="AB62" s="65"/>
      <c r="AC62" s="65"/>
      <c r="AE62" s="17"/>
      <c r="AF62" s="17"/>
      <c r="AG62" s="17"/>
      <c r="AH62" s="53"/>
    </row>
    <row r="63" spans="1:34" s="16" customFormat="1" x14ac:dyDescent="0.25">
      <c r="A63" s="323"/>
      <c r="B63" s="53"/>
      <c r="D63" s="52" t="s">
        <v>167</v>
      </c>
      <c r="E63" s="16">
        <v>0</v>
      </c>
      <c r="F63" s="16">
        <v>3</v>
      </c>
      <c r="G63" s="16">
        <v>975</v>
      </c>
      <c r="H63" s="16">
        <v>0</v>
      </c>
      <c r="I63"/>
      <c r="J63"/>
      <c r="K63"/>
      <c r="L63"/>
      <c r="M63"/>
      <c r="N63" s="53">
        <f>1.8 * MIN(6, MAX(E63,F63)) + 0.45 * MIN(6, MIN(E63,F63)) + IF(E63&gt;6, (E63-6)*0.2) + IF(F63&gt;6, (F63-6)*0.2)</f>
        <v>5.4</v>
      </c>
      <c r="Q63" s="772"/>
      <c r="R63" s="65"/>
      <c r="S63" s="65"/>
      <c r="T63" s="65"/>
      <c r="U63" s="65"/>
      <c r="V63" s="65"/>
      <c r="W63" s="65"/>
      <c r="X63" s="65"/>
      <c r="Y63" s="65"/>
      <c r="Z63" s="65"/>
      <c r="AA63" s="65"/>
      <c r="AB63" s="65"/>
      <c r="AC63" s="65"/>
      <c r="AE63" s="17"/>
      <c r="AF63" s="17"/>
      <c r="AG63" s="17"/>
      <c r="AH63" s="53"/>
    </row>
    <row r="64" spans="1:34" s="25" customFormat="1" x14ac:dyDescent="0.25">
      <c r="A64" s="323"/>
      <c r="B64" s="53"/>
      <c r="D64" s="52" t="s">
        <v>168</v>
      </c>
      <c r="E64" s="16">
        <v>3</v>
      </c>
      <c r="F64" s="16">
        <v>2</v>
      </c>
      <c r="G64" s="16">
        <v>875</v>
      </c>
      <c r="H64" s="16">
        <v>55</v>
      </c>
      <c r="I64"/>
      <c r="J64"/>
      <c r="K64"/>
      <c r="L64"/>
      <c r="M64"/>
      <c r="N64" s="53">
        <f>1.8 * MIN(6, MAX(E64,F64)) + 0.45 * MIN(6, MIN(E64,F64)) + IF(E64&gt;6, (E64-6)*0.2) + IF(F64&gt;6, (F64-6)*0.2)</f>
        <v>6.3000000000000007</v>
      </c>
      <c r="Q64" s="773"/>
      <c r="R64" s="102"/>
      <c r="S64" s="102"/>
      <c r="T64" s="102"/>
      <c r="U64" s="102"/>
      <c r="V64" s="102"/>
      <c r="W64" s="102"/>
      <c r="X64" s="102"/>
      <c r="Y64" s="102"/>
      <c r="Z64" s="102"/>
      <c r="AA64" s="102"/>
      <c r="AB64" s="102"/>
      <c r="AC64" s="102"/>
      <c r="AE64" s="1151"/>
      <c r="AF64" s="1151"/>
      <c r="AG64" s="1151"/>
      <c r="AH64" s="75"/>
    </row>
    <row r="65" spans="1:34" s="15" customFormat="1" ht="12.75" customHeight="1" x14ac:dyDescent="0.25">
      <c r="A65" s="325" t="s">
        <v>107</v>
      </c>
      <c r="B65" s="74" t="s">
        <v>30</v>
      </c>
      <c r="C65" s="15" t="s">
        <v>65</v>
      </c>
      <c r="D65" s="70" t="s">
        <v>169</v>
      </c>
      <c r="E65" s="15">
        <v>3</v>
      </c>
      <c r="G65" s="15">
        <v>250</v>
      </c>
      <c r="H65" s="15">
        <v>0</v>
      </c>
      <c r="N65" s="74">
        <v>5</v>
      </c>
      <c r="Q65" s="444">
        <v>0.1</v>
      </c>
      <c r="R65" s="100">
        <v>0.25</v>
      </c>
      <c r="S65" s="100"/>
      <c r="T65" s="100"/>
      <c r="U65" s="100"/>
      <c r="V65" s="100"/>
      <c r="W65" s="100"/>
      <c r="X65" s="100"/>
      <c r="Y65" s="100">
        <v>-0.15</v>
      </c>
      <c r="Z65" s="100"/>
      <c r="AA65" s="100"/>
      <c r="AB65" s="100">
        <v>0.1</v>
      </c>
      <c r="AC65" s="100"/>
      <c r="AE65" s="1184"/>
      <c r="AF65" s="1184"/>
      <c r="AG65" s="1184"/>
      <c r="AH65" s="74"/>
    </row>
    <row r="66" spans="1:34" s="16" customFormat="1" x14ac:dyDescent="0.25">
      <c r="A66" s="323"/>
      <c r="B66" s="53"/>
      <c r="D66" s="52" t="s">
        <v>170</v>
      </c>
      <c r="F66" s="16">
        <v>3</v>
      </c>
      <c r="G66" s="16">
        <v>250</v>
      </c>
      <c r="H66" s="16">
        <v>0</v>
      </c>
      <c r="N66" s="53">
        <v>5</v>
      </c>
      <c r="Q66" s="772"/>
      <c r="R66" s="65"/>
      <c r="S66" s="65"/>
      <c r="T66" s="65"/>
      <c r="U66" s="65"/>
      <c r="V66" s="65"/>
      <c r="W66" s="65"/>
      <c r="X66" s="65"/>
      <c r="Y66" s="65"/>
      <c r="Z66" s="65"/>
      <c r="AA66" s="65"/>
      <c r="AB66" s="65"/>
      <c r="AC66" s="65"/>
      <c r="AE66" s="17"/>
      <c r="AF66" s="17"/>
      <c r="AG66" s="17"/>
      <c r="AH66" s="53"/>
    </row>
    <row r="67" spans="1:34" s="16" customFormat="1" x14ac:dyDescent="0.25">
      <c r="A67" s="323"/>
      <c r="B67" s="53"/>
      <c r="D67" s="52" t="s">
        <v>171</v>
      </c>
      <c r="E67" s="16">
        <v>4</v>
      </c>
      <c r="F67" s="16">
        <v>4</v>
      </c>
      <c r="G67" s="16">
        <v>900</v>
      </c>
      <c r="H67" s="16">
        <v>0</v>
      </c>
      <c r="N67" s="53">
        <f>1.8 * MIN(6, MAX(E67,F67)) + 0.45 * MIN(6, MIN(E67,F67)) + IF(E67&gt;6, (E67-6)*0.2) + IF(F67&gt;6, (F67-6)*0.2)</f>
        <v>9</v>
      </c>
      <c r="Q67" s="772"/>
      <c r="R67" s="65"/>
      <c r="S67" s="65"/>
      <c r="T67" s="65"/>
      <c r="U67" s="65"/>
      <c r="V67" s="65"/>
      <c r="W67" s="65"/>
      <c r="X67" s="65"/>
      <c r="Y67" s="65"/>
      <c r="Z67" s="65"/>
      <c r="AA67" s="65"/>
      <c r="AB67" s="65"/>
      <c r="AC67" s="65"/>
      <c r="AE67" s="17"/>
      <c r="AF67" s="17"/>
      <c r="AG67" s="17"/>
      <c r="AH67" s="53"/>
    </row>
    <row r="68" spans="1:34" s="25" customFormat="1" ht="12.75" customHeight="1" x14ac:dyDescent="0.25">
      <c r="A68" s="323"/>
      <c r="B68" s="53"/>
      <c r="D68" s="72" t="s">
        <v>172</v>
      </c>
      <c r="E68" s="25">
        <v>6</v>
      </c>
      <c r="F68" s="25">
        <v>2</v>
      </c>
      <c r="G68" s="25">
        <v>1200</v>
      </c>
      <c r="H68" s="25">
        <v>0</v>
      </c>
      <c r="N68" s="75">
        <f>1.8 * MIN(6, MAX(E68,F68)) + 0.45 * MIN(6, MIN(E68,F68)) + IF(E68&gt;6, (E68-6)*0.2) + IF(F68&gt;6, (F68-6)*0.2)</f>
        <v>11.700000000000001</v>
      </c>
      <c r="Q68" s="773"/>
      <c r="R68" s="102"/>
      <c r="S68" s="102"/>
      <c r="T68" s="102"/>
      <c r="U68" s="102"/>
      <c r="V68" s="102"/>
      <c r="W68" s="102"/>
      <c r="X68" s="102"/>
      <c r="Y68" s="102"/>
      <c r="Z68" s="102"/>
      <c r="AA68" s="102"/>
      <c r="AB68" s="102"/>
      <c r="AC68" s="102"/>
      <c r="AE68" s="1151"/>
      <c r="AF68" s="1151"/>
      <c r="AG68" s="1151"/>
      <c r="AH68" s="75"/>
    </row>
    <row r="69" spans="1:34" s="15" customFormat="1" ht="12.75" customHeight="1" x14ac:dyDescent="0.25">
      <c r="A69" s="325" t="s">
        <v>344</v>
      </c>
      <c r="B69" s="74" t="s">
        <v>30</v>
      </c>
      <c r="C69" s="15" t="s">
        <v>259</v>
      </c>
      <c r="D69" s="70" t="s">
        <v>345</v>
      </c>
      <c r="E69" s="15">
        <v>3</v>
      </c>
      <c r="G69" s="15">
        <v>300</v>
      </c>
      <c r="H69" s="15">
        <v>0</v>
      </c>
      <c r="N69" s="74">
        <v>5</v>
      </c>
      <c r="Q69" s="444"/>
      <c r="R69" s="100"/>
      <c r="S69" s="100"/>
      <c r="T69" s="100"/>
      <c r="U69" s="100">
        <v>-0.1</v>
      </c>
      <c r="V69" s="100"/>
      <c r="W69" s="100"/>
      <c r="X69" s="100"/>
      <c r="Y69" s="100">
        <v>-0.5</v>
      </c>
      <c r="Z69" s="100"/>
      <c r="AA69" s="100"/>
      <c r="AB69" s="100"/>
      <c r="AC69" s="100"/>
      <c r="AE69" s="1184"/>
      <c r="AF69" s="1184"/>
      <c r="AG69" s="1184"/>
      <c r="AH69" s="74"/>
    </row>
    <row r="70" spans="1:34" s="16" customFormat="1" x14ac:dyDescent="0.25">
      <c r="A70" s="323"/>
      <c r="B70" s="53"/>
      <c r="D70" s="52" t="s">
        <v>346</v>
      </c>
      <c r="F70" s="16">
        <v>3</v>
      </c>
      <c r="G70" s="16">
        <v>350</v>
      </c>
      <c r="H70" s="16">
        <v>25</v>
      </c>
      <c r="N70" s="53">
        <v>5</v>
      </c>
      <c r="Q70" s="772"/>
      <c r="R70" s="65"/>
      <c r="S70" s="65"/>
      <c r="T70" s="65"/>
      <c r="U70" s="65"/>
      <c r="V70" s="65"/>
      <c r="W70" s="65"/>
      <c r="X70" s="65"/>
      <c r="Y70" s="65"/>
      <c r="Z70" s="65"/>
      <c r="AA70" s="65"/>
      <c r="AB70" s="65"/>
      <c r="AC70" s="65"/>
      <c r="AE70" s="17"/>
      <c r="AF70" s="17"/>
      <c r="AG70" s="17"/>
      <c r="AH70" s="53"/>
    </row>
    <row r="71" spans="1:34" s="16" customFormat="1" x14ac:dyDescent="0.25">
      <c r="A71" s="323"/>
      <c r="B71" s="53"/>
      <c r="D71" s="52" t="s">
        <v>347</v>
      </c>
      <c r="E71" s="16">
        <v>3</v>
      </c>
      <c r="F71" s="16">
        <v>3</v>
      </c>
      <c r="G71" s="16">
        <v>100</v>
      </c>
      <c r="H71" s="16">
        <v>100</v>
      </c>
      <c r="N71" s="53">
        <f>1.8 * MIN(6, MAX(E71,F71)) + 0.45 * MIN(6, MIN(E71,F71)) + IF(E71&gt;6, (E71-6)*0.2) + IF(F71&gt;6, (F71-6)*0.2)</f>
        <v>6.75</v>
      </c>
      <c r="Q71" s="772"/>
      <c r="R71" s="65"/>
      <c r="S71" s="65"/>
      <c r="T71" s="65"/>
      <c r="U71" s="65"/>
      <c r="V71" s="65"/>
      <c r="W71" s="65"/>
      <c r="X71" s="65"/>
      <c r="Y71" s="65"/>
      <c r="Z71" s="65"/>
      <c r="AA71" s="65"/>
      <c r="AB71" s="65"/>
      <c r="AC71" s="65"/>
      <c r="AE71" s="17"/>
      <c r="AF71" s="17"/>
      <c r="AG71" s="17"/>
      <c r="AH71" s="53"/>
    </row>
    <row r="72" spans="1:34" s="25" customFormat="1" ht="12.75" customHeight="1" x14ac:dyDescent="0.25">
      <c r="A72" s="324"/>
      <c r="B72" s="75"/>
      <c r="D72" s="72" t="s">
        <v>348</v>
      </c>
      <c r="E72" s="25">
        <v>4</v>
      </c>
      <c r="F72" s="25">
        <v>2</v>
      </c>
      <c r="G72" s="25">
        <v>1100</v>
      </c>
      <c r="H72" s="25">
        <v>0</v>
      </c>
      <c r="N72" s="75">
        <f>1.8 * MIN(6, MAX(E72,F72)) + 0.45 * MIN(6, MIN(E72,F72)) + IF(E72&gt;6, (E72-6)*0.2) + IF(F72&gt;6, (F72-6)*0.2)</f>
        <v>8.1</v>
      </c>
      <c r="Q72" s="773"/>
      <c r="R72" s="102"/>
      <c r="S72" s="102"/>
      <c r="T72" s="102"/>
      <c r="U72" s="102"/>
      <c r="V72" s="102"/>
      <c r="W72" s="102"/>
      <c r="X72" s="102"/>
      <c r="Y72" s="102"/>
      <c r="Z72" s="102"/>
      <c r="AA72" s="102"/>
      <c r="AB72" s="102"/>
      <c r="AC72" s="102"/>
      <c r="AE72" s="1151"/>
      <c r="AF72" s="1151"/>
      <c r="AG72" s="1151"/>
      <c r="AH72" s="75"/>
    </row>
    <row r="73" spans="1:34" x14ac:dyDescent="0.25">
      <c r="A73" s="325" t="s">
        <v>358</v>
      </c>
      <c r="B73" s="74" t="s">
        <v>101</v>
      </c>
      <c r="C73" s="15" t="s">
        <v>256</v>
      </c>
      <c r="D73" s="52" t="s">
        <v>352</v>
      </c>
      <c r="E73" s="16">
        <v>3</v>
      </c>
      <c r="F73" s="16"/>
      <c r="G73" s="16">
        <v>300</v>
      </c>
      <c r="H73" s="16">
        <v>0</v>
      </c>
      <c r="N73" s="53">
        <v>5</v>
      </c>
      <c r="O73" s="15"/>
      <c r="P73" s="15"/>
      <c r="Q73" s="444">
        <v>0.05</v>
      </c>
      <c r="R73" s="100"/>
      <c r="S73" s="100"/>
      <c r="T73" s="100"/>
      <c r="U73" s="100">
        <v>-0.1</v>
      </c>
      <c r="V73" s="100"/>
      <c r="W73" s="100"/>
      <c r="X73" s="100">
        <v>0.15</v>
      </c>
      <c r="Y73" s="100"/>
      <c r="Z73" s="100"/>
      <c r="AA73" s="100"/>
      <c r="AB73" s="100"/>
      <c r="AC73" s="100"/>
      <c r="AD73" s="16"/>
      <c r="AE73" s="17"/>
      <c r="AF73" s="1184">
        <v>-0.1</v>
      </c>
      <c r="AG73" s="17"/>
      <c r="AH73" s="74"/>
    </row>
    <row r="74" spans="1:34" x14ac:dyDescent="0.25">
      <c r="B74" s="53"/>
      <c r="C74" s="16"/>
      <c r="D74" s="52" t="s">
        <v>353</v>
      </c>
      <c r="E74" s="16"/>
      <c r="F74" s="16">
        <v>3</v>
      </c>
      <c r="G74" s="16">
        <v>300</v>
      </c>
      <c r="H74" s="16">
        <v>0</v>
      </c>
      <c r="N74" s="53">
        <v>5</v>
      </c>
      <c r="O74" s="16"/>
      <c r="P74" s="16"/>
      <c r="Q74" s="772"/>
      <c r="R74" s="65"/>
      <c r="S74" s="65"/>
      <c r="T74" s="65"/>
      <c r="U74" s="65"/>
      <c r="V74" s="65"/>
      <c r="W74" s="65"/>
      <c r="X74" s="65"/>
      <c r="Y74" s="65"/>
      <c r="Z74" s="65"/>
      <c r="AA74" s="65"/>
      <c r="AB74" s="65"/>
      <c r="AC74" s="65"/>
      <c r="AD74" s="16"/>
      <c r="AE74" s="17"/>
      <c r="AF74" s="16"/>
      <c r="AG74" s="17"/>
      <c r="AH74" s="53"/>
    </row>
    <row r="75" spans="1:34" x14ac:dyDescent="0.25">
      <c r="B75" s="53"/>
      <c r="C75" s="16"/>
      <c r="D75" s="52" t="s">
        <v>354</v>
      </c>
      <c r="E75" s="16">
        <v>0</v>
      </c>
      <c r="F75" s="16">
        <v>4.5</v>
      </c>
      <c r="G75" s="16">
        <v>925</v>
      </c>
      <c r="H75" s="16">
        <v>0</v>
      </c>
      <c r="N75" s="53">
        <f>1.8 * MIN(6, MAX(E75,F75)) + 0.45 * MIN(6, MIN(E75,F75)) + IF(E75&gt;6, (E75-6)*0.2) + IF(F75&gt;6, (F75-6)*0.2)</f>
        <v>8.1</v>
      </c>
      <c r="O75" s="16"/>
      <c r="P75" s="16"/>
      <c r="Q75" s="772"/>
      <c r="R75" s="65"/>
      <c r="S75" s="65"/>
      <c r="T75" s="65"/>
      <c r="U75" s="65"/>
      <c r="V75" s="65"/>
      <c r="W75" s="65"/>
      <c r="X75" s="65"/>
      <c r="Y75" s="65"/>
      <c r="Z75" s="65"/>
      <c r="AA75" s="65"/>
      <c r="AB75" s="65"/>
      <c r="AC75" s="65"/>
      <c r="AD75" s="16"/>
      <c r="AE75" s="17"/>
      <c r="AF75" s="16"/>
      <c r="AG75" s="17"/>
      <c r="AH75" s="53"/>
    </row>
    <row r="76" spans="1:34" x14ac:dyDescent="0.25">
      <c r="A76" s="324"/>
      <c r="B76" s="75"/>
      <c r="C76" s="25"/>
      <c r="D76" s="52" t="s">
        <v>355</v>
      </c>
      <c r="E76" s="16">
        <v>5</v>
      </c>
      <c r="F76" s="16">
        <v>3</v>
      </c>
      <c r="G76" s="16">
        <v>925</v>
      </c>
      <c r="H76" s="16">
        <v>0</v>
      </c>
      <c r="N76" s="53">
        <f>1.8 * MIN(6, MAX(E76,F76)) + 0.45 * MIN(6, MIN(E76,F76)) + IF(E76&gt;6, (E76-6)*0.2) + IF(F76&gt;6, (F76-6)*0.2)</f>
        <v>10.35</v>
      </c>
      <c r="O76" s="25"/>
      <c r="P76" s="25"/>
      <c r="Q76" s="773"/>
      <c r="R76" s="102"/>
      <c r="S76" s="102"/>
      <c r="T76" s="102"/>
      <c r="U76" s="102"/>
      <c r="V76" s="102"/>
      <c r="W76" s="102"/>
      <c r="X76" s="102"/>
      <c r="Y76" s="102"/>
      <c r="Z76" s="102"/>
      <c r="AA76" s="102"/>
      <c r="AB76" s="102"/>
      <c r="AC76" s="102"/>
      <c r="AD76" s="25"/>
      <c r="AE76" s="1151"/>
      <c r="AF76" s="25"/>
      <c r="AG76" s="1151"/>
      <c r="AH76" s="75"/>
    </row>
    <row r="77" spans="1:34" s="16" customFormat="1" x14ac:dyDescent="0.25">
      <c r="A77" s="325" t="s">
        <v>150</v>
      </c>
      <c r="B77" s="74" t="s">
        <v>30</v>
      </c>
      <c r="C77" s="70" t="s">
        <v>60</v>
      </c>
      <c r="D77" s="70" t="s">
        <v>371</v>
      </c>
      <c r="E77" s="15">
        <v>4</v>
      </c>
      <c r="F77" s="15"/>
      <c r="G77" s="15">
        <v>375</v>
      </c>
      <c r="H77" s="15">
        <v>0</v>
      </c>
      <c r="I77" s="15"/>
      <c r="J77" s="15"/>
      <c r="K77" s="15"/>
      <c r="L77" s="15"/>
      <c r="M77" s="15"/>
      <c r="N77" s="15">
        <v>5</v>
      </c>
      <c r="O77" s="70"/>
      <c r="P77" s="74"/>
      <c r="Q77" s="774"/>
      <c r="R77" s="100"/>
      <c r="S77" s="100"/>
      <c r="T77" s="100"/>
      <c r="U77" s="100">
        <v>0.5</v>
      </c>
      <c r="V77" s="100"/>
      <c r="W77" s="100"/>
      <c r="X77" s="100"/>
      <c r="Y77" s="100">
        <v>0.2</v>
      </c>
      <c r="Z77" s="100"/>
      <c r="AA77" s="100"/>
      <c r="AB77" s="100"/>
      <c r="AC77" s="100"/>
      <c r="AD77" s="15"/>
      <c r="AE77" s="1184"/>
      <c r="AF77" s="1184"/>
      <c r="AG77" s="1184"/>
      <c r="AH77" s="74"/>
    </row>
    <row r="78" spans="1:34" s="16" customFormat="1" x14ac:dyDescent="0.25">
      <c r="A78" s="323"/>
      <c r="B78" s="53"/>
      <c r="C78" s="1185"/>
      <c r="D78" s="52" t="s">
        <v>340</v>
      </c>
      <c r="F78" s="16">
        <v>3</v>
      </c>
      <c r="G78" s="16">
        <v>300</v>
      </c>
      <c r="H78" s="16">
        <v>25</v>
      </c>
      <c r="N78" s="16">
        <v>5</v>
      </c>
      <c r="O78" s="52"/>
      <c r="P78" s="53"/>
      <c r="Q78" s="747"/>
      <c r="R78" s="65"/>
      <c r="S78" s="65"/>
      <c r="T78" s="65"/>
      <c r="U78" s="65"/>
      <c r="V78" s="65"/>
      <c r="W78" s="65"/>
      <c r="X78" s="65"/>
      <c r="Y78" s="65"/>
      <c r="Z78" s="65"/>
      <c r="AA78" s="65"/>
      <c r="AB78" s="65"/>
      <c r="AC78" s="65"/>
      <c r="AE78" s="17"/>
      <c r="AF78" s="17"/>
      <c r="AG78" s="17"/>
      <c r="AH78" s="53"/>
    </row>
    <row r="79" spans="1:34" s="16" customFormat="1" x14ac:dyDescent="0.25">
      <c r="A79" s="323"/>
      <c r="B79" s="53"/>
      <c r="C79" s="1185"/>
      <c r="D79" s="52" t="s">
        <v>387</v>
      </c>
      <c r="E79" s="16">
        <v>0</v>
      </c>
      <c r="F79" s="16">
        <v>3</v>
      </c>
      <c r="G79" s="16">
        <v>800</v>
      </c>
      <c r="H79" s="16">
        <v>0</v>
      </c>
      <c r="N79" s="16">
        <f>1.8 * MIN(6, MAX(E79,F79)) + 0.45 * MIN(6, MIN(E79,F79)) + IF(E79&gt;6, (E79-6)*0.2) + IF(F79&gt;6, (F79-6)*0.2)</f>
        <v>5.4</v>
      </c>
      <c r="O79" s="52"/>
      <c r="P79" s="53"/>
      <c r="Q79" s="747"/>
      <c r="R79" s="65"/>
      <c r="S79" s="65"/>
      <c r="T79" s="65"/>
      <c r="U79" s="65"/>
      <c r="V79" s="65"/>
      <c r="W79" s="65"/>
      <c r="X79" s="65"/>
      <c r="Y79" s="65"/>
      <c r="Z79" s="65"/>
      <c r="AA79" s="65"/>
      <c r="AB79" s="65"/>
      <c r="AC79" s="65"/>
      <c r="AE79" s="17"/>
      <c r="AF79" s="17"/>
      <c r="AG79" s="17"/>
      <c r="AH79" s="53"/>
    </row>
    <row r="80" spans="1:34" s="16" customFormat="1" x14ac:dyDescent="0.25">
      <c r="A80" s="324"/>
      <c r="B80" s="75"/>
      <c r="C80" s="1186"/>
      <c r="D80" s="72" t="s">
        <v>372</v>
      </c>
      <c r="E80" s="25">
        <v>7</v>
      </c>
      <c r="F80" s="25">
        <v>2</v>
      </c>
      <c r="G80" s="25">
        <v>1050</v>
      </c>
      <c r="H80" s="25">
        <v>105</v>
      </c>
      <c r="I80" s="25"/>
      <c r="J80" s="25"/>
      <c r="K80" s="25"/>
      <c r="L80" s="25"/>
      <c r="M80" s="25"/>
      <c r="N80" s="75">
        <f>1.8 * MIN(6, MAX(E80,F80)) + 0.45 * MIN(6, MIN(E80,F80)) + IF(E80&gt;6, (E80-6)*0.2) + IF(F80&gt;6, (F80-6)*0.2)</f>
        <v>11.9</v>
      </c>
      <c r="O80" s="72"/>
      <c r="P80" s="75"/>
      <c r="Q80" s="775"/>
      <c r="R80" s="102"/>
      <c r="S80" s="102"/>
      <c r="T80" s="102"/>
      <c r="U80" s="102"/>
      <c r="V80" s="102"/>
      <c r="W80" s="102"/>
      <c r="X80" s="102"/>
      <c r="Y80" s="102"/>
      <c r="Z80" s="102"/>
      <c r="AA80" s="102"/>
      <c r="AB80" s="102"/>
      <c r="AC80" s="102"/>
      <c r="AD80" s="25"/>
      <c r="AE80" s="1151"/>
      <c r="AF80" s="1151"/>
      <c r="AG80" s="1151"/>
      <c r="AH80" s="75"/>
    </row>
    <row r="81" spans="1:34" s="16" customFormat="1" x14ac:dyDescent="0.25">
      <c r="A81" s="325" t="s">
        <v>574</v>
      </c>
      <c r="B81" s="74" t="s">
        <v>30</v>
      </c>
      <c r="C81" s="301" t="s">
        <v>63</v>
      </c>
      <c r="D81" s="16" t="s">
        <v>485</v>
      </c>
      <c r="E81" s="16">
        <v>3</v>
      </c>
      <c r="G81" s="16">
        <v>300</v>
      </c>
      <c r="H81" s="16">
        <v>0</v>
      </c>
      <c r="I81"/>
      <c r="J81"/>
      <c r="K81"/>
      <c r="L81"/>
      <c r="M81"/>
      <c r="N81" s="16">
        <v>5</v>
      </c>
      <c r="O81" s="70"/>
      <c r="P81" s="74"/>
      <c r="Q81" s="774"/>
      <c r="R81" s="100"/>
      <c r="S81" s="100"/>
      <c r="T81" s="100"/>
      <c r="U81" s="100"/>
      <c r="V81" s="100">
        <v>0.1</v>
      </c>
      <c r="W81" s="100"/>
      <c r="X81" s="100"/>
      <c r="Y81" s="100">
        <v>-0.2</v>
      </c>
      <c r="Z81" s="100"/>
      <c r="AA81" s="100"/>
      <c r="AB81" s="100"/>
      <c r="AC81" s="100"/>
      <c r="AE81" s="17"/>
      <c r="AF81" s="17"/>
      <c r="AG81" s="17"/>
      <c r="AH81" s="74"/>
    </row>
    <row r="82" spans="1:34" s="16" customFormat="1" x14ac:dyDescent="0.25">
      <c r="A82" s="323"/>
      <c r="B82" s="53"/>
      <c r="C82" s="765"/>
      <c r="D82" s="16" t="s">
        <v>486</v>
      </c>
      <c r="F82" s="16">
        <v>3</v>
      </c>
      <c r="G82" s="16">
        <v>325</v>
      </c>
      <c r="H82" s="16">
        <v>25</v>
      </c>
      <c r="I82"/>
      <c r="J82"/>
      <c r="K82"/>
      <c r="L82"/>
      <c r="M82"/>
      <c r="N82" s="16">
        <v>5</v>
      </c>
      <c r="O82" s="52"/>
      <c r="P82" s="53"/>
      <c r="Q82" s="747"/>
      <c r="R82" s="65"/>
      <c r="S82" s="65"/>
      <c r="T82" s="65"/>
      <c r="U82" s="65"/>
      <c r="V82" s="65"/>
      <c r="W82" s="65"/>
      <c r="X82" s="65"/>
      <c r="Y82" s="65"/>
      <c r="Z82" s="65"/>
      <c r="AA82" s="65"/>
      <c r="AB82" s="65"/>
      <c r="AC82" s="65"/>
      <c r="AE82" s="17"/>
      <c r="AF82" s="17"/>
      <c r="AG82" s="17"/>
      <c r="AH82" s="53"/>
    </row>
    <row r="83" spans="1:34" s="16" customFormat="1" x14ac:dyDescent="0.25">
      <c r="A83" s="323"/>
      <c r="B83" s="53"/>
      <c r="C83" s="765"/>
      <c r="D83" s="16" t="s">
        <v>487</v>
      </c>
      <c r="E83" s="16">
        <v>0</v>
      </c>
      <c r="F83" s="16">
        <v>2</v>
      </c>
      <c r="G83" s="16">
        <v>975</v>
      </c>
      <c r="H83" s="16">
        <v>100</v>
      </c>
      <c r="I83"/>
      <c r="J83"/>
      <c r="K83"/>
      <c r="L83"/>
      <c r="M83"/>
      <c r="N83">
        <f>1.8 * MIN(6, MAX(E83,F83)) + 0.45 * MIN(6, MIN(E83,F83)) + IF(E83&gt;6, (E83-6)*0.2) + IF(F83&gt;6, (F83-6)*0.2)</f>
        <v>3.6</v>
      </c>
      <c r="O83" s="52"/>
      <c r="P83" s="53"/>
      <c r="Q83" s="747"/>
      <c r="R83" s="65"/>
      <c r="S83" s="65"/>
      <c r="T83" s="65"/>
      <c r="U83" s="65"/>
      <c r="V83" s="65"/>
      <c r="W83" s="65"/>
      <c r="X83" s="65"/>
      <c r="Y83" s="65"/>
      <c r="Z83" s="65"/>
      <c r="AA83" s="65"/>
      <c r="AB83" s="65"/>
      <c r="AC83" s="65"/>
      <c r="AE83" s="17"/>
      <c r="AF83" s="17"/>
      <c r="AG83" s="17"/>
      <c r="AH83" s="53"/>
    </row>
    <row r="84" spans="1:34" s="16" customFormat="1" x14ac:dyDescent="0.25">
      <c r="A84" s="323"/>
      <c r="B84" s="53"/>
      <c r="C84" s="766"/>
      <c r="D84" s="16" t="s">
        <v>488</v>
      </c>
      <c r="E84" s="16">
        <v>5</v>
      </c>
      <c r="F84" s="16">
        <v>2</v>
      </c>
      <c r="G84" s="16">
        <v>1150</v>
      </c>
      <c r="H84" s="16">
        <v>0</v>
      </c>
      <c r="I84"/>
      <c r="J84"/>
      <c r="K84"/>
      <c r="L84"/>
      <c r="M84"/>
      <c r="N84" s="53">
        <f>1.8 * MIN(6, MAX(E84,F84)) + 0.45 * MIN(6, MIN(E84,F84)) + IF(E84&gt;6, (E84-6)*0.2) + IF(F84&gt;6, (F84-6)*0.2)</f>
        <v>9.9</v>
      </c>
      <c r="O84" s="52"/>
      <c r="P84" s="53"/>
      <c r="Q84" s="747"/>
      <c r="R84" s="65"/>
      <c r="S84" s="65"/>
      <c r="T84" s="65"/>
      <c r="U84" s="65"/>
      <c r="V84" s="65"/>
      <c r="W84" s="65"/>
      <c r="X84" s="65"/>
      <c r="Y84" s="65"/>
      <c r="Z84" s="65"/>
      <c r="AA84" s="65"/>
      <c r="AB84" s="65"/>
      <c r="AC84" s="65"/>
      <c r="AE84" s="17"/>
      <c r="AF84" s="17"/>
      <c r="AG84" s="17"/>
      <c r="AH84" s="53"/>
    </row>
    <row r="85" spans="1:34" x14ac:dyDescent="0.25">
      <c r="A85" s="325" t="s">
        <v>598</v>
      </c>
      <c r="B85" s="74" t="s">
        <v>101</v>
      </c>
      <c r="C85" s="15" t="s">
        <v>60</v>
      </c>
      <c r="D85" s="70" t="s">
        <v>599</v>
      </c>
      <c r="E85" s="15">
        <v>1</v>
      </c>
      <c r="F85" s="15">
        <v>0</v>
      </c>
      <c r="G85" s="15">
        <v>50</v>
      </c>
      <c r="H85" s="15"/>
      <c r="I85" s="15"/>
      <c r="J85" s="15"/>
      <c r="K85" s="15"/>
      <c r="L85" s="15"/>
      <c r="M85" s="15"/>
      <c r="N85" s="74">
        <v>5</v>
      </c>
      <c r="O85" s="15"/>
      <c r="P85" s="15"/>
      <c r="Q85" s="444">
        <v>1.5</v>
      </c>
      <c r="R85" s="100">
        <v>1</v>
      </c>
      <c r="S85" s="100">
        <v>-0.15</v>
      </c>
      <c r="T85" s="100"/>
      <c r="U85" s="100"/>
      <c r="V85" s="100"/>
      <c r="W85" s="100"/>
      <c r="X85" s="100"/>
      <c r="Y85" s="100">
        <v>-0.5</v>
      </c>
      <c r="Z85" s="100"/>
      <c r="AA85" s="100"/>
      <c r="AB85" s="100"/>
      <c r="AC85" s="100"/>
      <c r="AD85" s="15"/>
      <c r="AE85" s="1184"/>
      <c r="AF85" s="1184">
        <v>-0.2</v>
      </c>
      <c r="AG85" s="1184">
        <v>0.1</v>
      </c>
      <c r="AH85" s="101"/>
    </row>
    <row r="86" spans="1:34" x14ac:dyDescent="0.25">
      <c r="B86" s="53"/>
      <c r="C86" s="16"/>
      <c r="D86" s="52" t="s">
        <v>600</v>
      </c>
      <c r="E86" s="16">
        <v>0</v>
      </c>
      <c r="F86" s="16">
        <v>2</v>
      </c>
      <c r="G86" s="16">
        <v>150</v>
      </c>
      <c r="H86" s="107"/>
      <c r="I86" s="107"/>
      <c r="J86" s="107"/>
      <c r="K86" s="107"/>
      <c r="L86" s="107"/>
      <c r="M86" s="107"/>
      <c r="N86" s="53">
        <v>5</v>
      </c>
      <c r="O86" s="16"/>
      <c r="P86" s="16"/>
      <c r="Q86" s="772"/>
      <c r="R86" s="65"/>
      <c r="S86" s="65"/>
      <c r="T86" s="65"/>
      <c r="U86" s="65"/>
      <c r="V86" s="65"/>
      <c r="W86" s="65"/>
      <c r="X86" s="65"/>
      <c r="Y86" s="65"/>
      <c r="Z86" s="65"/>
      <c r="AA86" s="65"/>
      <c r="AB86" s="65"/>
      <c r="AC86" s="65"/>
      <c r="AD86" s="16"/>
      <c r="AE86" s="17"/>
      <c r="AF86" s="17"/>
      <c r="AG86" s="17"/>
      <c r="AH86" s="53"/>
    </row>
    <row r="87" spans="1:34" x14ac:dyDescent="0.25">
      <c r="B87" s="53"/>
      <c r="C87" s="16"/>
      <c r="D87" s="52" t="s">
        <v>601</v>
      </c>
      <c r="E87" s="16">
        <v>0</v>
      </c>
      <c r="F87" s="16">
        <v>3</v>
      </c>
      <c r="G87" s="16">
        <v>320</v>
      </c>
      <c r="H87" s="107"/>
      <c r="I87" s="107"/>
      <c r="J87" s="107"/>
      <c r="K87" s="107"/>
      <c r="L87" s="107"/>
      <c r="M87" s="107"/>
      <c r="N87" s="53">
        <f>1.8 * MIN(6, MAX(E87,F87)) + 0.45 * MIN(6, MIN(E87,F87)) + IF(E87&gt;6, (E87-6)*0.2) + IF(F87&gt;6, (F87-6)*0.2)</f>
        <v>5.4</v>
      </c>
      <c r="O87" s="16"/>
      <c r="P87" s="16"/>
      <c r="Q87" s="772"/>
      <c r="R87" s="65"/>
      <c r="S87" s="65"/>
      <c r="T87" s="65"/>
      <c r="U87" s="65"/>
      <c r="V87" s="65"/>
      <c r="W87" s="65"/>
      <c r="X87" s="65"/>
      <c r="Y87" s="65"/>
      <c r="Z87" s="65"/>
      <c r="AA87" s="65"/>
      <c r="AB87" s="65"/>
      <c r="AC87" s="65"/>
      <c r="AD87" s="16"/>
      <c r="AE87" s="17"/>
      <c r="AF87" s="17"/>
      <c r="AG87" s="17"/>
      <c r="AH87" s="53"/>
    </row>
    <row r="88" spans="1:34" x14ac:dyDescent="0.25">
      <c r="A88" s="324"/>
      <c r="B88" s="75"/>
      <c r="C88" s="25"/>
      <c r="D88" s="72" t="s">
        <v>602</v>
      </c>
      <c r="E88" s="25">
        <v>2</v>
      </c>
      <c r="F88" s="25">
        <v>2</v>
      </c>
      <c r="G88" s="25">
        <v>500</v>
      </c>
      <c r="H88" s="25"/>
      <c r="I88" s="16"/>
      <c r="J88" s="16"/>
      <c r="K88" s="16"/>
      <c r="L88" s="16"/>
      <c r="M88" s="16"/>
      <c r="N88" s="53">
        <f>1.8 * MIN(6, MAX(E88,F88)) + 0.45 * MIN(6, MIN(E88,F88)) + IF(E88&gt;6, (E88-6)*0.2) + IF(F88&gt;6, (F88-6)*0.2)</f>
        <v>4.5</v>
      </c>
      <c r="O88" s="25"/>
      <c r="P88" s="25"/>
      <c r="Q88" s="773"/>
      <c r="R88" s="102"/>
      <c r="S88" s="102"/>
      <c r="T88" s="102"/>
      <c r="U88" s="102"/>
      <c r="V88" s="102"/>
      <c r="W88" s="102"/>
      <c r="X88" s="102"/>
      <c r="Y88" s="102"/>
      <c r="Z88" s="102"/>
      <c r="AA88" s="102"/>
      <c r="AB88" s="102"/>
      <c r="AC88" s="102"/>
      <c r="AD88" s="1344"/>
      <c r="AE88" s="1151"/>
      <c r="AF88" s="1151"/>
      <c r="AG88" s="1151"/>
      <c r="AH88" s="75"/>
    </row>
    <row r="89" spans="1:34" x14ac:dyDescent="0.25">
      <c r="A89" s="325" t="s">
        <v>603</v>
      </c>
      <c r="B89" s="74" t="s">
        <v>101</v>
      </c>
      <c r="C89" s="15" t="s">
        <v>65</v>
      </c>
      <c r="D89" s="70" t="s">
        <v>604</v>
      </c>
      <c r="E89" s="15">
        <v>3</v>
      </c>
      <c r="F89" s="15">
        <v>3</v>
      </c>
      <c r="G89" s="15">
        <v>350</v>
      </c>
      <c r="H89" s="15">
        <v>10</v>
      </c>
      <c r="I89" s="15"/>
      <c r="J89" s="15"/>
      <c r="K89" s="15"/>
      <c r="L89" s="15"/>
      <c r="M89" s="15"/>
      <c r="N89" s="74">
        <v>5</v>
      </c>
      <c r="O89" s="15"/>
      <c r="P89" s="15"/>
      <c r="Q89" s="444">
        <v>-0.1</v>
      </c>
      <c r="R89" s="100"/>
      <c r="S89" s="100">
        <v>0.05</v>
      </c>
      <c r="T89" s="100"/>
      <c r="U89" s="100"/>
      <c r="V89" s="100"/>
      <c r="W89" s="100"/>
      <c r="X89" s="100"/>
      <c r="Y89" s="100"/>
      <c r="Z89" s="100"/>
      <c r="AA89" s="100"/>
      <c r="AB89" s="100"/>
      <c r="AC89" s="100"/>
      <c r="AD89" s="15"/>
      <c r="AE89" s="1184"/>
      <c r="AF89" s="1184"/>
      <c r="AG89" s="1184"/>
      <c r="AH89" s="101">
        <v>0.25</v>
      </c>
    </row>
    <row r="90" spans="1:34" x14ac:dyDescent="0.25">
      <c r="B90" s="53"/>
      <c r="C90" s="16"/>
      <c r="D90" s="52" t="s">
        <v>605</v>
      </c>
      <c r="E90" s="107">
        <v>5</v>
      </c>
      <c r="F90" s="107">
        <v>4</v>
      </c>
      <c r="G90" s="107">
        <v>800</v>
      </c>
      <c r="H90" s="107">
        <v>25</v>
      </c>
      <c r="I90" s="16"/>
      <c r="J90" s="16"/>
      <c r="K90" s="16"/>
      <c r="L90" s="16"/>
      <c r="M90" s="16"/>
      <c r="N90" s="53">
        <v>5</v>
      </c>
      <c r="O90" s="16"/>
      <c r="P90" s="16"/>
      <c r="Q90" s="772"/>
      <c r="R90" s="65"/>
      <c r="S90" s="65"/>
      <c r="T90" s="65"/>
      <c r="U90" s="65"/>
      <c r="V90" s="65"/>
      <c r="W90" s="65"/>
      <c r="X90" s="65"/>
      <c r="Y90" s="65"/>
      <c r="Z90" s="65"/>
      <c r="AA90" s="65"/>
      <c r="AB90" s="65"/>
      <c r="AC90" s="65"/>
      <c r="AD90" s="16"/>
      <c r="AE90" s="17"/>
      <c r="AF90" s="17"/>
      <c r="AG90" s="17"/>
      <c r="AH90" s="53"/>
    </row>
    <row r="91" spans="1:34" x14ac:dyDescent="0.25">
      <c r="B91" s="53"/>
      <c r="C91" s="16"/>
      <c r="D91" s="52" t="s">
        <v>606</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2"/>
      <c r="R91" s="65"/>
      <c r="S91" s="65"/>
      <c r="T91" s="65"/>
      <c r="U91" s="65"/>
      <c r="V91" s="65"/>
      <c r="W91" s="65"/>
      <c r="X91" s="65"/>
      <c r="Y91" s="65"/>
      <c r="Z91" s="65"/>
      <c r="AA91" s="65"/>
      <c r="AB91" s="65"/>
      <c r="AC91" s="65"/>
      <c r="AD91" s="16"/>
      <c r="AE91" s="17"/>
      <c r="AF91" s="17"/>
      <c r="AG91" s="17"/>
      <c r="AH91" s="53"/>
    </row>
    <row r="92" spans="1:34" x14ac:dyDescent="0.25">
      <c r="B92" s="53"/>
      <c r="C92" s="16"/>
      <c r="D92" s="52" t="s">
        <v>607</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3"/>
      <c r="R92" s="102"/>
      <c r="S92" s="102"/>
      <c r="T92" s="102"/>
      <c r="U92" s="102"/>
      <c r="V92" s="102"/>
      <c r="W92" s="102"/>
      <c r="X92" s="102"/>
      <c r="Y92" s="102"/>
      <c r="Z92" s="102"/>
      <c r="AA92" s="102"/>
      <c r="AB92" s="102"/>
      <c r="AC92" s="102"/>
      <c r="AD92" s="25"/>
      <c r="AE92" s="1151"/>
      <c r="AF92" s="1151"/>
      <c r="AG92" s="1151"/>
      <c r="AH92" s="75"/>
    </row>
    <row r="93" spans="1:34" x14ac:dyDescent="0.25">
      <c r="A93" s="325" t="s">
        <v>608</v>
      </c>
      <c r="B93" s="74" t="s">
        <v>101</v>
      </c>
      <c r="C93" s="15" t="s">
        <v>60</v>
      </c>
      <c r="D93" s="70" t="s">
        <v>609</v>
      </c>
      <c r="E93" s="15">
        <v>3</v>
      </c>
      <c r="F93" s="15">
        <v>0</v>
      </c>
      <c r="G93" s="15">
        <v>265</v>
      </c>
      <c r="H93" s="15">
        <v>25</v>
      </c>
      <c r="I93" s="15"/>
      <c r="J93" s="15"/>
      <c r="K93" s="15"/>
      <c r="L93" s="15"/>
      <c r="M93" s="15"/>
      <c r="N93" s="74">
        <v>5</v>
      </c>
      <c r="O93" s="15"/>
      <c r="P93" s="15"/>
      <c r="Q93" s="772"/>
      <c r="R93" s="65"/>
      <c r="S93" s="65"/>
      <c r="T93" s="65"/>
      <c r="U93" s="65"/>
      <c r="V93" s="65"/>
      <c r="W93" s="65"/>
      <c r="X93" s="65"/>
      <c r="Y93" s="65"/>
      <c r="Z93" s="65"/>
      <c r="AA93" s="65"/>
      <c r="AB93" s="65"/>
      <c r="AC93" s="65"/>
      <c r="AD93" s="16"/>
      <c r="AE93" s="17"/>
      <c r="AF93" s="17"/>
      <c r="AG93" s="17"/>
      <c r="AH93" s="53"/>
    </row>
    <row r="94" spans="1:34" x14ac:dyDescent="0.25">
      <c r="B94" s="53"/>
      <c r="C94" s="16"/>
      <c r="D94" s="52" t="s">
        <v>610</v>
      </c>
      <c r="E94" s="107">
        <v>0</v>
      </c>
      <c r="F94" s="107">
        <v>4</v>
      </c>
      <c r="G94" s="107">
        <v>325</v>
      </c>
      <c r="H94" s="107">
        <v>25</v>
      </c>
      <c r="I94" s="16"/>
      <c r="J94" s="16"/>
      <c r="K94" s="16"/>
      <c r="L94" s="16"/>
      <c r="M94" s="16"/>
      <c r="N94" s="53">
        <v>5</v>
      </c>
      <c r="O94" s="16"/>
      <c r="P94" s="16"/>
      <c r="Q94" s="772"/>
      <c r="R94" s="65"/>
      <c r="S94" s="65"/>
      <c r="T94" s="65"/>
      <c r="U94" s="65"/>
      <c r="V94" s="65"/>
      <c r="W94" s="65"/>
      <c r="X94" s="65"/>
      <c r="Y94" s="65"/>
      <c r="Z94" s="65"/>
      <c r="AA94" s="65"/>
      <c r="AB94" s="65"/>
      <c r="AC94" s="65"/>
      <c r="AD94" s="16"/>
      <c r="AE94" s="17"/>
      <c r="AF94" s="17"/>
      <c r="AG94" s="17"/>
      <c r="AH94" s="53"/>
    </row>
    <row r="95" spans="1:34" x14ac:dyDescent="0.25">
      <c r="B95" s="53"/>
      <c r="C95" s="16"/>
      <c r="D95" s="52" t="s">
        <v>611</v>
      </c>
      <c r="E95" s="107">
        <v>1</v>
      </c>
      <c r="F95" s="107">
        <v>3</v>
      </c>
      <c r="G95" s="107">
        <v>1000</v>
      </c>
      <c r="H95" s="16"/>
      <c r="I95" s="16"/>
      <c r="J95" s="16"/>
      <c r="K95" s="16"/>
      <c r="L95" s="16"/>
      <c r="M95" s="16"/>
      <c r="N95" s="53">
        <f>1.8 * MIN(6, MAX(E95,F95)) + 0.45 * MIN(6, MIN(E95,F95)) + IF(E95&gt;6, (E95-6)*0.2) + IF(F95&gt;6, (F95-6)*0.2)</f>
        <v>5.8500000000000005</v>
      </c>
      <c r="O95" s="16"/>
      <c r="P95" s="16"/>
      <c r="Q95" s="772"/>
      <c r="R95" s="65"/>
      <c r="S95" s="65"/>
      <c r="T95" s="65"/>
      <c r="U95" s="65"/>
      <c r="V95" s="65"/>
      <c r="W95" s="65"/>
      <c r="X95" s="65"/>
      <c r="Y95" s="65"/>
      <c r="Z95" s="65"/>
      <c r="AA95" s="65"/>
      <c r="AB95" s="65"/>
      <c r="AC95" s="65"/>
      <c r="AD95" s="16"/>
      <c r="AE95" s="17"/>
      <c r="AF95" s="17"/>
      <c r="AG95" s="17"/>
      <c r="AH95" s="53"/>
    </row>
    <row r="96" spans="1:34" x14ac:dyDescent="0.25">
      <c r="A96" s="324"/>
      <c r="B96" s="75"/>
      <c r="C96" s="25"/>
      <c r="D96" s="52" t="s">
        <v>612</v>
      </c>
      <c r="E96" s="16">
        <v>4</v>
      </c>
      <c r="F96" s="16">
        <v>1</v>
      </c>
      <c r="G96" s="16">
        <v>1200</v>
      </c>
      <c r="H96" s="16">
        <v>90</v>
      </c>
      <c r="I96" s="16"/>
      <c r="J96" s="16"/>
      <c r="K96" s="16"/>
      <c r="L96" s="16"/>
      <c r="M96" s="16"/>
      <c r="N96" s="53">
        <f>1.8 * MIN(6, MAX(E96,F96)) + 0.45 * MIN(6, MIN(E96,F96)) + IF(E96&gt;6, (E96-6)*0.2) + IF(F96&gt;6, (F96-6)*0.2)</f>
        <v>7.65</v>
      </c>
      <c r="O96" s="25"/>
      <c r="P96" s="25"/>
      <c r="Q96" s="773"/>
      <c r="R96" s="102"/>
      <c r="S96" s="102"/>
      <c r="T96" s="102"/>
      <c r="U96" s="102"/>
      <c r="V96" s="102"/>
      <c r="W96" s="102"/>
      <c r="X96" s="102"/>
      <c r="Y96" s="102"/>
      <c r="Z96" s="102"/>
      <c r="AA96" s="102"/>
      <c r="AB96" s="102"/>
      <c r="AC96" s="102"/>
      <c r="AD96" s="25"/>
      <c r="AE96" s="1151"/>
      <c r="AF96" s="1151"/>
      <c r="AG96" s="1151"/>
      <c r="AH96" s="75"/>
    </row>
    <row r="97" spans="1:34" x14ac:dyDescent="0.25">
      <c r="A97" s="325" t="s">
        <v>613</v>
      </c>
      <c r="B97" s="74" t="s">
        <v>101</v>
      </c>
      <c r="C97" s="15" t="s">
        <v>65</v>
      </c>
      <c r="D97" s="70" t="s">
        <v>614</v>
      </c>
      <c r="E97" s="15">
        <v>0</v>
      </c>
      <c r="F97" s="15">
        <v>0</v>
      </c>
      <c r="G97" s="15">
        <v>250</v>
      </c>
      <c r="H97" s="15"/>
      <c r="I97" s="15"/>
      <c r="J97" s="15"/>
      <c r="K97" s="15">
        <v>25</v>
      </c>
      <c r="L97" s="15"/>
      <c r="M97" s="15"/>
      <c r="N97" s="74">
        <v>5</v>
      </c>
      <c r="O97" s="15"/>
      <c r="P97" s="15"/>
      <c r="Q97" s="772">
        <v>0.05</v>
      </c>
      <c r="R97" s="65"/>
      <c r="S97" s="65">
        <v>-0.1</v>
      </c>
      <c r="T97" s="65"/>
      <c r="U97" s="65"/>
      <c r="V97" s="65">
        <v>0.1</v>
      </c>
      <c r="W97" s="65"/>
      <c r="X97" s="65"/>
      <c r="Y97" s="65">
        <v>-0.5</v>
      </c>
      <c r="Z97" s="65"/>
      <c r="AA97" s="65"/>
      <c r="AB97" s="65"/>
      <c r="AC97" s="65"/>
      <c r="AD97" s="65">
        <v>-0.1</v>
      </c>
      <c r="AE97" s="17"/>
      <c r="AF97" s="17"/>
      <c r="AG97" s="17"/>
      <c r="AH97" s="53"/>
    </row>
    <row r="98" spans="1:34" x14ac:dyDescent="0.25">
      <c r="B98" s="53"/>
      <c r="C98" s="16"/>
      <c r="D98" s="52" t="s">
        <v>615</v>
      </c>
      <c r="E98" s="107">
        <v>0</v>
      </c>
      <c r="F98" s="107">
        <v>4</v>
      </c>
      <c r="G98" s="16"/>
      <c r="H98" s="16"/>
      <c r="I98" s="16"/>
      <c r="J98" s="16">
        <v>1</v>
      </c>
      <c r="K98" s="16">
        <v>50</v>
      </c>
      <c r="L98" s="16"/>
      <c r="M98" s="16">
        <v>1</v>
      </c>
      <c r="N98" s="53">
        <v>5</v>
      </c>
      <c r="O98" s="16"/>
      <c r="P98" s="16"/>
      <c r="Q98" s="772"/>
      <c r="R98" s="65"/>
      <c r="S98" s="65"/>
      <c r="T98" s="65"/>
      <c r="U98" s="65"/>
      <c r="V98" s="65"/>
      <c r="W98" s="65"/>
      <c r="X98" s="65"/>
      <c r="Y98" s="65"/>
      <c r="Z98" s="65"/>
      <c r="AA98" s="65"/>
      <c r="AB98" s="65"/>
      <c r="AC98" s="65"/>
      <c r="AD98" s="16"/>
      <c r="AE98" s="17"/>
      <c r="AF98" s="17"/>
      <c r="AG98" s="17"/>
      <c r="AH98" s="53"/>
    </row>
    <row r="99" spans="1:34" x14ac:dyDescent="0.25">
      <c r="B99" s="53"/>
      <c r="C99" s="16"/>
      <c r="D99" s="52" t="s">
        <v>616</v>
      </c>
      <c r="E99" s="107">
        <v>4</v>
      </c>
      <c r="F99" s="107">
        <v>0</v>
      </c>
      <c r="G99" s="16"/>
      <c r="H99" s="16"/>
      <c r="I99" s="16"/>
      <c r="J99" s="16">
        <v>1</v>
      </c>
      <c r="K99" s="16">
        <v>50</v>
      </c>
      <c r="L99" s="16"/>
      <c r="M99" s="16">
        <v>1</v>
      </c>
      <c r="N99" s="53">
        <f>1.8 * MIN(6, MAX(E99,F99)) + 0.45 * MIN(6, MIN(E99,F99)) + IF(E99&gt;6, (E99-6)*0.2) + IF(F99&gt;6, (F99-6)*0.2)</f>
        <v>7.2</v>
      </c>
      <c r="O99" s="16"/>
      <c r="P99" s="16"/>
      <c r="Q99" s="772"/>
      <c r="R99" s="65"/>
      <c r="S99" s="65"/>
      <c r="T99" s="65"/>
      <c r="U99" s="65"/>
      <c r="V99" s="65"/>
      <c r="W99" s="65"/>
      <c r="X99" s="65"/>
      <c r="Y99" s="65"/>
      <c r="Z99" s="65"/>
      <c r="AA99" s="65"/>
      <c r="AB99" s="65"/>
      <c r="AC99" s="65"/>
      <c r="AD99" s="16"/>
      <c r="AE99" s="17"/>
      <c r="AF99" s="17"/>
      <c r="AG99" s="17"/>
      <c r="AH99" s="53"/>
    </row>
    <row r="100" spans="1:34" x14ac:dyDescent="0.25">
      <c r="A100" s="324"/>
      <c r="B100" s="75"/>
      <c r="C100" s="25"/>
      <c r="D100" s="72" t="s">
        <v>617</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3"/>
      <c r="R100" s="102"/>
      <c r="S100" s="102"/>
      <c r="T100" s="102"/>
      <c r="U100" s="102"/>
      <c r="V100" s="102"/>
      <c r="W100" s="102"/>
      <c r="X100" s="102"/>
      <c r="Y100" s="102"/>
      <c r="Z100" s="102"/>
      <c r="AA100" s="102"/>
      <c r="AB100" s="102"/>
      <c r="AC100" s="102"/>
      <c r="AD100" s="25"/>
      <c r="AE100" s="1151"/>
      <c r="AF100" s="1151"/>
      <c r="AG100" s="1151"/>
      <c r="AH100" s="75"/>
    </row>
    <row r="101" spans="1:34" x14ac:dyDescent="0.25">
      <c r="A101" s="325" t="s">
        <v>618</v>
      </c>
      <c r="B101" s="74" t="s">
        <v>101</v>
      </c>
      <c r="C101" s="301" t="s">
        <v>257</v>
      </c>
      <c r="D101" s="15" t="s">
        <v>619</v>
      </c>
      <c r="E101" s="15">
        <v>4</v>
      </c>
      <c r="F101" s="15">
        <v>0</v>
      </c>
      <c r="G101" s="15">
        <v>350</v>
      </c>
      <c r="H101" s="15">
        <v>10</v>
      </c>
      <c r="I101" s="15"/>
      <c r="J101" s="15"/>
      <c r="K101" s="15"/>
      <c r="L101" s="15"/>
      <c r="M101" s="15"/>
      <c r="N101" s="74">
        <v>5</v>
      </c>
      <c r="O101" s="15"/>
      <c r="P101" s="15"/>
      <c r="Q101" s="444"/>
      <c r="R101" s="100"/>
      <c r="S101" s="100"/>
      <c r="T101" s="100"/>
      <c r="U101" s="100">
        <v>0.1</v>
      </c>
      <c r="V101" s="100"/>
      <c r="W101" s="100"/>
      <c r="X101" s="100"/>
      <c r="Y101" s="100"/>
      <c r="Z101" s="100"/>
      <c r="AA101" s="100"/>
      <c r="AB101" s="100"/>
      <c r="AC101" s="100"/>
      <c r="AD101" s="15"/>
      <c r="AE101" s="1184"/>
      <c r="AF101" s="1184"/>
      <c r="AG101" s="1184"/>
      <c r="AH101" s="101">
        <v>0.1</v>
      </c>
    </row>
    <row r="102" spans="1:34" x14ac:dyDescent="0.25">
      <c r="B102" s="53"/>
      <c r="C102" s="63"/>
      <c r="D102" s="16" t="s">
        <v>620</v>
      </c>
      <c r="E102" s="107">
        <v>0</v>
      </c>
      <c r="F102" s="107">
        <v>3</v>
      </c>
      <c r="G102" s="107">
        <v>350</v>
      </c>
      <c r="H102" s="107">
        <v>50</v>
      </c>
      <c r="I102" s="16"/>
      <c r="J102" s="16"/>
      <c r="K102" s="107">
        <v>10</v>
      </c>
      <c r="L102" s="107"/>
      <c r="M102" s="16"/>
      <c r="N102" s="53">
        <v>5</v>
      </c>
      <c r="O102" s="16"/>
      <c r="P102" s="16"/>
      <c r="Q102" s="772"/>
      <c r="R102" s="65"/>
      <c r="S102" s="65"/>
      <c r="T102" s="65"/>
      <c r="U102" s="65"/>
      <c r="V102" s="65"/>
      <c r="W102" s="65"/>
      <c r="X102" s="65"/>
      <c r="Y102" s="65"/>
      <c r="Z102" s="65"/>
      <c r="AA102" s="65"/>
      <c r="AB102" s="65"/>
      <c r="AC102" s="65"/>
      <c r="AD102" s="16"/>
      <c r="AE102" s="17"/>
      <c r="AF102" s="17"/>
      <c r="AG102" s="17"/>
      <c r="AH102" s="53"/>
    </row>
    <row r="103" spans="1:34" x14ac:dyDescent="0.25">
      <c r="B103" s="53"/>
      <c r="C103" s="63"/>
      <c r="D103" s="1345" t="s">
        <v>621</v>
      </c>
      <c r="E103" s="107">
        <v>4</v>
      </c>
      <c r="F103" s="107">
        <v>6</v>
      </c>
      <c r="G103" s="107">
        <v>1000</v>
      </c>
      <c r="H103" s="107">
        <v>200</v>
      </c>
      <c r="I103" s="16"/>
      <c r="J103" s="16"/>
      <c r="K103" s="107">
        <v>25</v>
      </c>
      <c r="L103" s="107"/>
      <c r="M103" s="16"/>
      <c r="N103" s="53">
        <f>1.8 * MIN(6, MAX(E103,F103)) + 0.45 * MIN(6, MIN(E103,F103)) + IF(E103&gt;6, (E103-6)*0.2) + IF(F103&gt;6, (F103-6)*0.2)</f>
        <v>12.600000000000001</v>
      </c>
      <c r="O103" s="16"/>
      <c r="P103" s="16"/>
      <c r="Q103" s="772"/>
      <c r="R103" s="65"/>
      <c r="S103" s="65"/>
      <c r="T103" s="65"/>
      <c r="U103" s="65"/>
      <c r="V103" s="65"/>
      <c r="W103" s="65"/>
      <c r="X103" s="65"/>
      <c r="Y103" s="65"/>
      <c r="Z103" s="65"/>
      <c r="AA103" s="65"/>
      <c r="AB103" s="65"/>
      <c r="AC103" s="65"/>
      <c r="AD103" s="16"/>
      <c r="AE103" s="17"/>
      <c r="AF103" s="17"/>
      <c r="AG103" s="17"/>
      <c r="AH103" s="53"/>
    </row>
    <row r="104" spans="1:34" x14ac:dyDescent="0.25">
      <c r="B104" s="53"/>
      <c r="C104" s="298"/>
      <c r="D104" t="s">
        <v>622</v>
      </c>
      <c r="E104" s="107">
        <v>12</v>
      </c>
      <c r="F104" s="107">
        <v>0</v>
      </c>
      <c r="G104" s="16"/>
      <c r="H104" s="16"/>
      <c r="I104" s="16"/>
      <c r="J104" s="16"/>
      <c r="K104" s="16"/>
      <c r="L104" s="16"/>
      <c r="M104" s="16">
        <v>1</v>
      </c>
      <c r="N104" s="53">
        <f>1.8 * MIN(6, MAX(E104,F104)) + 0.45 * MIN(6, MIN(E104,F104)) + IF(E104&gt;6, (E104-6)*0.2) + IF(F104&gt;6, (F104-6)*0.2)</f>
        <v>12</v>
      </c>
      <c r="O104" s="16"/>
      <c r="P104" s="16"/>
      <c r="Q104" s="773"/>
      <c r="R104" s="102"/>
      <c r="S104" s="102"/>
      <c r="T104" s="102"/>
      <c r="U104" s="102"/>
      <c r="V104" s="102"/>
      <c r="W104" s="102"/>
      <c r="X104" s="102"/>
      <c r="Y104" s="102"/>
      <c r="Z104" s="102"/>
      <c r="AA104" s="102"/>
      <c r="AB104" s="102"/>
      <c r="AC104" s="102"/>
      <c r="AD104" s="25"/>
      <c r="AE104" s="1151"/>
      <c r="AF104" s="1151"/>
      <c r="AG104" s="1151"/>
      <c r="AH104" s="75"/>
    </row>
    <row r="105" spans="1:34" x14ac:dyDescent="0.25">
      <c r="A105" s="325" t="s">
        <v>623</v>
      </c>
      <c r="B105" s="74" t="s">
        <v>101</v>
      </c>
      <c r="C105" s="15" t="s">
        <v>257</v>
      </c>
      <c r="D105" s="70" t="s">
        <v>624</v>
      </c>
      <c r="E105" s="15">
        <v>3</v>
      </c>
      <c r="F105" s="15">
        <v>0</v>
      </c>
      <c r="G105" s="15">
        <v>100</v>
      </c>
      <c r="H105" s="15"/>
      <c r="I105" s="15"/>
      <c r="J105" s="15"/>
      <c r="K105" s="15"/>
      <c r="L105" s="15"/>
      <c r="M105" s="15"/>
      <c r="N105" s="74">
        <v>5</v>
      </c>
      <c r="O105" s="15"/>
      <c r="P105" s="15"/>
      <c r="Q105" s="772">
        <v>-0.05</v>
      </c>
      <c r="R105" s="65">
        <v>-0.15</v>
      </c>
      <c r="S105" s="65"/>
      <c r="T105" s="65">
        <v>0.05</v>
      </c>
      <c r="U105" s="65"/>
      <c r="V105" s="65"/>
      <c r="W105" s="65"/>
      <c r="X105" s="65"/>
      <c r="Y105" s="65"/>
      <c r="Z105" s="65"/>
      <c r="AA105" s="65"/>
      <c r="AB105" s="65"/>
      <c r="AC105" s="65"/>
      <c r="AD105" s="16"/>
      <c r="AE105" s="17"/>
      <c r="AF105" s="17"/>
      <c r="AG105" s="17"/>
      <c r="AH105" s="53"/>
    </row>
    <row r="106" spans="1:34" x14ac:dyDescent="0.25">
      <c r="B106" s="53"/>
      <c r="C106" s="16"/>
      <c r="D106" s="52" t="s">
        <v>625</v>
      </c>
      <c r="E106" s="107">
        <v>0</v>
      </c>
      <c r="F106" s="107">
        <v>3</v>
      </c>
      <c r="G106" s="107">
        <v>275</v>
      </c>
      <c r="H106" s="107">
        <v>25</v>
      </c>
      <c r="I106" s="16"/>
      <c r="J106" s="16"/>
      <c r="K106" s="16"/>
      <c r="L106" s="16"/>
      <c r="M106" s="16"/>
      <c r="N106" s="53">
        <v>5</v>
      </c>
      <c r="O106" s="16"/>
      <c r="P106" s="16"/>
      <c r="Q106" s="772"/>
      <c r="R106" s="65"/>
      <c r="S106" s="65"/>
      <c r="T106" s="65"/>
      <c r="U106" s="65"/>
      <c r="V106" s="65"/>
      <c r="W106" s="65"/>
      <c r="X106" s="65"/>
      <c r="Y106" s="65"/>
      <c r="Z106" s="65"/>
      <c r="AA106" s="65"/>
      <c r="AB106" s="65"/>
      <c r="AC106" s="65"/>
      <c r="AD106" s="16"/>
      <c r="AE106" s="17"/>
      <c r="AF106" s="17"/>
      <c r="AG106" s="17"/>
      <c r="AH106" s="53"/>
    </row>
    <row r="107" spans="1:34" x14ac:dyDescent="0.25">
      <c r="B107" s="53"/>
      <c r="C107" s="16"/>
      <c r="D107" s="52" t="s">
        <v>626</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2"/>
      <c r="R107" s="65"/>
      <c r="S107" s="65"/>
      <c r="T107" s="65"/>
      <c r="U107" s="65"/>
      <c r="V107" s="65"/>
      <c r="W107" s="65"/>
      <c r="X107" s="65"/>
      <c r="Y107" s="65"/>
      <c r="Z107" s="65"/>
      <c r="AA107" s="65"/>
      <c r="AB107" s="65"/>
      <c r="AC107" s="65"/>
      <c r="AD107" s="16"/>
      <c r="AE107" s="17"/>
      <c r="AF107" s="17"/>
      <c r="AG107" s="17"/>
      <c r="AH107" s="53"/>
    </row>
    <row r="108" spans="1:34" x14ac:dyDescent="0.25">
      <c r="A108" s="324"/>
      <c r="B108" s="75"/>
      <c r="C108" s="25"/>
      <c r="D108" s="52" t="s">
        <v>627</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3"/>
      <c r="R108" s="102"/>
      <c r="S108" s="102"/>
      <c r="T108" s="102"/>
      <c r="U108" s="102"/>
      <c r="V108" s="102"/>
      <c r="W108" s="102"/>
      <c r="X108" s="102"/>
      <c r="Y108" s="102"/>
      <c r="Z108" s="102"/>
      <c r="AA108" s="102"/>
      <c r="AB108" s="102"/>
      <c r="AC108" s="102"/>
      <c r="AD108" s="25"/>
      <c r="AE108" s="1151"/>
      <c r="AF108" s="1151"/>
      <c r="AG108" s="1151"/>
      <c r="AH108" s="75"/>
    </row>
    <row r="109" spans="1:34" x14ac:dyDescent="0.25">
      <c r="A109" s="325" t="s">
        <v>629</v>
      </c>
      <c r="B109" s="74" t="s">
        <v>101</v>
      </c>
      <c r="C109" s="15" t="s">
        <v>258</v>
      </c>
      <c r="D109" s="70" t="s">
        <v>630</v>
      </c>
      <c r="E109" s="15">
        <v>3</v>
      </c>
      <c r="F109" s="15">
        <v>0</v>
      </c>
      <c r="G109" s="15">
        <v>350</v>
      </c>
      <c r="H109" s="15">
        <v>35</v>
      </c>
      <c r="I109" s="15"/>
      <c r="J109" s="15"/>
      <c r="K109" s="15"/>
      <c r="L109" s="15"/>
      <c r="M109" s="15"/>
      <c r="N109" s="74">
        <v>5</v>
      </c>
      <c r="O109" s="15"/>
      <c r="P109" s="15"/>
      <c r="Q109" s="772"/>
      <c r="R109" s="65"/>
      <c r="S109" s="65"/>
      <c r="T109" s="65"/>
      <c r="U109" s="65"/>
      <c r="V109" s="65"/>
      <c r="W109" s="65"/>
      <c r="X109" s="65">
        <v>0.05</v>
      </c>
      <c r="Y109" s="65"/>
      <c r="Z109" s="65"/>
      <c r="AA109" s="65"/>
      <c r="AB109" s="65"/>
      <c r="AC109" s="65"/>
      <c r="AD109" s="16"/>
      <c r="AE109" s="17"/>
      <c r="AF109" s="17"/>
      <c r="AG109" s="17"/>
      <c r="AH109" s="53"/>
    </row>
    <row r="110" spans="1:34" x14ac:dyDescent="0.25">
      <c r="B110" s="53"/>
      <c r="C110" s="16"/>
      <c r="D110" s="52" t="s">
        <v>631</v>
      </c>
      <c r="E110" s="107">
        <v>0</v>
      </c>
      <c r="F110" s="107">
        <v>1</v>
      </c>
      <c r="G110" s="107">
        <v>0</v>
      </c>
      <c r="H110" s="16"/>
      <c r="I110" s="16"/>
      <c r="J110" s="16"/>
      <c r="K110" s="16"/>
      <c r="L110" s="16"/>
      <c r="M110" s="16"/>
      <c r="N110" s="53">
        <v>5</v>
      </c>
      <c r="O110" s="16"/>
      <c r="P110" s="16"/>
      <c r="Q110" s="772"/>
      <c r="R110" s="65"/>
      <c r="S110" s="65"/>
      <c r="T110" s="65"/>
      <c r="U110" s="65"/>
      <c r="V110" s="65"/>
      <c r="W110" s="65"/>
      <c r="X110" s="65"/>
      <c r="Y110" s="65"/>
      <c r="Z110" s="65"/>
      <c r="AA110" s="65"/>
      <c r="AB110" s="65"/>
      <c r="AC110" s="65"/>
      <c r="AD110" s="16"/>
      <c r="AE110" s="17"/>
      <c r="AF110" s="17"/>
      <c r="AG110" s="17"/>
      <c r="AH110" s="53"/>
    </row>
    <row r="111" spans="1:34" x14ac:dyDescent="0.25">
      <c r="B111" s="53"/>
      <c r="C111" s="16"/>
      <c r="D111" s="52" t="s">
        <v>632</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2"/>
      <c r="R111" s="65"/>
      <c r="S111" s="65"/>
      <c r="T111" s="65"/>
      <c r="U111" s="65"/>
      <c r="V111" s="65"/>
      <c r="W111" s="65"/>
      <c r="X111" s="65"/>
      <c r="Y111" s="65"/>
      <c r="Z111" s="65"/>
      <c r="AA111" s="65"/>
      <c r="AB111" s="65"/>
      <c r="AC111" s="65"/>
      <c r="AD111" s="16"/>
      <c r="AE111" s="17"/>
      <c r="AF111" s="17"/>
      <c r="AG111" s="17"/>
      <c r="AH111" s="53"/>
    </row>
    <row r="112" spans="1:34" x14ac:dyDescent="0.25">
      <c r="A112" s="324"/>
      <c r="B112" s="75"/>
      <c r="C112" s="25"/>
      <c r="D112" s="72" t="s">
        <v>633</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3"/>
      <c r="R112" s="102"/>
      <c r="S112" s="102"/>
      <c r="T112" s="102"/>
      <c r="U112" s="102"/>
      <c r="V112" s="102"/>
      <c r="W112" s="102"/>
      <c r="X112" s="102"/>
      <c r="Y112" s="102"/>
      <c r="Z112" s="102"/>
      <c r="AA112" s="102"/>
      <c r="AB112" s="102"/>
      <c r="AC112" s="102"/>
      <c r="AD112" s="25"/>
      <c r="AE112" s="1151"/>
      <c r="AF112" s="1151"/>
      <c r="AG112" s="1151"/>
      <c r="AH112" s="75"/>
    </row>
    <row r="113" spans="1:34" x14ac:dyDescent="0.25">
      <c r="A113" s="325" t="s">
        <v>634</v>
      </c>
      <c r="B113" s="74" t="s">
        <v>30</v>
      </c>
      <c r="C113" s="15" t="s">
        <v>258</v>
      </c>
      <c r="D113" s="70" t="s">
        <v>635</v>
      </c>
      <c r="E113" s="15">
        <v>2</v>
      </c>
      <c r="F113" s="15">
        <v>0</v>
      </c>
      <c r="G113" s="15">
        <v>180</v>
      </c>
      <c r="H113" s="15">
        <v>5</v>
      </c>
      <c r="I113" s="15"/>
      <c r="J113" s="15"/>
      <c r="K113" s="15"/>
      <c r="L113" s="15"/>
      <c r="M113" s="15"/>
      <c r="N113" s="74">
        <v>5</v>
      </c>
      <c r="O113" s="15"/>
      <c r="P113" s="15"/>
      <c r="Q113" s="444">
        <v>0.1</v>
      </c>
      <c r="R113" s="100">
        <v>-0.05</v>
      </c>
      <c r="S113" s="100"/>
      <c r="T113" s="100"/>
      <c r="U113" s="100"/>
      <c r="V113" s="100"/>
      <c r="W113" s="100"/>
      <c r="X113" s="100"/>
      <c r="Y113" s="100"/>
      <c r="Z113" s="100"/>
      <c r="AA113" s="100"/>
      <c r="AB113" s="100"/>
      <c r="AC113" s="100"/>
      <c r="AD113" s="15"/>
      <c r="AE113" s="1184"/>
      <c r="AF113" s="1184"/>
      <c r="AG113" s="1184"/>
      <c r="AH113" s="74"/>
    </row>
    <row r="114" spans="1:34" x14ac:dyDescent="0.25">
      <c r="B114" s="53"/>
      <c r="C114" s="16"/>
      <c r="D114" s="52" t="s">
        <v>636</v>
      </c>
      <c r="E114" s="107">
        <v>0</v>
      </c>
      <c r="F114" s="107">
        <v>3</v>
      </c>
      <c r="G114" s="107">
        <v>300</v>
      </c>
      <c r="H114" s="16"/>
      <c r="I114" s="16"/>
      <c r="J114" s="16"/>
      <c r="K114" s="16"/>
      <c r="L114" s="16"/>
      <c r="M114" s="16"/>
      <c r="N114" s="53">
        <v>5</v>
      </c>
      <c r="O114" s="16"/>
      <c r="P114" s="16"/>
      <c r="Q114" s="772"/>
      <c r="R114" s="65"/>
      <c r="S114" s="65"/>
      <c r="T114" s="65"/>
      <c r="U114" s="65"/>
      <c r="V114" s="65"/>
      <c r="W114" s="65"/>
      <c r="X114" s="65"/>
      <c r="Y114" s="65"/>
      <c r="Z114" s="65"/>
      <c r="AA114" s="65"/>
      <c r="AB114" s="65"/>
      <c r="AC114" s="65"/>
      <c r="AD114" s="16"/>
      <c r="AE114" s="17"/>
      <c r="AF114" s="17"/>
      <c r="AG114" s="17"/>
      <c r="AH114" s="53"/>
    </row>
    <row r="115" spans="1:34" x14ac:dyDescent="0.25">
      <c r="B115" s="53"/>
      <c r="C115" s="16"/>
      <c r="D115" s="52" t="s">
        <v>637</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2"/>
      <c r="R115" s="65"/>
      <c r="S115" s="65"/>
      <c r="T115" s="65"/>
      <c r="U115" s="65"/>
      <c r="V115" s="65"/>
      <c r="W115" s="65"/>
      <c r="X115" s="65"/>
      <c r="Y115" s="65"/>
      <c r="Z115" s="65"/>
      <c r="AA115" s="65"/>
      <c r="AB115" s="65"/>
      <c r="AC115" s="65"/>
      <c r="AD115" s="16"/>
      <c r="AE115" s="17"/>
      <c r="AF115" s="17"/>
      <c r="AG115" s="17"/>
      <c r="AH115" s="53"/>
    </row>
    <row r="116" spans="1:34" x14ac:dyDescent="0.25">
      <c r="B116" s="53"/>
      <c r="C116" s="16"/>
      <c r="D116" s="52" t="s">
        <v>638</v>
      </c>
      <c r="E116" s="107">
        <v>8</v>
      </c>
      <c r="F116" s="107">
        <v>-2</v>
      </c>
      <c r="G116" s="107">
        <v>950</v>
      </c>
      <c r="H116" s="107">
        <v>100</v>
      </c>
      <c r="I116" s="16"/>
      <c r="J116" s="16"/>
      <c r="K116" s="16"/>
      <c r="L116" s="16"/>
      <c r="M116" s="16"/>
      <c r="N116" s="53">
        <f>1.8 * MIN(6, MAX(E116,F116)) + 0.45 * MIN(6, MIN(E116,F116)) + IF(E116&gt;6, (E116-6)*0.2) + IF(F116&gt;6, (F116-6)*0.2)</f>
        <v>10.3</v>
      </c>
      <c r="O116" s="16"/>
      <c r="P116" s="16"/>
      <c r="Q116" s="773"/>
      <c r="R116" s="102"/>
      <c r="S116" s="102"/>
      <c r="T116" s="102"/>
      <c r="U116" s="102"/>
      <c r="V116" s="102"/>
      <c r="W116" s="102"/>
      <c r="X116" s="102"/>
      <c r="Y116" s="102"/>
      <c r="Z116" s="102"/>
      <c r="AA116" s="102"/>
      <c r="AB116" s="102"/>
      <c r="AC116" s="102"/>
      <c r="AD116" s="25"/>
      <c r="AE116" s="1151"/>
      <c r="AF116" s="1151"/>
      <c r="AG116" s="1151"/>
      <c r="AH116" s="75"/>
    </row>
    <row r="117" spans="1:34" x14ac:dyDescent="0.25">
      <c r="A117" s="325" t="s">
        <v>639</v>
      </c>
      <c r="B117" s="74" t="s">
        <v>30</v>
      </c>
      <c r="C117" s="15" t="s">
        <v>60</v>
      </c>
      <c r="D117" s="1382" t="s">
        <v>755</v>
      </c>
      <c r="E117" s="15">
        <v>3</v>
      </c>
      <c r="F117" s="15">
        <v>0</v>
      </c>
      <c r="G117" s="15">
        <v>500</v>
      </c>
      <c r="H117" s="15">
        <v>25</v>
      </c>
      <c r="I117" s="15"/>
      <c r="J117" s="15"/>
      <c r="K117" s="15"/>
      <c r="L117" s="15"/>
      <c r="M117" s="15"/>
      <c r="N117" s="74">
        <v>5</v>
      </c>
      <c r="O117" s="15"/>
      <c r="P117" s="15"/>
      <c r="Q117" s="772">
        <v>-7.4999999999999997E-2</v>
      </c>
      <c r="R117" s="65"/>
      <c r="S117" s="65"/>
      <c r="T117" s="65"/>
      <c r="U117" s="65">
        <v>0.5</v>
      </c>
      <c r="V117" s="65"/>
      <c r="W117" s="65"/>
      <c r="X117" s="65"/>
      <c r="Y117" s="65">
        <v>0.2</v>
      </c>
      <c r="Z117" s="65"/>
      <c r="AA117" s="65"/>
      <c r="AB117" s="65"/>
      <c r="AC117" s="65"/>
      <c r="AD117" s="16"/>
      <c r="AE117" s="17"/>
      <c r="AF117" s="17"/>
      <c r="AG117" s="17"/>
      <c r="AH117" s="53"/>
    </row>
    <row r="118" spans="1:34" x14ac:dyDescent="0.25">
      <c r="B118" s="53"/>
      <c r="C118" s="16"/>
      <c r="D118" s="52" t="s">
        <v>640</v>
      </c>
      <c r="E118" s="107">
        <v>0</v>
      </c>
      <c r="F118" s="107">
        <v>3</v>
      </c>
      <c r="G118" s="107">
        <v>400</v>
      </c>
      <c r="H118" s="107">
        <v>20</v>
      </c>
      <c r="I118" s="16"/>
      <c r="J118" s="16"/>
      <c r="K118" s="16"/>
      <c r="L118" s="16"/>
      <c r="M118" s="16"/>
      <c r="N118" s="53">
        <v>5</v>
      </c>
      <c r="O118" s="16"/>
      <c r="P118" s="16"/>
      <c r="Q118" s="772"/>
      <c r="R118" s="65"/>
      <c r="S118" s="65"/>
      <c r="T118" s="65"/>
      <c r="U118" s="65"/>
      <c r="V118" s="65"/>
      <c r="W118" s="65"/>
      <c r="X118" s="65"/>
      <c r="Y118" s="65"/>
      <c r="Z118" s="65"/>
      <c r="AA118" s="65"/>
      <c r="AB118" s="65"/>
      <c r="AC118" s="65"/>
      <c r="AD118" s="16"/>
      <c r="AE118" s="17"/>
      <c r="AF118" s="17"/>
      <c r="AG118" s="17"/>
      <c r="AH118" s="53"/>
    </row>
    <row r="119" spans="1:34" x14ac:dyDescent="0.25">
      <c r="B119" s="53"/>
      <c r="C119" s="16"/>
      <c r="D119" s="52" t="s">
        <v>641</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2"/>
      <c r="R119" s="65"/>
      <c r="S119" s="65"/>
      <c r="T119" s="65"/>
      <c r="U119" s="65"/>
      <c r="V119" s="65"/>
      <c r="W119" s="65"/>
      <c r="X119" s="65"/>
      <c r="Y119" s="65"/>
      <c r="Z119" s="65"/>
      <c r="AA119" s="65"/>
      <c r="AB119" s="65"/>
      <c r="AC119" s="65"/>
      <c r="AD119" s="16"/>
      <c r="AE119" s="17"/>
      <c r="AF119" s="17"/>
      <c r="AG119" s="17"/>
      <c r="AH119" s="53"/>
    </row>
    <row r="120" spans="1:34" x14ac:dyDescent="0.25">
      <c r="A120" s="324"/>
      <c r="B120" s="75"/>
      <c r="C120" s="25"/>
      <c r="D120" s="72" t="s">
        <v>642</v>
      </c>
      <c r="E120" s="25">
        <v>8</v>
      </c>
      <c r="F120" s="25">
        <v>3</v>
      </c>
      <c r="G120" s="25">
        <v>1400</v>
      </c>
      <c r="H120" s="25">
        <v>200</v>
      </c>
      <c r="I120" s="25"/>
      <c r="J120" s="678">
        <v>1</v>
      </c>
      <c r="K120" s="25"/>
      <c r="L120" s="25"/>
      <c r="M120" s="25"/>
      <c r="N120" s="75">
        <f>1.8 * MIN(6, MAX(E120,F120)) + 0.45 * MIN(6, MIN(E120,F120)) + IF(E120&gt;6, (E120-6)*0.2) + IF(F120&gt;6, (F120-6)*0.2)</f>
        <v>12.55</v>
      </c>
      <c r="O120" s="25"/>
      <c r="P120" s="25"/>
      <c r="Q120" s="773"/>
      <c r="R120" s="102"/>
      <c r="S120" s="102"/>
      <c r="T120" s="102"/>
      <c r="U120" s="102"/>
      <c r="V120" s="102"/>
      <c r="W120" s="102"/>
      <c r="X120" s="102"/>
      <c r="Y120" s="102"/>
      <c r="Z120" s="102"/>
      <c r="AA120" s="102"/>
      <c r="AB120" s="102"/>
      <c r="AC120" s="102"/>
      <c r="AD120" s="25"/>
      <c r="AE120" s="1151"/>
      <c r="AF120" s="1151"/>
      <c r="AG120" s="1151"/>
      <c r="AH120" s="75"/>
    </row>
    <row r="121" spans="1:34" x14ac:dyDescent="0.25">
      <c r="A121" s="325" t="s">
        <v>643</v>
      </c>
      <c r="B121" s="74" t="s">
        <v>30</v>
      </c>
      <c r="C121" s="15" t="s">
        <v>256</v>
      </c>
      <c r="D121" s="70" t="s">
        <v>644</v>
      </c>
      <c r="E121" s="15">
        <v>3</v>
      </c>
      <c r="F121" s="15">
        <v>0</v>
      </c>
      <c r="G121" s="15">
        <v>300</v>
      </c>
      <c r="H121" s="15"/>
      <c r="I121" s="15"/>
      <c r="J121" s="15"/>
      <c r="K121" s="15"/>
      <c r="L121" s="15"/>
      <c r="M121" s="15"/>
      <c r="N121" s="74">
        <v>5</v>
      </c>
      <c r="O121" s="15"/>
      <c r="P121" s="15"/>
      <c r="Q121" s="444">
        <v>6.6600000000000006E-2</v>
      </c>
      <c r="R121" s="100"/>
      <c r="S121" s="100"/>
      <c r="T121" s="100"/>
      <c r="U121" s="100"/>
      <c r="V121" s="100">
        <v>0.15</v>
      </c>
      <c r="W121" s="100"/>
      <c r="X121" s="100"/>
      <c r="Y121" s="100">
        <v>-0.25</v>
      </c>
      <c r="Z121" s="100"/>
      <c r="AA121" s="100"/>
      <c r="AB121" s="100"/>
      <c r="AC121" s="100"/>
      <c r="AD121" s="15"/>
      <c r="AE121" s="1184"/>
      <c r="AF121" s="1184"/>
      <c r="AG121" s="1184"/>
      <c r="AH121" s="74"/>
    </row>
    <row r="122" spans="1:34" x14ac:dyDescent="0.25">
      <c r="B122" s="53"/>
      <c r="C122" s="16"/>
      <c r="D122" s="52" t="s">
        <v>645</v>
      </c>
      <c r="E122" s="107">
        <v>2</v>
      </c>
      <c r="F122" s="107">
        <v>5</v>
      </c>
      <c r="G122" s="107">
        <v>300</v>
      </c>
      <c r="H122" s="107">
        <v>100</v>
      </c>
      <c r="I122" s="16"/>
      <c r="J122" s="16"/>
      <c r="K122" s="16"/>
      <c r="L122" s="16"/>
      <c r="M122" s="16"/>
      <c r="N122" s="53">
        <v>5</v>
      </c>
      <c r="O122" s="16"/>
      <c r="P122" s="16"/>
      <c r="Q122" s="772"/>
      <c r="R122" s="65"/>
      <c r="S122" s="65"/>
      <c r="T122" s="65"/>
      <c r="U122" s="65"/>
      <c r="V122" s="65"/>
      <c r="W122" s="65"/>
      <c r="X122" s="65"/>
      <c r="Y122" s="65"/>
      <c r="Z122" s="65"/>
      <c r="AA122" s="65"/>
      <c r="AB122" s="65"/>
      <c r="AC122" s="65"/>
      <c r="AD122" s="16"/>
      <c r="AE122" s="17"/>
      <c r="AF122" s="17"/>
      <c r="AG122" s="17"/>
      <c r="AH122" s="53"/>
    </row>
    <row r="123" spans="1:34" x14ac:dyDescent="0.25">
      <c r="B123" s="53"/>
      <c r="C123" s="16"/>
      <c r="D123" s="52" t="s">
        <v>646</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2"/>
      <c r="R123" s="65"/>
      <c r="S123" s="65"/>
      <c r="T123" s="65"/>
      <c r="U123" s="65"/>
      <c r="V123" s="65"/>
      <c r="W123" s="65"/>
      <c r="X123" s="65"/>
      <c r="Y123" s="65"/>
      <c r="Z123" s="65"/>
      <c r="AA123" s="65"/>
      <c r="AB123" s="65"/>
      <c r="AC123" s="65"/>
      <c r="AD123" s="16"/>
      <c r="AE123" s="17"/>
      <c r="AF123" s="17"/>
      <c r="AG123" s="17"/>
      <c r="AH123" s="53"/>
    </row>
    <row r="124" spans="1:34" x14ac:dyDescent="0.25">
      <c r="B124" s="53"/>
      <c r="C124" s="16"/>
      <c r="D124" s="52" t="s">
        <v>647</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3"/>
      <c r="R124" s="102"/>
      <c r="S124" s="102"/>
      <c r="T124" s="102"/>
      <c r="U124" s="102"/>
      <c r="V124" s="102"/>
      <c r="W124" s="102"/>
      <c r="X124" s="102"/>
      <c r="Y124" s="102"/>
      <c r="Z124" s="102"/>
      <c r="AA124" s="102"/>
      <c r="AB124" s="102"/>
      <c r="AC124" s="102"/>
      <c r="AD124" s="25"/>
      <c r="AE124" s="1151"/>
      <c r="AF124" s="1151"/>
      <c r="AG124" s="1151"/>
      <c r="AH124" s="75"/>
    </row>
    <row r="125" spans="1:34" x14ac:dyDescent="0.25">
      <c r="A125" s="325" t="s">
        <v>648</v>
      </c>
      <c r="B125" s="74" t="s">
        <v>30</v>
      </c>
      <c r="C125" s="15" t="s">
        <v>257</v>
      </c>
      <c r="D125" s="70" t="s">
        <v>649</v>
      </c>
      <c r="E125" s="15">
        <v>4</v>
      </c>
      <c r="F125" s="15">
        <v>0</v>
      </c>
      <c r="G125" s="15">
        <v>300</v>
      </c>
      <c r="H125" s="15"/>
      <c r="I125" s="15"/>
      <c r="J125" s="15"/>
      <c r="K125" s="15"/>
      <c r="L125" s="15"/>
      <c r="M125" s="15"/>
      <c r="N125" s="74">
        <v>5</v>
      </c>
      <c r="O125" s="15"/>
      <c r="P125" s="15"/>
      <c r="Q125" s="772"/>
      <c r="R125" s="65"/>
      <c r="S125" s="65"/>
      <c r="T125" s="65"/>
      <c r="U125" s="65"/>
      <c r="V125" s="65"/>
      <c r="W125" s="65"/>
      <c r="X125" s="65">
        <v>0.1</v>
      </c>
      <c r="Y125" s="65">
        <v>0.25</v>
      </c>
      <c r="Z125" s="65"/>
      <c r="AA125" s="65"/>
      <c r="AB125" s="65"/>
      <c r="AC125" s="65"/>
      <c r="AD125" s="16"/>
      <c r="AE125" s="17"/>
      <c r="AF125" s="17"/>
      <c r="AG125" s="17"/>
      <c r="AH125" s="53"/>
    </row>
    <row r="126" spans="1:34" x14ac:dyDescent="0.25">
      <c r="B126" s="53"/>
      <c r="C126" s="16"/>
      <c r="D126" s="52" t="s">
        <v>650</v>
      </c>
      <c r="E126" s="107">
        <v>0</v>
      </c>
      <c r="F126" s="107">
        <v>4</v>
      </c>
      <c r="G126" s="107">
        <v>300</v>
      </c>
      <c r="H126" s="16"/>
      <c r="I126" s="16"/>
      <c r="J126" s="16"/>
      <c r="K126" s="16"/>
      <c r="L126" s="16"/>
      <c r="M126" s="16"/>
      <c r="N126" s="53">
        <v>5</v>
      </c>
      <c r="O126" s="16"/>
      <c r="P126" s="16"/>
      <c r="Q126" s="772"/>
      <c r="R126" s="65"/>
      <c r="S126" s="65"/>
      <c r="T126" s="65"/>
      <c r="U126" s="65"/>
      <c r="V126" s="65"/>
      <c r="W126" s="65"/>
      <c r="X126" s="65"/>
      <c r="Y126" s="65"/>
      <c r="Z126" s="65"/>
      <c r="AA126" s="65"/>
      <c r="AB126" s="65"/>
      <c r="AC126" s="65"/>
      <c r="AD126" s="16"/>
      <c r="AE126" s="17"/>
      <c r="AF126" s="17"/>
      <c r="AG126" s="17"/>
      <c r="AH126" s="53"/>
    </row>
    <row r="127" spans="1:34" x14ac:dyDescent="0.25">
      <c r="B127" s="53"/>
      <c r="C127" s="16"/>
      <c r="D127" s="52" t="s">
        <v>651</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2"/>
      <c r="R127" s="65"/>
      <c r="S127" s="65"/>
      <c r="T127" s="65"/>
      <c r="U127" s="65"/>
      <c r="V127" s="65"/>
      <c r="W127" s="65"/>
      <c r="X127" s="65"/>
      <c r="Y127" s="65"/>
      <c r="Z127" s="65"/>
      <c r="AA127" s="65"/>
      <c r="AB127" s="65"/>
      <c r="AC127" s="65"/>
      <c r="AD127" s="16"/>
      <c r="AE127" s="17"/>
      <c r="AF127" s="17"/>
      <c r="AG127" s="17"/>
      <c r="AH127" s="53"/>
    </row>
    <row r="128" spans="1:34" x14ac:dyDescent="0.25">
      <c r="A128" s="324"/>
      <c r="B128" s="75"/>
      <c r="C128" s="25"/>
      <c r="D128" s="52" t="s">
        <v>652</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2"/>
      <c r="R128" s="65"/>
      <c r="S128" s="65"/>
      <c r="T128" s="65"/>
      <c r="U128" s="65"/>
      <c r="V128" s="65"/>
      <c r="W128" s="65"/>
      <c r="X128" s="65"/>
      <c r="Y128" s="65"/>
      <c r="Z128" s="65"/>
      <c r="AA128" s="65"/>
      <c r="AB128" s="65"/>
      <c r="AC128" s="65"/>
      <c r="AD128" s="16"/>
      <c r="AE128" s="17"/>
      <c r="AF128" s="17"/>
      <c r="AG128" s="17"/>
      <c r="AH128" s="53"/>
    </row>
    <row r="129" spans="1:34" x14ac:dyDescent="0.25">
      <c r="A129" s="325" t="s">
        <v>180</v>
      </c>
      <c r="B129" s="74" t="s">
        <v>30</v>
      </c>
      <c r="C129" s="15" t="s">
        <v>63</v>
      </c>
      <c r="D129" s="70" t="s">
        <v>653</v>
      </c>
      <c r="E129" s="15">
        <v>1</v>
      </c>
      <c r="F129" s="15">
        <v>0</v>
      </c>
      <c r="G129" s="15"/>
      <c r="H129" s="15"/>
      <c r="I129" s="15"/>
      <c r="J129" s="15"/>
      <c r="K129" s="15"/>
      <c r="L129" s="15">
        <v>100</v>
      </c>
      <c r="M129" s="15"/>
      <c r="N129" s="74"/>
      <c r="O129" s="15"/>
      <c r="P129" s="15"/>
      <c r="Q129" s="444"/>
      <c r="R129" s="100">
        <v>2</v>
      </c>
      <c r="S129" s="100"/>
      <c r="T129" s="100"/>
      <c r="U129" s="100"/>
      <c r="V129" s="100"/>
      <c r="W129" s="100"/>
      <c r="X129" s="100"/>
      <c r="Y129" s="100"/>
      <c r="Z129" s="100"/>
      <c r="AA129" s="100"/>
      <c r="AB129" s="100"/>
      <c r="AC129" s="100"/>
      <c r="AD129" s="15"/>
      <c r="AE129" s="1184"/>
      <c r="AF129" s="1184"/>
      <c r="AG129" s="1184"/>
      <c r="AH129" s="74"/>
    </row>
    <row r="130" spans="1:34" x14ac:dyDescent="0.25">
      <c r="B130" s="53"/>
      <c r="C130" s="16"/>
      <c r="D130" s="52" t="s">
        <v>654</v>
      </c>
      <c r="E130" s="107">
        <v>0</v>
      </c>
      <c r="F130" s="107">
        <v>1</v>
      </c>
      <c r="G130" s="16"/>
      <c r="H130" s="16"/>
      <c r="I130" s="16"/>
      <c r="J130" s="16"/>
      <c r="K130" s="16"/>
      <c r="L130" s="16">
        <v>100</v>
      </c>
      <c r="M130" s="16"/>
      <c r="N130" s="53"/>
      <c r="O130" s="16"/>
      <c r="P130" s="16"/>
      <c r="Q130" s="772"/>
      <c r="R130" s="65"/>
      <c r="S130" s="65"/>
      <c r="T130" s="65"/>
      <c r="U130" s="65"/>
      <c r="V130" s="65"/>
      <c r="W130" s="65"/>
      <c r="X130" s="65"/>
      <c r="Y130" s="65"/>
      <c r="Z130" s="65"/>
      <c r="AA130" s="65"/>
      <c r="AB130" s="65"/>
      <c r="AC130" s="65"/>
      <c r="AD130" s="16"/>
      <c r="AE130" s="17"/>
      <c r="AF130" s="17"/>
      <c r="AG130" s="17"/>
      <c r="AH130" s="53"/>
    </row>
    <row r="131" spans="1:34" x14ac:dyDescent="0.25">
      <c r="B131" s="53"/>
      <c r="C131" s="16"/>
      <c r="D131" s="52" t="s">
        <v>655</v>
      </c>
      <c r="E131" s="107">
        <v>0</v>
      </c>
      <c r="F131" s="107">
        <v>2</v>
      </c>
      <c r="G131" s="16"/>
      <c r="H131" s="16"/>
      <c r="I131" s="16"/>
      <c r="J131" s="16"/>
      <c r="K131" s="16"/>
      <c r="L131" s="16">
        <v>250</v>
      </c>
      <c r="M131" s="16"/>
      <c r="N131" s="53">
        <f>1.8 * MIN(6, MAX(E131,F131)) + 0.45 * MIN(6, MIN(E131,F131)) + IF(E131&gt;6, (E131-6)*0.2) + IF(F131&gt;6, (F131-6)*0.2)</f>
        <v>3.6</v>
      </c>
      <c r="O131" s="16"/>
      <c r="P131" s="16"/>
      <c r="Q131" s="772"/>
      <c r="R131" s="65"/>
      <c r="S131" s="65"/>
      <c r="T131" s="65"/>
      <c r="U131" s="65"/>
      <c r="V131" s="65"/>
      <c r="W131" s="65"/>
      <c r="X131" s="65"/>
      <c r="Y131" s="65"/>
      <c r="Z131" s="65"/>
      <c r="AA131" s="65"/>
      <c r="AB131" s="65"/>
      <c r="AC131" s="65"/>
      <c r="AD131" s="16"/>
      <c r="AE131" s="17"/>
      <c r="AF131" s="17"/>
      <c r="AG131" s="17"/>
      <c r="AH131" s="53"/>
    </row>
    <row r="132" spans="1:34" x14ac:dyDescent="0.25">
      <c r="B132" s="53"/>
      <c r="C132" s="16"/>
      <c r="D132" s="72" t="s">
        <v>656</v>
      </c>
      <c r="E132" s="678">
        <v>2</v>
      </c>
      <c r="F132" s="678">
        <v>1</v>
      </c>
      <c r="G132" s="1269"/>
      <c r="H132" s="1269"/>
      <c r="I132" s="1269"/>
      <c r="J132" s="1269"/>
      <c r="K132" s="1269"/>
      <c r="L132" s="678">
        <v>250</v>
      </c>
      <c r="M132" s="1269"/>
      <c r="N132" s="75">
        <f>1.8 * MIN(6, MAX(E132,F132)) + 0.45 * MIN(6, MIN(E132,F132)) + IF(E132&gt;6, (E132-6)*0.2) + IF(F132&gt;6, (F132-6)*0.2)</f>
        <v>4.05</v>
      </c>
      <c r="O132" s="1269"/>
      <c r="P132" s="1269"/>
      <c r="Q132" s="773"/>
      <c r="R132" s="102"/>
      <c r="S132" s="102"/>
      <c r="T132" s="102"/>
      <c r="U132" s="102"/>
      <c r="V132" s="102"/>
      <c r="W132" s="102"/>
      <c r="X132" s="102"/>
      <c r="Y132" s="102"/>
      <c r="Z132" s="102"/>
      <c r="AA132" s="102"/>
      <c r="AB132" s="102"/>
      <c r="AC132" s="102"/>
      <c r="AD132" s="1269"/>
      <c r="AE132" s="1151"/>
      <c r="AF132" s="1151"/>
      <c r="AG132" s="1151"/>
      <c r="AH132" s="75"/>
    </row>
    <row r="133" spans="1:34" x14ac:dyDescent="0.25">
      <c r="A133" s="325" t="s">
        <v>657</v>
      </c>
      <c r="B133" s="74" t="s">
        <v>30</v>
      </c>
      <c r="C133" s="15" t="s">
        <v>259</v>
      </c>
      <c r="D133" s="52" t="s">
        <v>658</v>
      </c>
      <c r="E133" s="16">
        <v>3</v>
      </c>
      <c r="F133" s="16">
        <v>0</v>
      </c>
      <c r="G133" s="16">
        <v>275</v>
      </c>
      <c r="H133" s="16">
        <v>50</v>
      </c>
      <c r="I133" s="16"/>
      <c r="J133" s="16"/>
      <c r="K133" s="16"/>
      <c r="L133" s="16"/>
      <c r="M133" s="16"/>
      <c r="N133" s="53">
        <v>5</v>
      </c>
      <c r="O133" s="16"/>
      <c r="P133" s="16"/>
      <c r="Q133" s="772">
        <v>-0.1</v>
      </c>
      <c r="R133" s="65"/>
      <c r="S133" s="65"/>
      <c r="T133" s="65"/>
      <c r="U133" s="65"/>
      <c r="V133" s="65"/>
      <c r="W133" s="65"/>
      <c r="X133" s="65">
        <v>0.1</v>
      </c>
      <c r="Y133" s="65">
        <v>-0.15</v>
      </c>
      <c r="Z133" s="65"/>
      <c r="AA133" s="65"/>
      <c r="AB133" s="65"/>
      <c r="AC133" s="65"/>
      <c r="AD133" s="16"/>
      <c r="AE133" s="17"/>
      <c r="AF133" s="17"/>
      <c r="AG133" s="17"/>
      <c r="AH133" s="53"/>
    </row>
    <row r="134" spans="1:34" x14ac:dyDescent="0.25">
      <c r="B134" s="53"/>
      <c r="C134" s="16"/>
      <c r="D134" s="52" t="s">
        <v>659</v>
      </c>
      <c r="E134" s="107">
        <v>4</v>
      </c>
      <c r="F134" s="107">
        <v>5</v>
      </c>
      <c r="G134" s="107">
        <v>525</v>
      </c>
      <c r="H134" s="107">
        <v>100</v>
      </c>
      <c r="I134" s="16"/>
      <c r="J134" s="107">
        <v>1</v>
      </c>
      <c r="K134" s="16"/>
      <c r="L134" s="16"/>
      <c r="M134" s="16"/>
      <c r="N134" s="53">
        <v>5</v>
      </c>
      <c r="O134" s="16"/>
      <c r="P134" s="16"/>
      <c r="Q134" s="772"/>
      <c r="R134" s="65"/>
      <c r="S134" s="65"/>
      <c r="T134" s="65"/>
      <c r="U134" s="65"/>
      <c r="V134" s="65"/>
      <c r="W134" s="65"/>
      <c r="X134" s="65"/>
      <c r="Y134" s="65"/>
      <c r="Z134" s="65"/>
      <c r="AA134" s="65"/>
      <c r="AB134" s="65"/>
      <c r="AC134" s="65"/>
      <c r="AD134" s="16"/>
      <c r="AE134" s="17"/>
      <c r="AF134" s="17"/>
      <c r="AG134" s="17"/>
      <c r="AH134" s="53"/>
    </row>
    <row r="135" spans="1:34" x14ac:dyDescent="0.25">
      <c r="B135" s="53"/>
      <c r="C135" s="16"/>
      <c r="D135" s="52" t="s">
        <v>660</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2"/>
      <c r="R135" s="65"/>
      <c r="S135" s="65"/>
      <c r="T135" s="65"/>
      <c r="U135" s="65"/>
      <c r="V135" s="65"/>
      <c r="W135" s="65"/>
      <c r="X135" s="65"/>
      <c r="Y135" s="65"/>
      <c r="Z135" s="65"/>
      <c r="AA135" s="65"/>
      <c r="AB135" s="65"/>
      <c r="AC135" s="65"/>
      <c r="AD135" s="16"/>
      <c r="AE135" s="17"/>
      <c r="AF135" s="17"/>
      <c r="AG135" s="17"/>
      <c r="AH135" s="53"/>
    </row>
    <row r="136" spans="1:34" x14ac:dyDescent="0.25">
      <c r="A136" s="324"/>
      <c r="B136" s="75"/>
      <c r="C136" s="25"/>
      <c r="D136" s="52" t="s">
        <v>661</v>
      </c>
      <c r="E136" s="16">
        <v>120</v>
      </c>
      <c r="F136" s="16">
        <v>20</v>
      </c>
      <c r="G136" s="16">
        <v>14500</v>
      </c>
      <c r="H136" s="16">
        <v>3500</v>
      </c>
      <c r="I136" s="107">
        <v>14500</v>
      </c>
      <c r="J136" s="107">
        <v>250</v>
      </c>
      <c r="K136" s="16"/>
      <c r="L136" s="16"/>
      <c r="M136" s="16"/>
      <c r="N136" s="53">
        <f>1.8 * MIN(6, MAX(E136,F136)) + 0.45 * MIN(6, MIN(E136,F136)) + IF(E136&gt;6, (E136-6)*0.2) + IF(F136&gt;6, (F136-6)*0.2)</f>
        <v>39.099999999999994</v>
      </c>
      <c r="O136" s="16"/>
      <c r="P136" s="16"/>
      <c r="Q136" s="772"/>
      <c r="R136" s="65"/>
      <c r="S136" s="65"/>
      <c r="T136" s="65"/>
      <c r="U136" s="65"/>
      <c r="V136" s="65"/>
      <c r="W136" s="65"/>
      <c r="X136" s="65"/>
      <c r="Y136" s="65"/>
      <c r="Z136" s="65"/>
      <c r="AA136" s="65"/>
      <c r="AB136" s="65"/>
      <c r="AC136" s="65"/>
      <c r="AD136" s="16"/>
      <c r="AE136" s="17"/>
      <c r="AF136" s="17"/>
      <c r="AG136" s="17"/>
      <c r="AH136" s="53"/>
    </row>
    <row r="137" spans="1:34" x14ac:dyDescent="0.25">
      <c r="A137" s="325" t="s">
        <v>667</v>
      </c>
      <c r="B137" s="74" t="s">
        <v>30</v>
      </c>
      <c r="C137" s="15" t="s">
        <v>259</v>
      </c>
      <c r="D137" s="70" t="s">
        <v>668</v>
      </c>
      <c r="E137" s="15">
        <v>3</v>
      </c>
      <c r="F137" s="15">
        <v>0</v>
      </c>
      <c r="G137" s="15">
        <v>100</v>
      </c>
      <c r="H137" s="15"/>
      <c r="I137" s="15"/>
      <c r="J137" s="15"/>
      <c r="K137" s="15">
        <v>200</v>
      </c>
      <c r="L137" s="15"/>
      <c r="M137" s="15"/>
      <c r="N137" s="74"/>
      <c r="O137" s="15"/>
      <c r="P137" s="15"/>
      <c r="Q137" s="444">
        <v>0.1</v>
      </c>
      <c r="R137" s="100">
        <v>0.4</v>
      </c>
      <c r="S137" s="100">
        <v>-0.2</v>
      </c>
      <c r="T137" s="100"/>
      <c r="U137" s="100"/>
      <c r="V137" s="100"/>
      <c r="W137" s="100"/>
      <c r="X137" s="100"/>
      <c r="Y137" s="100">
        <v>-1</v>
      </c>
      <c r="Z137" s="100"/>
      <c r="AA137" s="100"/>
      <c r="AB137" s="100"/>
      <c r="AC137" s="100"/>
      <c r="AD137" s="15"/>
      <c r="AE137" s="1184"/>
      <c r="AF137" s="1184"/>
      <c r="AG137" s="1184"/>
      <c r="AH137" s="74"/>
    </row>
    <row r="138" spans="1:34" x14ac:dyDescent="0.25">
      <c r="B138" s="53"/>
      <c r="C138" s="16"/>
      <c r="D138" s="52" t="s">
        <v>669</v>
      </c>
      <c r="E138" s="107">
        <v>0</v>
      </c>
      <c r="F138" s="107">
        <v>3</v>
      </c>
      <c r="G138" s="107">
        <v>200</v>
      </c>
      <c r="H138" s="16"/>
      <c r="I138" s="16"/>
      <c r="J138" s="16"/>
      <c r="K138" s="107">
        <v>100</v>
      </c>
      <c r="L138" s="16"/>
      <c r="M138" s="16"/>
      <c r="N138" s="53"/>
      <c r="O138" s="16"/>
      <c r="P138" s="16"/>
      <c r="Q138" s="772"/>
      <c r="R138" s="65"/>
      <c r="S138" s="65"/>
      <c r="T138" s="65"/>
      <c r="U138" s="65"/>
      <c r="V138" s="65"/>
      <c r="W138" s="65"/>
      <c r="X138" s="65"/>
      <c r="Y138" s="65"/>
      <c r="Z138" s="65"/>
      <c r="AA138" s="65"/>
      <c r="AB138" s="65"/>
      <c r="AC138" s="65"/>
      <c r="AD138" s="16"/>
      <c r="AE138" s="17"/>
      <c r="AF138" s="17"/>
      <c r="AG138" s="17"/>
      <c r="AH138" s="53"/>
    </row>
    <row r="139" spans="1:34" x14ac:dyDescent="0.25">
      <c r="B139" s="53"/>
      <c r="C139" s="16"/>
      <c r="D139" s="52" t="s">
        <v>670</v>
      </c>
      <c r="E139" s="107">
        <v>0</v>
      </c>
      <c r="F139" s="107">
        <v>5</v>
      </c>
      <c r="G139" s="107">
        <v>550</v>
      </c>
      <c r="H139" s="16"/>
      <c r="I139" s="16"/>
      <c r="J139" s="16"/>
      <c r="K139" s="107">
        <v>150</v>
      </c>
      <c r="L139" s="16"/>
      <c r="M139" s="16"/>
      <c r="N139" s="53">
        <f>1.8 * MIN(6, MAX(E139,F139)) + 0.45 * MIN(6, MIN(E139,F139)) + IF(E139&gt;6, (E139-6)*0.2) + IF(F139&gt;6, (F139-6)*0.2)</f>
        <v>9</v>
      </c>
      <c r="O139" s="16"/>
      <c r="P139" s="16"/>
      <c r="Q139" s="772"/>
      <c r="R139" s="65"/>
      <c r="S139" s="65"/>
      <c r="T139" s="65"/>
      <c r="U139" s="65"/>
      <c r="V139" s="65"/>
      <c r="W139" s="65"/>
      <c r="X139" s="65"/>
      <c r="Y139" s="65"/>
      <c r="Z139" s="65"/>
      <c r="AA139" s="65"/>
      <c r="AB139" s="65"/>
      <c r="AC139" s="65"/>
      <c r="AD139" s="16"/>
      <c r="AE139" s="17"/>
      <c r="AF139" s="17"/>
      <c r="AG139" s="17"/>
      <c r="AH139" s="53"/>
    </row>
    <row r="140" spans="1:34" x14ac:dyDescent="0.25">
      <c r="A140" s="324"/>
      <c r="B140" s="75"/>
      <c r="C140" s="25"/>
      <c r="D140" s="72" t="s">
        <v>671</v>
      </c>
      <c r="E140" s="25">
        <v>5</v>
      </c>
      <c r="F140" s="25">
        <v>3</v>
      </c>
      <c r="G140" s="25">
        <v>400</v>
      </c>
      <c r="H140" s="25"/>
      <c r="I140" s="25"/>
      <c r="J140" s="25"/>
      <c r="K140" s="678">
        <v>400</v>
      </c>
      <c r="L140" s="25"/>
      <c r="M140" s="25"/>
      <c r="N140" s="75">
        <f>1.8 * MIN(6, MAX(E140,F140)) + 0.45 * MIN(6, MIN(E140,F140)) + IF(E140&gt;6, (E140-6)*0.2) + IF(F140&gt;6, (F140-6)*0.2)</f>
        <v>10.35</v>
      </c>
      <c r="O140" s="25"/>
      <c r="P140" s="25"/>
      <c r="Q140" s="773"/>
      <c r="R140" s="102"/>
      <c r="S140" s="102"/>
      <c r="T140" s="102"/>
      <c r="U140" s="102"/>
      <c r="V140" s="102"/>
      <c r="W140" s="102"/>
      <c r="X140" s="102"/>
      <c r="Y140" s="102"/>
      <c r="Z140" s="102"/>
      <c r="AA140" s="102"/>
      <c r="AB140" s="102"/>
      <c r="AC140" s="102"/>
      <c r="AD140" s="25"/>
      <c r="AE140" s="1151"/>
      <c r="AF140" s="1151"/>
      <c r="AG140" s="1151"/>
      <c r="AH140" s="75"/>
    </row>
    <row r="142" spans="1:34" x14ac:dyDescent="0.25">
      <c r="A142" s="323" t="s">
        <v>92</v>
      </c>
      <c r="B142">
        <v>5</v>
      </c>
      <c r="C142" s="292"/>
      <c r="D142" s="16" t="s">
        <v>375</v>
      </c>
      <c r="G142" t="s">
        <v>598</v>
      </c>
    </row>
    <row r="143" spans="1:34" x14ac:dyDescent="0.25">
      <c r="A143" s="323" t="s">
        <v>93</v>
      </c>
      <c r="B143">
        <v>9</v>
      </c>
      <c r="C143" s="292"/>
      <c r="D143">
        <v>1</v>
      </c>
      <c r="G143" t="s">
        <v>603</v>
      </c>
    </row>
    <row r="144" spans="1:34" x14ac:dyDescent="0.25">
      <c r="A144" s="323" t="s">
        <v>94</v>
      </c>
      <c r="B144">
        <v>13</v>
      </c>
      <c r="C144" s="292"/>
      <c r="D144">
        <v>2</v>
      </c>
      <c r="G144" t="s">
        <v>608</v>
      </c>
    </row>
    <row r="145" spans="1:7" x14ac:dyDescent="0.25">
      <c r="A145" s="323" t="s">
        <v>95</v>
      </c>
      <c r="B145">
        <v>17</v>
      </c>
      <c r="C145" s="292"/>
      <c r="D145">
        <v>3</v>
      </c>
      <c r="G145" t="s">
        <v>94</v>
      </c>
    </row>
    <row r="146" spans="1:7" x14ac:dyDescent="0.25">
      <c r="A146" s="323" t="s">
        <v>96</v>
      </c>
      <c r="B146">
        <v>21</v>
      </c>
      <c r="C146" s="292"/>
      <c r="D146">
        <v>4</v>
      </c>
      <c r="G146" t="s">
        <v>358</v>
      </c>
    </row>
    <row r="147" spans="1:7" x14ac:dyDescent="0.25">
      <c r="A147" s="323" t="s">
        <v>97</v>
      </c>
      <c r="B147">
        <v>25</v>
      </c>
      <c r="C147" s="292"/>
      <c r="D147">
        <v>5</v>
      </c>
      <c r="G147" t="s">
        <v>97</v>
      </c>
    </row>
    <row r="148" spans="1:7" x14ac:dyDescent="0.25">
      <c r="A148" s="323" t="s">
        <v>98</v>
      </c>
      <c r="B148">
        <v>29</v>
      </c>
      <c r="C148" s="292"/>
      <c r="D148">
        <v>6</v>
      </c>
      <c r="G148" t="s">
        <v>96</v>
      </c>
    </row>
    <row r="149" spans="1:7" x14ac:dyDescent="0.25">
      <c r="A149" s="323" t="s">
        <v>99</v>
      </c>
      <c r="B149">
        <v>33</v>
      </c>
      <c r="C149" s="292"/>
      <c r="G149" t="s">
        <v>92</v>
      </c>
    </row>
    <row r="150" spans="1:7" x14ac:dyDescent="0.25">
      <c r="A150" s="323" t="s">
        <v>100</v>
      </c>
      <c r="B150">
        <v>37</v>
      </c>
      <c r="C150" s="292"/>
      <c r="G150" t="s">
        <v>106</v>
      </c>
    </row>
    <row r="151" spans="1:7" x14ac:dyDescent="0.25">
      <c r="A151" s="323" t="s">
        <v>29</v>
      </c>
      <c r="B151">
        <v>41</v>
      </c>
      <c r="C151" s="292"/>
      <c r="G151" t="s">
        <v>613</v>
      </c>
    </row>
    <row r="152" spans="1:7" x14ac:dyDescent="0.25">
      <c r="A152" s="323" t="s">
        <v>102</v>
      </c>
      <c r="B152">
        <v>45</v>
      </c>
      <c r="C152" s="292"/>
      <c r="G152" t="s">
        <v>98</v>
      </c>
    </row>
    <row r="153" spans="1:7" x14ac:dyDescent="0.25">
      <c r="A153" s="323" t="s">
        <v>103</v>
      </c>
      <c r="B153">
        <v>49</v>
      </c>
      <c r="C153" s="292"/>
      <c r="G153" t="s">
        <v>618</v>
      </c>
    </row>
    <row r="154" spans="1:7" x14ac:dyDescent="0.25">
      <c r="A154" s="323" t="s">
        <v>104</v>
      </c>
      <c r="B154">
        <v>53</v>
      </c>
      <c r="C154" s="292"/>
      <c r="G154" t="s">
        <v>623</v>
      </c>
    </row>
    <row r="155" spans="1:7" x14ac:dyDescent="0.25">
      <c r="A155" s="323" t="s">
        <v>105</v>
      </c>
      <c r="B155">
        <v>57</v>
      </c>
      <c r="C155" s="292"/>
      <c r="G155" t="s">
        <v>104</v>
      </c>
    </row>
    <row r="156" spans="1:7" x14ac:dyDescent="0.25">
      <c r="A156" s="323" t="s">
        <v>106</v>
      </c>
      <c r="B156">
        <v>61</v>
      </c>
      <c r="G156" t="s">
        <v>99</v>
      </c>
    </row>
    <row r="157" spans="1:7" x14ac:dyDescent="0.25">
      <c r="A157" s="323" t="s">
        <v>107</v>
      </c>
      <c r="B157">
        <v>65</v>
      </c>
      <c r="G157" t="s">
        <v>629</v>
      </c>
    </row>
    <row r="158" spans="1:7" x14ac:dyDescent="0.25">
      <c r="A158" s="323" t="s">
        <v>344</v>
      </c>
      <c r="B158">
        <v>69</v>
      </c>
      <c r="G158" t="s">
        <v>95</v>
      </c>
    </row>
    <row r="159" spans="1:7" x14ac:dyDescent="0.25">
      <c r="A159" s="323" t="s">
        <v>358</v>
      </c>
      <c r="B159">
        <v>73</v>
      </c>
      <c r="G159" t="s">
        <v>634</v>
      </c>
    </row>
    <row r="160" spans="1:7" x14ac:dyDescent="0.25">
      <c r="A160" s="323" t="s">
        <v>150</v>
      </c>
      <c r="B160">
        <v>77</v>
      </c>
      <c r="G160" t="s">
        <v>639</v>
      </c>
    </row>
    <row r="161" spans="1:7" x14ac:dyDescent="0.25">
      <c r="A161" s="322" t="s">
        <v>574</v>
      </c>
      <c r="B161">
        <v>81</v>
      </c>
      <c r="G161" t="s">
        <v>102</v>
      </c>
    </row>
    <row r="162" spans="1:7" x14ac:dyDescent="0.25">
      <c r="A162" s="323" t="s">
        <v>598</v>
      </c>
      <c r="B162">
        <v>85</v>
      </c>
      <c r="G162" t="s">
        <v>643</v>
      </c>
    </row>
    <row r="163" spans="1:7" x14ac:dyDescent="0.25">
      <c r="A163" s="323" t="s">
        <v>603</v>
      </c>
      <c r="B163">
        <v>89</v>
      </c>
      <c r="G163" t="s">
        <v>648</v>
      </c>
    </row>
    <row r="164" spans="1:7" x14ac:dyDescent="0.25">
      <c r="A164" s="323" t="s">
        <v>608</v>
      </c>
      <c r="B164">
        <v>93</v>
      </c>
      <c r="G164" t="s">
        <v>100</v>
      </c>
    </row>
    <row r="165" spans="1:7" x14ac:dyDescent="0.25">
      <c r="A165" s="323" t="s">
        <v>613</v>
      </c>
      <c r="B165">
        <v>97</v>
      </c>
      <c r="G165" t="s">
        <v>180</v>
      </c>
    </row>
    <row r="166" spans="1:7" x14ac:dyDescent="0.25">
      <c r="A166" s="323" t="s">
        <v>618</v>
      </c>
      <c r="B166">
        <v>101</v>
      </c>
      <c r="G166" t="s">
        <v>344</v>
      </c>
    </row>
    <row r="167" spans="1:7" x14ac:dyDescent="0.25">
      <c r="A167" s="323" t="s">
        <v>623</v>
      </c>
      <c r="B167">
        <v>105</v>
      </c>
      <c r="G167" t="s">
        <v>657</v>
      </c>
    </row>
    <row r="168" spans="1:7" x14ac:dyDescent="0.25">
      <c r="A168" s="323" t="s">
        <v>629</v>
      </c>
      <c r="B168">
        <v>109</v>
      </c>
      <c r="G168" t="s">
        <v>107</v>
      </c>
    </row>
    <row r="169" spans="1:7" x14ac:dyDescent="0.25">
      <c r="A169" s="323" t="s">
        <v>634</v>
      </c>
      <c r="B169">
        <v>113</v>
      </c>
      <c r="G169" t="s">
        <v>105</v>
      </c>
    </row>
    <row r="170" spans="1:7" x14ac:dyDescent="0.25">
      <c r="A170" s="323" t="s">
        <v>639</v>
      </c>
      <c r="B170">
        <v>117</v>
      </c>
      <c r="G170" t="s">
        <v>93</v>
      </c>
    </row>
    <row r="171" spans="1:7" x14ac:dyDescent="0.25">
      <c r="A171" s="323" t="s">
        <v>643</v>
      </c>
      <c r="B171">
        <v>121</v>
      </c>
      <c r="G171" t="s">
        <v>574</v>
      </c>
    </row>
    <row r="172" spans="1:7" x14ac:dyDescent="0.25">
      <c r="A172" s="323" t="s">
        <v>648</v>
      </c>
      <c r="B172">
        <v>125</v>
      </c>
      <c r="G172" t="s">
        <v>150</v>
      </c>
    </row>
    <row r="173" spans="1:7" x14ac:dyDescent="0.25">
      <c r="A173" s="323" t="s">
        <v>180</v>
      </c>
      <c r="B173">
        <v>129</v>
      </c>
      <c r="G173" t="s">
        <v>29</v>
      </c>
    </row>
    <row r="174" spans="1:7" x14ac:dyDescent="0.25">
      <c r="A174" s="323" t="s">
        <v>657</v>
      </c>
      <c r="B174">
        <v>133</v>
      </c>
      <c r="G174" t="s">
        <v>103</v>
      </c>
    </row>
    <row r="175" spans="1:7" x14ac:dyDescent="0.25">
      <c r="A175" s="323" t="s">
        <v>667</v>
      </c>
      <c r="B175">
        <v>137</v>
      </c>
      <c r="G175" t="s">
        <v>667</v>
      </c>
    </row>
    <row r="177" spans="1:7" x14ac:dyDescent="0.25">
      <c r="A177" s="322" t="s">
        <v>97</v>
      </c>
      <c r="B177" t="s">
        <v>598</v>
      </c>
      <c r="C177" s="98" t="s">
        <v>104</v>
      </c>
      <c r="D177" t="s">
        <v>613</v>
      </c>
      <c r="E177" t="s">
        <v>613</v>
      </c>
      <c r="F177" s="98" t="s">
        <v>180</v>
      </c>
      <c r="G177" s="98" t="s">
        <v>608</v>
      </c>
    </row>
    <row r="178" spans="1:7" x14ac:dyDescent="0.25">
      <c r="A178" s="322" t="s">
        <v>657</v>
      </c>
      <c r="B178" t="s">
        <v>358</v>
      </c>
      <c r="C178" s="98" t="s">
        <v>667</v>
      </c>
      <c r="D178" t="s">
        <v>98</v>
      </c>
      <c r="E178" t="s">
        <v>618</v>
      </c>
      <c r="F178" s="98" t="s">
        <v>667</v>
      </c>
    </row>
    <row r="179" spans="1:7" x14ac:dyDescent="0.25">
      <c r="B179" t="s">
        <v>613</v>
      </c>
      <c r="D179" t="s">
        <v>104</v>
      </c>
      <c r="E179" t="s">
        <v>673</v>
      </c>
    </row>
    <row r="180" spans="1:7" x14ac:dyDescent="0.25">
      <c r="B180" t="s">
        <v>98</v>
      </c>
      <c r="D180" t="s">
        <v>648</v>
      </c>
      <c r="E180" t="s">
        <v>103</v>
      </c>
    </row>
    <row r="181" spans="1:7" x14ac:dyDescent="0.25">
      <c r="B181" t="s">
        <v>104</v>
      </c>
      <c r="D181" t="s">
        <v>180</v>
      </c>
      <c r="E181" t="s">
        <v>667</v>
      </c>
    </row>
    <row r="182" spans="1:7" x14ac:dyDescent="0.25">
      <c r="B182" t="s">
        <v>95</v>
      </c>
      <c r="D182" t="s">
        <v>107</v>
      </c>
    </row>
    <row r="183" spans="1:7" x14ac:dyDescent="0.25">
      <c r="B183" t="s">
        <v>648</v>
      </c>
      <c r="D183" t="s">
        <v>103</v>
      </c>
    </row>
    <row r="184" spans="1:7" x14ac:dyDescent="0.25">
      <c r="B184" t="s">
        <v>180</v>
      </c>
      <c r="D184" t="s">
        <v>667</v>
      </c>
    </row>
    <row r="185" spans="1:7" x14ac:dyDescent="0.25">
      <c r="B185" t="s">
        <v>107</v>
      </c>
    </row>
    <row r="186" spans="1:7" x14ac:dyDescent="0.25">
      <c r="B186" t="s">
        <v>103</v>
      </c>
    </row>
    <row r="187" spans="1:7" x14ac:dyDescent="0.25">
      <c r="B187" t="s">
        <v>667</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2:N1198"/>
  <sheetViews>
    <sheetView zoomScale="85" workbookViewId="0"/>
  </sheetViews>
  <sheetFormatPr defaultRowHeight="13.2" x14ac:dyDescent="0.25"/>
  <cols>
    <col min="2" max="2" width="11.5546875" bestFit="1" customWidth="1"/>
    <col min="3" max="3" width="11.109375" customWidth="1"/>
    <col min="4" max="4" width="9.44140625" bestFit="1" customWidth="1"/>
    <col min="5" max="5" width="13.6640625" bestFit="1" customWidth="1"/>
    <col min="6" max="6" width="11.33203125" customWidth="1"/>
    <col min="7" max="7" width="10.88671875" bestFit="1" customWidth="1"/>
    <col min="8" max="9" width="9.44140625" bestFit="1" customWidth="1"/>
    <col min="10" max="10" width="12.88671875" bestFit="1" customWidth="1"/>
    <col min="11" max="11" width="9.33203125" bestFit="1" customWidth="1"/>
    <col min="12" max="12" width="12.6640625" bestFit="1" customWidth="1"/>
    <col min="13" max="13" width="8.44140625" bestFit="1" customWidth="1"/>
    <col min="14" max="14" width="7.33203125" bestFit="1" customWidth="1"/>
  </cols>
  <sheetData>
    <row r="2" spans="2:11" ht="13.8" thickBot="1" x14ac:dyDescent="0.3">
      <c r="B2" s="280" t="s">
        <v>247</v>
      </c>
      <c r="C2" s="15" t="s">
        <v>297</v>
      </c>
      <c r="D2" s="15" t="s">
        <v>298</v>
      </c>
      <c r="E2" s="15" t="s">
        <v>250</v>
      </c>
      <c r="F2" s="15" t="s">
        <v>249</v>
      </c>
      <c r="G2" s="15"/>
      <c r="H2" s="15"/>
      <c r="I2" s="15" t="s">
        <v>248</v>
      </c>
      <c r="J2" s="15" t="s">
        <v>251</v>
      </c>
      <c r="K2" s="74"/>
    </row>
    <row r="3" spans="2:11" ht="13.8" thickBot="1" x14ac:dyDescent="0.3">
      <c r="B3" s="52" t="s">
        <v>386</v>
      </c>
      <c r="C3" s="361">
        <v>3845</v>
      </c>
      <c r="D3" s="435">
        <v>3220</v>
      </c>
      <c r="E3" s="16">
        <f t="shared" ref="E3:E17" si="0">MAX(10,ROUND($F3*$D3,0))</f>
        <v>322</v>
      </c>
      <c r="F3" s="281">
        <f>MIN(0.15, 0.25 * ( 0.7 - EXP( -1.3 * $D3 / $C3 ) ))*1.1</f>
        <v>9.9918948647991029E-2</v>
      </c>
      <c r="G3" s="747"/>
      <c r="H3" s="16"/>
      <c r="I3" s="436">
        <v>500</v>
      </c>
      <c r="J3" s="437">
        <f t="shared" ref="J3:J17" si="1">25*$I3</f>
        <v>12500</v>
      </c>
      <c r="K3" s="53"/>
    </row>
    <row r="4" spans="2:11" x14ac:dyDescent="0.25">
      <c r="B4" s="52" t="s">
        <v>253</v>
      </c>
      <c r="C4" s="16">
        <f t="shared" ref="C4:C17" si="2">C3</f>
        <v>3845</v>
      </c>
      <c r="D4" s="36">
        <f t="shared" ref="D4:D17" si="3">D3+100</f>
        <v>3320</v>
      </c>
      <c r="E4" s="16">
        <f t="shared" si="0"/>
        <v>342</v>
      </c>
      <c r="F4" s="281">
        <f t="shared" ref="F4:F17" si="4">MIN(0.15, 0.25 * ( 0.7 - EXP( -1.3 * $D4 / $C4 ) ))*1.1</f>
        <v>0.10299680270207687</v>
      </c>
      <c r="G4" s="747"/>
      <c r="H4" s="16"/>
      <c r="I4" s="285">
        <f t="shared" ref="I4:I17" si="5">I3+25</f>
        <v>525</v>
      </c>
      <c r="J4" s="285">
        <f t="shared" si="1"/>
        <v>13125</v>
      </c>
      <c r="K4" s="53"/>
    </row>
    <row r="5" spans="2:11" x14ac:dyDescent="0.25">
      <c r="B5" s="282" t="s">
        <v>254</v>
      </c>
      <c r="C5" s="16">
        <f t="shared" si="2"/>
        <v>3845</v>
      </c>
      <c r="D5" s="36">
        <f t="shared" si="3"/>
        <v>3420</v>
      </c>
      <c r="E5" s="16">
        <f t="shared" si="0"/>
        <v>362</v>
      </c>
      <c r="F5" s="281">
        <f t="shared" si="4"/>
        <v>0.10597233359780676</v>
      </c>
      <c r="G5" s="747"/>
      <c r="H5" s="16"/>
      <c r="I5" s="16">
        <f t="shared" si="5"/>
        <v>550</v>
      </c>
      <c r="J5" s="16">
        <f t="shared" si="1"/>
        <v>13750</v>
      </c>
      <c r="K5" s="53"/>
    </row>
    <row r="6" spans="2:11" x14ac:dyDescent="0.25">
      <c r="B6" s="52"/>
      <c r="C6" s="16">
        <f t="shared" si="2"/>
        <v>3845</v>
      </c>
      <c r="D6" s="36">
        <f t="shared" si="3"/>
        <v>3520</v>
      </c>
      <c r="E6" s="16">
        <f t="shared" si="0"/>
        <v>383</v>
      </c>
      <c r="F6" s="281">
        <f t="shared" si="4"/>
        <v>0.10884894306526666</v>
      </c>
      <c r="G6" s="747"/>
      <c r="H6" s="16"/>
      <c r="I6" s="16">
        <f t="shared" si="5"/>
        <v>575</v>
      </c>
      <c r="J6" s="16">
        <f t="shared" si="1"/>
        <v>14375</v>
      </c>
      <c r="K6" s="53"/>
    </row>
    <row r="7" spans="2:11" x14ac:dyDescent="0.25">
      <c r="B7" s="52"/>
      <c r="C7" s="16">
        <f t="shared" si="2"/>
        <v>3845</v>
      </c>
      <c r="D7" s="36">
        <f t="shared" si="3"/>
        <v>3620</v>
      </c>
      <c r="E7" s="16">
        <f t="shared" si="0"/>
        <v>404</v>
      </c>
      <c r="F7" s="281">
        <f t="shared" si="4"/>
        <v>0.11162991974413593</v>
      </c>
      <c r="G7" s="747"/>
      <c r="H7" s="16"/>
      <c r="I7" s="16">
        <f t="shared" si="5"/>
        <v>600</v>
      </c>
      <c r="J7" s="16">
        <f t="shared" si="1"/>
        <v>15000</v>
      </c>
      <c r="K7" s="53"/>
    </row>
    <row r="8" spans="2:11" x14ac:dyDescent="0.25">
      <c r="B8" s="314" t="s">
        <v>295</v>
      </c>
      <c r="C8" s="16">
        <f t="shared" si="2"/>
        <v>3845</v>
      </c>
      <c r="D8" s="36">
        <f t="shared" si="3"/>
        <v>3720</v>
      </c>
      <c r="E8" s="16">
        <f t="shared" si="0"/>
        <v>425</v>
      </c>
      <c r="F8" s="281">
        <f t="shared" si="4"/>
        <v>0.11431844294337434</v>
      </c>
      <c r="G8" s="747"/>
      <c r="H8" s="16"/>
      <c r="I8" s="16">
        <f t="shared" si="5"/>
        <v>625</v>
      </c>
      <c r="J8" s="16">
        <f t="shared" si="1"/>
        <v>15625</v>
      </c>
      <c r="K8" s="53"/>
    </row>
    <row r="9" spans="2:11" x14ac:dyDescent="0.25">
      <c r="B9" s="142" t="str">
        <f>CONCATENATE( CONCATENATE(TEXT(C3*0.75,0)," - "), TEXT(C3*1.33,0))</f>
        <v>2884 - 5114</v>
      </c>
      <c r="C9" s="16">
        <f t="shared" si="2"/>
        <v>3845</v>
      </c>
      <c r="D9" s="36">
        <f t="shared" si="3"/>
        <v>3820</v>
      </c>
      <c r="E9" s="16">
        <f t="shared" si="0"/>
        <v>447</v>
      </c>
      <c r="F9" s="281">
        <f t="shared" si="4"/>
        <v>0.11691758627591825</v>
      </c>
      <c r="G9" s="747"/>
      <c r="H9" s="16"/>
      <c r="I9" s="16">
        <f t="shared" si="5"/>
        <v>650</v>
      </c>
      <c r="J9" s="16">
        <f t="shared" si="1"/>
        <v>16250</v>
      </c>
      <c r="K9" s="53"/>
    </row>
    <row r="10" spans="2:11" x14ac:dyDescent="0.25">
      <c r="B10" s="142"/>
      <c r="C10" s="16">
        <f t="shared" si="2"/>
        <v>3845</v>
      </c>
      <c r="D10" s="36">
        <f t="shared" si="3"/>
        <v>3920</v>
      </c>
      <c r="E10" s="16">
        <f t="shared" si="0"/>
        <v>468</v>
      </c>
      <c r="F10" s="281">
        <f t="shared" si="4"/>
        <v>0.11943032117254147</v>
      </c>
      <c r="G10" s="747"/>
      <c r="H10" s="16"/>
      <c r="I10" s="16">
        <f t="shared" si="5"/>
        <v>675</v>
      </c>
      <c r="J10" s="16">
        <f t="shared" si="1"/>
        <v>16875</v>
      </c>
      <c r="K10" s="53"/>
    </row>
    <row r="11" spans="2:11" x14ac:dyDescent="0.25">
      <c r="B11" s="52"/>
      <c r="C11" s="16">
        <f t="shared" si="2"/>
        <v>3845</v>
      </c>
      <c r="D11" s="36">
        <f t="shared" si="3"/>
        <v>4020</v>
      </c>
      <c r="E11" s="16">
        <f t="shared" si="0"/>
        <v>490</v>
      </c>
      <c r="F11" s="281">
        <f t="shared" si="4"/>
        <v>0.12185952027889797</v>
      </c>
      <c r="G11" s="747"/>
      <c r="H11" s="16"/>
      <c r="I11" s="16">
        <f t="shared" si="5"/>
        <v>700</v>
      </c>
      <c r="J11" s="16">
        <f t="shared" si="1"/>
        <v>17500</v>
      </c>
      <c r="K11" s="53"/>
    </row>
    <row r="12" spans="2:11" x14ac:dyDescent="0.25">
      <c r="B12" s="314" t="s">
        <v>296</v>
      </c>
      <c r="C12" s="16">
        <f t="shared" si="2"/>
        <v>3845</v>
      </c>
      <c r="D12" s="36">
        <f t="shared" si="3"/>
        <v>4120</v>
      </c>
      <c r="E12" s="16">
        <f t="shared" si="0"/>
        <v>512</v>
      </c>
      <c r="F12" s="281">
        <f t="shared" si="4"/>
        <v>0.12420796073962995</v>
      </c>
      <c r="G12" s="747"/>
      <c r="H12" s="16"/>
      <c r="I12" s="16">
        <f t="shared" si="5"/>
        <v>725</v>
      </c>
      <c r="J12" s="16">
        <f t="shared" si="1"/>
        <v>18125</v>
      </c>
      <c r="K12" s="53"/>
    </row>
    <row r="13" spans="2:11" x14ac:dyDescent="0.25">
      <c r="B13" s="142" t="str">
        <f>CONCATENATE(CONCATENATE(TEXT(C3*0.6,0)," - "),TEXT(C3*1.66,0))</f>
        <v>2307 - 6383</v>
      </c>
      <c r="C13" s="16">
        <f t="shared" si="2"/>
        <v>3845</v>
      </c>
      <c r="D13" s="36">
        <f t="shared" si="3"/>
        <v>4220</v>
      </c>
      <c r="E13" s="16">
        <f t="shared" si="0"/>
        <v>534</v>
      </c>
      <c r="F13" s="281">
        <f t="shared" si="4"/>
        <v>0.12647832737329595</v>
      </c>
      <c r="G13" s="747"/>
      <c r="H13" s="16"/>
      <c r="I13" s="16">
        <f t="shared" si="5"/>
        <v>750</v>
      </c>
      <c r="J13" s="16">
        <f t="shared" si="1"/>
        <v>18750</v>
      </c>
      <c r="K13" s="53"/>
    </row>
    <row r="14" spans="2:11" x14ac:dyDescent="0.25">
      <c r="B14" s="142"/>
      <c r="C14" s="16">
        <f t="shared" si="2"/>
        <v>3845</v>
      </c>
      <c r="D14" s="36">
        <f t="shared" si="3"/>
        <v>4320</v>
      </c>
      <c r="E14" s="16">
        <f t="shared" si="0"/>
        <v>556</v>
      </c>
      <c r="F14" s="281">
        <f t="shared" si="4"/>
        <v>0.12867321574174848</v>
      </c>
      <c r="G14" s="747"/>
      <c r="H14" s="16"/>
      <c r="I14" s="16">
        <f t="shared" si="5"/>
        <v>775</v>
      </c>
      <c r="J14" s="16">
        <f t="shared" si="1"/>
        <v>19375</v>
      </c>
      <c r="K14" s="53"/>
    </row>
    <row r="15" spans="2:11" x14ac:dyDescent="0.25">
      <c r="B15" s="52"/>
      <c r="C15" s="16">
        <f t="shared" si="2"/>
        <v>3845</v>
      </c>
      <c r="D15" s="36">
        <f t="shared" si="3"/>
        <v>4420</v>
      </c>
      <c r="E15" s="16">
        <f t="shared" si="0"/>
        <v>578</v>
      </c>
      <c r="F15" s="281">
        <f t="shared" si="4"/>
        <v>0.13079513511747026</v>
      </c>
      <c r="G15" s="747"/>
      <c r="H15" s="16"/>
      <c r="I15" s="16">
        <f t="shared" si="5"/>
        <v>800</v>
      </c>
      <c r="J15" s="16">
        <f t="shared" si="1"/>
        <v>20000</v>
      </c>
      <c r="K15" s="53"/>
    </row>
    <row r="16" spans="2:11" x14ac:dyDescent="0.25">
      <c r="B16" s="52"/>
      <c r="C16" s="16">
        <f t="shared" si="2"/>
        <v>3845</v>
      </c>
      <c r="D16" s="36">
        <f t="shared" si="3"/>
        <v>4520</v>
      </c>
      <c r="E16" s="16">
        <f t="shared" si="0"/>
        <v>600</v>
      </c>
      <c r="F16" s="281">
        <f t="shared" si="4"/>
        <v>0.13284651135226169</v>
      </c>
      <c r="G16" s="747"/>
      <c r="H16" s="16"/>
      <c r="I16" s="16">
        <f t="shared" si="5"/>
        <v>825</v>
      </c>
      <c r="J16" s="16">
        <f t="shared" si="1"/>
        <v>20625</v>
      </c>
      <c r="K16" s="53"/>
    </row>
    <row r="17" spans="1:14" x14ac:dyDescent="0.25">
      <c r="B17" s="52"/>
      <c r="C17" s="16">
        <f t="shared" si="2"/>
        <v>3845</v>
      </c>
      <c r="D17" s="36">
        <f t="shared" si="3"/>
        <v>4620</v>
      </c>
      <c r="E17" s="16">
        <f t="shared" si="0"/>
        <v>623</v>
      </c>
      <c r="F17" s="281">
        <f t="shared" si="4"/>
        <v>0.13482968965055847</v>
      </c>
      <c r="G17" s="747"/>
      <c r="H17" s="16"/>
      <c r="I17" s="16">
        <f t="shared" si="5"/>
        <v>850</v>
      </c>
      <c r="J17" s="16">
        <f t="shared" si="1"/>
        <v>21250</v>
      </c>
      <c r="K17" s="53"/>
    </row>
    <row r="18" spans="1:14" x14ac:dyDescent="0.25">
      <c r="B18" s="72"/>
      <c r="C18" s="25"/>
      <c r="D18" s="25"/>
      <c r="E18" s="25"/>
      <c r="F18" s="25"/>
      <c r="G18" s="25"/>
      <c r="H18" s="1441" t="s">
        <v>504</v>
      </c>
      <c r="I18" s="1441"/>
      <c r="J18" s="1441"/>
      <c r="K18" s="1481"/>
    </row>
    <row r="20" spans="1:14" ht="13.8" thickBot="1" x14ac:dyDescent="0.3">
      <c r="H20" s="9"/>
      <c r="I20" s="9"/>
      <c r="L20" t="s">
        <v>496</v>
      </c>
    </row>
    <row r="21" spans="1:14" ht="13.8" thickBot="1" x14ac:dyDescent="0.3">
      <c r="E21" t="s">
        <v>310</v>
      </c>
      <c r="F21" s="963">
        <v>0.125</v>
      </c>
      <c r="H21" s="9"/>
      <c r="I21" s="9"/>
      <c r="J21" t="s">
        <v>497</v>
      </c>
      <c r="K21" t="s">
        <v>498</v>
      </c>
      <c r="L21" s="962">
        <v>0.3</v>
      </c>
      <c r="M21" t="s">
        <v>499</v>
      </c>
    </row>
    <row r="22" spans="1:14" x14ac:dyDescent="0.25">
      <c r="A22" s="325" t="s">
        <v>102</v>
      </c>
      <c r="B22" s="15" t="s">
        <v>30</v>
      </c>
      <c r="C22" s="960"/>
      <c r="D22" s="15" t="s">
        <v>152</v>
      </c>
      <c r="E22" s="15">
        <v>4</v>
      </c>
      <c r="F22" s="16"/>
      <c r="G22" s="15">
        <v>325</v>
      </c>
      <c r="H22" s="15">
        <v>25</v>
      </c>
      <c r="I22" s="74">
        <v>5</v>
      </c>
      <c r="J22" s="9"/>
      <c r="K22" s="9">
        <f>(K29-K28-K27)*C22</f>
        <v>0</v>
      </c>
      <c r="M22" s="9">
        <f>J22*F22*(1+L21)</f>
        <v>0</v>
      </c>
    </row>
    <row r="23" spans="1:14" x14ac:dyDescent="0.25">
      <c r="A23" s="323"/>
      <c r="B23" s="16"/>
      <c r="C23" s="367">
        <f>1-C24</f>
        <v>0.5</v>
      </c>
      <c r="D23" s="16" t="s">
        <v>153</v>
      </c>
      <c r="E23" s="16"/>
      <c r="F23" s="16">
        <v>3</v>
      </c>
      <c r="G23" s="16">
        <v>300</v>
      </c>
      <c r="H23" s="16">
        <v>15</v>
      </c>
      <c r="I23" s="53">
        <v>5</v>
      </c>
      <c r="J23" s="9">
        <f>K23/I23</f>
        <v>6412.7</v>
      </c>
      <c r="K23" s="9">
        <f>(K29-K28-K27)*C23</f>
        <v>32063.5</v>
      </c>
      <c r="M23" s="9">
        <f>J23*F23*(1+L21)</f>
        <v>25009.53</v>
      </c>
    </row>
    <row r="24" spans="1:14" x14ac:dyDescent="0.25">
      <c r="A24" s="323"/>
      <c r="B24" s="16"/>
      <c r="C24" s="367">
        <v>0.5</v>
      </c>
      <c r="D24" s="16" t="s">
        <v>154</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8" thickBot="1" x14ac:dyDescent="0.3">
      <c r="A25" s="324"/>
      <c r="B25" s="25"/>
      <c r="C25" s="961"/>
      <c r="D25" s="25" t="s">
        <v>155</v>
      </c>
      <c r="E25" s="25">
        <v>6</v>
      </c>
      <c r="F25" s="25">
        <v>0</v>
      </c>
      <c r="G25" s="25">
        <v>1200</v>
      </c>
      <c r="H25" s="25">
        <v>55</v>
      </c>
      <c r="I25" s="53">
        <f>1.8 * MIN(6, MAX(E25,F25)) + 0.45 * MIN(6, MIN(E25,F25)) + IF(E25&gt;6, (E25-6)*0.2) + IF(F25&gt;6, (F25-6)*0.2)</f>
        <v>10.8</v>
      </c>
      <c r="J25" s="9"/>
      <c r="K25" s="9">
        <f>(K29-K28-K27)*C25</f>
        <v>0</v>
      </c>
      <c r="M25" s="9">
        <f>J25*F25*(1+L21)</f>
        <v>0</v>
      </c>
    </row>
    <row r="26" spans="1:14" x14ac:dyDescent="0.25">
      <c r="C26" s="11">
        <f>SUM(C22:C25)</f>
        <v>1</v>
      </c>
      <c r="D26" s="107" t="s">
        <v>24</v>
      </c>
      <c r="F26" s="107">
        <v>1</v>
      </c>
      <c r="H26" s="9"/>
      <c r="I26" s="107" t="s">
        <v>24</v>
      </c>
      <c r="J26" s="960">
        <v>5000</v>
      </c>
      <c r="M26" s="9">
        <f>J26*F26*(1+L21)</f>
        <v>6500</v>
      </c>
    </row>
    <row r="27" spans="1:14" x14ac:dyDescent="0.25">
      <c r="H27" s="9"/>
      <c r="I27" s="9" t="s">
        <v>494</v>
      </c>
      <c r="J27" s="438">
        <v>1250</v>
      </c>
      <c r="K27" s="9">
        <f>J27*25</f>
        <v>31250</v>
      </c>
      <c r="M27" s="964">
        <f>SUM(M22:M26)</f>
        <v>52425.504910394266</v>
      </c>
      <c r="N27" t="s">
        <v>499</v>
      </c>
    </row>
    <row r="28" spans="1:14" ht="13.8" thickBot="1" x14ac:dyDescent="0.3">
      <c r="H28" s="9"/>
      <c r="I28" s="9" t="s">
        <v>495</v>
      </c>
      <c r="J28" s="961">
        <v>750</v>
      </c>
      <c r="K28" s="9">
        <f>5*J28</f>
        <v>3750</v>
      </c>
    </row>
    <row r="29" spans="1:14" ht="13.8" thickBot="1" x14ac:dyDescent="0.3">
      <c r="H29" s="9"/>
      <c r="I29" s="9"/>
      <c r="K29" s="959">
        <v>99127</v>
      </c>
    </row>
    <row r="30" spans="1:14" x14ac:dyDescent="0.25">
      <c r="H30" s="9"/>
      <c r="I30" s="9"/>
    </row>
    <row r="31" spans="1:14" ht="13.8" thickBot="1" x14ac:dyDescent="0.3">
      <c r="H31" s="9"/>
      <c r="I31" s="9"/>
      <c r="L31" t="s">
        <v>508</v>
      </c>
    </row>
    <row r="32" spans="1:14" ht="13.8" thickBot="1" x14ac:dyDescent="0.3">
      <c r="H32" s="9"/>
      <c r="I32" s="9"/>
      <c r="J32" t="s">
        <v>497</v>
      </c>
      <c r="K32" t="s">
        <v>498</v>
      </c>
      <c r="L32" s="962">
        <v>0.2</v>
      </c>
      <c r="M32" t="s">
        <v>499</v>
      </c>
      <c r="N32" t="s">
        <v>510</v>
      </c>
    </row>
    <row r="33" spans="1:14" x14ac:dyDescent="0.25">
      <c r="A33" s="325" t="s">
        <v>100</v>
      </c>
      <c r="B33" s="74" t="s">
        <v>30</v>
      </c>
      <c r="C33" s="960"/>
      <c r="D33" s="70" t="s">
        <v>148</v>
      </c>
      <c r="E33" s="15">
        <v>3</v>
      </c>
      <c r="F33" s="15"/>
      <c r="G33" s="15">
        <v>325</v>
      </c>
      <c r="H33" s="15">
        <v>25</v>
      </c>
      <c r="I33" s="74">
        <v>5</v>
      </c>
      <c r="J33" s="9"/>
      <c r="K33" s="9">
        <f>(K40-K39-K38)*C33</f>
        <v>0</v>
      </c>
      <c r="M33" s="9"/>
      <c r="N33" s="9"/>
    </row>
    <row r="34" spans="1:14" x14ac:dyDescent="0.25">
      <c r="A34" s="323"/>
      <c r="B34" s="53"/>
      <c r="C34" s="367">
        <f>1-C36</f>
        <v>0.4</v>
      </c>
      <c r="D34" s="52" t="s">
        <v>149</v>
      </c>
      <c r="E34" s="16"/>
      <c r="F34" s="16">
        <v>3</v>
      </c>
      <c r="G34" s="16">
        <v>375</v>
      </c>
      <c r="H34" s="16">
        <v>15</v>
      </c>
      <c r="I34" s="53">
        <v>5</v>
      </c>
      <c r="J34" s="9">
        <f>K34/I34</f>
        <v>14126</v>
      </c>
      <c r="K34" s="9">
        <f>(K40-K39-K38)*C34</f>
        <v>70630</v>
      </c>
      <c r="M34" s="971">
        <f>J34*F34*(1+L32)</f>
        <v>50853.599999999999</v>
      </c>
      <c r="N34" s="9"/>
    </row>
    <row r="35" spans="1:14" x14ac:dyDescent="0.25">
      <c r="A35" s="323"/>
      <c r="B35" s="53"/>
      <c r="C35" s="367"/>
      <c r="D35" s="52" t="s">
        <v>370</v>
      </c>
      <c r="E35" s="16">
        <v>5</v>
      </c>
      <c r="F35" s="16">
        <v>3</v>
      </c>
      <c r="G35" s="16">
        <v>1025</v>
      </c>
      <c r="H35" s="16">
        <v>80</v>
      </c>
      <c r="I35" s="53">
        <f>1.8 * MIN(6, MAX(E35,F35)) + 0.45 * MIN(6, MIN(E35,F35)) + IF(E35&gt;6, (E35-6)*0.2) + IF(F35&gt;6, (F35-6)*0.2)</f>
        <v>10.35</v>
      </c>
      <c r="J35" s="9">
        <f>K35/I35</f>
        <v>0</v>
      </c>
      <c r="K35" s="9">
        <f>(K40-K39-K38)*C35</f>
        <v>0</v>
      </c>
      <c r="M35" s="9"/>
      <c r="N35" s="9"/>
    </row>
    <row r="36" spans="1:14" ht="13.8" thickBot="1" x14ac:dyDescent="0.3">
      <c r="A36" s="324"/>
      <c r="B36" s="75"/>
      <c r="C36" s="970">
        <v>0.6</v>
      </c>
      <c r="D36" s="72" t="s">
        <v>151</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1">
        <f>J36*E36</f>
        <v>54330.769230769234</v>
      </c>
    </row>
    <row r="37" spans="1:14" x14ac:dyDescent="0.25">
      <c r="F37" s="107">
        <v>1</v>
      </c>
      <c r="H37" s="9"/>
      <c r="I37" s="107" t="s">
        <v>24</v>
      </c>
      <c r="J37" s="960">
        <v>1000</v>
      </c>
      <c r="M37" s="971">
        <f>J37*F37*(1+L35)</f>
        <v>1000</v>
      </c>
      <c r="N37" s="9"/>
    </row>
    <row r="38" spans="1:14" x14ac:dyDescent="0.25">
      <c r="H38" s="9"/>
      <c r="I38" s="9" t="s">
        <v>494</v>
      </c>
      <c r="J38" s="438">
        <v>2337</v>
      </c>
      <c r="K38" s="9">
        <f>J38*25</f>
        <v>58425</v>
      </c>
      <c r="M38" s="964"/>
      <c r="N38" s="964"/>
    </row>
    <row r="39" spans="1:14" ht="13.8" thickBot="1" x14ac:dyDescent="0.3">
      <c r="H39" s="9"/>
      <c r="I39" s="9" t="s">
        <v>509</v>
      </c>
      <c r="J39" s="961">
        <v>1000</v>
      </c>
      <c r="K39" s="9">
        <f>5*J39</f>
        <v>5000</v>
      </c>
      <c r="M39" s="964">
        <f>SUM(M33:M37)</f>
        <v>51853.599999999999</v>
      </c>
      <c r="N39" s="964">
        <f>N36</f>
        <v>54330.769230769234</v>
      </c>
    </row>
    <row r="40" spans="1:14" ht="13.8" thickBot="1" x14ac:dyDescent="0.3">
      <c r="H40" s="9"/>
      <c r="I40" s="9"/>
      <c r="K40" s="959">
        <v>240000</v>
      </c>
    </row>
    <row r="41" spans="1:14" x14ac:dyDescent="0.25">
      <c r="H41" s="9"/>
      <c r="I41" s="9"/>
    </row>
    <row r="42" spans="1:14" x14ac:dyDescent="0.25">
      <c r="H42" s="9"/>
      <c r="I42" s="9"/>
    </row>
    <row r="43" spans="1:14" x14ac:dyDescent="0.25">
      <c r="H43" s="9"/>
      <c r="I43" s="9"/>
    </row>
    <row r="44" spans="1:14" x14ac:dyDescent="0.25">
      <c r="H44" s="9"/>
      <c r="I44" s="9"/>
    </row>
    <row r="45" spans="1:14" x14ac:dyDescent="0.25">
      <c r="H45" s="9"/>
      <c r="I45" s="9"/>
    </row>
    <row r="46" spans="1:14" x14ac:dyDescent="0.25">
      <c r="H46" s="9"/>
      <c r="I46" s="9"/>
    </row>
    <row r="47" spans="1:14" x14ac:dyDescent="0.25">
      <c r="H47" s="9"/>
      <c r="I47" s="9"/>
    </row>
    <row r="48" spans="1:14" x14ac:dyDescent="0.25">
      <c r="H48" s="9"/>
      <c r="I48" s="9"/>
    </row>
    <row r="49" spans="3:9" x14ac:dyDescent="0.25">
      <c r="H49" s="9"/>
      <c r="I49" s="9"/>
    </row>
    <row r="50" spans="3:9" x14ac:dyDescent="0.25">
      <c r="H50" s="9"/>
      <c r="I50" s="9"/>
    </row>
    <row r="51" spans="3:9" ht="13.8" thickBot="1" x14ac:dyDescent="0.3">
      <c r="C51" s="15" t="s">
        <v>297</v>
      </c>
      <c r="D51" s="15" t="s">
        <v>298</v>
      </c>
      <c r="E51" s="15" t="s">
        <v>250</v>
      </c>
      <c r="F51" s="15" t="s">
        <v>249</v>
      </c>
      <c r="H51" s="9"/>
      <c r="I51" s="9"/>
    </row>
    <row r="52" spans="3:9" ht="13.8" thickBot="1" x14ac:dyDescent="0.3">
      <c r="C52" s="361">
        <v>3845</v>
      </c>
      <c r="D52" s="435">
        <v>3220</v>
      </c>
      <c r="E52" s="1023">
        <f>MAX(10,($F52*$D52))</f>
        <v>321.73901464653113</v>
      </c>
      <c r="F52" s="281">
        <f>MIN(0.15, 0.25 * ( 0.7 - EXP( -1.3 * $D52 / $C52 ) ))*1.1</f>
        <v>9.9918948647991029E-2</v>
      </c>
      <c r="G52">
        <v>310</v>
      </c>
      <c r="H52" s="9"/>
      <c r="I52" s="9"/>
    </row>
    <row r="53" spans="3:9" ht="13.8" thickBot="1" x14ac:dyDescent="0.3">
      <c r="C53" s="361">
        <v>3810</v>
      </c>
      <c r="D53" s="435">
        <v>3127</v>
      </c>
      <c r="E53" s="1023">
        <f>MAX(10,($F53*$D53))</f>
        <v>306.08648635209335</v>
      </c>
      <c r="F53" s="281">
        <f>MIN(0.15, 0.25 * ( 0.7 - EXP( -1.3 * $D53 / $C53 ) ))*1.1</f>
        <v>9.7885029213972921E-2</v>
      </c>
      <c r="G53" s="1024">
        <v>298</v>
      </c>
      <c r="H53" s="9"/>
      <c r="I53" s="9"/>
    </row>
    <row r="54" spans="3:9" ht="13.8" thickBot="1" x14ac:dyDescent="0.3">
      <c r="C54" s="361">
        <v>3643</v>
      </c>
      <c r="D54" s="435">
        <v>3042</v>
      </c>
      <c r="E54" s="1023">
        <f>MAX(10,($F54*$D54))</f>
        <v>303.0641393490846</v>
      </c>
      <c r="F54" s="281">
        <f>MIN(0.15, 0.25 * ( 0.7 - EXP( -1.3 * $D54 / $C54 ) ))*1.1</f>
        <v>9.9626607281092891E-2</v>
      </c>
      <c r="G54" s="1024">
        <v>294</v>
      </c>
      <c r="H54" s="9"/>
      <c r="I54" s="9"/>
    </row>
    <row r="55" spans="3:9" ht="13.8" thickBot="1" x14ac:dyDescent="0.3">
      <c r="C55" s="361">
        <v>3905</v>
      </c>
      <c r="D55" s="435">
        <v>2938</v>
      </c>
      <c r="E55" s="1023">
        <f>MAX(10,($F55*$D55))</f>
        <v>261.74944508637975</v>
      </c>
      <c r="F55" s="281">
        <f>MIN(0.15, 0.25 * ( 0.7 - EXP( -1.3 * $D55 / $C55 ) ))*1.1</f>
        <v>8.9091029641381811E-2</v>
      </c>
      <c r="G55" s="1024">
        <v>234</v>
      </c>
      <c r="H55" s="9"/>
      <c r="I55" s="9"/>
    </row>
    <row r="56" spans="3:9" x14ac:dyDescent="0.25">
      <c r="H56" s="9"/>
      <c r="I56" s="9"/>
    </row>
    <row r="57" spans="3:9" x14ac:dyDescent="0.25">
      <c r="H57" s="9"/>
      <c r="I57" s="9"/>
    </row>
    <row r="58" spans="3:9" x14ac:dyDescent="0.25">
      <c r="H58" s="9"/>
      <c r="I58" s="9"/>
    </row>
    <row r="59" spans="3:9" x14ac:dyDescent="0.25">
      <c r="H59" s="9"/>
      <c r="I59" s="9"/>
    </row>
    <row r="60" spans="3:9" x14ac:dyDescent="0.25">
      <c r="H60" s="9"/>
      <c r="I60" s="9"/>
    </row>
    <row r="61" spans="3:9" x14ac:dyDescent="0.25">
      <c r="H61" s="9"/>
      <c r="I61" s="9"/>
    </row>
    <row r="62" spans="3:9" x14ac:dyDescent="0.25">
      <c r="H62" s="9"/>
      <c r="I62" s="9"/>
    </row>
    <row r="63" spans="3:9" x14ac:dyDescent="0.25">
      <c r="H63" s="9"/>
      <c r="I63" s="9"/>
    </row>
    <row r="64" spans="3:9" x14ac:dyDescent="0.25">
      <c r="H64" s="9"/>
      <c r="I64" s="9"/>
    </row>
    <row r="65" spans="8:9" x14ac:dyDescent="0.25">
      <c r="H65" s="9"/>
      <c r="I65" s="9"/>
    </row>
    <row r="66" spans="8:9" x14ac:dyDescent="0.25">
      <c r="H66" s="9"/>
      <c r="I66" s="9"/>
    </row>
    <row r="67" spans="8:9" x14ac:dyDescent="0.25">
      <c r="H67" s="9"/>
      <c r="I67" s="9"/>
    </row>
    <row r="68" spans="8:9" x14ac:dyDescent="0.25">
      <c r="H68" s="9"/>
      <c r="I68" s="9"/>
    </row>
    <row r="69" spans="8:9" x14ac:dyDescent="0.25">
      <c r="H69" s="9"/>
      <c r="I69" s="9"/>
    </row>
    <row r="70" spans="8:9" x14ac:dyDescent="0.25">
      <c r="H70" s="9"/>
      <c r="I70" s="9"/>
    </row>
    <row r="71" spans="8:9" x14ac:dyDescent="0.25">
      <c r="H71" s="9"/>
      <c r="I71" s="9"/>
    </row>
    <row r="72" spans="8:9" x14ac:dyDescent="0.25">
      <c r="H72" s="9"/>
      <c r="I72" s="9"/>
    </row>
    <row r="73" spans="8:9" x14ac:dyDescent="0.25">
      <c r="H73" s="9"/>
      <c r="I73" s="9"/>
    </row>
    <row r="74" spans="8:9" x14ac:dyDescent="0.25">
      <c r="H74" s="9"/>
      <c r="I74" s="9"/>
    </row>
    <row r="75" spans="8:9" x14ac:dyDescent="0.25">
      <c r="H75" s="9"/>
      <c r="I75" s="9"/>
    </row>
    <row r="76" spans="8:9" x14ac:dyDescent="0.25">
      <c r="H76" s="9"/>
      <c r="I76" s="9"/>
    </row>
    <row r="77" spans="8:9" x14ac:dyDescent="0.25">
      <c r="H77" s="9"/>
      <c r="I77" s="9"/>
    </row>
    <row r="78" spans="8:9" x14ac:dyDescent="0.25">
      <c r="H78" s="9"/>
      <c r="I78" s="9"/>
    </row>
    <row r="79" spans="8:9" x14ac:dyDescent="0.25">
      <c r="H79" s="9"/>
      <c r="I79" s="9"/>
    </row>
    <row r="80" spans="8:9" x14ac:dyDescent="0.25">
      <c r="H80" s="9"/>
      <c r="I80" s="9"/>
    </row>
    <row r="81" spans="8:9" x14ac:dyDescent="0.25">
      <c r="H81" s="9"/>
      <c r="I81" s="9"/>
    </row>
    <row r="82" spans="8:9" x14ac:dyDescent="0.25">
      <c r="H82" s="9"/>
      <c r="I82" s="9"/>
    </row>
    <row r="83" spans="8:9" x14ac:dyDescent="0.25">
      <c r="H83" s="9"/>
      <c r="I83" s="9"/>
    </row>
    <row r="84" spans="8:9" x14ac:dyDescent="0.25">
      <c r="H84" s="9"/>
      <c r="I84" s="9"/>
    </row>
    <row r="85" spans="8:9" x14ac:dyDescent="0.25">
      <c r="H85" s="9"/>
      <c r="I85" s="9"/>
    </row>
    <row r="86" spans="8:9" x14ac:dyDescent="0.25">
      <c r="H86" s="9"/>
      <c r="I86" s="9"/>
    </row>
    <row r="87" spans="8:9" x14ac:dyDescent="0.25">
      <c r="H87" s="9"/>
      <c r="I87" s="9"/>
    </row>
    <row r="88" spans="8:9" x14ac:dyDescent="0.25">
      <c r="H88" s="9"/>
      <c r="I88" s="9"/>
    </row>
    <row r="89" spans="8:9" x14ac:dyDescent="0.25">
      <c r="H89" s="9"/>
      <c r="I89" s="9"/>
    </row>
    <row r="90" spans="8:9" x14ac:dyDescent="0.25">
      <c r="H90" s="9"/>
      <c r="I90" s="9"/>
    </row>
    <row r="91" spans="8:9" x14ac:dyDescent="0.25">
      <c r="H91" s="9"/>
      <c r="I91" s="9"/>
    </row>
    <row r="92" spans="8:9" x14ac:dyDescent="0.25">
      <c r="H92" s="9"/>
      <c r="I92" s="9"/>
    </row>
    <row r="93" spans="8:9" x14ac:dyDescent="0.25">
      <c r="H93" s="9"/>
      <c r="I93" s="9"/>
    </row>
    <row r="94" spans="8:9" x14ac:dyDescent="0.25">
      <c r="H94" s="9"/>
      <c r="I94" s="9"/>
    </row>
    <row r="95" spans="8:9" x14ac:dyDescent="0.25">
      <c r="H95" s="9"/>
      <c r="I95" s="9"/>
    </row>
    <row r="96" spans="8:9" x14ac:dyDescent="0.25">
      <c r="H96" s="9"/>
      <c r="I96" s="9"/>
    </row>
    <row r="97" spans="8:9" x14ac:dyDescent="0.25">
      <c r="H97" s="9"/>
      <c r="I97" s="9"/>
    </row>
    <row r="98" spans="8:9" x14ac:dyDescent="0.25">
      <c r="H98" s="9"/>
      <c r="I98" s="9"/>
    </row>
    <row r="99" spans="8:9" x14ac:dyDescent="0.25">
      <c r="H99" s="9"/>
      <c r="I99" s="9"/>
    </row>
    <row r="100" spans="8:9" x14ac:dyDescent="0.25">
      <c r="H100" s="9"/>
      <c r="I100" s="9"/>
    </row>
    <row r="101" spans="8:9" x14ac:dyDescent="0.25">
      <c r="H101" s="9"/>
      <c r="I101" s="9"/>
    </row>
    <row r="102" spans="8:9" x14ac:dyDescent="0.25">
      <c r="H102" s="9"/>
      <c r="I102" s="9"/>
    </row>
    <row r="103" spans="8:9" x14ac:dyDescent="0.25">
      <c r="H103" s="9"/>
      <c r="I103" s="9"/>
    </row>
    <row r="104" spans="8:9" x14ac:dyDescent="0.25">
      <c r="H104" s="9"/>
      <c r="I104" s="9"/>
    </row>
    <row r="105" spans="8:9" x14ac:dyDescent="0.25">
      <c r="H105" s="9"/>
      <c r="I105" s="9"/>
    </row>
    <row r="106" spans="8:9" x14ac:dyDescent="0.25">
      <c r="H106" s="9"/>
      <c r="I106" s="9"/>
    </row>
    <row r="107" spans="8:9" x14ac:dyDescent="0.25">
      <c r="H107" s="9"/>
      <c r="I107" s="9"/>
    </row>
    <row r="108" spans="8:9" x14ac:dyDescent="0.25">
      <c r="H108" s="9"/>
      <c r="I108" s="9"/>
    </row>
    <row r="109" spans="8:9" x14ac:dyDescent="0.25">
      <c r="H109" s="9"/>
      <c r="I109" s="9"/>
    </row>
    <row r="110" spans="8:9" x14ac:dyDescent="0.25">
      <c r="H110" s="9"/>
      <c r="I110" s="9"/>
    </row>
    <row r="111" spans="8:9" x14ac:dyDescent="0.25">
      <c r="H111" s="9"/>
      <c r="I111" s="9"/>
    </row>
    <row r="112" spans="8:9" x14ac:dyDescent="0.25">
      <c r="H112" s="9"/>
      <c r="I112" s="9"/>
    </row>
    <row r="113" spans="8:9" x14ac:dyDescent="0.25">
      <c r="H113" s="9"/>
      <c r="I113" s="9"/>
    </row>
    <row r="114" spans="8:9" x14ac:dyDescent="0.25">
      <c r="H114" s="9"/>
      <c r="I114" s="9"/>
    </row>
    <row r="115" spans="8:9" x14ac:dyDescent="0.25">
      <c r="H115" s="9"/>
      <c r="I115" s="9"/>
    </row>
    <row r="116" spans="8:9" x14ac:dyDescent="0.25">
      <c r="H116" s="9"/>
      <c r="I116" s="9"/>
    </row>
    <row r="117" spans="8:9" x14ac:dyDescent="0.25">
      <c r="H117" s="9"/>
      <c r="I117" s="9"/>
    </row>
    <row r="118" spans="8:9" x14ac:dyDescent="0.25">
      <c r="H118" s="9"/>
      <c r="I118" s="9"/>
    </row>
    <row r="119" spans="8:9" x14ac:dyDescent="0.25">
      <c r="H119" s="9"/>
      <c r="I119" s="9"/>
    </row>
    <row r="120" spans="8:9" x14ac:dyDescent="0.25">
      <c r="H120" s="9"/>
      <c r="I120" s="9"/>
    </row>
    <row r="121" spans="8:9" x14ac:dyDescent="0.25">
      <c r="H121" s="9"/>
      <c r="I121" s="9"/>
    </row>
    <row r="122" spans="8:9" x14ac:dyDescent="0.25">
      <c r="H122" s="9"/>
      <c r="I122" s="9"/>
    </row>
    <row r="123" spans="8:9" x14ac:dyDescent="0.25">
      <c r="H123" s="9"/>
      <c r="I123" s="9"/>
    </row>
    <row r="124" spans="8:9" x14ac:dyDescent="0.25">
      <c r="H124" s="9"/>
      <c r="I124" s="9"/>
    </row>
    <row r="125" spans="8:9" x14ac:dyDescent="0.25">
      <c r="H125" s="9"/>
      <c r="I125" s="9"/>
    </row>
    <row r="126" spans="8:9" x14ac:dyDescent="0.25">
      <c r="H126" s="9"/>
      <c r="I126" s="9"/>
    </row>
    <row r="127" spans="8:9" x14ac:dyDescent="0.25">
      <c r="H127" s="9"/>
      <c r="I127" s="9"/>
    </row>
    <row r="128" spans="8:9" x14ac:dyDescent="0.25">
      <c r="H128" s="9"/>
      <c r="I128" s="9"/>
    </row>
    <row r="129" spans="8:9" x14ac:dyDescent="0.25">
      <c r="H129" s="9"/>
      <c r="I129" s="9"/>
    </row>
    <row r="130" spans="8:9" x14ac:dyDescent="0.25">
      <c r="H130" s="9"/>
      <c r="I130" s="9"/>
    </row>
    <row r="131" spans="8:9" x14ac:dyDescent="0.25">
      <c r="H131" s="9"/>
      <c r="I131" s="9"/>
    </row>
    <row r="132" spans="8:9" x14ac:dyDescent="0.25">
      <c r="H132" s="9"/>
      <c r="I132" s="9"/>
    </row>
    <row r="133" spans="8:9" x14ac:dyDescent="0.25">
      <c r="H133" s="9"/>
      <c r="I133" s="9"/>
    </row>
    <row r="134" spans="8:9" x14ac:dyDescent="0.25">
      <c r="H134" s="9"/>
      <c r="I134" s="9"/>
    </row>
    <row r="135" spans="8:9" x14ac:dyDescent="0.25">
      <c r="H135" s="9"/>
      <c r="I135" s="9"/>
    </row>
    <row r="136" spans="8:9" x14ac:dyDescent="0.25">
      <c r="H136" s="9"/>
      <c r="I136" s="9"/>
    </row>
    <row r="137" spans="8:9" x14ac:dyDescent="0.25">
      <c r="H137" s="9"/>
      <c r="I137" s="9"/>
    </row>
    <row r="138" spans="8:9" x14ac:dyDescent="0.25">
      <c r="H138" s="9"/>
      <c r="I138" s="9"/>
    </row>
    <row r="139" spans="8:9" x14ac:dyDescent="0.25">
      <c r="H139" s="9"/>
      <c r="I139" s="9"/>
    </row>
    <row r="140" spans="8:9" x14ac:dyDescent="0.25">
      <c r="H140" s="9"/>
      <c r="I140" s="9"/>
    </row>
    <row r="141" spans="8:9" x14ac:dyDescent="0.25">
      <c r="H141" s="9"/>
      <c r="I141" s="9"/>
    </row>
    <row r="142" spans="8:9" x14ac:dyDescent="0.25">
      <c r="H142" s="9"/>
      <c r="I142" s="9"/>
    </row>
    <row r="143" spans="8:9" x14ac:dyDescent="0.25">
      <c r="H143" s="9"/>
      <c r="I143" s="9"/>
    </row>
    <row r="144" spans="8:9" x14ac:dyDescent="0.25">
      <c r="H144" s="9"/>
      <c r="I144" s="9"/>
    </row>
    <row r="145" spans="8:9" x14ac:dyDescent="0.25">
      <c r="H145" s="9"/>
      <c r="I145" s="9"/>
    </row>
    <row r="146" spans="8:9" x14ac:dyDescent="0.25">
      <c r="H146" s="9"/>
      <c r="I146" s="9"/>
    </row>
    <row r="147" spans="8:9" x14ac:dyDescent="0.25">
      <c r="H147" s="9"/>
      <c r="I147" s="9"/>
    </row>
    <row r="148" spans="8:9" x14ac:dyDescent="0.25">
      <c r="H148" s="9"/>
      <c r="I148" s="9"/>
    </row>
    <row r="149" spans="8:9" x14ac:dyDescent="0.25">
      <c r="H149" s="9"/>
      <c r="I149" s="9"/>
    </row>
    <row r="150" spans="8:9" x14ac:dyDescent="0.25">
      <c r="H150" s="9"/>
      <c r="I150" s="9"/>
    </row>
    <row r="151" spans="8:9" x14ac:dyDescent="0.25">
      <c r="H151" s="9"/>
      <c r="I151" s="9"/>
    </row>
    <row r="152" spans="8:9" x14ac:dyDescent="0.25">
      <c r="H152" s="9"/>
      <c r="I152" s="9"/>
    </row>
    <row r="153" spans="8:9" x14ac:dyDescent="0.25">
      <c r="H153" s="9"/>
      <c r="I153" s="9"/>
    </row>
    <row r="154" spans="8:9" x14ac:dyDescent="0.25">
      <c r="H154" s="9"/>
      <c r="I154" s="9"/>
    </row>
    <row r="155" spans="8:9" x14ac:dyDescent="0.25">
      <c r="H155" s="9"/>
      <c r="I155" s="9"/>
    </row>
    <row r="156" spans="8:9" x14ac:dyDescent="0.25">
      <c r="H156" s="9"/>
      <c r="I156" s="9"/>
    </row>
    <row r="157" spans="8:9" x14ac:dyDescent="0.25">
      <c r="H157" s="9"/>
      <c r="I157" s="9"/>
    </row>
    <row r="158" spans="8:9" x14ac:dyDescent="0.25">
      <c r="H158" s="9"/>
      <c r="I158" s="9"/>
    </row>
    <row r="159" spans="8:9" x14ac:dyDescent="0.25">
      <c r="H159" s="9"/>
      <c r="I159" s="9"/>
    </row>
    <row r="160" spans="8:9" x14ac:dyDescent="0.25">
      <c r="H160" s="9"/>
      <c r="I160" s="9"/>
    </row>
    <row r="161" spans="8:9" x14ac:dyDescent="0.25">
      <c r="H161" s="9"/>
      <c r="I161" s="9"/>
    </row>
    <row r="162" spans="8:9" x14ac:dyDescent="0.25">
      <c r="H162" s="9"/>
      <c r="I162" s="9"/>
    </row>
    <row r="163" spans="8:9" x14ac:dyDescent="0.25">
      <c r="H163" s="9"/>
      <c r="I163" s="9"/>
    </row>
    <row r="164" spans="8:9" x14ac:dyDescent="0.25">
      <c r="H164" s="9"/>
      <c r="I164" s="9"/>
    </row>
    <row r="165" spans="8:9" x14ac:dyDescent="0.25">
      <c r="H165" s="9"/>
      <c r="I165" s="9"/>
    </row>
    <row r="166" spans="8:9" x14ac:dyDescent="0.25">
      <c r="H166" s="9"/>
      <c r="I166" s="9"/>
    </row>
    <row r="167" spans="8:9" x14ac:dyDescent="0.25">
      <c r="H167" s="9"/>
      <c r="I167" s="9"/>
    </row>
    <row r="168" spans="8:9" x14ac:dyDescent="0.25">
      <c r="H168" s="9"/>
      <c r="I168" s="9"/>
    </row>
    <row r="169" spans="8:9" x14ac:dyDescent="0.25">
      <c r="H169" s="9"/>
      <c r="I169" s="9"/>
    </row>
    <row r="170" spans="8:9" x14ac:dyDescent="0.25">
      <c r="H170" s="9"/>
      <c r="I170" s="9"/>
    </row>
    <row r="171" spans="8:9" x14ac:dyDescent="0.25">
      <c r="H171" s="9"/>
      <c r="I171" s="9"/>
    </row>
    <row r="172" spans="8:9" x14ac:dyDescent="0.25">
      <c r="H172" s="9"/>
      <c r="I172" s="9"/>
    </row>
    <row r="173" spans="8:9" x14ac:dyDescent="0.25">
      <c r="H173" s="9"/>
      <c r="I173" s="9"/>
    </row>
    <row r="174" spans="8:9" x14ac:dyDescent="0.25">
      <c r="H174" s="9"/>
      <c r="I174" s="9"/>
    </row>
    <row r="175" spans="8:9" x14ac:dyDescent="0.25">
      <c r="H175" s="9"/>
      <c r="I175" s="9"/>
    </row>
    <row r="176" spans="8:9" x14ac:dyDescent="0.25">
      <c r="H176" s="9"/>
      <c r="I176" s="9"/>
    </row>
    <row r="177" spans="8:9" x14ac:dyDescent="0.25">
      <c r="H177" s="9"/>
      <c r="I177" s="9"/>
    </row>
    <row r="178" spans="8:9" x14ac:dyDescent="0.25">
      <c r="H178" s="9"/>
      <c r="I178" s="9"/>
    </row>
    <row r="179" spans="8:9" x14ac:dyDescent="0.25">
      <c r="H179" s="9"/>
      <c r="I179" s="9"/>
    </row>
    <row r="180" spans="8:9" x14ac:dyDescent="0.25">
      <c r="H180" s="9"/>
      <c r="I180" s="9"/>
    </row>
    <row r="181" spans="8:9" x14ac:dyDescent="0.25">
      <c r="H181" s="9"/>
      <c r="I181" s="9"/>
    </row>
    <row r="182" spans="8:9" x14ac:dyDescent="0.25">
      <c r="H182" s="9"/>
      <c r="I182" s="9"/>
    </row>
    <row r="183" spans="8:9" x14ac:dyDescent="0.25">
      <c r="H183" s="9"/>
      <c r="I183" s="9"/>
    </row>
    <row r="184" spans="8:9" x14ac:dyDescent="0.25">
      <c r="H184" s="9"/>
      <c r="I184" s="9"/>
    </row>
    <row r="185" spans="8:9" x14ac:dyDescent="0.25">
      <c r="H185" s="9"/>
      <c r="I185" s="9"/>
    </row>
    <row r="186" spans="8:9" x14ac:dyDescent="0.25">
      <c r="H186" s="9"/>
      <c r="I186" s="9"/>
    </row>
    <row r="187" spans="8:9" x14ac:dyDescent="0.25">
      <c r="H187" s="9"/>
      <c r="I187" s="9"/>
    </row>
    <row r="188" spans="8:9" x14ac:dyDescent="0.25">
      <c r="H188" s="9"/>
      <c r="I188" s="9"/>
    </row>
    <row r="189" spans="8:9" x14ac:dyDescent="0.25">
      <c r="H189" s="9"/>
      <c r="I189" s="9"/>
    </row>
    <row r="190" spans="8:9" x14ac:dyDescent="0.25">
      <c r="H190" s="9"/>
      <c r="I190" s="9"/>
    </row>
    <row r="191" spans="8:9" x14ac:dyDescent="0.25">
      <c r="H191" s="9"/>
      <c r="I191" s="9"/>
    </row>
    <row r="192" spans="8:9" x14ac:dyDescent="0.25">
      <c r="H192" s="9"/>
      <c r="I192" s="9"/>
    </row>
    <row r="193" spans="8:9" x14ac:dyDescent="0.25">
      <c r="H193" s="9"/>
      <c r="I193" s="9"/>
    </row>
    <row r="194" spans="8:9" x14ac:dyDescent="0.25">
      <c r="H194" s="9"/>
      <c r="I194" s="9"/>
    </row>
    <row r="195" spans="8:9" x14ac:dyDescent="0.25">
      <c r="H195" s="9"/>
      <c r="I195" s="9"/>
    </row>
    <row r="196" spans="8:9" x14ac:dyDescent="0.25">
      <c r="H196" s="9"/>
      <c r="I196" s="9"/>
    </row>
    <row r="197" spans="8:9" x14ac:dyDescent="0.25">
      <c r="H197" s="9"/>
      <c r="I197" s="9"/>
    </row>
    <row r="198" spans="8:9" x14ac:dyDescent="0.25">
      <c r="H198" s="9"/>
      <c r="I198" s="9"/>
    </row>
    <row r="199" spans="8:9" x14ac:dyDescent="0.25">
      <c r="H199" s="9"/>
      <c r="I199" s="9"/>
    </row>
    <row r="200" spans="8:9" x14ac:dyDescent="0.25">
      <c r="H200" s="9"/>
      <c r="I200" s="9"/>
    </row>
    <row r="201" spans="8:9" x14ac:dyDescent="0.25">
      <c r="H201" s="9"/>
      <c r="I201" s="9"/>
    </row>
    <row r="202" spans="8:9" x14ac:dyDescent="0.25">
      <c r="H202" s="9"/>
      <c r="I202" s="9"/>
    </row>
    <row r="203" spans="8:9" x14ac:dyDescent="0.25">
      <c r="H203" s="9"/>
      <c r="I203" s="9"/>
    </row>
    <row r="204" spans="8:9" x14ac:dyDescent="0.25">
      <c r="H204" s="9"/>
      <c r="I204" s="9"/>
    </row>
    <row r="205" spans="8:9" x14ac:dyDescent="0.25">
      <c r="H205" s="9"/>
      <c r="I205" s="9"/>
    </row>
    <row r="206" spans="8:9" x14ac:dyDescent="0.25">
      <c r="H206" s="9"/>
      <c r="I206" s="9"/>
    </row>
    <row r="207" spans="8:9" x14ac:dyDescent="0.25">
      <c r="H207" s="9"/>
      <c r="I207" s="9"/>
    </row>
    <row r="208" spans="8:9" x14ac:dyDescent="0.25">
      <c r="H208" s="9"/>
      <c r="I208" s="9"/>
    </row>
    <row r="209" spans="8:9" x14ac:dyDescent="0.25">
      <c r="H209" s="9"/>
      <c r="I209" s="9"/>
    </row>
    <row r="210" spans="8:9" x14ac:dyDescent="0.25">
      <c r="H210" s="9"/>
      <c r="I210" s="9"/>
    </row>
    <row r="211" spans="8:9" x14ac:dyDescent="0.25">
      <c r="H211" s="9"/>
      <c r="I211" s="9"/>
    </row>
    <row r="212" spans="8:9" x14ac:dyDescent="0.25">
      <c r="H212" s="9"/>
      <c r="I212" s="9"/>
    </row>
    <row r="213" spans="8:9" x14ac:dyDescent="0.25">
      <c r="H213" s="9"/>
      <c r="I213" s="9"/>
    </row>
    <row r="214" spans="8:9" x14ac:dyDescent="0.25">
      <c r="H214" s="9"/>
      <c r="I214" s="9"/>
    </row>
    <row r="215" spans="8:9" x14ac:dyDescent="0.25">
      <c r="H215" s="9"/>
      <c r="I215" s="9"/>
    </row>
    <row r="216" spans="8:9" x14ac:dyDescent="0.25">
      <c r="H216" s="9"/>
      <c r="I216" s="9"/>
    </row>
    <row r="217" spans="8:9" x14ac:dyDescent="0.25">
      <c r="H217" s="9"/>
      <c r="I217" s="9"/>
    </row>
    <row r="218" spans="8:9" x14ac:dyDescent="0.25">
      <c r="H218" s="9"/>
      <c r="I218" s="9"/>
    </row>
    <row r="219" spans="8:9" x14ac:dyDescent="0.25">
      <c r="H219" s="9"/>
      <c r="I219" s="9"/>
    </row>
    <row r="220" spans="8:9" x14ac:dyDescent="0.25">
      <c r="H220" s="9"/>
      <c r="I220" s="9"/>
    </row>
    <row r="221" spans="8:9" x14ac:dyDescent="0.25">
      <c r="H221" s="9"/>
      <c r="I221" s="9"/>
    </row>
    <row r="222" spans="8:9" x14ac:dyDescent="0.25">
      <c r="H222" s="9"/>
      <c r="I222" s="9"/>
    </row>
    <row r="223" spans="8:9" x14ac:dyDescent="0.25">
      <c r="H223" s="9"/>
      <c r="I223" s="9"/>
    </row>
    <row r="224" spans="8:9" x14ac:dyDescent="0.25">
      <c r="H224" s="9"/>
      <c r="I224" s="9"/>
    </row>
    <row r="225" spans="8:9" x14ac:dyDescent="0.25">
      <c r="H225" s="9"/>
      <c r="I225" s="9"/>
    </row>
    <row r="226" spans="8:9" x14ac:dyDescent="0.25">
      <c r="H226" s="9"/>
      <c r="I226" s="9"/>
    </row>
    <row r="227" spans="8:9" x14ac:dyDescent="0.25">
      <c r="H227" s="9"/>
      <c r="I227" s="9"/>
    </row>
    <row r="228" spans="8:9" x14ac:dyDescent="0.25">
      <c r="H228" s="9"/>
      <c r="I228" s="9"/>
    </row>
    <row r="229" spans="8:9" x14ac:dyDescent="0.25">
      <c r="H229" s="9"/>
      <c r="I229" s="9"/>
    </row>
    <row r="230" spans="8:9" x14ac:dyDescent="0.25">
      <c r="H230" s="9"/>
      <c r="I230" s="9"/>
    </row>
    <row r="231" spans="8:9" x14ac:dyDescent="0.25">
      <c r="H231" s="9"/>
      <c r="I231" s="9"/>
    </row>
    <row r="232" spans="8:9" x14ac:dyDescent="0.25">
      <c r="H232" s="9"/>
      <c r="I232" s="9"/>
    </row>
    <row r="233" spans="8:9" x14ac:dyDescent="0.25">
      <c r="H233" s="9"/>
      <c r="I233" s="9"/>
    </row>
    <row r="234" spans="8:9" x14ac:dyDescent="0.25">
      <c r="H234" s="9"/>
      <c r="I234" s="9"/>
    </row>
    <row r="235" spans="8:9" x14ac:dyDescent="0.25">
      <c r="H235" s="9"/>
      <c r="I235" s="9"/>
    </row>
    <row r="236" spans="8:9" x14ac:dyDescent="0.25">
      <c r="H236" s="9"/>
      <c r="I236" s="9"/>
    </row>
    <row r="237" spans="8:9" x14ac:dyDescent="0.25">
      <c r="H237" s="9"/>
      <c r="I237" s="9"/>
    </row>
    <row r="238" spans="8:9" x14ac:dyDescent="0.25">
      <c r="H238" s="9"/>
      <c r="I238" s="9"/>
    </row>
    <row r="239" spans="8:9" x14ac:dyDescent="0.25">
      <c r="H239" s="9"/>
      <c r="I239" s="9"/>
    </row>
    <row r="240" spans="8:9" x14ac:dyDescent="0.25">
      <c r="H240" s="9"/>
      <c r="I240" s="9"/>
    </row>
    <row r="241" spans="8:9" x14ac:dyDescent="0.25">
      <c r="H241" s="9"/>
      <c r="I241" s="9"/>
    </row>
    <row r="242" spans="8:9" x14ac:dyDescent="0.25">
      <c r="H242" s="9"/>
      <c r="I242" s="9"/>
    </row>
    <row r="243" spans="8:9" x14ac:dyDescent="0.25">
      <c r="H243" s="9"/>
      <c r="I243" s="9"/>
    </row>
    <row r="244" spans="8:9" x14ac:dyDescent="0.25">
      <c r="H244" s="9"/>
      <c r="I244" s="9"/>
    </row>
    <row r="245" spans="8:9" x14ac:dyDescent="0.25">
      <c r="H245" s="9"/>
      <c r="I245" s="9"/>
    </row>
    <row r="246" spans="8:9" x14ac:dyDescent="0.25">
      <c r="H246" s="9"/>
      <c r="I246" s="9"/>
    </row>
    <row r="247" spans="8:9" x14ac:dyDescent="0.25">
      <c r="H247" s="9"/>
      <c r="I247" s="9"/>
    </row>
    <row r="248" spans="8:9" x14ac:dyDescent="0.25">
      <c r="H248" s="9"/>
      <c r="I248" s="9"/>
    </row>
    <row r="249" spans="8:9" x14ac:dyDescent="0.25">
      <c r="H249" s="9"/>
      <c r="I249" s="9"/>
    </row>
    <row r="250" spans="8:9" x14ac:dyDescent="0.25">
      <c r="H250" s="9"/>
      <c r="I250" s="9"/>
    </row>
    <row r="251" spans="8:9" x14ac:dyDescent="0.25">
      <c r="H251" s="9"/>
      <c r="I251" s="9"/>
    </row>
    <row r="252" spans="8:9" x14ac:dyDescent="0.25">
      <c r="H252" s="9"/>
      <c r="I252" s="9"/>
    </row>
    <row r="253" spans="8:9" x14ac:dyDescent="0.25">
      <c r="H253" s="9"/>
      <c r="I253" s="9"/>
    </row>
    <row r="254" spans="8:9" x14ac:dyDescent="0.25">
      <c r="H254" s="9"/>
      <c r="I254" s="9"/>
    </row>
    <row r="255" spans="8:9" x14ac:dyDescent="0.25">
      <c r="H255" s="9"/>
      <c r="I255" s="9"/>
    </row>
    <row r="256" spans="8:9" x14ac:dyDescent="0.25">
      <c r="H256" s="9"/>
      <c r="I256" s="9"/>
    </row>
    <row r="257" spans="8:9" x14ac:dyDescent="0.25">
      <c r="H257" s="9"/>
      <c r="I257" s="9"/>
    </row>
    <row r="258" spans="8:9" x14ac:dyDescent="0.25">
      <c r="H258" s="9"/>
      <c r="I258" s="9"/>
    </row>
    <row r="259" spans="8:9" x14ac:dyDescent="0.25">
      <c r="H259" s="9"/>
      <c r="I259" s="9"/>
    </row>
    <row r="260" spans="8:9" x14ac:dyDescent="0.25">
      <c r="H260" s="9"/>
      <c r="I260" s="9"/>
    </row>
    <row r="261" spans="8:9" x14ac:dyDescent="0.25">
      <c r="H261" s="9"/>
      <c r="I261" s="9"/>
    </row>
    <row r="262" spans="8:9" x14ac:dyDescent="0.25">
      <c r="H262" s="9"/>
      <c r="I262" s="9"/>
    </row>
    <row r="263" spans="8:9" x14ac:dyDescent="0.25">
      <c r="H263" s="9"/>
      <c r="I263" s="9"/>
    </row>
    <row r="264" spans="8:9" x14ac:dyDescent="0.25">
      <c r="H264" s="9"/>
      <c r="I264" s="9"/>
    </row>
    <row r="265" spans="8:9" x14ac:dyDescent="0.25">
      <c r="H265" s="9"/>
      <c r="I265" s="9"/>
    </row>
    <row r="266" spans="8:9" x14ac:dyDescent="0.25">
      <c r="H266" s="9"/>
      <c r="I266" s="9"/>
    </row>
    <row r="267" spans="8:9" x14ac:dyDescent="0.25">
      <c r="H267" s="9"/>
      <c r="I267" s="9"/>
    </row>
    <row r="268" spans="8:9" x14ac:dyDescent="0.25">
      <c r="H268" s="9"/>
      <c r="I268" s="9"/>
    </row>
    <row r="269" spans="8:9" x14ac:dyDescent="0.25">
      <c r="H269" s="9"/>
      <c r="I269" s="9"/>
    </row>
    <row r="270" spans="8:9" x14ac:dyDescent="0.25">
      <c r="H270" s="9"/>
      <c r="I270" s="9"/>
    </row>
    <row r="271" spans="8:9" x14ac:dyDescent="0.25">
      <c r="H271" s="9"/>
      <c r="I271" s="9"/>
    </row>
    <row r="272" spans="8:9" x14ac:dyDescent="0.25">
      <c r="H272" s="9"/>
      <c r="I272" s="9"/>
    </row>
    <row r="273" spans="8:9" x14ac:dyDescent="0.25">
      <c r="H273" s="9"/>
      <c r="I273" s="9"/>
    </row>
    <row r="274" spans="8:9" x14ac:dyDescent="0.25">
      <c r="H274" s="9"/>
      <c r="I274" s="9"/>
    </row>
    <row r="275" spans="8:9" x14ac:dyDescent="0.25">
      <c r="H275" s="9"/>
      <c r="I275" s="9"/>
    </row>
    <row r="276" spans="8:9" x14ac:dyDescent="0.25">
      <c r="H276" s="9"/>
      <c r="I276" s="9"/>
    </row>
    <row r="277" spans="8:9" x14ac:dyDescent="0.25">
      <c r="H277" s="9"/>
      <c r="I277" s="9"/>
    </row>
    <row r="278" spans="8:9" x14ac:dyDescent="0.25">
      <c r="H278" s="9"/>
      <c r="I278" s="9"/>
    </row>
    <row r="279" spans="8:9" x14ac:dyDescent="0.25">
      <c r="H279" s="9"/>
      <c r="I279" s="9"/>
    </row>
    <row r="280" spans="8:9" x14ac:dyDescent="0.25">
      <c r="H280" s="9"/>
      <c r="I280" s="9"/>
    </row>
    <row r="281" spans="8:9" x14ac:dyDescent="0.25">
      <c r="H281" s="9"/>
      <c r="I281" s="9"/>
    </row>
    <row r="282" spans="8:9" x14ac:dyDescent="0.25">
      <c r="H282" s="9"/>
      <c r="I282" s="9"/>
    </row>
    <row r="283" spans="8:9" x14ac:dyDescent="0.25">
      <c r="H283" s="9"/>
      <c r="I283" s="9"/>
    </row>
    <row r="284" spans="8:9" x14ac:dyDescent="0.25">
      <c r="H284" s="9"/>
      <c r="I284" s="9"/>
    </row>
    <row r="285" spans="8:9" x14ac:dyDescent="0.25">
      <c r="H285" s="9"/>
      <c r="I285" s="9"/>
    </row>
    <row r="286" spans="8:9" x14ac:dyDescent="0.25">
      <c r="H286" s="9"/>
      <c r="I286" s="9"/>
    </row>
    <row r="287" spans="8:9" x14ac:dyDescent="0.25">
      <c r="H287" s="9"/>
      <c r="I287" s="9"/>
    </row>
    <row r="288" spans="8:9" x14ac:dyDescent="0.25">
      <c r="H288" s="9"/>
      <c r="I288" s="9"/>
    </row>
    <row r="289" spans="8:9" x14ac:dyDescent="0.25">
      <c r="H289" s="9"/>
      <c r="I289" s="9"/>
    </row>
    <row r="290" spans="8:9" x14ac:dyDescent="0.25">
      <c r="H290" s="9"/>
      <c r="I290" s="9"/>
    </row>
    <row r="291" spans="8:9" x14ac:dyDescent="0.25">
      <c r="H291" s="9"/>
      <c r="I291" s="9"/>
    </row>
    <row r="292" spans="8:9" x14ac:dyDescent="0.25">
      <c r="H292" s="9"/>
      <c r="I292" s="9"/>
    </row>
    <row r="293" spans="8:9" x14ac:dyDescent="0.25">
      <c r="H293" s="9"/>
      <c r="I293" s="9"/>
    </row>
    <row r="294" spans="8:9" x14ac:dyDescent="0.25">
      <c r="H294" s="9"/>
      <c r="I294" s="9"/>
    </row>
    <row r="295" spans="8:9" x14ac:dyDescent="0.25">
      <c r="H295" s="9"/>
      <c r="I295" s="9"/>
    </row>
    <row r="296" spans="8:9" x14ac:dyDescent="0.25">
      <c r="H296" s="9"/>
      <c r="I296" s="9"/>
    </row>
    <row r="297" spans="8:9" x14ac:dyDescent="0.25">
      <c r="H297" s="9"/>
      <c r="I297" s="9"/>
    </row>
    <row r="298" spans="8:9" x14ac:dyDescent="0.25">
      <c r="H298" s="9"/>
      <c r="I298" s="9"/>
    </row>
    <row r="299" spans="8:9" x14ac:dyDescent="0.25">
      <c r="H299" s="9"/>
      <c r="I299" s="9"/>
    </row>
    <row r="300" spans="8:9" x14ac:dyDescent="0.25">
      <c r="H300" s="9"/>
      <c r="I300" s="9"/>
    </row>
    <row r="301" spans="8:9" x14ac:dyDescent="0.25">
      <c r="H301" s="9"/>
      <c r="I301" s="9"/>
    </row>
    <row r="302" spans="8:9" x14ac:dyDescent="0.25">
      <c r="H302" s="9"/>
      <c r="I302" s="9"/>
    </row>
    <row r="303" spans="8:9" x14ac:dyDescent="0.25">
      <c r="H303" s="9"/>
      <c r="I303" s="9"/>
    </row>
    <row r="304" spans="8:9" x14ac:dyDescent="0.25">
      <c r="H304" s="9"/>
      <c r="I304" s="9"/>
    </row>
    <row r="305" spans="8:9" x14ac:dyDescent="0.25">
      <c r="H305" s="9"/>
      <c r="I305" s="9"/>
    </row>
    <row r="306" spans="8:9" x14ac:dyDescent="0.25">
      <c r="H306" s="9"/>
      <c r="I306" s="9"/>
    </row>
    <row r="307" spans="8:9" x14ac:dyDescent="0.25">
      <c r="H307" s="9"/>
      <c r="I307" s="9"/>
    </row>
    <row r="308" spans="8:9" x14ac:dyDescent="0.25">
      <c r="H308" s="9"/>
      <c r="I308" s="9"/>
    </row>
    <row r="309" spans="8:9" x14ac:dyDescent="0.25">
      <c r="H309" s="9"/>
      <c r="I309" s="9"/>
    </row>
    <row r="310" spans="8:9" x14ac:dyDescent="0.25">
      <c r="H310" s="9"/>
      <c r="I310" s="9"/>
    </row>
    <row r="311" spans="8:9" x14ac:dyDescent="0.25">
      <c r="H311" s="9"/>
      <c r="I311" s="9"/>
    </row>
    <row r="312" spans="8:9" x14ac:dyDescent="0.25">
      <c r="H312" s="9"/>
      <c r="I312" s="9"/>
    </row>
    <row r="313" spans="8:9" x14ac:dyDescent="0.25">
      <c r="H313" s="9"/>
      <c r="I313" s="9"/>
    </row>
    <row r="314" spans="8:9" x14ac:dyDescent="0.25">
      <c r="H314" s="9"/>
      <c r="I314" s="9"/>
    </row>
    <row r="315" spans="8:9" x14ac:dyDescent="0.25">
      <c r="H315" s="9"/>
      <c r="I315" s="9"/>
    </row>
    <row r="316" spans="8:9" x14ac:dyDescent="0.25">
      <c r="H316" s="9"/>
      <c r="I316" s="9"/>
    </row>
    <row r="317" spans="8:9" x14ac:dyDescent="0.25">
      <c r="H317" s="9"/>
      <c r="I317" s="9"/>
    </row>
    <row r="318" spans="8:9" x14ac:dyDescent="0.25">
      <c r="H318" s="9"/>
      <c r="I318" s="9"/>
    </row>
    <row r="319" spans="8:9" x14ac:dyDescent="0.25">
      <c r="H319" s="9"/>
      <c r="I319" s="9"/>
    </row>
    <row r="320" spans="8:9" x14ac:dyDescent="0.25">
      <c r="H320" s="9"/>
      <c r="I320" s="9"/>
    </row>
    <row r="321" spans="8:9" x14ac:dyDescent="0.25">
      <c r="H321" s="9"/>
      <c r="I321" s="9"/>
    </row>
    <row r="322" spans="8:9" x14ac:dyDescent="0.25">
      <c r="H322" s="9"/>
      <c r="I322" s="9"/>
    </row>
    <row r="323" spans="8:9" x14ac:dyDescent="0.25">
      <c r="H323" s="9"/>
      <c r="I323" s="9"/>
    </row>
    <row r="324" spans="8:9" x14ac:dyDescent="0.25">
      <c r="H324" s="9"/>
      <c r="I324" s="9"/>
    </row>
    <row r="325" spans="8:9" x14ac:dyDescent="0.25">
      <c r="H325" s="9"/>
      <c r="I325" s="9"/>
    </row>
    <row r="326" spans="8:9" x14ac:dyDescent="0.25">
      <c r="H326" s="9"/>
      <c r="I326" s="9"/>
    </row>
    <row r="327" spans="8:9" x14ac:dyDescent="0.25">
      <c r="H327" s="9"/>
      <c r="I327" s="9"/>
    </row>
    <row r="328" spans="8:9" x14ac:dyDescent="0.25">
      <c r="H328" s="9"/>
      <c r="I328" s="9"/>
    </row>
    <row r="329" spans="8:9" x14ac:dyDescent="0.25">
      <c r="H329" s="9"/>
      <c r="I329" s="9"/>
    </row>
    <row r="330" spans="8:9" x14ac:dyDescent="0.25">
      <c r="H330" s="9"/>
      <c r="I330" s="9"/>
    </row>
    <row r="331" spans="8:9" x14ac:dyDescent="0.25">
      <c r="H331" s="9"/>
      <c r="I331" s="9"/>
    </row>
    <row r="332" spans="8:9" x14ac:dyDescent="0.25">
      <c r="H332" s="9"/>
      <c r="I332" s="9"/>
    </row>
    <row r="333" spans="8:9" x14ac:dyDescent="0.25">
      <c r="H333" s="9"/>
      <c r="I333" s="9"/>
    </row>
    <row r="334" spans="8:9" x14ac:dyDescent="0.25">
      <c r="H334" s="9"/>
      <c r="I334" s="9"/>
    </row>
    <row r="335" spans="8:9" x14ac:dyDescent="0.25">
      <c r="H335" s="9"/>
      <c r="I335" s="9"/>
    </row>
    <row r="336" spans="8:9" x14ac:dyDescent="0.25">
      <c r="H336" s="9"/>
      <c r="I336" s="9"/>
    </row>
    <row r="337" spans="8:9" x14ac:dyDescent="0.25">
      <c r="H337" s="9"/>
      <c r="I337" s="9"/>
    </row>
    <row r="338" spans="8:9" x14ac:dyDescent="0.25">
      <c r="H338" s="9"/>
      <c r="I338" s="9"/>
    </row>
    <row r="339" spans="8:9" x14ac:dyDescent="0.25">
      <c r="H339" s="9"/>
      <c r="I339" s="9"/>
    </row>
    <row r="340" spans="8:9" x14ac:dyDescent="0.25">
      <c r="H340" s="9"/>
      <c r="I340" s="9"/>
    </row>
    <row r="341" spans="8:9" x14ac:dyDescent="0.25">
      <c r="H341" s="9"/>
      <c r="I341" s="9"/>
    </row>
    <row r="342" spans="8:9" x14ac:dyDescent="0.25">
      <c r="H342" s="9"/>
      <c r="I342" s="9"/>
    </row>
    <row r="343" spans="8:9" x14ac:dyDescent="0.25">
      <c r="H343" s="9"/>
      <c r="I343" s="9"/>
    </row>
    <row r="344" spans="8:9" x14ac:dyDescent="0.25">
      <c r="H344" s="9"/>
      <c r="I344" s="9"/>
    </row>
    <row r="345" spans="8:9" x14ac:dyDescent="0.25">
      <c r="H345" s="9"/>
      <c r="I345" s="9"/>
    </row>
    <row r="346" spans="8:9" x14ac:dyDescent="0.25">
      <c r="H346" s="9"/>
      <c r="I346" s="9"/>
    </row>
    <row r="347" spans="8:9" x14ac:dyDescent="0.25">
      <c r="H347" s="9"/>
      <c r="I347" s="9"/>
    </row>
    <row r="348" spans="8:9" x14ac:dyDescent="0.25">
      <c r="H348" s="9"/>
      <c r="I348" s="9"/>
    </row>
    <row r="349" spans="8:9" x14ac:dyDescent="0.25">
      <c r="H349" s="9"/>
      <c r="I349" s="9"/>
    </row>
    <row r="350" spans="8:9" x14ac:dyDescent="0.25">
      <c r="H350" s="9"/>
      <c r="I350" s="9"/>
    </row>
    <row r="351" spans="8:9" x14ac:dyDescent="0.25">
      <c r="H351" s="9"/>
      <c r="I351" s="9"/>
    </row>
    <row r="352" spans="8:9" x14ac:dyDescent="0.25">
      <c r="H352" s="9"/>
      <c r="I352" s="9"/>
    </row>
    <row r="353" spans="8:9" x14ac:dyDescent="0.25">
      <c r="H353" s="9"/>
      <c r="I353" s="9"/>
    </row>
    <row r="354" spans="8:9" x14ac:dyDescent="0.25">
      <c r="H354" s="9"/>
      <c r="I354" s="9"/>
    </row>
    <row r="355" spans="8:9" x14ac:dyDescent="0.25">
      <c r="H355" s="9"/>
      <c r="I355" s="9"/>
    </row>
    <row r="356" spans="8:9" x14ac:dyDescent="0.25">
      <c r="H356" s="9"/>
      <c r="I356" s="9"/>
    </row>
    <row r="357" spans="8:9" x14ac:dyDescent="0.25">
      <c r="H357" s="9"/>
      <c r="I357" s="9"/>
    </row>
    <row r="358" spans="8:9" x14ac:dyDescent="0.25">
      <c r="H358" s="9"/>
      <c r="I358" s="9"/>
    </row>
    <row r="359" spans="8:9" x14ac:dyDescent="0.25">
      <c r="H359" s="9"/>
      <c r="I359" s="9"/>
    </row>
    <row r="360" spans="8:9" x14ac:dyDescent="0.25">
      <c r="H360" s="9"/>
      <c r="I360" s="9"/>
    </row>
    <row r="361" spans="8:9" x14ac:dyDescent="0.25">
      <c r="H361" s="9"/>
      <c r="I361" s="9"/>
    </row>
    <row r="362" spans="8:9" x14ac:dyDescent="0.25">
      <c r="H362" s="9"/>
      <c r="I362" s="9"/>
    </row>
    <row r="363" spans="8:9" x14ac:dyDescent="0.25">
      <c r="H363" s="9"/>
      <c r="I363" s="9"/>
    </row>
    <row r="364" spans="8:9" x14ac:dyDescent="0.25">
      <c r="H364" s="9"/>
      <c r="I364" s="9"/>
    </row>
    <row r="365" spans="8:9" x14ac:dyDescent="0.25">
      <c r="H365" s="9"/>
      <c r="I365" s="9"/>
    </row>
    <row r="366" spans="8:9" x14ac:dyDescent="0.25">
      <c r="H366" s="9"/>
      <c r="I366" s="9"/>
    </row>
    <row r="367" spans="8:9" x14ac:dyDescent="0.25">
      <c r="H367" s="9"/>
      <c r="I367" s="9"/>
    </row>
    <row r="368" spans="8:9" x14ac:dyDescent="0.25">
      <c r="H368" s="9"/>
      <c r="I368" s="9"/>
    </row>
    <row r="369" spans="8:9" x14ac:dyDescent="0.25">
      <c r="H369" s="9"/>
      <c r="I369" s="9"/>
    </row>
    <row r="370" spans="8:9" x14ac:dyDescent="0.25">
      <c r="H370" s="9"/>
      <c r="I370" s="9"/>
    </row>
    <row r="371" spans="8:9" x14ac:dyDescent="0.25">
      <c r="H371" s="9"/>
      <c r="I371" s="9"/>
    </row>
    <row r="372" spans="8:9" x14ac:dyDescent="0.25">
      <c r="H372" s="9"/>
      <c r="I372" s="9"/>
    </row>
    <row r="373" spans="8:9" x14ac:dyDescent="0.25">
      <c r="H373" s="9"/>
      <c r="I373" s="9"/>
    </row>
    <row r="374" spans="8:9" x14ac:dyDescent="0.25">
      <c r="H374" s="9"/>
      <c r="I374" s="9"/>
    </row>
    <row r="375" spans="8:9" x14ac:dyDescent="0.25">
      <c r="H375" s="9"/>
      <c r="I375" s="9"/>
    </row>
    <row r="376" spans="8:9" x14ac:dyDescent="0.25">
      <c r="H376" s="9"/>
      <c r="I376" s="9"/>
    </row>
    <row r="377" spans="8:9" x14ac:dyDescent="0.25">
      <c r="H377" s="9"/>
      <c r="I377" s="9"/>
    </row>
    <row r="378" spans="8:9" x14ac:dyDescent="0.25">
      <c r="H378" s="9"/>
      <c r="I378" s="9"/>
    </row>
    <row r="379" spans="8:9" x14ac:dyDescent="0.25">
      <c r="H379" s="9"/>
      <c r="I379" s="9"/>
    </row>
    <row r="380" spans="8:9" x14ac:dyDescent="0.25">
      <c r="H380" s="9"/>
      <c r="I380" s="9"/>
    </row>
    <row r="381" spans="8:9" x14ac:dyDescent="0.25">
      <c r="H381" s="9"/>
      <c r="I381" s="9"/>
    </row>
    <row r="382" spans="8:9" x14ac:dyDescent="0.25">
      <c r="H382" s="9"/>
      <c r="I382" s="9"/>
    </row>
    <row r="383" spans="8:9" x14ac:dyDescent="0.25">
      <c r="H383" s="9"/>
      <c r="I383" s="9"/>
    </row>
    <row r="384" spans="8:9" x14ac:dyDescent="0.25">
      <c r="H384" s="9"/>
      <c r="I384" s="9"/>
    </row>
    <row r="385" spans="8:9" x14ac:dyDescent="0.25">
      <c r="H385" s="9"/>
      <c r="I385" s="9"/>
    </row>
    <row r="386" spans="8:9" x14ac:dyDescent="0.25">
      <c r="H386" s="9"/>
      <c r="I386" s="9"/>
    </row>
    <row r="387" spans="8:9" x14ac:dyDescent="0.25">
      <c r="H387" s="9"/>
      <c r="I387" s="9"/>
    </row>
    <row r="388" spans="8:9" x14ac:dyDescent="0.25">
      <c r="H388" s="9"/>
      <c r="I388" s="9"/>
    </row>
    <row r="389" spans="8:9" x14ac:dyDescent="0.25">
      <c r="H389" s="9"/>
      <c r="I389" s="9"/>
    </row>
    <row r="390" spans="8:9" x14ac:dyDescent="0.25">
      <c r="H390" s="9"/>
      <c r="I390" s="9"/>
    </row>
    <row r="391" spans="8:9" x14ac:dyDescent="0.25">
      <c r="H391" s="9"/>
      <c r="I391" s="9"/>
    </row>
    <row r="392" spans="8:9" x14ac:dyDescent="0.25">
      <c r="H392" s="9"/>
      <c r="I392" s="9"/>
    </row>
    <row r="393" spans="8:9" x14ac:dyDescent="0.25">
      <c r="H393" s="9"/>
      <c r="I393" s="9"/>
    </row>
    <row r="394" spans="8:9" x14ac:dyDescent="0.25">
      <c r="H394" s="9"/>
      <c r="I394" s="9"/>
    </row>
    <row r="395" spans="8:9" x14ac:dyDescent="0.25">
      <c r="H395" s="9"/>
      <c r="I395" s="9"/>
    </row>
    <row r="396" spans="8:9" x14ac:dyDescent="0.25">
      <c r="H396" s="9"/>
      <c r="I396" s="9"/>
    </row>
    <row r="397" spans="8:9" x14ac:dyDescent="0.25">
      <c r="H397" s="9"/>
      <c r="I397" s="9"/>
    </row>
    <row r="398" spans="8:9" x14ac:dyDescent="0.25">
      <c r="H398" s="9"/>
      <c r="I398" s="9"/>
    </row>
    <row r="399" spans="8:9" x14ac:dyDescent="0.25">
      <c r="H399" s="9"/>
      <c r="I399" s="9"/>
    </row>
    <row r="400" spans="8:9" x14ac:dyDescent="0.25">
      <c r="H400" s="9"/>
      <c r="I400" s="9"/>
    </row>
    <row r="401" spans="8:9" x14ac:dyDescent="0.25">
      <c r="H401" s="9"/>
      <c r="I401" s="9"/>
    </row>
    <row r="402" spans="8:9" x14ac:dyDescent="0.25">
      <c r="H402" s="9"/>
      <c r="I402" s="9"/>
    </row>
    <row r="403" spans="8:9" x14ac:dyDescent="0.25">
      <c r="H403" s="9"/>
      <c r="I403" s="9"/>
    </row>
    <row r="404" spans="8:9" x14ac:dyDescent="0.25">
      <c r="H404" s="9"/>
      <c r="I404" s="9"/>
    </row>
    <row r="405" spans="8:9" x14ac:dyDescent="0.25">
      <c r="H405" s="9"/>
      <c r="I405" s="9"/>
    </row>
    <row r="406" spans="8:9" x14ac:dyDescent="0.25">
      <c r="H406" s="9"/>
      <c r="I406" s="9"/>
    </row>
    <row r="407" spans="8:9" x14ac:dyDescent="0.25">
      <c r="H407" s="9"/>
      <c r="I407" s="9"/>
    </row>
    <row r="408" spans="8:9" x14ac:dyDescent="0.25">
      <c r="H408" s="9"/>
      <c r="I408" s="9"/>
    </row>
    <row r="409" spans="8:9" x14ac:dyDescent="0.25">
      <c r="H409" s="9"/>
      <c r="I409" s="9"/>
    </row>
    <row r="410" spans="8:9" x14ac:dyDescent="0.25">
      <c r="H410" s="9"/>
      <c r="I410" s="9"/>
    </row>
    <row r="411" spans="8:9" x14ac:dyDescent="0.25">
      <c r="H411" s="9"/>
      <c r="I411" s="9"/>
    </row>
    <row r="412" spans="8:9" x14ac:dyDescent="0.25">
      <c r="H412" s="9"/>
      <c r="I412" s="9"/>
    </row>
    <row r="413" spans="8:9" x14ac:dyDescent="0.25">
      <c r="H413" s="9"/>
      <c r="I413" s="9"/>
    </row>
    <row r="414" spans="8:9" x14ac:dyDescent="0.25">
      <c r="H414" s="9"/>
      <c r="I414" s="9"/>
    </row>
    <row r="415" spans="8:9" x14ac:dyDescent="0.25">
      <c r="H415" s="9"/>
      <c r="I415" s="9"/>
    </row>
    <row r="416" spans="8:9" x14ac:dyDescent="0.25">
      <c r="H416" s="9"/>
      <c r="I416" s="9"/>
    </row>
    <row r="417" spans="8:9" x14ac:dyDescent="0.25">
      <c r="H417" s="9"/>
      <c r="I417" s="9"/>
    </row>
    <row r="418" spans="8:9" x14ac:dyDescent="0.25">
      <c r="H418" s="9"/>
      <c r="I418" s="9"/>
    </row>
    <row r="419" spans="8:9" x14ac:dyDescent="0.25">
      <c r="H419" s="9"/>
      <c r="I419" s="9"/>
    </row>
    <row r="420" spans="8:9" x14ac:dyDescent="0.25">
      <c r="H420" s="9"/>
      <c r="I420" s="9"/>
    </row>
    <row r="421" spans="8:9" x14ac:dyDescent="0.25">
      <c r="H421" s="9"/>
      <c r="I421" s="9"/>
    </row>
    <row r="422" spans="8:9" x14ac:dyDescent="0.25">
      <c r="H422" s="9"/>
      <c r="I422" s="9"/>
    </row>
    <row r="423" spans="8:9" x14ac:dyDescent="0.25">
      <c r="H423" s="9"/>
      <c r="I423" s="9"/>
    </row>
    <row r="424" spans="8:9" x14ac:dyDescent="0.25">
      <c r="H424" s="9"/>
      <c r="I424" s="9"/>
    </row>
    <row r="425" spans="8:9" x14ac:dyDescent="0.25">
      <c r="H425" s="9"/>
      <c r="I425" s="9"/>
    </row>
    <row r="426" spans="8:9" x14ac:dyDescent="0.25">
      <c r="H426" s="9"/>
      <c r="I426" s="9"/>
    </row>
    <row r="427" spans="8:9" x14ac:dyDescent="0.25">
      <c r="H427" s="9"/>
      <c r="I427" s="9"/>
    </row>
    <row r="428" spans="8:9" x14ac:dyDescent="0.25">
      <c r="H428" s="9"/>
      <c r="I428" s="9"/>
    </row>
    <row r="429" spans="8:9" x14ac:dyDescent="0.25">
      <c r="H429" s="9"/>
      <c r="I429" s="9"/>
    </row>
    <row r="430" spans="8:9" x14ac:dyDescent="0.25">
      <c r="H430" s="9"/>
      <c r="I430" s="9"/>
    </row>
    <row r="431" spans="8:9" x14ac:dyDescent="0.25">
      <c r="H431" s="9"/>
      <c r="I431" s="9"/>
    </row>
    <row r="432" spans="8:9" x14ac:dyDescent="0.25">
      <c r="H432" s="9"/>
      <c r="I432" s="9"/>
    </row>
    <row r="433" spans="8:9" x14ac:dyDescent="0.25">
      <c r="H433" s="9"/>
      <c r="I433" s="9"/>
    </row>
    <row r="434" spans="8:9" x14ac:dyDescent="0.25">
      <c r="H434" s="9"/>
      <c r="I434" s="9"/>
    </row>
    <row r="435" spans="8:9" x14ac:dyDescent="0.25">
      <c r="H435" s="9"/>
      <c r="I435" s="9"/>
    </row>
    <row r="436" spans="8:9" x14ac:dyDescent="0.25">
      <c r="H436" s="9"/>
      <c r="I436" s="9"/>
    </row>
    <row r="437" spans="8:9" x14ac:dyDescent="0.25">
      <c r="H437" s="9"/>
      <c r="I437" s="9"/>
    </row>
    <row r="438" spans="8:9" x14ac:dyDescent="0.25">
      <c r="H438" s="9"/>
      <c r="I438" s="9"/>
    </row>
    <row r="439" spans="8:9" x14ac:dyDescent="0.25">
      <c r="H439" s="9"/>
      <c r="I439" s="9"/>
    </row>
    <row r="440" spans="8:9" x14ac:dyDescent="0.25">
      <c r="H440" s="9"/>
      <c r="I440" s="9"/>
    </row>
    <row r="441" spans="8:9" x14ac:dyDescent="0.25">
      <c r="H441" s="9"/>
      <c r="I441" s="9"/>
    </row>
    <row r="442" spans="8:9" x14ac:dyDescent="0.25">
      <c r="H442" s="9"/>
      <c r="I442" s="9"/>
    </row>
    <row r="443" spans="8:9" x14ac:dyDescent="0.25">
      <c r="H443" s="9"/>
      <c r="I443" s="9"/>
    </row>
    <row r="444" spans="8:9" x14ac:dyDescent="0.25">
      <c r="H444" s="9"/>
      <c r="I444" s="9"/>
    </row>
    <row r="445" spans="8:9" x14ac:dyDescent="0.25">
      <c r="H445" s="9"/>
      <c r="I445" s="9"/>
    </row>
    <row r="446" spans="8:9" x14ac:dyDescent="0.25">
      <c r="H446" s="9"/>
      <c r="I446" s="9"/>
    </row>
    <row r="447" spans="8:9" x14ac:dyDescent="0.25">
      <c r="H447" s="9"/>
      <c r="I447" s="9"/>
    </row>
    <row r="448" spans="8:9" x14ac:dyDescent="0.25">
      <c r="H448" s="9"/>
      <c r="I448" s="9"/>
    </row>
    <row r="449" spans="8:9" x14ac:dyDescent="0.25">
      <c r="H449" s="9"/>
      <c r="I449" s="9"/>
    </row>
    <row r="450" spans="8:9" x14ac:dyDescent="0.25">
      <c r="H450" s="9"/>
      <c r="I450" s="9"/>
    </row>
    <row r="451" spans="8:9" x14ac:dyDescent="0.25">
      <c r="H451" s="9"/>
      <c r="I451" s="9"/>
    </row>
    <row r="452" spans="8:9" x14ac:dyDescent="0.25">
      <c r="H452" s="9"/>
      <c r="I452" s="9"/>
    </row>
    <row r="453" spans="8:9" x14ac:dyDescent="0.25">
      <c r="H453" s="9"/>
      <c r="I453" s="9"/>
    </row>
    <row r="454" spans="8:9" x14ac:dyDescent="0.25">
      <c r="H454" s="9"/>
      <c r="I454" s="9"/>
    </row>
    <row r="455" spans="8:9" x14ac:dyDescent="0.25">
      <c r="H455" s="9"/>
      <c r="I455" s="9"/>
    </row>
    <row r="456" spans="8:9" x14ac:dyDescent="0.25">
      <c r="H456" s="9"/>
      <c r="I456" s="9"/>
    </row>
    <row r="457" spans="8:9" x14ac:dyDescent="0.25">
      <c r="H457" s="9"/>
      <c r="I457" s="9"/>
    </row>
    <row r="458" spans="8:9" x14ac:dyDescent="0.25">
      <c r="H458" s="9"/>
      <c r="I458" s="9"/>
    </row>
    <row r="459" spans="8:9" x14ac:dyDescent="0.25">
      <c r="H459" s="9"/>
      <c r="I459" s="9"/>
    </row>
    <row r="460" spans="8:9" x14ac:dyDescent="0.25">
      <c r="H460" s="9"/>
      <c r="I460" s="9"/>
    </row>
    <row r="461" spans="8:9" x14ac:dyDescent="0.25">
      <c r="H461" s="9"/>
      <c r="I461" s="9"/>
    </row>
    <row r="462" spans="8:9" x14ac:dyDescent="0.25">
      <c r="H462" s="9"/>
      <c r="I462" s="9"/>
    </row>
    <row r="463" spans="8:9" x14ac:dyDescent="0.25">
      <c r="H463" s="9"/>
      <c r="I463" s="9"/>
    </row>
    <row r="464" spans="8:9" x14ac:dyDescent="0.25">
      <c r="H464" s="9"/>
      <c r="I464" s="9"/>
    </row>
    <row r="465" spans="8:9" x14ac:dyDescent="0.25">
      <c r="H465" s="9"/>
      <c r="I465" s="9"/>
    </row>
    <row r="466" spans="8:9" x14ac:dyDescent="0.25">
      <c r="H466" s="9"/>
      <c r="I466" s="9"/>
    </row>
    <row r="467" spans="8:9" x14ac:dyDescent="0.25">
      <c r="H467" s="9"/>
      <c r="I467" s="9"/>
    </row>
    <row r="468" spans="8:9" x14ac:dyDescent="0.25">
      <c r="H468" s="9"/>
      <c r="I468" s="9"/>
    </row>
    <row r="469" spans="8:9" x14ac:dyDescent="0.25">
      <c r="H469" s="9"/>
      <c r="I469" s="9"/>
    </row>
    <row r="470" spans="8:9" x14ac:dyDescent="0.25">
      <c r="H470" s="9"/>
      <c r="I470" s="9"/>
    </row>
    <row r="471" spans="8:9" x14ac:dyDescent="0.25">
      <c r="H471" s="9"/>
      <c r="I471" s="9"/>
    </row>
    <row r="472" spans="8:9" x14ac:dyDescent="0.25">
      <c r="H472" s="9"/>
      <c r="I472" s="9"/>
    </row>
    <row r="473" spans="8:9" x14ac:dyDescent="0.25">
      <c r="H473" s="9"/>
      <c r="I473" s="9"/>
    </row>
    <row r="474" spans="8:9" x14ac:dyDescent="0.25">
      <c r="H474" s="9"/>
      <c r="I474" s="9"/>
    </row>
    <row r="475" spans="8:9" x14ac:dyDescent="0.25">
      <c r="H475" s="9"/>
      <c r="I475" s="9"/>
    </row>
    <row r="476" spans="8:9" x14ac:dyDescent="0.25">
      <c r="H476" s="9"/>
      <c r="I476" s="9"/>
    </row>
    <row r="477" spans="8:9" x14ac:dyDescent="0.25">
      <c r="H477" s="9"/>
      <c r="I477" s="9"/>
    </row>
    <row r="478" spans="8:9" x14ac:dyDescent="0.25">
      <c r="H478" s="9"/>
      <c r="I478" s="9"/>
    </row>
    <row r="479" spans="8:9" x14ac:dyDescent="0.25">
      <c r="H479" s="9"/>
      <c r="I479" s="9"/>
    </row>
    <row r="480" spans="8:9" x14ac:dyDescent="0.25">
      <c r="H480" s="9"/>
      <c r="I480" s="9"/>
    </row>
    <row r="481" spans="8:9" x14ac:dyDescent="0.25">
      <c r="H481" s="9"/>
      <c r="I481" s="9"/>
    </row>
    <row r="482" spans="8:9" x14ac:dyDescent="0.25">
      <c r="H482" s="9"/>
      <c r="I482" s="9"/>
    </row>
    <row r="483" spans="8:9" x14ac:dyDescent="0.25">
      <c r="H483" s="9"/>
      <c r="I483" s="9"/>
    </row>
    <row r="484" spans="8:9" x14ac:dyDescent="0.25">
      <c r="H484" s="9"/>
      <c r="I484" s="9"/>
    </row>
    <row r="485" spans="8:9" x14ac:dyDescent="0.25">
      <c r="H485" s="9"/>
      <c r="I485" s="9"/>
    </row>
    <row r="486" spans="8:9" x14ac:dyDescent="0.25">
      <c r="H486" s="9"/>
      <c r="I486" s="9"/>
    </row>
    <row r="487" spans="8:9" x14ac:dyDescent="0.25">
      <c r="H487" s="9"/>
      <c r="I487" s="9"/>
    </row>
    <row r="488" spans="8:9" x14ac:dyDescent="0.25">
      <c r="H488" s="9"/>
      <c r="I488" s="9"/>
    </row>
    <row r="489" spans="8:9" x14ac:dyDescent="0.25">
      <c r="H489" s="9"/>
      <c r="I489" s="9"/>
    </row>
    <row r="490" spans="8:9" x14ac:dyDescent="0.25">
      <c r="H490" s="9"/>
      <c r="I490" s="9"/>
    </row>
    <row r="491" spans="8:9" x14ac:dyDescent="0.25">
      <c r="H491" s="9"/>
      <c r="I491" s="9"/>
    </row>
    <row r="492" spans="8:9" x14ac:dyDescent="0.25">
      <c r="H492" s="9"/>
      <c r="I492" s="9"/>
    </row>
    <row r="493" spans="8:9" x14ac:dyDescent="0.25">
      <c r="H493" s="9"/>
      <c r="I493" s="9"/>
    </row>
    <row r="494" spans="8:9" x14ac:dyDescent="0.25">
      <c r="H494" s="9"/>
      <c r="I494" s="9"/>
    </row>
    <row r="495" spans="8:9" x14ac:dyDescent="0.25">
      <c r="H495" s="9"/>
      <c r="I495" s="9"/>
    </row>
    <row r="496" spans="8:9" x14ac:dyDescent="0.25">
      <c r="H496" s="9"/>
      <c r="I496" s="9"/>
    </row>
    <row r="497" spans="8:9" x14ac:dyDescent="0.25">
      <c r="H497" s="9"/>
      <c r="I497" s="9"/>
    </row>
    <row r="498" spans="8:9" x14ac:dyDescent="0.25">
      <c r="H498" s="9"/>
      <c r="I498" s="9"/>
    </row>
    <row r="499" spans="8:9" x14ac:dyDescent="0.25">
      <c r="H499" s="9"/>
      <c r="I499" s="9"/>
    </row>
    <row r="500" spans="8:9" x14ac:dyDescent="0.25">
      <c r="H500" s="9"/>
      <c r="I500" s="9"/>
    </row>
    <row r="501" spans="8:9" x14ac:dyDescent="0.25">
      <c r="H501" s="9"/>
      <c r="I501" s="9"/>
    </row>
    <row r="502" spans="8:9" x14ac:dyDescent="0.25">
      <c r="H502" s="9"/>
      <c r="I502" s="9"/>
    </row>
    <row r="503" spans="8:9" x14ac:dyDescent="0.25">
      <c r="H503" s="9"/>
      <c r="I503" s="9"/>
    </row>
    <row r="504" spans="8:9" x14ac:dyDescent="0.25">
      <c r="H504" s="9"/>
      <c r="I504" s="9"/>
    </row>
    <row r="505" spans="8:9" x14ac:dyDescent="0.25">
      <c r="H505" s="9"/>
      <c r="I505" s="9"/>
    </row>
    <row r="506" spans="8:9" x14ac:dyDescent="0.25">
      <c r="H506" s="9"/>
      <c r="I506" s="9"/>
    </row>
    <row r="507" spans="8:9" x14ac:dyDescent="0.25">
      <c r="H507" s="9"/>
      <c r="I507" s="9"/>
    </row>
    <row r="508" spans="8:9" x14ac:dyDescent="0.25">
      <c r="H508" s="9"/>
      <c r="I508" s="9"/>
    </row>
    <row r="509" spans="8:9" x14ac:dyDescent="0.25">
      <c r="H509" s="9"/>
      <c r="I509" s="9"/>
    </row>
    <row r="510" spans="8:9" x14ac:dyDescent="0.25">
      <c r="H510" s="9"/>
      <c r="I510" s="9"/>
    </row>
    <row r="511" spans="8:9" x14ac:dyDescent="0.25">
      <c r="H511" s="9"/>
      <c r="I511" s="9"/>
    </row>
    <row r="512" spans="8:9" x14ac:dyDescent="0.25">
      <c r="H512" s="9"/>
      <c r="I512" s="9"/>
    </row>
    <row r="513" spans="8:9" x14ac:dyDescent="0.25">
      <c r="H513" s="9"/>
      <c r="I513" s="9"/>
    </row>
    <row r="514" spans="8:9" x14ac:dyDescent="0.25">
      <c r="H514" s="9"/>
      <c r="I514" s="9"/>
    </row>
    <row r="515" spans="8:9" x14ac:dyDescent="0.25">
      <c r="H515" s="9"/>
      <c r="I515" s="9"/>
    </row>
    <row r="516" spans="8:9" x14ac:dyDescent="0.25">
      <c r="H516" s="9"/>
      <c r="I516" s="9"/>
    </row>
    <row r="517" spans="8:9" x14ac:dyDescent="0.25">
      <c r="H517" s="9"/>
      <c r="I517" s="9"/>
    </row>
    <row r="518" spans="8:9" x14ac:dyDescent="0.25">
      <c r="H518" s="9"/>
      <c r="I518" s="9"/>
    </row>
    <row r="519" spans="8:9" x14ac:dyDescent="0.25">
      <c r="H519" s="9"/>
      <c r="I519" s="9"/>
    </row>
    <row r="520" spans="8:9" x14ac:dyDescent="0.25">
      <c r="H520" s="9"/>
      <c r="I520" s="9"/>
    </row>
    <row r="521" spans="8:9" x14ac:dyDescent="0.25">
      <c r="H521" s="9"/>
      <c r="I521" s="9"/>
    </row>
    <row r="522" spans="8:9" x14ac:dyDescent="0.25">
      <c r="H522" s="9"/>
      <c r="I522" s="9"/>
    </row>
    <row r="523" spans="8:9" x14ac:dyDescent="0.25">
      <c r="H523" s="9"/>
      <c r="I523" s="9"/>
    </row>
    <row r="524" spans="8:9" x14ac:dyDescent="0.25">
      <c r="H524" s="9"/>
      <c r="I524" s="9"/>
    </row>
    <row r="525" spans="8:9" x14ac:dyDescent="0.25">
      <c r="H525" s="9"/>
      <c r="I525" s="9"/>
    </row>
    <row r="526" spans="8:9" x14ac:dyDescent="0.25">
      <c r="H526" s="9"/>
      <c r="I526" s="9"/>
    </row>
    <row r="527" spans="8:9" x14ac:dyDescent="0.25">
      <c r="H527" s="9"/>
      <c r="I527" s="9"/>
    </row>
    <row r="528" spans="8:9" x14ac:dyDescent="0.25">
      <c r="H528" s="9"/>
      <c r="I528" s="9"/>
    </row>
    <row r="529" spans="8:9" x14ac:dyDescent="0.25">
      <c r="H529" s="9"/>
      <c r="I529" s="9"/>
    </row>
    <row r="530" spans="8:9" x14ac:dyDescent="0.25">
      <c r="H530" s="9"/>
      <c r="I530" s="9"/>
    </row>
    <row r="531" spans="8:9" x14ac:dyDescent="0.25">
      <c r="H531" s="9"/>
      <c r="I531" s="9"/>
    </row>
    <row r="532" spans="8:9" x14ac:dyDescent="0.25">
      <c r="H532" s="9"/>
      <c r="I532" s="9"/>
    </row>
    <row r="533" spans="8:9" x14ac:dyDescent="0.25">
      <c r="H533" s="9"/>
      <c r="I533" s="9"/>
    </row>
    <row r="534" spans="8:9" x14ac:dyDescent="0.25">
      <c r="H534" s="9"/>
      <c r="I534" s="9"/>
    </row>
    <row r="535" spans="8:9" x14ac:dyDescent="0.25">
      <c r="H535" s="9"/>
      <c r="I535" s="9"/>
    </row>
    <row r="536" spans="8:9" x14ac:dyDescent="0.25">
      <c r="H536" s="9"/>
      <c r="I536" s="9"/>
    </row>
    <row r="537" spans="8:9" x14ac:dyDescent="0.25">
      <c r="H537" s="9"/>
      <c r="I537" s="9"/>
    </row>
    <row r="538" spans="8:9" x14ac:dyDescent="0.25">
      <c r="H538" s="9"/>
      <c r="I538" s="9"/>
    </row>
    <row r="539" spans="8:9" x14ac:dyDescent="0.25">
      <c r="H539" s="9"/>
      <c r="I539" s="9"/>
    </row>
    <row r="540" spans="8:9" x14ac:dyDescent="0.25">
      <c r="H540" s="9"/>
      <c r="I540" s="9"/>
    </row>
    <row r="541" spans="8:9" x14ac:dyDescent="0.25">
      <c r="H541" s="9"/>
      <c r="I541" s="9"/>
    </row>
    <row r="542" spans="8:9" x14ac:dyDescent="0.25">
      <c r="H542" s="9"/>
      <c r="I542" s="9"/>
    </row>
    <row r="543" spans="8:9" x14ac:dyDescent="0.25">
      <c r="H543" s="9"/>
      <c r="I543" s="9"/>
    </row>
    <row r="544" spans="8:9" x14ac:dyDescent="0.25">
      <c r="H544" s="9"/>
      <c r="I544" s="9"/>
    </row>
    <row r="545" spans="8:9" x14ac:dyDescent="0.25">
      <c r="H545" s="9"/>
      <c r="I545" s="9"/>
    </row>
    <row r="546" spans="8:9" x14ac:dyDescent="0.25">
      <c r="H546" s="9"/>
      <c r="I546" s="9"/>
    </row>
    <row r="547" spans="8:9" x14ac:dyDescent="0.25">
      <c r="H547" s="9"/>
      <c r="I547" s="9"/>
    </row>
    <row r="548" spans="8:9" x14ac:dyDescent="0.25">
      <c r="H548" s="9"/>
      <c r="I548" s="9"/>
    </row>
    <row r="549" spans="8:9" x14ac:dyDescent="0.25">
      <c r="H549" s="9"/>
      <c r="I549" s="9"/>
    </row>
    <row r="550" spans="8:9" x14ac:dyDescent="0.25">
      <c r="H550" s="9"/>
      <c r="I550" s="9"/>
    </row>
    <row r="551" spans="8:9" x14ac:dyDescent="0.25">
      <c r="H551" s="9"/>
      <c r="I551" s="9"/>
    </row>
    <row r="552" spans="8:9" x14ac:dyDescent="0.25">
      <c r="H552" s="9"/>
      <c r="I552" s="9"/>
    </row>
    <row r="553" spans="8:9" x14ac:dyDescent="0.25">
      <c r="H553" s="9"/>
      <c r="I553" s="9"/>
    </row>
    <row r="554" spans="8:9" x14ac:dyDescent="0.25">
      <c r="H554" s="9"/>
      <c r="I554" s="9"/>
    </row>
    <row r="555" spans="8:9" x14ac:dyDescent="0.25">
      <c r="H555" s="9"/>
      <c r="I555" s="9"/>
    </row>
    <row r="556" spans="8:9" x14ac:dyDescent="0.25">
      <c r="H556" s="9"/>
      <c r="I556" s="9"/>
    </row>
    <row r="557" spans="8:9" x14ac:dyDescent="0.25">
      <c r="H557" s="9"/>
      <c r="I557" s="9"/>
    </row>
    <row r="558" spans="8:9" x14ac:dyDescent="0.25">
      <c r="H558" s="9"/>
      <c r="I558" s="9"/>
    </row>
    <row r="559" spans="8:9" x14ac:dyDescent="0.25">
      <c r="H559" s="9"/>
      <c r="I559" s="9"/>
    </row>
    <row r="560" spans="8:9" x14ac:dyDescent="0.25">
      <c r="H560" s="9"/>
      <c r="I560" s="9"/>
    </row>
    <row r="561" spans="8:9" x14ac:dyDescent="0.25">
      <c r="H561" s="9"/>
      <c r="I561" s="9"/>
    </row>
    <row r="562" spans="8:9" x14ac:dyDescent="0.25">
      <c r="H562" s="9"/>
      <c r="I562" s="9"/>
    </row>
    <row r="563" spans="8:9" x14ac:dyDescent="0.25">
      <c r="H563" s="9"/>
      <c r="I563" s="9"/>
    </row>
    <row r="564" spans="8:9" x14ac:dyDescent="0.25">
      <c r="H564" s="9"/>
      <c r="I564" s="9"/>
    </row>
    <row r="565" spans="8:9" x14ac:dyDescent="0.25">
      <c r="H565" s="9"/>
      <c r="I565" s="9"/>
    </row>
    <row r="566" spans="8:9" x14ac:dyDescent="0.25">
      <c r="H566" s="9"/>
      <c r="I566" s="9"/>
    </row>
    <row r="567" spans="8:9" x14ac:dyDescent="0.25">
      <c r="H567" s="9"/>
      <c r="I567" s="9"/>
    </row>
    <row r="568" spans="8:9" x14ac:dyDescent="0.25">
      <c r="H568" s="9"/>
      <c r="I568" s="9"/>
    </row>
    <row r="569" spans="8:9" x14ac:dyDescent="0.25">
      <c r="H569" s="9"/>
      <c r="I569" s="9"/>
    </row>
    <row r="570" spans="8:9" x14ac:dyDescent="0.25">
      <c r="H570" s="9"/>
      <c r="I570" s="9"/>
    </row>
    <row r="571" spans="8:9" x14ac:dyDescent="0.25">
      <c r="H571" s="9"/>
      <c r="I571" s="9"/>
    </row>
    <row r="572" spans="8:9" x14ac:dyDescent="0.25">
      <c r="H572" s="9"/>
      <c r="I572" s="9"/>
    </row>
    <row r="573" spans="8:9" x14ac:dyDescent="0.25">
      <c r="H573" s="9"/>
      <c r="I573" s="9"/>
    </row>
    <row r="574" spans="8:9" x14ac:dyDescent="0.25">
      <c r="H574" s="9"/>
      <c r="I574" s="9"/>
    </row>
    <row r="575" spans="8:9" x14ac:dyDescent="0.25">
      <c r="H575" s="9"/>
      <c r="I575" s="9"/>
    </row>
    <row r="576" spans="8:9" x14ac:dyDescent="0.25">
      <c r="H576" s="9"/>
      <c r="I576" s="9"/>
    </row>
    <row r="577" spans="8:9" x14ac:dyDescent="0.25">
      <c r="H577" s="9"/>
      <c r="I577" s="9"/>
    </row>
    <row r="578" spans="8:9" x14ac:dyDescent="0.25">
      <c r="H578" s="9"/>
      <c r="I578" s="9"/>
    </row>
    <row r="579" spans="8:9" x14ac:dyDescent="0.25">
      <c r="H579" s="9"/>
      <c r="I579" s="9"/>
    </row>
    <row r="580" spans="8:9" x14ac:dyDescent="0.25">
      <c r="H580" s="9"/>
      <c r="I580" s="9"/>
    </row>
    <row r="581" spans="8:9" x14ac:dyDescent="0.25">
      <c r="H581" s="9"/>
      <c r="I581" s="9"/>
    </row>
    <row r="582" spans="8:9" x14ac:dyDescent="0.25">
      <c r="H582" s="9"/>
      <c r="I582" s="9"/>
    </row>
    <row r="583" spans="8:9" x14ac:dyDescent="0.25">
      <c r="H583" s="9"/>
      <c r="I583" s="9"/>
    </row>
    <row r="584" spans="8:9" x14ac:dyDescent="0.25">
      <c r="H584" s="9"/>
      <c r="I584" s="9"/>
    </row>
    <row r="585" spans="8:9" x14ac:dyDescent="0.25">
      <c r="H585" s="9"/>
      <c r="I585" s="9"/>
    </row>
    <row r="586" spans="8:9" x14ac:dyDescent="0.25">
      <c r="H586" s="9"/>
      <c r="I586" s="9"/>
    </row>
    <row r="587" spans="8:9" x14ac:dyDescent="0.25">
      <c r="H587" s="9"/>
      <c r="I587" s="9"/>
    </row>
    <row r="588" spans="8:9" x14ac:dyDescent="0.25">
      <c r="H588" s="9"/>
      <c r="I588" s="9"/>
    </row>
    <row r="589" spans="8:9" x14ac:dyDescent="0.25">
      <c r="H589" s="9"/>
      <c r="I589" s="9"/>
    </row>
    <row r="590" spans="8:9" x14ac:dyDescent="0.25">
      <c r="H590" s="9"/>
      <c r="I590" s="9"/>
    </row>
    <row r="591" spans="8:9" x14ac:dyDescent="0.25">
      <c r="H591" s="9"/>
      <c r="I591" s="9"/>
    </row>
    <row r="592" spans="8:9" x14ac:dyDescent="0.25">
      <c r="H592" s="9"/>
      <c r="I592" s="9"/>
    </row>
    <row r="593" spans="8:9" x14ac:dyDescent="0.25">
      <c r="H593" s="9"/>
      <c r="I593" s="9"/>
    </row>
    <row r="594" spans="8:9" x14ac:dyDescent="0.25">
      <c r="H594" s="9"/>
      <c r="I594" s="9"/>
    </row>
    <row r="595" spans="8:9" x14ac:dyDescent="0.25">
      <c r="H595" s="9"/>
      <c r="I595" s="9"/>
    </row>
    <row r="596" spans="8:9" x14ac:dyDescent="0.25">
      <c r="H596" s="9"/>
      <c r="I596" s="9"/>
    </row>
    <row r="597" spans="8:9" x14ac:dyDescent="0.25">
      <c r="H597" s="9"/>
      <c r="I597" s="9"/>
    </row>
    <row r="598" spans="8:9" x14ac:dyDescent="0.25">
      <c r="H598" s="9"/>
      <c r="I598" s="9"/>
    </row>
    <row r="599" spans="8:9" x14ac:dyDescent="0.25">
      <c r="H599" s="9"/>
      <c r="I599" s="9"/>
    </row>
    <row r="600" spans="8:9" x14ac:dyDescent="0.25">
      <c r="H600" s="9"/>
      <c r="I600" s="9"/>
    </row>
    <row r="601" spans="8:9" x14ac:dyDescent="0.25">
      <c r="H601" s="9"/>
      <c r="I601" s="9"/>
    </row>
    <row r="602" spans="8:9" x14ac:dyDescent="0.25">
      <c r="H602" s="9"/>
      <c r="I602" s="9"/>
    </row>
    <row r="603" spans="8:9" x14ac:dyDescent="0.25">
      <c r="H603" s="9"/>
      <c r="I603" s="9"/>
    </row>
    <row r="604" spans="8:9" x14ac:dyDescent="0.25">
      <c r="H604" s="9"/>
      <c r="I604" s="9"/>
    </row>
    <row r="605" spans="8:9" x14ac:dyDescent="0.25">
      <c r="H605" s="9"/>
      <c r="I605" s="9"/>
    </row>
    <row r="606" spans="8:9" x14ac:dyDescent="0.25">
      <c r="H606" s="9"/>
      <c r="I606" s="9"/>
    </row>
    <row r="607" spans="8:9" x14ac:dyDescent="0.25">
      <c r="H607" s="9"/>
      <c r="I607" s="9"/>
    </row>
    <row r="608" spans="8:9" x14ac:dyDescent="0.25">
      <c r="H608" s="9"/>
      <c r="I608" s="9"/>
    </row>
    <row r="609" spans="8:9" x14ac:dyDescent="0.25">
      <c r="H609" s="9"/>
      <c r="I609" s="9"/>
    </row>
    <row r="610" spans="8:9" x14ac:dyDescent="0.25">
      <c r="H610" s="9"/>
      <c r="I610" s="9"/>
    </row>
    <row r="611" spans="8:9" x14ac:dyDescent="0.25">
      <c r="H611" s="9"/>
      <c r="I611" s="9"/>
    </row>
    <row r="612" spans="8:9" x14ac:dyDescent="0.25">
      <c r="H612" s="9"/>
      <c r="I612" s="9"/>
    </row>
    <row r="613" spans="8:9" x14ac:dyDescent="0.25">
      <c r="H613" s="9"/>
      <c r="I613" s="9"/>
    </row>
    <row r="614" spans="8:9" x14ac:dyDescent="0.25">
      <c r="H614" s="9"/>
      <c r="I614" s="9"/>
    </row>
    <row r="615" spans="8:9" x14ac:dyDescent="0.25">
      <c r="H615" s="9"/>
      <c r="I615" s="9"/>
    </row>
    <row r="616" spans="8:9" x14ac:dyDescent="0.25">
      <c r="H616" s="9"/>
      <c r="I616" s="9"/>
    </row>
    <row r="617" spans="8:9" x14ac:dyDescent="0.25">
      <c r="H617" s="9"/>
      <c r="I617" s="9"/>
    </row>
    <row r="618" spans="8:9" x14ac:dyDescent="0.25">
      <c r="H618" s="9"/>
      <c r="I618" s="9"/>
    </row>
    <row r="619" spans="8:9" x14ac:dyDescent="0.25">
      <c r="H619" s="9"/>
      <c r="I619" s="9"/>
    </row>
    <row r="620" spans="8:9" x14ac:dyDescent="0.25">
      <c r="H620" s="9"/>
      <c r="I620" s="9"/>
    </row>
    <row r="621" spans="8:9" x14ac:dyDescent="0.25">
      <c r="H621" s="9"/>
      <c r="I621" s="9"/>
    </row>
    <row r="622" spans="8:9" x14ac:dyDescent="0.25">
      <c r="H622" s="9"/>
      <c r="I622" s="9"/>
    </row>
    <row r="623" spans="8:9" x14ac:dyDescent="0.25">
      <c r="H623" s="9"/>
      <c r="I623" s="9"/>
    </row>
    <row r="624" spans="8:9" x14ac:dyDescent="0.25">
      <c r="H624" s="9"/>
      <c r="I624" s="9"/>
    </row>
    <row r="625" spans="8:9" x14ac:dyDescent="0.25">
      <c r="H625" s="9"/>
      <c r="I625" s="9"/>
    </row>
    <row r="626" spans="8:9" x14ac:dyDescent="0.25">
      <c r="H626" s="9"/>
      <c r="I626" s="9"/>
    </row>
    <row r="627" spans="8:9" x14ac:dyDescent="0.25">
      <c r="H627" s="9"/>
      <c r="I627" s="9"/>
    </row>
    <row r="628" spans="8:9" x14ac:dyDescent="0.25">
      <c r="H628" s="9"/>
      <c r="I628" s="9"/>
    </row>
    <row r="629" spans="8:9" x14ac:dyDescent="0.25">
      <c r="H629" s="9"/>
      <c r="I629" s="9"/>
    </row>
    <row r="630" spans="8:9" x14ac:dyDescent="0.25">
      <c r="H630" s="9"/>
      <c r="I630" s="9"/>
    </row>
    <row r="631" spans="8:9" x14ac:dyDescent="0.25">
      <c r="H631" s="9"/>
      <c r="I631" s="9"/>
    </row>
    <row r="632" spans="8:9" x14ac:dyDescent="0.25">
      <c r="H632" s="9"/>
      <c r="I632" s="9"/>
    </row>
    <row r="633" spans="8:9" x14ac:dyDescent="0.25">
      <c r="H633" s="9"/>
      <c r="I633" s="9"/>
    </row>
    <row r="634" spans="8:9" x14ac:dyDescent="0.25">
      <c r="H634" s="9"/>
      <c r="I634" s="9"/>
    </row>
    <row r="635" spans="8:9" x14ac:dyDescent="0.25">
      <c r="H635" s="9"/>
      <c r="I635" s="9"/>
    </row>
    <row r="636" spans="8:9" x14ac:dyDescent="0.25">
      <c r="H636" s="9"/>
      <c r="I636" s="9"/>
    </row>
    <row r="637" spans="8:9" x14ac:dyDescent="0.25">
      <c r="H637" s="9"/>
      <c r="I637" s="9"/>
    </row>
    <row r="638" spans="8:9" x14ac:dyDescent="0.25">
      <c r="H638" s="9"/>
      <c r="I638" s="9"/>
    </row>
    <row r="639" spans="8:9" x14ac:dyDescent="0.25">
      <c r="H639" s="9"/>
      <c r="I639" s="9"/>
    </row>
    <row r="640" spans="8:9" x14ac:dyDescent="0.25">
      <c r="H640" s="9"/>
      <c r="I640" s="9"/>
    </row>
    <row r="641" spans="8:9" x14ac:dyDescent="0.25">
      <c r="H641" s="9"/>
      <c r="I641" s="9"/>
    </row>
    <row r="642" spans="8:9" x14ac:dyDescent="0.25">
      <c r="H642" s="9"/>
      <c r="I642" s="9"/>
    </row>
    <row r="643" spans="8:9" x14ac:dyDescent="0.25">
      <c r="H643" s="9"/>
      <c r="I643" s="9"/>
    </row>
    <row r="644" spans="8:9" x14ac:dyDescent="0.25">
      <c r="H644" s="9"/>
      <c r="I644" s="9"/>
    </row>
    <row r="645" spans="8:9" x14ac:dyDescent="0.25">
      <c r="H645" s="9"/>
      <c r="I645" s="9"/>
    </row>
    <row r="646" spans="8:9" x14ac:dyDescent="0.25">
      <c r="H646" s="9"/>
      <c r="I646" s="9"/>
    </row>
    <row r="647" spans="8:9" x14ac:dyDescent="0.25">
      <c r="H647" s="9"/>
      <c r="I647" s="9"/>
    </row>
    <row r="648" spans="8:9" x14ac:dyDescent="0.25">
      <c r="H648" s="9"/>
      <c r="I648" s="9"/>
    </row>
    <row r="649" spans="8:9" x14ac:dyDescent="0.25">
      <c r="H649" s="9"/>
      <c r="I649" s="9"/>
    </row>
    <row r="650" spans="8:9" x14ac:dyDescent="0.25">
      <c r="H650" s="9"/>
      <c r="I650" s="9"/>
    </row>
    <row r="651" spans="8:9" x14ac:dyDescent="0.25">
      <c r="H651" s="9"/>
      <c r="I651" s="9"/>
    </row>
    <row r="652" spans="8:9" x14ac:dyDescent="0.25">
      <c r="H652" s="9"/>
      <c r="I652" s="9"/>
    </row>
    <row r="653" spans="8:9" x14ac:dyDescent="0.25">
      <c r="H653" s="9"/>
      <c r="I653" s="9"/>
    </row>
    <row r="654" spans="8:9" x14ac:dyDescent="0.25">
      <c r="H654" s="9"/>
      <c r="I654" s="9"/>
    </row>
    <row r="655" spans="8:9" x14ac:dyDescent="0.25">
      <c r="H655" s="9"/>
      <c r="I655" s="9"/>
    </row>
    <row r="656" spans="8:9" x14ac:dyDescent="0.25">
      <c r="H656" s="9"/>
      <c r="I656" s="9"/>
    </row>
    <row r="657" spans="8:9" x14ac:dyDescent="0.25">
      <c r="H657" s="9"/>
      <c r="I657" s="9"/>
    </row>
    <row r="658" spans="8:9" x14ac:dyDescent="0.25">
      <c r="H658" s="9"/>
      <c r="I658" s="9"/>
    </row>
    <row r="659" spans="8:9" x14ac:dyDescent="0.25">
      <c r="H659" s="9"/>
      <c r="I659" s="9"/>
    </row>
    <row r="660" spans="8:9" x14ac:dyDescent="0.25">
      <c r="H660" s="9"/>
      <c r="I660" s="9"/>
    </row>
    <row r="661" spans="8:9" x14ac:dyDescent="0.25">
      <c r="H661" s="9"/>
      <c r="I661" s="9"/>
    </row>
    <row r="662" spans="8:9" x14ac:dyDescent="0.25">
      <c r="H662" s="9"/>
      <c r="I662" s="9"/>
    </row>
    <row r="663" spans="8:9" x14ac:dyDescent="0.25">
      <c r="H663" s="9"/>
      <c r="I663" s="9"/>
    </row>
    <row r="664" spans="8:9" x14ac:dyDescent="0.25">
      <c r="H664" s="9"/>
      <c r="I664" s="9"/>
    </row>
    <row r="665" spans="8:9" x14ac:dyDescent="0.25">
      <c r="H665" s="9"/>
      <c r="I665" s="9"/>
    </row>
    <row r="666" spans="8:9" x14ac:dyDescent="0.25">
      <c r="H666" s="9"/>
      <c r="I666" s="9"/>
    </row>
    <row r="667" spans="8:9" x14ac:dyDescent="0.25">
      <c r="H667" s="9"/>
      <c r="I667" s="9"/>
    </row>
    <row r="668" spans="8:9" x14ac:dyDescent="0.25">
      <c r="H668" s="9"/>
      <c r="I668" s="9"/>
    </row>
    <row r="669" spans="8:9" x14ac:dyDescent="0.25">
      <c r="H669" s="9"/>
      <c r="I669" s="9"/>
    </row>
    <row r="670" spans="8:9" x14ac:dyDescent="0.25">
      <c r="H670" s="9"/>
      <c r="I670" s="9"/>
    </row>
    <row r="671" spans="8:9" x14ac:dyDescent="0.25">
      <c r="H671" s="9"/>
      <c r="I671" s="9"/>
    </row>
    <row r="672" spans="8:9" x14ac:dyDescent="0.25">
      <c r="H672" s="9"/>
      <c r="I672" s="9"/>
    </row>
    <row r="673" spans="8:9" x14ac:dyDescent="0.25">
      <c r="H673" s="9"/>
      <c r="I673" s="9"/>
    </row>
    <row r="674" spans="8:9" x14ac:dyDescent="0.25">
      <c r="H674" s="9"/>
      <c r="I674" s="9"/>
    </row>
    <row r="675" spans="8:9" x14ac:dyDescent="0.25">
      <c r="H675" s="9"/>
      <c r="I675" s="9"/>
    </row>
    <row r="676" spans="8:9" x14ac:dyDescent="0.25">
      <c r="H676" s="9"/>
      <c r="I676" s="9"/>
    </row>
    <row r="677" spans="8:9" x14ac:dyDescent="0.25">
      <c r="H677" s="9"/>
      <c r="I677" s="9"/>
    </row>
    <row r="678" spans="8:9" x14ac:dyDescent="0.25">
      <c r="H678" s="9"/>
      <c r="I678" s="9"/>
    </row>
    <row r="679" spans="8:9" x14ac:dyDescent="0.25">
      <c r="H679" s="9"/>
      <c r="I679" s="9"/>
    </row>
    <row r="680" spans="8:9" x14ac:dyDescent="0.25">
      <c r="H680" s="9"/>
      <c r="I680" s="9"/>
    </row>
    <row r="681" spans="8:9" x14ac:dyDescent="0.25">
      <c r="H681" s="9"/>
      <c r="I681" s="9"/>
    </row>
    <row r="682" spans="8:9" x14ac:dyDescent="0.25">
      <c r="H682" s="9"/>
      <c r="I682" s="9"/>
    </row>
    <row r="683" spans="8:9" x14ac:dyDescent="0.25">
      <c r="H683" s="9"/>
      <c r="I683" s="9"/>
    </row>
    <row r="684" spans="8:9" x14ac:dyDescent="0.25">
      <c r="H684" s="9"/>
      <c r="I684" s="9"/>
    </row>
    <row r="685" spans="8:9" x14ac:dyDescent="0.25">
      <c r="H685" s="9"/>
      <c r="I685" s="9"/>
    </row>
    <row r="686" spans="8:9" x14ac:dyDescent="0.25">
      <c r="H686" s="9"/>
      <c r="I686" s="9"/>
    </row>
    <row r="687" spans="8:9" x14ac:dyDescent="0.25">
      <c r="H687" s="9"/>
      <c r="I687" s="9"/>
    </row>
    <row r="688" spans="8:9" x14ac:dyDescent="0.25">
      <c r="H688" s="9"/>
      <c r="I688" s="9"/>
    </row>
    <row r="689" spans="8:9" x14ac:dyDescent="0.25">
      <c r="H689" s="9"/>
      <c r="I689" s="9"/>
    </row>
    <row r="690" spans="8:9" x14ac:dyDescent="0.25">
      <c r="H690" s="9"/>
      <c r="I690" s="9"/>
    </row>
    <row r="691" spans="8:9" x14ac:dyDescent="0.25">
      <c r="H691" s="9"/>
      <c r="I691" s="9"/>
    </row>
    <row r="692" spans="8:9" x14ac:dyDescent="0.25">
      <c r="H692" s="9"/>
      <c r="I692" s="9"/>
    </row>
    <row r="693" spans="8:9" x14ac:dyDescent="0.25">
      <c r="H693" s="9"/>
      <c r="I693" s="9"/>
    </row>
    <row r="694" spans="8:9" x14ac:dyDescent="0.25">
      <c r="H694" s="9"/>
      <c r="I694" s="9"/>
    </row>
    <row r="695" spans="8:9" x14ac:dyDescent="0.25">
      <c r="H695" s="9"/>
      <c r="I695" s="9"/>
    </row>
    <row r="696" spans="8:9" x14ac:dyDescent="0.25">
      <c r="H696" s="9"/>
      <c r="I696" s="9"/>
    </row>
    <row r="697" spans="8:9" x14ac:dyDescent="0.25">
      <c r="H697" s="9"/>
      <c r="I697" s="9"/>
    </row>
    <row r="698" spans="8:9" x14ac:dyDescent="0.25">
      <c r="H698" s="9"/>
      <c r="I698" s="9"/>
    </row>
    <row r="699" spans="8:9" x14ac:dyDescent="0.25">
      <c r="H699" s="9"/>
      <c r="I699" s="9"/>
    </row>
    <row r="700" spans="8:9" x14ac:dyDescent="0.25">
      <c r="H700" s="9"/>
      <c r="I700" s="9"/>
    </row>
    <row r="701" spans="8:9" x14ac:dyDescent="0.25">
      <c r="H701" s="9"/>
      <c r="I701" s="9"/>
    </row>
    <row r="702" spans="8:9" x14ac:dyDescent="0.25">
      <c r="H702" s="9"/>
      <c r="I702" s="9"/>
    </row>
    <row r="703" spans="8:9" x14ac:dyDescent="0.25">
      <c r="H703" s="9"/>
      <c r="I703" s="9"/>
    </row>
    <row r="704" spans="8:9" x14ac:dyDescent="0.25">
      <c r="H704" s="9"/>
      <c r="I704" s="9"/>
    </row>
    <row r="705" spans="8:9" x14ac:dyDescent="0.25">
      <c r="H705" s="9"/>
      <c r="I705" s="9"/>
    </row>
    <row r="706" spans="8:9" x14ac:dyDescent="0.25">
      <c r="H706" s="9"/>
      <c r="I706" s="9"/>
    </row>
    <row r="707" spans="8:9" x14ac:dyDescent="0.25">
      <c r="H707" s="9"/>
      <c r="I707" s="9"/>
    </row>
    <row r="708" spans="8:9" x14ac:dyDescent="0.25">
      <c r="H708" s="9"/>
      <c r="I708" s="9"/>
    </row>
    <row r="709" spans="8:9" x14ac:dyDescent="0.25">
      <c r="H709" s="9"/>
      <c r="I709" s="9"/>
    </row>
    <row r="710" spans="8:9" x14ac:dyDescent="0.25">
      <c r="H710" s="9"/>
      <c r="I710" s="9"/>
    </row>
    <row r="711" spans="8:9" x14ac:dyDescent="0.25">
      <c r="H711" s="9"/>
      <c r="I711" s="9"/>
    </row>
    <row r="712" spans="8:9" x14ac:dyDescent="0.25">
      <c r="H712" s="9"/>
      <c r="I712" s="9"/>
    </row>
    <row r="713" spans="8:9" x14ac:dyDescent="0.25">
      <c r="H713" s="9"/>
      <c r="I713" s="9"/>
    </row>
    <row r="714" spans="8:9" x14ac:dyDescent="0.25">
      <c r="H714" s="9"/>
      <c r="I714" s="9"/>
    </row>
    <row r="715" spans="8:9" x14ac:dyDescent="0.25">
      <c r="H715" s="9"/>
      <c r="I715" s="9"/>
    </row>
    <row r="716" spans="8:9" x14ac:dyDescent="0.25">
      <c r="H716" s="9"/>
      <c r="I716" s="9"/>
    </row>
    <row r="717" spans="8:9" x14ac:dyDescent="0.25">
      <c r="H717" s="9"/>
      <c r="I717" s="9"/>
    </row>
    <row r="718" spans="8:9" x14ac:dyDescent="0.25">
      <c r="H718" s="9"/>
      <c r="I718" s="9"/>
    </row>
    <row r="719" spans="8:9" x14ac:dyDescent="0.25">
      <c r="H719" s="9"/>
      <c r="I719" s="9"/>
    </row>
    <row r="720" spans="8:9" x14ac:dyDescent="0.25">
      <c r="H720" s="9"/>
      <c r="I720" s="9"/>
    </row>
    <row r="721" spans="8:9" x14ac:dyDescent="0.25">
      <c r="H721" s="9"/>
      <c r="I721" s="9"/>
    </row>
    <row r="722" spans="8:9" x14ac:dyDescent="0.25">
      <c r="H722" s="9"/>
      <c r="I722" s="9"/>
    </row>
    <row r="723" spans="8:9" x14ac:dyDescent="0.25">
      <c r="H723" s="9"/>
      <c r="I723" s="9"/>
    </row>
    <row r="724" spans="8:9" x14ac:dyDescent="0.25">
      <c r="H724" s="9"/>
      <c r="I724" s="9"/>
    </row>
    <row r="725" spans="8:9" x14ac:dyDescent="0.25">
      <c r="H725" s="9"/>
      <c r="I725" s="9"/>
    </row>
    <row r="726" spans="8:9" x14ac:dyDescent="0.25">
      <c r="H726" s="9"/>
      <c r="I726" s="9"/>
    </row>
    <row r="727" spans="8:9" x14ac:dyDescent="0.25">
      <c r="H727" s="9"/>
      <c r="I727" s="9"/>
    </row>
    <row r="728" spans="8:9" x14ac:dyDescent="0.25">
      <c r="H728" s="9"/>
      <c r="I728" s="9"/>
    </row>
    <row r="729" spans="8:9" x14ac:dyDescent="0.25">
      <c r="H729" s="9"/>
      <c r="I729" s="9"/>
    </row>
    <row r="730" spans="8:9" x14ac:dyDescent="0.25">
      <c r="H730" s="9"/>
      <c r="I730" s="9"/>
    </row>
    <row r="731" spans="8:9" x14ac:dyDescent="0.25">
      <c r="H731" s="9"/>
      <c r="I731" s="9"/>
    </row>
    <row r="732" spans="8:9" x14ac:dyDescent="0.25">
      <c r="H732" s="9"/>
      <c r="I732" s="9"/>
    </row>
    <row r="733" spans="8:9" x14ac:dyDescent="0.25">
      <c r="H733" s="9"/>
      <c r="I733" s="9"/>
    </row>
    <row r="734" spans="8:9" x14ac:dyDescent="0.25">
      <c r="H734" s="9"/>
      <c r="I734" s="9"/>
    </row>
    <row r="735" spans="8:9" x14ac:dyDescent="0.25">
      <c r="H735" s="9"/>
      <c r="I735" s="9"/>
    </row>
    <row r="736" spans="8:9" x14ac:dyDescent="0.25">
      <c r="H736" s="9"/>
      <c r="I736" s="9"/>
    </row>
    <row r="737" spans="8:9" x14ac:dyDescent="0.25">
      <c r="H737" s="9"/>
      <c r="I737" s="9"/>
    </row>
    <row r="738" spans="8:9" x14ac:dyDescent="0.25">
      <c r="H738" s="9"/>
      <c r="I738" s="9"/>
    </row>
    <row r="739" spans="8:9" x14ac:dyDescent="0.25">
      <c r="H739" s="9"/>
      <c r="I739" s="9"/>
    </row>
    <row r="740" spans="8:9" x14ac:dyDescent="0.25">
      <c r="H740" s="9"/>
      <c r="I740" s="9"/>
    </row>
    <row r="741" spans="8:9" x14ac:dyDescent="0.25">
      <c r="H741" s="9"/>
      <c r="I741" s="9"/>
    </row>
    <row r="742" spans="8:9" x14ac:dyDescent="0.25">
      <c r="H742" s="9"/>
      <c r="I742" s="9"/>
    </row>
    <row r="743" spans="8:9" x14ac:dyDescent="0.25">
      <c r="H743" s="9"/>
      <c r="I743" s="9"/>
    </row>
    <row r="744" spans="8:9" x14ac:dyDescent="0.25">
      <c r="H744" s="9"/>
      <c r="I744" s="9"/>
    </row>
    <row r="745" spans="8:9" x14ac:dyDescent="0.25">
      <c r="H745" s="9"/>
      <c r="I745" s="9"/>
    </row>
    <row r="746" spans="8:9" x14ac:dyDescent="0.25">
      <c r="H746" s="9"/>
      <c r="I746" s="9"/>
    </row>
    <row r="747" spans="8:9" x14ac:dyDescent="0.25">
      <c r="H747" s="9"/>
      <c r="I747" s="9"/>
    </row>
    <row r="748" spans="8:9" x14ac:dyDescent="0.25">
      <c r="H748" s="9"/>
      <c r="I748" s="9"/>
    </row>
    <row r="749" spans="8:9" x14ac:dyDescent="0.25">
      <c r="H749" s="9"/>
      <c r="I749" s="9"/>
    </row>
    <row r="750" spans="8:9" x14ac:dyDescent="0.25">
      <c r="H750" s="9"/>
      <c r="I750" s="9"/>
    </row>
    <row r="751" spans="8:9" x14ac:dyDescent="0.25">
      <c r="H751" s="9"/>
      <c r="I751" s="9"/>
    </row>
    <row r="752" spans="8:9" x14ac:dyDescent="0.25">
      <c r="H752" s="9"/>
      <c r="I752" s="9"/>
    </row>
    <row r="753" spans="8:9" x14ac:dyDescent="0.25">
      <c r="H753" s="9"/>
      <c r="I753" s="9"/>
    </row>
    <row r="754" spans="8:9" x14ac:dyDescent="0.25">
      <c r="H754" s="9"/>
      <c r="I754" s="9"/>
    </row>
    <row r="755" spans="8:9" x14ac:dyDescent="0.25">
      <c r="H755" s="9"/>
      <c r="I755" s="9"/>
    </row>
    <row r="756" spans="8:9" x14ac:dyDescent="0.25">
      <c r="H756" s="9"/>
      <c r="I756" s="9"/>
    </row>
    <row r="757" spans="8:9" x14ac:dyDescent="0.25">
      <c r="H757" s="9"/>
      <c r="I757" s="9"/>
    </row>
    <row r="758" spans="8:9" x14ac:dyDescent="0.25">
      <c r="H758" s="9"/>
      <c r="I758" s="9"/>
    </row>
    <row r="759" spans="8:9" x14ac:dyDescent="0.25">
      <c r="H759" s="9"/>
      <c r="I759" s="9"/>
    </row>
    <row r="760" spans="8:9" x14ac:dyDescent="0.25">
      <c r="H760" s="9"/>
      <c r="I760" s="9"/>
    </row>
    <row r="761" spans="8:9" x14ac:dyDescent="0.25">
      <c r="H761" s="9"/>
      <c r="I761" s="9"/>
    </row>
    <row r="762" spans="8:9" x14ac:dyDescent="0.25">
      <c r="H762" s="9"/>
      <c r="I762" s="9"/>
    </row>
    <row r="763" spans="8:9" x14ac:dyDescent="0.25">
      <c r="H763" s="9"/>
      <c r="I763" s="9"/>
    </row>
    <row r="764" spans="8:9" x14ac:dyDescent="0.25">
      <c r="H764" s="9"/>
      <c r="I764" s="9"/>
    </row>
    <row r="765" spans="8:9" x14ac:dyDescent="0.25">
      <c r="H765" s="9"/>
      <c r="I765" s="9"/>
    </row>
    <row r="766" spans="8:9" x14ac:dyDescent="0.25">
      <c r="H766" s="9"/>
      <c r="I766" s="9"/>
    </row>
    <row r="767" spans="8:9" x14ac:dyDescent="0.25">
      <c r="H767" s="9"/>
      <c r="I767" s="9"/>
    </row>
    <row r="768" spans="8:9" x14ac:dyDescent="0.25">
      <c r="H768" s="9"/>
      <c r="I768" s="9"/>
    </row>
    <row r="769" spans="8:9" x14ac:dyDescent="0.25">
      <c r="H769" s="9"/>
      <c r="I769" s="9"/>
    </row>
    <row r="770" spans="8:9" x14ac:dyDescent="0.25">
      <c r="H770" s="9"/>
      <c r="I770" s="9"/>
    </row>
    <row r="771" spans="8:9" x14ac:dyDescent="0.25">
      <c r="H771" s="9"/>
      <c r="I771" s="9"/>
    </row>
    <row r="772" spans="8:9" x14ac:dyDescent="0.25">
      <c r="H772" s="9"/>
      <c r="I772" s="9"/>
    </row>
    <row r="773" spans="8:9" x14ac:dyDescent="0.25">
      <c r="H773" s="9"/>
      <c r="I773" s="9"/>
    </row>
    <row r="774" spans="8:9" x14ac:dyDescent="0.25">
      <c r="H774" s="9"/>
      <c r="I774" s="9"/>
    </row>
    <row r="775" spans="8:9" x14ac:dyDescent="0.25">
      <c r="H775" s="9"/>
      <c r="I775" s="9"/>
    </row>
    <row r="776" spans="8:9" x14ac:dyDescent="0.25">
      <c r="H776" s="9"/>
      <c r="I776" s="9"/>
    </row>
    <row r="777" spans="8:9" x14ac:dyDescent="0.25">
      <c r="H777" s="9"/>
      <c r="I777" s="9"/>
    </row>
    <row r="778" spans="8:9" x14ac:dyDescent="0.25">
      <c r="H778" s="9"/>
      <c r="I778" s="9"/>
    </row>
    <row r="779" spans="8:9" x14ac:dyDescent="0.25">
      <c r="H779" s="9"/>
      <c r="I779" s="9"/>
    </row>
    <row r="780" spans="8:9" x14ac:dyDescent="0.25">
      <c r="H780" s="9"/>
      <c r="I780" s="9"/>
    </row>
    <row r="781" spans="8:9" x14ac:dyDescent="0.25">
      <c r="H781" s="9"/>
      <c r="I781" s="9"/>
    </row>
    <row r="782" spans="8:9" x14ac:dyDescent="0.25">
      <c r="H782" s="9"/>
      <c r="I782" s="9"/>
    </row>
    <row r="783" spans="8:9" x14ac:dyDescent="0.25">
      <c r="H783" s="9"/>
      <c r="I783" s="9"/>
    </row>
    <row r="784" spans="8:9" x14ac:dyDescent="0.25">
      <c r="H784" s="9"/>
      <c r="I784" s="9"/>
    </row>
    <row r="785" spans="8:9" x14ac:dyDescent="0.25">
      <c r="H785" s="9"/>
      <c r="I785" s="9"/>
    </row>
    <row r="786" spans="8:9" x14ac:dyDescent="0.25">
      <c r="H786" s="9"/>
      <c r="I786" s="9"/>
    </row>
    <row r="787" spans="8:9" x14ac:dyDescent="0.25">
      <c r="H787" s="9"/>
      <c r="I787" s="9"/>
    </row>
    <row r="788" spans="8:9" x14ac:dyDescent="0.25">
      <c r="H788" s="9"/>
      <c r="I788" s="9"/>
    </row>
    <row r="789" spans="8:9" x14ac:dyDescent="0.25">
      <c r="H789" s="9"/>
      <c r="I789" s="9"/>
    </row>
    <row r="790" spans="8:9" x14ac:dyDescent="0.25">
      <c r="H790" s="9"/>
      <c r="I790" s="9"/>
    </row>
    <row r="791" spans="8:9" x14ac:dyDescent="0.25">
      <c r="H791" s="9"/>
      <c r="I791" s="9"/>
    </row>
    <row r="792" spans="8:9" x14ac:dyDescent="0.25">
      <c r="H792" s="9"/>
      <c r="I792" s="9"/>
    </row>
    <row r="793" spans="8:9" x14ac:dyDescent="0.25">
      <c r="H793" s="9"/>
      <c r="I793" s="9"/>
    </row>
    <row r="794" spans="8:9" x14ac:dyDescent="0.25">
      <c r="H794" s="9"/>
      <c r="I794" s="9"/>
    </row>
    <row r="795" spans="8:9" x14ac:dyDescent="0.25">
      <c r="H795" s="9"/>
      <c r="I795" s="9"/>
    </row>
    <row r="796" spans="8:9" x14ac:dyDescent="0.25">
      <c r="H796" s="9"/>
      <c r="I796" s="9"/>
    </row>
    <row r="797" spans="8:9" x14ac:dyDescent="0.25">
      <c r="H797" s="9"/>
      <c r="I797" s="9"/>
    </row>
    <row r="798" spans="8:9" x14ac:dyDescent="0.25">
      <c r="H798" s="9"/>
      <c r="I798" s="9"/>
    </row>
    <row r="799" spans="8:9" x14ac:dyDescent="0.25">
      <c r="H799" s="9"/>
      <c r="I799" s="9"/>
    </row>
    <row r="800" spans="8:9" x14ac:dyDescent="0.25">
      <c r="H800" s="9"/>
      <c r="I800" s="9"/>
    </row>
    <row r="801" spans="8:9" x14ac:dyDescent="0.25">
      <c r="H801" s="9"/>
      <c r="I801" s="9"/>
    </row>
    <row r="802" spans="8:9" x14ac:dyDescent="0.25">
      <c r="H802" s="9"/>
      <c r="I802" s="9"/>
    </row>
    <row r="803" spans="8:9" x14ac:dyDescent="0.25">
      <c r="H803" s="9"/>
      <c r="I803" s="9"/>
    </row>
    <row r="804" spans="8:9" x14ac:dyDescent="0.25">
      <c r="H804" s="9"/>
      <c r="I804" s="9"/>
    </row>
    <row r="805" spans="8:9" x14ac:dyDescent="0.25">
      <c r="H805" s="9"/>
      <c r="I805" s="9"/>
    </row>
    <row r="806" spans="8:9" x14ac:dyDescent="0.25">
      <c r="H806" s="9"/>
      <c r="I806" s="9"/>
    </row>
    <row r="807" spans="8:9" x14ac:dyDescent="0.25">
      <c r="H807" s="9"/>
      <c r="I807" s="9"/>
    </row>
    <row r="808" spans="8:9" x14ac:dyDescent="0.25">
      <c r="H808" s="9"/>
      <c r="I808" s="9"/>
    </row>
    <row r="809" spans="8:9" x14ac:dyDescent="0.25">
      <c r="H809" s="9"/>
      <c r="I809" s="9"/>
    </row>
    <row r="810" spans="8:9" x14ac:dyDescent="0.25">
      <c r="H810" s="9"/>
      <c r="I810" s="9"/>
    </row>
    <row r="811" spans="8:9" x14ac:dyDescent="0.25">
      <c r="H811" s="9"/>
      <c r="I811" s="9"/>
    </row>
    <row r="812" spans="8:9" x14ac:dyDescent="0.25">
      <c r="H812" s="9"/>
      <c r="I812" s="9"/>
    </row>
    <row r="813" spans="8:9" x14ac:dyDescent="0.25">
      <c r="H813" s="9"/>
      <c r="I813" s="9"/>
    </row>
    <row r="814" spans="8:9" x14ac:dyDescent="0.25">
      <c r="H814" s="9"/>
      <c r="I814" s="9"/>
    </row>
    <row r="815" spans="8:9" x14ac:dyDescent="0.25">
      <c r="H815" s="9"/>
      <c r="I815" s="9"/>
    </row>
    <row r="816" spans="8:9" x14ac:dyDescent="0.25">
      <c r="H816" s="9"/>
      <c r="I816" s="9"/>
    </row>
    <row r="817" spans="8:9" x14ac:dyDescent="0.25">
      <c r="H817" s="9"/>
      <c r="I817" s="9"/>
    </row>
    <row r="818" spans="8:9" x14ac:dyDescent="0.25">
      <c r="H818" s="9"/>
      <c r="I818" s="9"/>
    </row>
    <row r="819" spans="8:9" x14ac:dyDescent="0.25">
      <c r="H819" s="9"/>
      <c r="I819" s="9"/>
    </row>
    <row r="820" spans="8:9" x14ac:dyDescent="0.25">
      <c r="H820" s="9"/>
      <c r="I820" s="9"/>
    </row>
    <row r="821" spans="8:9" x14ac:dyDescent="0.25">
      <c r="H821" s="9"/>
      <c r="I821" s="9"/>
    </row>
    <row r="822" spans="8:9" x14ac:dyDescent="0.25">
      <c r="H822" s="9"/>
      <c r="I822" s="9"/>
    </row>
    <row r="823" spans="8:9" x14ac:dyDescent="0.25">
      <c r="H823" s="9"/>
      <c r="I823" s="9"/>
    </row>
    <row r="824" spans="8:9" x14ac:dyDescent="0.25">
      <c r="H824" s="9"/>
      <c r="I824" s="9"/>
    </row>
    <row r="825" spans="8:9" x14ac:dyDescent="0.25">
      <c r="H825" s="9"/>
      <c r="I825" s="9"/>
    </row>
    <row r="826" spans="8:9" x14ac:dyDescent="0.25">
      <c r="H826" s="9"/>
      <c r="I826" s="9"/>
    </row>
    <row r="827" spans="8:9" x14ac:dyDescent="0.25">
      <c r="H827" s="9"/>
      <c r="I827" s="9"/>
    </row>
    <row r="828" spans="8:9" x14ac:dyDescent="0.25">
      <c r="H828" s="9"/>
      <c r="I828" s="9"/>
    </row>
    <row r="829" spans="8:9" x14ac:dyDescent="0.25">
      <c r="H829" s="9"/>
      <c r="I829" s="9"/>
    </row>
    <row r="830" spans="8:9" x14ac:dyDescent="0.25">
      <c r="H830" s="9"/>
      <c r="I830" s="9"/>
    </row>
    <row r="831" spans="8:9" x14ac:dyDescent="0.25">
      <c r="H831" s="9"/>
      <c r="I831" s="9"/>
    </row>
    <row r="832" spans="8:9" x14ac:dyDescent="0.25">
      <c r="H832" s="9"/>
      <c r="I832" s="9"/>
    </row>
    <row r="833" spans="8:9" x14ac:dyDescent="0.25">
      <c r="H833" s="9"/>
      <c r="I833" s="9"/>
    </row>
    <row r="834" spans="8:9" x14ac:dyDescent="0.25">
      <c r="H834" s="9"/>
      <c r="I834" s="9"/>
    </row>
    <row r="835" spans="8:9" x14ac:dyDescent="0.25">
      <c r="H835" s="9"/>
      <c r="I835" s="9"/>
    </row>
    <row r="836" spans="8:9" x14ac:dyDescent="0.25">
      <c r="H836" s="9"/>
      <c r="I836" s="9"/>
    </row>
    <row r="837" spans="8:9" x14ac:dyDescent="0.25">
      <c r="H837" s="9"/>
      <c r="I837" s="9"/>
    </row>
    <row r="838" spans="8:9" x14ac:dyDescent="0.25">
      <c r="H838" s="9"/>
      <c r="I838" s="9"/>
    </row>
    <row r="839" spans="8:9" x14ac:dyDescent="0.25">
      <c r="H839" s="9"/>
      <c r="I839" s="9"/>
    </row>
    <row r="840" spans="8:9" x14ac:dyDescent="0.25">
      <c r="H840" s="9"/>
      <c r="I840" s="9"/>
    </row>
    <row r="841" spans="8:9" x14ac:dyDescent="0.25">
      <c r="H841" s="9"/>
      <c r="I841" s="9"/>
    </row>
    <row r="842" spans="8:9" x14ac:dyDescent="0.25">
      <c r="H842" s="9"/>
      <c r="I842" s="9"/>
    </row>
    <row r="843" spans="8:9" x14ac:dyDescent="0.25">
      <c r="H843" s="9"/>
      <c r="I843" s="9"/>
    </row>
    <row r="844" spans="8:9" x14ac:dyDescent="0.25">
      <c r="H844" s="9"/>
      <c r="I844" s="9"/>
    </row>
    <row r="845" spans="8:9" x14ac:dyDescent="0.25">
      <c r="H845" s="9"/>
      <c r="I845" s="9"/>
    </row>
    <row r="846" spans="8:9" x14ac:dyDescent="0.25">
      <c r="H846" s="9"/>
      <c r="I846" s="9"/>
    </row>
    <row r="847" spans="8:9" x14ac:dyDescent="0.25">
      <c r="H847" s="9"/>
      <c r="I847" s="9"/>
    </row>
    <row r="848" spans="8:9" x14ac:dyDescent="0.25">
      <c r="H848" s="9"/>
      <c r="I848" s="9"/>
    </row>
    <row r="849" spans="8:9" x14ac:dyDescent="0.25">
      <c r="H849" s="9"/>
      <c r="I849" s="9"/>
    </row>
    <row r="850" spans="8:9" x14ac:dyDescent="0.25">
      <c r="H850" s="9"/>
      <c r="I850" s="9"/>
    </row>
    <row r="851" spans="8:9" x14ac:dyDescent="0.25">
      <c r="H851" s="9"/>
      <c r="I851" s="9"/>
    </row>
    <row r="852" spans="8:9" x14ac:dyDescent="0.25">
      <c r="H852" s="9"/>
      <c r="I852" s="9"/>
    </row>
    <row r="853" spans="8:9" x14ac:dyDescent="0.25">
      <c r="H853" s="9"/>
      <c r="I853" s="9"/>
    </row>
    <row r="854" spans="8:9" x14ac:dyDescent="0.25">
      <c r="H854" s="9"/>
      <c r="I854" s="9"/>
    </row>
    <row r="855" spans="8:9" x14ac:dyDescent="0.25">
      <c r="H855" s="9"/>
      <c r="I855" s="9"/>
    </row>
    <row r="856" spans="8:9" x14ac:dyDescent="0.25">
      <c r="H856" s="9"/>
      <c r="I856" s="9"/>
    </row>
    <row r="857" spans="8:9" x14ac:dyDescent="0.25">
      <c r="H857" s="9"/>
      <c r="I857" s="9"/>
    </row>
    <row r="858" spans="8:9" x14ac:dyDescent="0.25">
      <c r="H858" s="9"/>
      <c r="I858" s="9"/>
    </row>
    <row r="859" spans="8:9" x14ac:dyDescent="0.25">
      <c r="H859" s="9"/>
      <c r="I859" s="9"/>
    </row>
    <row r="860" spans="8:9" x14ac:dyDescent="0.25">
      <c r="H860" s="9"/>
      <c r="I860" s="9"/>
    </row>
    <row r="861" spans="8:9" x14ac:dyDescent="0.25">
      <c r="H861" s="9"/>
      <c r="I861" s="9"/>
    </row>
    <row r="862" spans="8:9" x14ac:dyDescent="0.25">
      <c r="H862" s="9"/>
      <c r="I862" s="9"/>
    </row>
    <row r="863" spans="8:9" x14ac:dyDescent="0.25">
      <c r="H863" s="9"/>
      <c r="I863" s="9"/>
    </row>
    <row r="864" spans="8:9" x14ac:dyDescent="0.25">
      <c r="H864" s="9"/>
      <c r="I864" s="9"/>
    </row>
    <row r="865" spans="8:9" x14ac:dyDescent="0.25">
      <c r="H865" s="9"/>
      <c r="I865" s="9"/>
    </row>
    <row r="866" spans="8:9" x14ac:dyDescent="0.25">
      <c r="H866" s="9"/>
      <c r="I866" s="9"/>
    </row>
    <row r="867" spans="8:9" x14ac:dyDescent="0.25">
      <c r="H867" s="9"/>
      <c r="I867" s="9"/>
    </row>
    <row r="868" spans="8:9" x14ac:dyDescent="0.25">
      <c r="H868" s="9"/>
      <c r="I868" s="9"/>
    </row>
    <row r="869" spans="8:9" x14ac:dyDescent="0.25">
      <c r="H869" s="9"/>
      <c r="I869" s="9"/>
    </row>
    <row r="870" spans="8:9" x14ac:dyDescent="0.25">
      <c r="H870" s="9"/>
      <c r="I870" s="9"/>
    </row>
    <row r="871" spans="8:9" x14ac:dyDescent="0.25">
      <c r="H871" s="9"/>
      <c r="I871" s="9"/>
    </row>
    <row r="872" spans="8:9" x14ac:dyDescent="0.25">
      <c r="H872" s="9"/>
      <c r="I872" s="9"/>
    </row>
    <row r="873" spans="8:9" x14ac:dyDescent="0.25">
      <c r="H873" s="9"/>
      <c r="I873" s="9"/>
    </row>
    <row r="874" spans="8:9" x14ac:dyDescent="0.25">
      <c r="H874" s="9"/>
      <c r="I874" s="9"/>
    </row>
    <row r="875" spans="8:9" x14ac:dyDescent="0.25">
      <c r="H875" s="9"/>
      <c r="I875" s="9"/>
    </row>
    <row r="876" spans="8:9" x14ac:dyDescent="0.25">
      <c r="H876" s="9"/>
      <c r="I876" s="9"/>
    </row>
    <row r="877" spans="8:9" x14ac:dyDescent="0.25">
      <c r="H877" s="9"/>
      <c r="I877" s="9"/>
    </row>
    <row r="878" spans="8:9" x14ac:dyDescent="0.25">
      <c r="H878" s="9"/>
      <c r="I878" s="9"/>
    </row>
    <row r="879" spans="8:9" x14ac:dyDescent="0.25">
      <c r="H879" s="9"/>
      <c r="I879" s="9"/>
    </row>
    <row r="880" spans="8:9" x14ac:dyDescent="0.25">
      <c r="H880" s="9"/>
      <c r="I880" s="9"/>
    </row>
    <row r="881" spans="8:9" x14ac:dyDescent="0.25">
      <c r="H881" s="9"/>
      <c r="I881" s="9"/>
    </row>
    <row r="882" spans="8:9" x14ac:dyDescent="0.25">
      <c r="H882" s="9"/>
      <c r="I882" s="9"/>
    </row>
    <row r="883" spans="8:9" x14ac:dyDescent="0.25">
      <c r="H883" s="9"/>
      <c r="I883" s="9"/>
    </row>
    <row r="884" spans="8:9" x14ac:dyDescent="0.25">
      <c r="H884" s="9"/>
      <c r="I884" s="9"/>
    </row>
    <row r="885" spans="8:9" x14ac:dyDescent="0.25">
      <c r="H885" s="9"/>
      <c r="I885" s="9"/>
    </row>
    <row r="886" spans="8:9" x14ac:dyDescent="0.25">
      <c r="H886" s="9"/>
      <c r="I886" s="9"/>
    </row>
    <row r="887" spans="8:9" x14ac:dyDescent="0.25">
      <c r="H887" s="9"/>
      <c r="I887" s="9"/>
    </row>
    <row r="888" spans="8:9" x14ac:dyDescent="0.25">
      <c r="H888" s="9"/>
      <c r="I888" s="9"/>
    </row>
    <row r="889" spans="8:9" x14ac:dyDescent="0.25">
      <c r="H889" s="9"/>
      <c r="I889" s="9"/>
    </row>
    <row r="890" spans="8:9" x14ac:dyDescent="0.25">
      <c r="H890" s="9"/>
      <c r="I890" s="9"/>
    </row>
    <row r="891" spans="8:9" x14ac:dyDescent="0.25">
      <c r="H891" s="9"/>
      <c r="I891" s="9"/>
    </row>
    <row r="892" spans="8:9" x14ac:dyDescent="0.25">
      <c r="H892" s="9"/>
      <c r="I892" s="9"/>
    </row>
    <row r="893" spans="8:9" x14ac:dyDescent="0.25">
      <c r="H893" s="9"/>
      <c r="I893" s="9"/>
    </row>
    <row r="894" spans="8:9" x14ac:dyDescent="0.25">
      <c r="H894" s="9"/>
      <c r="I894" s="9"/>
    </row>
    <row r="895" spans="8:9" x14ac:dyDescent="0.25">
      <c r="H895" s="9"/>
      <c r="I895" s="9"/>
    </row>
    <row r="896" spans="8:9" x14ac:dyDescent="0.25">
      <c r="H896" s="9"/>
      <c r="I896" s="9"/>
    </row>
    <row r="897" spans="8:9" x14ac:dyDescent="0.25">
      <c r="H897" s="9"/>
      <c r="I897" s="9"/>
    </row>
    <row r="898" spans="8:9" x14ac:dyDescent="0.25">
      <c r="H898" s="9"/>
      <c r="I898" s="9"/>
    </row>
    <row r="899" spans="8:9" x14ac:dyDescent="0.25">
      <c r="H899" s="9"/>
      <c r="I899" s="9"/>
    </row>
    <row r="900" spans="8:9" x14ac:dyDescent="0.25">
      <c r="H900" s="9"/>
      <c r="I900" s="9"/>
    </row>
    <row r="901" spans="8:9" x14ac:dyDescent="0.25">
      <c r="H901" s="9"/>
      <c r="I901" s="9"/>
    </row>
    <row r="902" spans="8:9" x14ac:dyDescent="0.25">
      <c r="H902" s="9"/>
      <c r="I902" s="9"/>
    </row>
    <row r="903" spans="8:9" x14ac:dyDescent="0.25">
      <c r="H903" s="9"/>
      <c r="I903" s="9"/>
    </row>
    <row r="904" spans="8:9" x14ac:dyDescent="0.25">
      <c r="H904" s="9"/>
      <c r="I904" s="9"/>
    </row>
    <row r="905" spans="8:9" x14ac:dyDescent="0.25">
      <c r="H905" s="9"/>
      <c r="I905" s="9"/>
    </row>
    <row r="906" spans="8:9" x14ac:dyDescent="0.25">
      <c r="H906" s="9"/>
      <c r="I906" s="9"/>
    </row>
    <row r="907" spans="8:9" x14ac:dyDescent="0.25">
      <c r="H907" s="9"/>
      <c r="I907" s="9"/>
    </row>
    <row r="908" spans="8:9" x14ac:dyDescent="0.25">
      <c r="H908" s="9"/>
      <c r="I908" s="9"/>
    </row>
    <row r="909" spans="8:9" x14ac:dyDescent="0.25">
      <c r="H909" s="9"/>
      <c r="I909" s="9"/>
    </row>
    <row r="910" spans="8:9" x14ac:dyDescent="0.25">
      <c r="H910" s="9"/>
      <c r="I910" s="9"/>
    </row>
    <row r="911" spans="8:9" x14ac:dyDescent="0.25">
      <c r="H911" s="9"/>
      <c r="I911" s="9"/>
    </row>
    <row r="912" spans="8:9" x14ac:dyDescent="0.25">
      <c r="H912" s="9"/>
      <c r="I912" s="9"/>
    </row>
    <row r="913" spans="8:9" x14ac:dyDescent="0.25">
      <c r="H913" s="9"/>
      <c r="I913" s="9"/>
    </row>
    <row r="914" spans="8:9" x14ac:dyDescent="0.25">
      <c r="H914" s="9"/>
      <c r="I914" s="9"/>
    </row>
    <row r="915" spans="8:9" x14ac:dyDescent="0.25">
      <c r="H915" s="9"/>
      <c r="I915" s="9"/>
    </row>
    <row r="916" spans="8:9" x14ac:dyDescent="0.25">
      <c r="H916" s="9"/>
      <c r="I916" s="9"/>
    </row>
    <row r="917" spans="8:9" x14ac:dyDescent="0.25">
      <c r="H917" s="9"/>
      <c r="I917" s="9"/>
    </row>
    <row r="918" spans="8:9" x14ac:dyDescent="0.25">
      <c r="H918" s="9"/>
      <c r="I918" s="9"/>
    </row>
    <row r="919" spans="8:9" x14ac:dyDescent="0.25">
      <c r="H919" s="9"/>
      <c r="I919" s="9"/>
    </row>
    <row r="920" spans="8:9" x14ac:dyDescent="0.25">
      <c r="H920" s="9"/>
      <c r="I920" s="9"/>
    </row>
    <row r="921" spans="8:9" x14ac:dyDescent="0.25">
      <c r="H921" s="9"/>
      <c r="I921" s="9"/>
    </row>
    <row r="922" spans="8:9" x14ac:dyDescent="0.25">
      <c r="H922" s="9"/>
      <c r="I922" s="9"/>
    </row>
    <row r="923" spans="8:9" x14ac:dyDescent="0.25">
      <c r="H923" s="9"/>
      <c r="I923" s="9"/>
    </row>
    <row r="924" spans="8:9" x14ac:dyDescent="0.25">
      <c r="H924" s="9"/>
      <c r="I924" s="9"/>
    </row>
    <row r="925" spans="8:9" x14ac:dyDescent="0.25">
      <c r="H925" s="9"/>
      <c r="I925" s="9"/>
    </row>
    <row r="926" spans="8:9" x14ac:dyDescent="0.25">
      <c r="H926" s="9"/>
      <c r="I926" s="9"/>
    </row>
    <row r="927" spans="8:9" x14ac:dyDescent="0.25">
      <c r="H927" s="9"/>
      <c r="I927" s="9"/>
    </row>
    <row r="928" spans="8:9" x14ac:dyDescent="0.25">
      <c r="H928" s="9"/>
      <c r="I928" s="9"/>
    </row>
    <row r="929" spans="8:9" x14ac:dyDescent="0.25">
      <c r="H929" s="9"/>
      <c r="I929" s="9"/>
    </row>
    <row r="930" spans="8:9" x14ac:dyDescent="0.25">
      <c r="H930" s="9"/>
      <c r="I930" s="9"/>
    </row>
    <row r="931" spans="8:9" x14ac:dyDescent="0.25">
      <c r="H931" s="9"/>
      <c r="I931" s="9"/>
    </row>
    <row r="932" spans="8:9" x14ac:dyDescent="0.25">
      <c r="H932" s="9"/>
      <c r="I932" s="9"/>
    </row>
    <row r="933" spans="8:9" x14ac:dyDescent="0.25">
      <c r="H933" s="9"/>
      <c r="I933" s="9"/>
    </row>
    <row r="934" spans="8:9" x14ac:dyDescent="0.25">
      <c r="H934" s="9"/>
      <c r="I934" s="9"/>
    </row>
    <row r="935" spans="8:9" x14ac:dyDescent="0.25">
      <c r="H935" s="9"/>
      <c r="I935" s="9"/>
    </row>
    <row r="936" spans="8:9" x14ac:dyDescent="0.25">
      <c r="H936" s="9"/>
      <c r="I936" s="9"/>
    </row>
    <row r="937" spans="8:9" x14ac:dyDescent="0.25">
      <c r="H937" s="9"/>
      <c r="I937" s="9"/>
    </row>
    <row r="938" spans="8:9" x14ac:dyDescent="0.25">
      <c r="H938" s="9"/>
      <c r="I938" s="9"/>
    </row>
    <row r="939" spans="8:9" x14ac:dyDescent="0.25">
      <c r="H939" s="9"/>
      <c r="I939" s="9"/>
    </row>
    <row r="940" spans="8:9" x14ac:dyDescent="0.25">
      <c r="H940" s="9"/>
      <c r="I940" s="9"/>
    </row>
    <row r="941" spans="8:9" x14ac:dyDescent="0.25">
      <c r="H941" s="9"/>
      <c r="I941" s="9"/>
    </row>
    <row r="942" spans="8:9" x14ac:dyDescent="0.25">
      <c r="H942" s="9"/>
      <c r="I942" s="9"/>
    </row>
    <row r="943" spans="8:9" x14ac:dyDescent="0.25">
      <c r="H943" s="9"/>
      <c r="I943" s="9"/>
    </row>
    <row r="944" spans="8:9" x14ac:dyDescent="0.25">
      <c r="H944" s="9"/>
      <c r="I944" s="9"/>
    </row>
    <row r="945" spans="8:9" x14ac:dyDescent="0.25">
      <c r="H945" s="9"/>
      <c r="I945" s="9"/>
    </row>
    <row r="946" spans="8:9" x14ac:dyDescent="0.25">
      <c r="H946" s="9"/>
      <c r="I946" s="9"/>
    </row>
    <row r="947" spans="8:9" x14ac:dyDescent="0.25">
      <c r="H947" s="9"/>
      <c r="I947" s="9"/>
    </row>
    <row r="948" spans="8:9" x14ac:dyDescent="0.25">
      <c r="H948" s="9"/>
      <c r="I948" s="9"/>
    </row>
    <row r="949" spans="8:9" x14ac:dyDescent="0.25">
      <c r="H949" s="9"/>
      <c r="I949" s="9"/>
    </row>
    <row r="950" spans="8:9" x14ac:dyDescent="0.25">
      <c r="H950" s="9"/>
      <c r="I950" s="9"/>
    </row>
    <row r="951" spans="8:9" x14ac:dyDescent="0.25">
      <c r="H951" s="9"/>
      <c r="I951" s="9"/>
    </row>
    <row r="952" spans="8:9" x14ac:dyDescent="0.25">
      <c r="H952" s="9"/>
      <c r="I952" s="9"/>
    </row>
    <row r="953" spans="8:9" x14ac:dyDescent="0.25">
      <c r="H953" s="9"/>
      <c r="I953" s="9"/>
    </row>
    <row r="954" spans="8:9" x14ac:dyDescent="0.25">
      <c r="H954" s="9"/>
      <c r="I954" s="9"/>
    </row>
    <row r="955" spans="8:9" x14ac:dyDescent="0.25">
      <c r="H955" s="9"/>
      <c r="I955" s="9"/>
    </row>
    <row r="956" spans="8:9" x14ac:dyDescent="0.25">
      <c r="H956" s="9"/>
      <c r="I956" s="9"/>
    </row>
    <row r="957" spans="8:9" x14ac:dyDescent="0.25">
      <c r="H957" s="9"/>
      <c r="I957" s="9"/>
    </row>
    <row r="958" spans="8:9" x14ac:dyDescent="0.25">
      <c r="H958" s="9"/>
      <c r="I958" s="9"/>
    </row>
    <row r="959" spans="8:9" x14ac:dyDescent="0.25">
      <c r="H959" s="9"/>
      <c r="I959" s="9"/>
    </row>
    <row r="960" spans="8:9" x14ac:dyDescent="0.25">
      <c r="H960" s="9"/>
      <c r="I960" s="9"/>
    </row>
    <row r="961" spans="8:9" x14ac:dyDescent="0.25">
      <c r="H961" s="9"/>
      <c r="I961" s="9"/>
    </row>
    <row r="962" spans="8:9" x14ac:dyDescent="0.25">
      <c r="H962" s="9"/>
      <c r="I962" s="9"/>
    </row>
    <row r="963" spans="8:9" x14ac:dyDescent="0.25">
      <c r="H963" s="9"/>
      <c r="I963" s="9"/>
    </row>
    <row r="964" spans="8:9" x14ac:dyDescent="0.25">
      <c r="H964" s="9"/>
      <c r="I964" s="9"/>
    </row>
    <row r="965" spans="8:9" x14ac:dyDescent="0.25">
      <c r="H965" s="9"/>
      <c r="I965" s="9"/>
    </row>
    <row r="966" spans="8:9" x14ac:dyDescent="0.25">
      <c r="H966" s="9"/>
      <c r="I966" s="9"/>
    </row>
    <row r="967" spans="8:9" x14ac:dyDescent="0.25">
      <c r="H967" s="9"/>
      <c r="I967" s="9"/>
    </row>
    <row r="968" spans="8:9" x14ac:dyDescent="0.25">
      <c r="H968" s="9"/>
      <c r="I968" s="9"/>
    </row>
    <row r="969" spans="8:9" x14ac:dyDescent="0.25">
      <c r="H969" s="9"/>
      <c r="I969" s="9"/>
    </row>
    <row r="970" spans="8:9" x14ac:dyDescent="0.25">
      <c r="H970" s="9"/>
      <c r="I970" s="9"/>
    </row>
    <row r="971" spans="8:9" x14ac:dyDescent="0.25">
      <c r="H971" s="9"/>
      <c r="I971" s="9"/>
    </row>
    <row r="972" spans="8:9" x14ac:dyDescent="0.25">
      <c r="H972" s="9"/>
      <c r="I972" s="9"/>
    </row>
    <row r="973" spans="8:9" x14ac:dyDescent="0.25">
      <c r="H973" s="9"/>
      <c r="I973" s="9"/>
    </row>
    <row r="974" spans="8:9" x14ac:dyDescent="0.25">
      <c r="H974" s="9"/>
      <c r="I974" s="9"/>
    </row>
    <row r="975" spans="8:9" x14ac:dyDescent="0.25">
      <c r="H975" s="9"/>
      <c r="I975" s="9"/>
    </row>
    <row r="976" spans="8:9" x14ac:dyDescent="0.25">
      <c r="H976" s="9"/>
      <c r="I976" s="9"/>
    </row>
    <row r="977" spans="8:9" x14ac:dyDescent="0.25">
      <c r="H977" s="9"/>
      <c r="I977" s="9"/>
    </row>
    <row r="978" spans="8:9" x14ac:dyDescent="0.25">
      <c r="H978" s="9"/>
      <c r="I978" s="9"/>
    </row>
    <row r="979" spans="8:9" x14ac:dyDescent="0.25">
      <c r="H979" s="9"/>
      <c r="I979" s="9"/>
    </row>
    <row r="980" spans="8:9" x14ac:dyDescent="0.25">
      <c r="H980" s="9"/>
      <c r="I980" s="9"/>
    </row>
    <row r="981" spans="8:9" x14ac:dyDescent="0.25">
      <c r="H981" s="9"/>
      <c r="I981" s="9"/>
    </row>
    <row r="982" spans="8:9" x14ac:dyDescent="0.25">
      <c r="H982" s="9"/>
      <c r="I982" s="9"/>
    </row>
    <row r="983" spans="8:9" x14ac:dyDescent="0.25">
      <c r="H983" s="9"/>
      <c r="I983" s="9"/>
    </row>
    <row r="984" spans="8:9" x14ac:dyDescent="0.25">
      <c r="H984" s="9"/>
      <c r="I984" s="9"/>
    </row>
    <row r="985" spans="8:9" x14ac:dyDescent="0.25">
      <c r="H985" s="9"/>
      <c r="I985" s="9"/>
    </row>
    <row r="986" spans="8:9" x14ac:dyDescent="0.25">
      <c r="H986" s="9"/>
      <c r="I986" s="9"/>
    </row>
    <row r="987" spans="8:9" x14ac:dyDescent="0.25">
      <c r="H987" s="9"/>
      <c r="I987" s="9"/>
    </row>
    <row r="988" spans="8:9" x14ac:dyDescent="0.25">
      <c r="H988" s="9"/>
      <c r="I988" s="9"/>
    </row>
    <row r="989" spans="8:9" x14ac:dyDescent="0.25">
      <c r="H989" s="9"/>
      <c r="I989" s="9"/>
    </row>
    <row r="990" spans="8:9" x14ac:dyDescent="0.25">
      <c r="H990" s="9"/>
      <c r="I990" s="9"/>
    </row>
    <row r="991" spans="8:9" x14ac:dyDescent="0.25">
      <c r="H991" s="9"/>
      <c r="I991" s="9"/>
    </row>
    <row r="992" spans="8:9" x14ac:dyDescent="0.25">
      <c r="H992" s="9"/>
      <c r="I992" s="9"/>
    </row>
    <row r="993" spans="8:9" x14ac:dyDescent="0.25">
      <c r="H993" s="9"/>
      <c r="I993" s="9"/>
    </row>
    <row r="994" spans="8:9" x14ac:dyDescent="0.25">
      <c r="H994" s="9"/>
      <c r="I994" s="9"/>
    </row>
    <row r="995" spans="8:9" x14ac:dyDescent="0.25">
      <c r="H995" s="9"/>
      <c r="I995" s="9"/>
    </row>
    <row r="996" spans="8:9" x14ac:dyDescent="0.25">
      <c r="H996" s="9"/>
      <c r="I996" s="9"/>
    </row>
    <row r="997" spans="8:9" x14ac:dyDescent="0.25">
      <c r="H997" s="9"/>
      <c r="I997" s="9"/>
    </row>
    <row r="998" spans="8:9" x14ac:dyDescent="0.25">
      <c r="H998" s="9"/>
      <c r="I998" s="9"/>
    </row>
    <row r="999" spans="8:9" x14ac:dyDescent="0.25">
      <c r="H999" s="9"/>
      <c r="I999" s="9"/>
    </row>
    <row r="1000" spans="8:9" x14ac:dyDescent="0.25">
      <c r="H1000" s="9"/>
      <c r="I1000" s="9"/>
    </row>
    <row r="1001" spans="8:9" x14ac:dyDescent="0.25">
      <c r="H1001" s="9"/>
      <c r="I1001" s="9"/>
    </row>
    <row r="1002" spans="8:9" x14ac:dyDescent="0.25">
      <c r="H1002" s="9"/>
      <c r="I1002" s="9"/>
    </row>
    <row r="1003" spans="8:9" x14ac:dyDescent="0.25">
      <c r="H1003" s="9"/>
      <c r="I1003" s="9"/>
    </row>
    <row r="1004" spans="8:9" x14ac:dyDescent="0.25">
      <c r="H1004" s="9"/>
      <c r="I1004" s="9"/>
    </row>
    <row r="1005" spans="8:9" x14ac:dyDescent="0.25">
      <c r="H1005" s="9"/>
      <c r="I1005" s="9"/>
    </row>
    <row r="1006" spans="8:9" x14ac:dyDescent="0.25">
      <c r="H1006" s="9"/>
      <c r="I1006" s="9"/>
    </row>
    <row r="1007" spans="8:9" x14ac:dyDescent="0.25">
      <c r="H1007" s="9"/>
      <c r="I1007" s="9"/>
    </row>
    <row r="1008" spans="8:9" x14ac:dyDescent="0.25">
      <c r="H1008" s="9"/>
      <c r="I1008" s="9"/>
    </row>
    <row r="1009" spans="8:9" x14ac:dyDescent="0.25">
      <c r="H1009" s="9"/>
      <c r="I1009" s="9"/>
    </row>
    <row r="1010" spans="8:9" x14ac:dyDescent="0.25">
      <c r="H1010" s="9"/>
      <c r="I1010" s="9"/>
    </row>
    <row r="1011" spans="8:9" x14ac:dyDescent="0.25">
      <c r="H1011" s="9"/>
      <c r="I1011" s="9"/>
    </row>
    <row r="1012" spans="8:9" x14ac:dyDescent="0.25">
      <c r="H1012" s="9"/>
      <c r="I1012" s="9"/>
    </row>
    <row r="1013" spans="8:9" x14ac:dyDescent="0.25">
      <c r="H1013" s="9"/>
      <c r="I1013" s="9"/>
    </row>
    <row r="1014" spans="8:9" x14ac:dyDescent="0.25">
      <c r="H1014" s="9"/>
      <c r="I1014" s="9"/>
    </row>
    <row r="1015" spans="8:9" x14ac:dyDescent="0.25">
      <c r="H1015" s="9"/>
      <c r="I1015" s="9"/>
    </row>
    <row r="1016" spans="8:9" x14ac:dyDescent="0.25">
      <c r="H1016" s="9"/>
      <c r="I1016" s="9"/>
    </row>
    <row r="1017" spans="8:9" x14ac:dyDescent="0.25">
      <c r="H1017" s="9"/>
      <c r="I1017" s="9"/>
    </row>
    <row r="1018" spans="8:9" x14ac:dyDescent="0.25">
      <c r="H1018" s="9"/>
      <c r="I1018" s="9"/>
    </row>
    <row r="1019" spans="8:9" x14ac:dyDescent="0.25">
      <c r="H1019" s="9"/>
      <c r="I1019" s="9"/>
    </row>
    <row r="1020" spans="8:9" x14ac:dyDescent="0.25">
      <c r="H1020" s="9"/>
      <c r="I1020" s="9"/>
    </row>
    <row r="1021" spans="8:9" x14ac:dyDescent="0.25">
      <c r="H1021" s="9"/>
      <c r="I1021" s="9"/>
    </row>
    <row r="1022" spans="8:9" x14ac:dyDescent="0.25">
      <c r="H1022" s="9"/>
      <c r="I1022" s="9"/>
    </row>
    <row r="1023" spans="8:9" x14ac:dyDescent="0.25">
      <c r="H1023" s="9"/>
      <c r="I1023" s="9"/>
    </row>
    <row r="1024" spans="8:9" x14ac:dyDescent="0.25">
      <c r="H1024" s="9"/>
      <c r="I1024" s="9"/>
    </row>
    <row r="1025" spans="8:9" x14ac:dyDescent="0.25">
      <c r="H1025" s="9"/>
      <c r="I1025" s="9"/>
    </row>
    <row r="1026" spans="8:9" x14ac:dyDescent="0.25">
      <c r="H1026" s="9"/>
      <c r="I1026" s="9"/>
    </row>
    <row r="1027" spans="8:9" x14ac:dyDescent="0.25">
      <c r="H1027" s="9"/>
      <c r="I1027" s="9"/>
    </row>
    <row r="1028" spans="8:9" x14ac:dyDescent="0.25">
      <c r="H1028" s="9"/>
      <c r="I1028" s="9"/>
    </row>
    <row r="1029" spans="8:9" x14ac:dyDescent="0.25">
      <c r="H1029" s="9"/>
      <c r="I1029" s="9"/>
    </row>
    <row r="1030" spans="8:9" x14ac:dyDescent="0.25">
      <c r="H1030" s="9"/>
      <c r="I1030" s="9"/>
    </row>
    <row r="1031" spans="8:9" x14ac:dyDescent="0.25">
      <c r="H1031" s="9"/>
      <c r="I1031" s="9"/>
    </row>
    <row r="1032" spans="8:9" x14ac:dyDescent="0.25">
      <c r="H1032" s="9"/>
      <c r="I1032" s="9"/>
    </row>
    <row r="1033" spans="8:9" x14ac:dyDescent="0.25">
      <c r="H1033" s="9"/>
      <c r="I1033" s="9"/>
    </row>
    <row r="1034" spans="8:9" x14ac:dyDescent="0.25">
      <c r="H1034" s="9"/>
      <c r="I1034" s="9"/>
    </row>
    <row r="1035" spans="8:9" x14ac:dyDescent="0.25">
      <c r="H1035" s="9"/>
      <c r="I1035" s="9"/>
    </row>
    <row r="1036" spans="8:9" x14ac:dyDescent="0.25">
      <c r="H1036" s="9"/>
      <c r="I1036" s="9"/>
    </row>
    <row r="1037" spans="8:9" x14ac:dyDescent="0.25">
      <c r="H1037" s="9"/>
      <c r="I1037" s="9"/>
    </row>
    <row r="1038" spans="8:9" x14ac:dyDescent="0.25">
      <c r="H1038" s="9"/>
      <c r="I1038" s="9"/>
    </row>
    <row r="1039" spans="8:9" x14ac:dyDescent="0.25">
      <c r="H1039" s="9"/>
      <c r="I1039" s="9"/>
    </row>
    <row r="1040" spans="8:9" x14ac:dyDescent="0.25">
      <c r="H1040" s="9"/>
      <c r="I1040" s="9"/>
    </row>
    <row r="1041" spans="8:9" x14ac:dyDescent="0.25">
      <c r="H1041" s="9"/>
      <c r="I1041" s="9"/>
    </row>
    <row r="1042" spans="8:9" x14ac:dyDescent="0.25">
      <c r="H1042" s="9"/>
      <c r="I1042" s="9"/>
    </row>
    <row r="1043" spans="8:9" x14ac:dyDescent="0.25">
      <c r="H1043" s="9"/>
      <c r="I1043" s="9"/>
    </row>
    <row r="1044" spans="8:9" x14ac:dyDescent="0.25">
      <c r="H1044" s="9"/>
      <c r="I1044" s="9"/>
    </row>
    <row r="1045" spans="8:9" x14ac:dyDescent="0.25">
      <c r="H1045" s="9"/>
      <c r="I1045" s="9"/>
    </row>
    <row r="1046" spans="8:9" x14ac:dyDescent="0.25">
      <c r="H1046" s="9"/>
      <c r="I1046" s="9"/>
    </row>
    <row r="1047" spans="8:9" x14ac:dyDescent="0.25">
      <c r="H1047" s="9"/>
      <c r="I1047" s="9"/>
    </row>
    <row r="1048" spans="8:9" x14ac:dyDescent="0.25">
      <c r="H1048" s="9"/>
      <c r="I1048" s="9"/>
    </row>
    <row r="1049" spans="8:9" x14ac:dyDescent="0.25">
      <c r="H1049" s="9"/>
      <c r="I1049" s="9"/>
    </row>
    <row r="1050" spans="8:9" x14ac:dyDescent="0.25">
      <c r="H1050" s="9"/>
      <c r="I1050" s="9"/>
    </row>
    <row r="1051" spans="8:9" x14ac:dyDescent="0.25">
      <c r="H1051" s="9"/>
      <c r="I1051" s="9"/>
    </row>
    <row r="1052" spans="8:9" x14ac:dyDescent="0.25">
      <c r="H1052" s="9"/>
      <c r="I1052" s="9"/>
    </row>
    <row r="1053" spans="8:9" x14ac:dyDescent="0.25">
      <c r="H1053" s="9"/>
      <c r="I1053" s="9"/>
    </row>
    <row r="1054" spans="8:9" x14ac:dyDescent="0.25">
      <c r="H1054" s="9"/>
      <c r="I1054" s="9"/>
    </row>
    <row r="1055" spans="8:9" x14ac:dyDescent="0.25">
      <c r="H1055" s="9"/>
      <c r="I1055" s="9"/>
    </row>
    <row r="1056" spans="8:9" x14ac:dyDescent="0.25">
      <c r="H1056" s="9"/>
      <c r="I1056" s="9"/>
    </row>
    <row r="1057" spans="8:9" x14ac:dyDescent="0.25">
      <c r="H1057" s="9"/>
      <c r="I1057" s="9"/>
    </row>
    <row r="1058" spans="8:9" x14ac:dyDescent="0.25">
      <c r="H1058" s="9"/>
      <c r="I1058" s="9"/>
    </row>
    <row r="1059" spans="8:9" x14ac:dyDescent="0.25">
      <c r="H1059" s="9"/>
      <c r="I1059" s="9"/>
    </row>
    <row r="1060" spans="8:9" x14ac:dyDescent="0.25">
      <c r="H1060" s="9"/>
      <c r="I1060" s="9"/>
    </row>
    <row r="1061" spans="8:9" x14ac:dyDescent="0.25">
      <c r="H1061" s="9"/>
      <c r="I1061" s="9"/>
    </row>
    <row r="1062" spans="8:9" x14ac:dyDescent="0.25">
      <c r="H1062" s="9"/>
      <c r="I1062" s="9"/>
    </row>
    <row r="1063" spans="8:9" x14ac:dyDescent="0.25">
      <c r="H1063" s="9"/>
      <c r="I1063" s="9"/>
    </row>
    <row r="1064" spans="8:9" x14ac:dyDescent="0.25">
      <c r="H1064" s="9"/>
      <c r="I1064" s="9"/>
    </row>
    <row r="1065" spans="8:9" x14ac:dyDescent="0.25">
      <c r="H1065" s="9"/>
      <c r="I1065" s="9"/>
    </row>
    <row r="1066" spans="8:9" x14ac:dyDescent="0.25">
      <c r="H1066" s="9"/>
      <c r="I1066" s="9"/>
    </row>
    <row r="1067" spans="8:9" x14ac:dyDescent="0.25">
      <c r="H1067" s="9"/>
      <c r="I1067" s="9"/>
    </row>
    <row r="1068" spans="8:9" x14ac:dyDescent="0.25">
      <c r="H1068" s="9"/>
      <c r="I1068" s="9"/>
    </row>
    <row r="1069" spans="8:9" x14ac:dyDescent="0.25">
      <c r="H1069" s="9"/>
      <c r="I1069" s="9"/>
    </row>
    <row r="1070" spans="8:9" x14ac:dyDescent="0.25">
      <c r="H1070" s="9"/>
      <c r="I1070" s="9"/>
    </row>
    <row r="1071" spans="8:9" x14ac:dyDescent="0.25">
      <c r="H1071" s="9"/>
      <c r="I1071" s="9"/>
    </row>
    <row r="1072" spans="8:9" x14ac:dyDescent="0.25">
      <c r="H1072" s="9"/>
      <c r="I1072" s="9"/>
    </row>
    <row r="1073" spans="8:9" x14ac:dyDescent="0.25">
      <c r="H1073" s="9"/>
      <c r="I1073" s="9"/>
    </row>
    <row r="1074" spans="8:9" x14ac:dyDescent="0.25">
      <c r="H1074" s="9"/>
      <c r="I1074" s="9"/>
    </row>
    <row r="1075" spans="8:9" x14ac:dyDescent="0.25">
      <c r="H1075" s="9"/>
      <c r="I1075" s="9"/>
    </row>
    <row r="1076" spans="8:9" x14ac:dyDescent="0.25">
      <c r="H1076" s="9"/>
      <c r="I1076" s="9"/>
    </row>
    <row r="1077" spans="8:9" x14ac:dyDescent="0.25">
      <c r="H1077" s="9"/>
      <c r="I1077" s="9"/>
    </row>
    <row r="1078" spans="8:9" x14ac:dyDescent="0.25">
      <c r="H1078" s="9"/>
      <c r="I1078" s="9"/>
    </row>
    <row r="1079" spans="8:9" x14ac:dyDescent="0.25">
      <c r="H1079" s="9"/>
      <c r="I1079" s="9"/>
    </row>
    <row r="1080" spans="8:9" x14ac:dyDescent="0.25">
      <c r="H1080" s="9"/>
      <c r="I1080" s="9"/>
    </row>
    <row r="1081" spans="8:9" x14ac:dyDescent="0.25">
      <c r="H1081" s="9"/>
      <c r="I1081" s="9"/>
    </row>
    <row r="1082" spans="8:9" x14ac:dyDescent="0.25">
      <c r="H1082" s="9"/>
      <c r="I1082" s="9"/>
    </row>
    <row r="1083" spans="8:9" x14ac:dyDescent="0.25">
      <c r="H1083" s="9"/>
      <c r="I1083" s="9"/>
    </row>
    <row r="1084" spans="8:9" x14ac:dyDescent="0.25">
      <c r="H1084" s="9"/>
      <c r="I1084" s="9"/>
    </row>
    <row r="1085" spans="8:9" x14ac:dyDescent="0.25">
      <c r="H1085" s="9"/>
      <c r="I1085" s="9"/>
    </row>
    <row r="1086" spans="8:9" x14ac:dyDescent="0.25">
      <c r="H1086" s="9"/>
      <c r="I1086" s="9"/>
    </row>
    <row r="1087" spans="8:9" x14ac:dyDescent="0.25">
      <c r="H1087" s="9"/>
      <c r="I1087" s="9"/>
    </row>
    <row r="1088" spans="8:9" x14ac:dyDescent="0.25">
      <c r="H1088" s="9"/>
      <c r="I1088" s="9"/>
    </row>
    <row r="1089" spans="8:9" x14ac:dyDescent="0.25">
      <c r="H1089" s="9"/>
      <c r="I1089" s="9"/>
    </row>
    <row r="1090" spans="8:9" x14ac:dyDescent="0.25">
      <c r="H1090" s="9"/>
      <c r="I1090" s="9"/>
    </row>
    <row r="1091" spans="8:9" x14ac:dyDescent="0.25">
      <c r="H1091" s="9"/>
      <c r="I1091" s="9"/>
    </row>
    <row r="1092" spans="8:9" x14ac:dyDescent="0.25">
      <c r="H1092" s="9"/>
      <c r="I1092" s="9"/>
    </row>
    <row r="1093" spans="8:9" x14ac:dyDescent="0.25">
      <c r="H1093" s="9"/>
      <c r="I1093" s="9"/>
    </row>
    <row r="1094" spans="8:9" x14ac:dyDescent="0.25">
      <c r="H1094" s="9"/>
      <c r="I1094" s="9"/>
    </row>
    <row r="1095" spans="8:9" x14ac:dyDescent="0.25">
      <c r="H1095" s="9"/>
      <c r="I1095" s="9"/>
    </row>
    <row r="1096" spans="8:9" x14ac:dyDescent="0.25">
      <c r="H1096" s="9"/>
      <c r="I1096" s="9"/>
    </row>
    <row r="1097" spans="8:9" x14ac:dyDescent="0.25">
      <c r="H1097" s="9"/>
      <c r="I1097" s="9"/>
    </row>
    <row r="1098" spans="8:9" x14ac:dyDescent="0.25">
      <c r="H1098" s="9"/>
      <c r="I1098" s="9"/>
    </row>
    <row r="1099" spans="8:9" x14ac:dyDescent="0.25">
      <c r="H1099" s="9"/>
      <c r="I1099" s="9"/>
    </row>
    <row r="1100" spans="8:9" x14ac:dyDescent="0.25">
      <c r="H1100" s="9"/>
      <c r="I1100" s="9"/>
    </row>
    <row r="1101" spans="8:9" x14ac:dyDescent="0.25">
      <c r="H1101" s="9"/>
      <c r="I1101" s="9"/>
    </row>
    <row r="1102" spans="8:9" x14ac:dyDescent="0.25">
      <c r="H1102" s="9"/>
      <c r="I1102" s="9"/>
    </row>
    <row r="1103" spans="8:9" x14ac:dyDescent="0.25">
      <c r="H1103" s="9"/>
      <c r="I1103" s="9"/>
    </row>
    <row r="1104" spans="8:9" x14ac:dyDescent="0.25">
      <c r="H1104" s="9"/>
      <c r="I1104" s="9"/>
    </row>
    <row r="1105" spans="8:9" x14ac:dyDescent="0.25">
      <c r="H1105" s="9"/>
      <c r="I1105" s="9"/>
    </row>
    <row r="1106" spans="8:9" x14ac:dyDescent="0.25">
      <c r="H1106" s="9"/>
      <c r="I1106" s="9"/>
    </row>
    <row r="1107" spans="8:9" x14ac:dyDescent="0.25">
      <c r="H1107" s="9"/>
      <c r="I1107" s="9"/>
    </row>
    <row r="1108" spans="8:9" x14ac:dyDescent="0.25">
      <c r="H1108" s="9"/>
      <c r="I1108" s="9"/>
    </row>
    <row r="1109" spans="8:9" x14ac:dyDescent="0.25">
      <c r="H1109" s="9"/>
      <c r="I1109" s="9"/>
    </row>
    <row r="1110" spans="8:9" x14ac:dyDescent="0.25">
      <c r="H1110" s="9"/>
      <c r="I1110" s="9"/>
    </row>
    <row r="1111" spans="8:9" x14ac:dyDescent="0.25">
      <c r="H1111" s="9"/>
      <c r="I1111" s="9"/>
    </row>
    <row r="1112" spans="8:9" x14ac:dyDescent="0.25">
      <c r="H1112" s="9"/>
      <c r="I1112" s="9"/>
    </row>
    <row r="1113" spans="8:9" x14ac:dyDescent="0.25">
      <c r="H1113" s="9"/>
      <c r="I1113" s="9"/>
    </row>
    <row r="1114" spans="8:9" x14ac:dyDescent="0.25">
      <c r="H1114" s="9"/>
      <c r="I1114" s="9"/>
    </row>
    <row r="1115" spans="8:9" x14ac:dyDescent="0.25">
      <c r="H1115" s="9"/>
      <c r="I1115" s="9"/>
    </row>
    <row r="1116" spans="8:9" x14ac:dyDescent="0.25">
      <c r="H1116" s="9"/>
      <c r="I1116" s="9"/>
    </row>
    <row r="1117" spans="8:9" x14ac:dyDescent="0.25">
      <c r="H1117" s="9"/>
      <c r="I1117" s="9"/>
    </row>
    <row r="1118" spans="8:9" x14ac:dyDescent="0.25">
      <c r="H1118" s="9"/>
      <c r="I1118" s="9"/>
    </row>
    <row r="1119" spans="8:9" x14ac:dyDescent="0.25">
      <c r="H1119" s="9"/>
      <c r="I1119" s="9"/>
    </row>
    <row r="1120" spans="8:9" x14ac:dyDescent="0.25">
      <c r="H1120" s="9"/>
      <c r="I1120" s="9"/>
    </row>
    <row r="1121" spans="8:9" x14ac:dyDescent="0.25">
      <c r="H1121" s="9"/>
      <c r="I1121" s="9"/>
    </row>
    <row r="1122" spans="8:9" x14ac:dyDescent="0.25">
      <c r="H1122" s="9"/>
      <c r="I1122" s="9"/>
    </row>
    <row r="1123" spans="8:9" x14ac:dyDescent="0.25">
      <c r="H1123" s="9"/>
      <c r="I1123" s="9"/>
    </row>
    <row r="1124" spans="8:9" x14ac:dyDescent="0.25">
      <c r="H1124" s="9"/>
      <c r="I1124" s="9"/>
    </row>
    <row r="1125" spans="8:9" x14ac:dyDescent="0.25">
      <c r="H1125" s="9"/>
      <c r="I1125" s="9"/>
    </row>
    <row r="1126" spans="8:9" x14ac:dyDescent="0.25">
      <c r="H1126" s="9"/>
      <c r="I1126" s="9"/>
    </row>
    <row r="1127" spans="8:9" x14ac:dyDescent="0.25">
      <c r="H1127" s="9"/>
      <c r="I1127" s="9"/>
    </row>
    <row r="1128" spans="8:9" x14ac:dyDescent="0.25">
      <c r="H1128" s="9"/>
      <c r="I1128" s="9"/>
    </row>
    <row r="1129" spans="8:9" x14ac:dyDescent="0.25">
      <c r="H1129" s="9"/>
      <c r="I1129" s="9"/>
    </row>
    <row r="1130" spans="8:9" x14ac:dyDescent="0.25">
      <c r="H1130" s="9"/>
      <c r="I1130" s="9"/>
    </row>
    <row r="1131" spans="8:9" x14ac:dyDescent="0.25">
      <c r="H1131" s="9"/>
      <c r="I1131" s="9"/>
    </row>
    <row r="1132" spans="8:9" x14ac:dyDescent="0.25">
      <c r="H1132" s="9"/>
      <c r="I1132" s="9"/>
    </row>
    <row r="1133" spans="8:9" x14ac:dyDescent="0.25">
      <c r="H1133" s="9"/>
      <c r="I1133" s="9"/>
    </row>
    <row r="1134" spans="8:9" x14ac:dyDescent="0.25">
      <c r="H1134" s="9"/>
      <c r="I1134" s="9"/>
    </row>
    <row r="1135" spans="8:9" x14ac:dyDescent="0.25">
      <c r="H1135" s="9"/>
      <c r="I1135" s="9"/>
    </row>
    <row r="1136" spans="8:9" x14ac:dyDescent="0.25">
      <c r="H1136" s="9"/>
      <c r="I1136" s="9"/>
    </row>
    <row r="1137" spans="8:9" x14ac:dyDescent="0.25">
      <c r="H1137" s="9"/>
      <c r="I1137" s="9"/>
    </row>
    <row r="1138" spans="8:9" x14ac:dyDescent="0.25">
      <c r="H1138" s="9"/>
      <c r="I1138" s="9"/>
    </row>
    <row r="1139" spans="8:9" x14ac:dyDescent="0.25">
      <c r="H1139" s="9"/>
      <c r="I1139" s="9"/>
    </row>
    <row r="1140" spans="8:9" x14ac:dyDescent="0.25">
      <c r="H1140" s="9"/>
      <c r="I1140" s="9"/>
    </row>
    <row r="1141" spans="8:9" x14ac:dyDescent="0.25">
      <c r="H1141" s="9"/>
      <c r="I1141" s="9"/>
    </row>
    <row r="1142" spans="8:9" x14ac:dyDescent="0.25">
      <c r="H1142" s="9"/>
      <c r="I1142" s="9"/>
    </row>
    <row r="1143" spans="8:9" x14ac:dyDescent="0.25">
      <c r="H1143" s="9"/>
      <c r="I1143" s="9"/>
    </row>
    <row r="1144" spans="8:9" x14ac:dyDescent="0.25">
      <c r="H1144" s="9"/>
      <c r="I1144" s="9"/>
    </row>
    <row r="1145" spans="8:9" x14ac:dyDescent="0.25">
      <c r="H1145" s="9"/>
      <c r="I1145" s="9"/>
    </row>
    <row r="1146" spans="8:9" x14ac:dyDescent="0.25">
      <c r="H1146" s="9"/>
      <c r="I1146" s="9"/>
    </row>
    <row r="1147" spans="8:9" x14ac:dyDescent="0.25">
      <c r="H1147" s="9"/>
      <c r="I1147" s="9"/>
    </row>
    <row r="1148" spans="8:9" x14ac:dyDescent="0.25">
      <c r="H1148" s="9"/>
      <c r="I1148" s="9"/>
    </row>
    <row r="1149" spans="8:9" x14ac:dyDescent="0.25">
      <c r="H1149" s="9"/>
      <c r="I1149" s="9"/>
    </row>
    <row r="1150" spans="8:9" x14ac:dyDescent="0.25">
      <c r="H1150" s="9"/>
      <c r="I1150" s="9"/>
    </row>
    <row r="1151" spans="8:9" x14ac:dyDescent="0.25">
      <c r="H1151" s="9"/>
      <c r="I1151" s="9"/>
    </row>
    <row r="1152" spans="8:9" x14ac:dyDescent="0.25">
      <c r="H1152" s="9"/>
      <c r="I1152" s="9"/>
    </row>
    <row r="1153" spans="8:9" x14ac:dyDescent="0.25">
      <c r="H1153" s="9"/>
      <c r="I1153" s="9"/>
    </row>
    <row r="1154" spans="8:9" x14ac:dyDescent="0.25">
      <c r="H1154" s="9"/>
      <c r="I1154" s="9"/>
    </row>
    <row r="1155" spans="8:9" x14ac:dyDescent="0.25">
      <c r="H1155" s="9"/>
      <c r="I1155" s="9"/>
    </row>
    <row r="1156" spans="8:9" x14ac:dyDescent="0.25">
      <c r="H1156" s="9"/>
      <c r="I1156" s="9"/>
    </row>
    <row r="1157" spans="8:9" x14ac:dyDescent="0.25">
      <c r="H1157" s="9"/>
      <c r="I1157" s="9"/>
    </row>
    <row r="1158" spans="8:9" x14ac:dyDescent="0.25">
      <c r="H1158" s="9"/>
      <c r="I1158" s="9"/>
    </row>
    <row r="1159" spans="8:9" x14ac:dyDescent="0.25">
      <c r="H1159" s="9"/>
      <c r="I1159" s="9"/>
    </row>
    <row r="1160" spans="8:9" x14ac:dyDescent="0.25">
      <c r="H1160" s="9"/>
      <c r="I1160" s="9"/>
    </row>
    <row r="1161" spans="8:9" x14ac:dyDescent="0.25">
      <c r="H1161" s="9"/>
      <c r="I1161" s="9"/>
    </row>
    <row r="1162" spans="8:9" x14ac:dyDescent="0.25">
      <c r="H1162" s="9"/>
      <c r="I1162" s="9"/>
    </row>
    <row r="1163" spans="8:9" x14ac:dyDescent="0.25">
      <c r="H1163" s="9"/>
      <c r="I1163" s="9"/>
    </row>
    <row r="1164" spans="8:9" x14ac:dyDescent="0.25">
      <c r="H1164" s="9"/>
      <c r="I1164" s="9"/>
    </row>
    <row r="1165" spans="8:9" x14ac:dyDescent="0.25">
      <c r="H1165" s="9"/>
      <c r="I1165" s="9"/>
    </row>
    <row r="1166" spans="8:9" x14ac:dyDescent="0.25">
      <c r="H1166" s="9"/>
      <c r="I1166" s="9"/>
    </row>
    <row r="1167" spans="8:9" x14ac:dyDescent="0.25">
      <c r="H1167" s="9"/>
      <c r="I1167" s="9"/>
    </row>
    <row r="1168" spans="8:9" x14ac:dyDescent="0.25">
      <c r="H1168" s="9"/>
      <c r="I1168" s="9"/>
    </row>
    <row r="1169" spans="8:9" x14ac:dyDescent="0.25">
      <c r="H1169" s="9"/>
      <c r="I1169" s="9"/>
    </row>
    <row r="1170" spans="8:9" x14ac:dyDescent="0.25">
      <c r="H1170" s="9"/>
      <c r="I1170" s="9"/>
    </row>
    <row r="1171" spans="8:9" x14ac:dyDescent="0.25">
      <c r="H1171" s="9"/>
      <c r="I1171" s="9"/>
    </row>
    <row r="1172" spans="8:9" x14ac:dyDescent="0.25">
      <c r="H1172" s="9"/>
      <c r="I1172" s="9"/>
    </row>
    <row r="1173" spans="8:9" x14ac:dyDescent="0.25">
      <c r="H1173" s="9"/>
      <c r="I1173" s="9"/>
    </row>
    <row r="1174" spans="8:9" x14ac:dyDescent="0.25">
      <c r="H1174" s="9"/>
      <c r="I1174" s="9"/>
    </row>
    <row r="1175" spans="8:9" x14ac:dyDescent="0.25">
      <c r="H1175" s="9"/>
      <c r="I1175" s="9"/>
    </row>
    <row r="1176" spans="8:9" x14ac:dyDescent="0.25">
      <c r="H1176" s="9"/>
      <c r="I1176" s="9"/>
    </row>
    <row r="1177" spans="8:9" x14ac:dyDescent="0.25">
      <c r="H1177" s="9"/>
      <c r="I1177" s="9"/>
    </row>
    <row r="1178" spans="8:9" x14ac:dyDescent="0.25">
      <c r="H1178" s="9"/>
      <c r="I1178" s="9"/>
    </row>
    <row r="1179" spans="8:9" x14ac:dyDescent="0.25">
      <c r="H1179" s="9"/>
      <c r="I1179" s="9"/>
    </row>
    <row r="1180" spans="8:9" x14ac:dyDescent="0.25">
      <c r="H1180" s="9"/>
      <c r="I1180" s="9"/>
    </row>
    <row r="1181" spans="8:9" x14ac:dyDescent="0.25">
      <c r="H1181" s="9"/>
      <c r="I1181" s="9"/>
    </row>
    <row r="1182" spans="8:9" x14ac:dyDescent="0.25">
      <c r="H1182" s="9"/>
      <c r="I1182" s="9"/>
    </row>
    <row r="1183" spans="8:9" x14ac:dyDescent="0.25">
      <c r="H1183" s="9"/>
      <c r="I1183" s="9"/>
    </row>
    <row r="1184" spans="8:9" x14ac:dyDescent="0.25">
      <c r="H1184" s="9"/>
      <c r="I1184" s="9"/>
    </row>
    <row r="1185" spans="8:9" x14ac:dyDescent="0.25">
      <c r="H1185" s="9"/>
      <c r="I1185" s="9"/>
    </row>
    <row r="1186" spans="8:9" x14ac:dyDescent="0.25">
      <c r="H1186" s="9"/>
      <c r="I1186" s="9"/>
    </row>
    <row r="1187" spans="8:9" x14ac:dyDescent="0.25">
      <c r="H1187" s="9"/>
      <c r="I1187" s="9"/>
    </row>
    <row r="1188" spans="8:9" x14ac:dyDescent="0.25">
      <c r="H1188" s="9"/>
      <c r="I1188" s="9"/>
    </row>
    <row r="1189" spans="8:9" x14ac:dyDescent="0.25">
      <c r="H1189" s="9"/>
      <c r="I1189" s="9"/>
    </row>
    <row r="1190" spans="8:9" x14ac:dyDescent="0.25">
      <c r="H1190" s="9"/>
      <c r="I1190" s="9"/>
    </row>
    <row r="1191" spans="8:9" x14ac:dyDescent="0.25">
      <c r="H1191" s="9"/>
      <c r="I1191" s="9"/>
    </row>
    <row r="1192" spans="8:9" x14ac:dyDescent="0.25">
      <c r="H1192" s="9"/>
      <c r="I1192" s="9"/>
    </row>
    <row r="1193" spans="8:9" x14ac:dyDescent="0.25">
      <c r="H1193" s="9"/>
      <c r="I1193" s="9"/>
    </row>
    <row r="1194" spans="8:9" x14ac:dyDescent="0.25">
      <c r="H1194" s="9"/>
      <c r="I1194" s="9"/>
    </row>
    <row r="1195" spans="8:9" x14ac:dyDescent="0.25">
      <c r="H1195" s="9"/>
      <c r="I1195" s="9"/>
    </row>
    <row r="1196" spans="8:9" x14ac:dyDescent="0.25">
      <c r="H1196" s="9"/>
      <c r="I1196" s="9"/>
    </row>
    <row r="1197" spans="8:9" x14ac:dyDescent="0.25">
      <c r="H1197" s="9"/>
      <c r="I1197" s="9"/>
    </row>
    <row r="1198" spans="8:9" x14ac:dyDescent="0.25">
      <c r="H1198" s="9"/>
      <c r="I1198" s="9"/>
    </row>
  </sheetData>
  <mergeCells count="1">
    <mergeCell ref="H18:K18"/>
  </mergeCells>
  <phoneticPr fontId="0" type="noConversion"/>
  <conditionalFormatting sqref="C26">
    <cfRule type="cellIs" dxfId="9"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269"/>
  <sheetViews>
    <sheetView zoomScale="85" workbookViewId="0">
      <pane ySplit="2" topLeftCell="A3" activePane="bottomLeft" state="frozenSplit"/>
      <selection activeCell="S34" sqref="S34"/>
      <selection pane="bottomLeft" activeCell="A3" sqref="A3"/>
    </sheetView>
  </sheetViews>
  <sheetFormatPr defaultRowHeight="13.2" x14ac:dyDescent="0.25"/>
  <cols>
    <col min="1" max="1" width="6" style="988" customWidth="1"/>
    <col min="2" max="2" width="5.88671875" style="16" bestFit="1" customWidth="1"/>
    <col min="4" max="4" width="7" bestFit="1" customWidth="1"/>
    <col min="5" max="5" width="7.88671875" bestFit="1" customWidth="1"/>
    <col min="6" max="6" width="6.6640625" bestFit="1" customWidth="1"/>
    <col min="7" max="7" width="8.6640625" bestFit="1" customWidth="1"/>
    <col min="8" max="8" width="9.33203125" customWidth="1"/>
    <col min="9" max="9" width="11.44140625" bestFit="1" customWidth="1"/>
    <col min="10" max="10" width="9.6640625" customWidth="1"/>
    <col min="11" max="11" width="3.88671875" customWidth="1"/>
    <col min="12" max="12" width="7.88671875" bestFit="1" customWidth="1"/>
    <col min="13" max="13" width="9.44140625" bestFit="1" customWidth="1"/>
    <col min="14" max="14" width="11.88671875" bestFit="1" customWidth="1"/>
    <col min="15" max="15" width="6.5546875" bestFit="1" customWidth="1"/>
    <col min="16" max="16" width="6.6640625" bestFit="1" customWidth="1"/>
    <col min="17" max="17" width="5.6640625" bestFit="1" customWidth="1"/>
    <col min="18" max="18" width="7.88671875" bestFit="1" customWidth="1"/>
    <col min="19" max="19" width="10.44140625" bestFit="1" customWidth="1"/>
    <col min="20" max="20" width="4.33203125" customWidth="1"/>
    <col min="21" max="21" width="8.33203125" customWidth="1"/>
    <col min="22" max="22" width="8.6640625" style="53" bestFit="1" customWidth="1"/>
    <col min="23" max="23" width="11.33203125" customWidth="1"/>
    <col min="24" max="24" width="12" bestFit="1" customWidth="1"/>
    <col min="25" max="25" width="9" bestFit="1" customWidth="1"/>
    <col min="26" max="26" width="7.88671875" bestFit="1" customWidth="1"/>
    <col min="27" max="27" width="4.44140625" customWidth="1"/>
    <col min="28" max="28" width="6.88671875" bestFit="1" customWidth="1"/>
    <col min="29" max="29" width="8.109375" bestFit="1" customWidth="1"/>
  </cols>
  <sheetData>
    <row r="1" spans="1:30" s="34" customFormat="1" x14ac:dyDescent="0.25">
      <c r="A1" s="980"/>
      <c r="B1" s="495"/>
      <c r="C1" s="1465" t="s">
        <v>23</v>
      </c>
      <c r="D1" s="1465"/>
      <c r="E1" s="1465"/>
      <c r="F1" s="1465"/>
      <c r="G1" s="1465"/>
      <c r="H1" s="1465"/>
      <c r="I1" s="1465"/>
      <c r="J1" s="445"/>
      <c r="L1" s="1465" t="s">
        <v>22</v>
      </c>
      <c r="M1" s="1465"/>
      <c r="N1" s="1465"/>
      <c r="O1" s="1465"/>
      <c r="P1" s="1465"/>
      <c r="Q1" s="1465"/>
      <c r="R1" s="1465"/>
      <c r="S1" s="1465"/>
      <c r="U1" s="1465" t="s">
        <v>176</v>
      </c>
      <c r="V1" s="1467"/>
      <c r="W1" s="1465" t="s">
        <v>180</v>
      </c>
      <c r="X1" s="1465"/>
      <c r="Y1" s="1465"/>
      <c r="Z1" s="1465"/>
      <c r="AA1" s="1465" t="s">
        <v>185</v>
      </c>
      <c r="AB1" s="1466"/>
      <c r="AC1" s="1466"/>
      <c r="AD1" s="1466"/>
    </row>
    <row r="2" spans="1:30" s="820" customFormat="1" ht="13.8" thickBot="1" x14ac:dyDescent="0.3">
      <c r="A2" s="1402" t="s">
        <v>761</v>
      </c>
      <c r="B2" s="820" t="s">
        <v>325</v>
      </c>
      <c r="C2" s="820" t="s">
        <v>21</v>
      </c>
      <c r="D2" s="820" t="s">
        <v>22</v>
      </c>
      <c r="E2" s="820" t="s">
        <v>24</v>
      </c>
      <c r="F2" s="820" t="s">
        <v>199</v>
      </c>
      <c r="G2" s="820" t="s">
        <v>200</v>
      </c>
      <c r="H2" s="820" t="s">
        <v>235</v>
      </c>
      <c r="I2" s="820" t="s">
        <v>276</v>
      </c>
      <c r="J2" s="820" t="s">
        <v>327</v>
      </c>
      <c r="L2" s="820" t="s">
        <v>24</v>
      </c>
      <c r="M2" s="820" t="str">
        <f>Overview!$A$22</f>
        <v>Spearman</v>
      </c>
      <c r="N2" s="820" t="str">
        <f ca="1">Overview!$A$23</f>
        <v>Archer</v>
      </c>
      <c r="O2" s="820" t="str">
        <f ca="1">Overview!$A$24</f>
        <v>Knight</v>
      </c>
      <c r="P2" s="820" t="str">
        <f ca="1">Overview!$A$25</f>
        <v>Cavalry</v>
      </c>
      <c r="Q2" s="820" t="s">
        <v>25</v>
      </c>
      <c r="R2" s="820" t="s">
        <v>26</v>
      </c>
      <c r="S2" s="820" t="s">
        <v>27</v>
      </c>
      <c r="U2" s="820" t="s">
        <v>237</v>
      </c>
      <c r="V2" s="1095" t="s">
        <v>187</v>
      </c>
      <c r="W2" s="820" t="s">
        <v>186</v>
      </c>
      <c r="X2" s="820" t="s">
        <v>245</v>
      </c>
      <c r="Y2" s="820" t="s">
        <v>236</v>
      </c>
      <c r="Z2" s="820" t="s">
        <v>24</v>
      </c>
      <c r="AB2" s="820" t="s">
        <v>180</v>
      </c>
      <c r="AC2" s="820" t="s">
        <v>184</v>
      </c>
    </row>
    <row r="3" spans="1:30" s="1006" customFormat="1" x14ac:dyDescent="0.25">
      <c r="A3" s="1096">
        <f>Rezone!J3</f>
        <v>1</v>
      </c>
      <c r="B3" s="1075">
        <f>Imps!L3</f>
        <v>43768</v>
      </c>
      <c r="C3" s="1063">
        <f ca="1">start_peasants+Military!BE3+MIN(13,days_late)*days_late_peasants - IF(race="Demon",Military!G3*2,0)</f>
        <v>11025</v>
      </c>
      <c r="D3" s="1074">
        <f ca="1">Military!B3</f>
        <v>4725</v>
      </c>
      <c r="E3" s="1074">
        <f ca="1">Military!Z3</f>
        <v>4725</v>
      </c>
      <c r="F3" s="1074">
        <f ca="1">C3+D3</f>
        <v>15750</v>
      </c>
      <c r="G3" s="542">
        <f ca="1">D3/F3</f>
        <v>0.3</v>
      </c>
      <c r="H3" s="1097">
        <f ca="1">MIN(C3,J3)</f>
        <v>3600</v>
      </c>
      <c r="I3" s="542">
        <f ca="1">MIN(J4/C3,1)</f>
        <v>0.32653061224489793</v>
      </c>
      <c r="J3" s="1098">
        <f>SUM(Construction!AY3:BH3,Construction!BJ3:BP3,Construction!BW3:CF3,Construction!CH3:CN3)*building_employment</f>
        <v>3600</v>
      </c>
      <c r="K3" s="817"/>
      <c r="L3" s="1063">
        <f ca="1">Military!$Z3</f>
        <v>4725</v>
      </c>
      <c r="M3" s="1074">
        <f>Military!E3</f>
        <v>0</v>
      </c>
      <c r="N3" s="1074">
        <f>Military!F3</f>
        <v>0</v>
      </c>
      <c r="O3" s="1074">
        <f>Military!G3</f>
        <v>0</v>
      </c>
      <c r="P3" s="1074">
        <f>Military!H3</f>
        <v>0</v>
      </c>
      <c r="Q3" s="1074">
        <f>Military!I3</f>
        <v>0</v>
      </c>
      <c r="R3" s="1074">
        <f>Military!J3</f>
        <v>0</v>
      </c>
      <c r="S3" s="236">
        <f>Military!K3</f>
        <v>0</v>
      </c>
      <c r="T3" s="536"/>
      <c r="U3" s="1063">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3">
        <f ca="1">MAX(-5%*C3-Z3,MIN(U4-C3-D3-Z3,X3-Z3))</f>
        <v>-661.25</v>
      </c>
      <c r="X3" s="1074">
        <f t="shared" ref="X3:X66" ca="1" si="0">ROUND($Y3*(1+$AB3),0)</f>
        <v>327</v>
      </c>
      <c r="Y3" s="1074">
        <f t="shared" ref="Y3:Y34" ca="1" si="1">($C3-Z3)*raw_pop_growth</f>
        <v>327.45</v>
      </c>
      <c r="Z3" s="236">
        <f ca="1">IF(G3&lt;Military!Y3, ROUND($C3*IF(Magic!AW3=0,Constants!$B$51,Constants!$B$51*2),0), 0)</f>
        <v>110</v>
      </c>
      <c r="AA3" s="1037"/>
      <c r="AB3" s="1099">
        <f ca="1">Overview!$O$16 + IF(Magic!AK3&gt;0,Constants!$F$75) + ROUND(6*(Construction!BL4+Construction!CJ3)/IF(Explore!S4&gt;0,Construction!E4-20,Construction!E4),4)</f>
        <v>0</v>
      </c>
      <c r="AC3" s="543">
        <f ca="1">(Overview!$O$15 + Imps!Z3+MAX(Constants!$M$38*Techs!AE3,Constants!$M$50*Techs!AQ3)) * (1 + Production!O3/100*prestige_pop_multiplier) + Production!O3/100*prestige_pop_multiplier</f>
        <v>0.05</v>
      </c>
    </row>
    <row r="4" spans="1:30" s="170" customFormat="1" x14ac:dyDescent="0.25">
      <c r="A4" s="981">
        <f>Rezone!J4</f>
        <v>2</v>
      </c>
      <c r="B4" s="587">
        <f>Imps!L4</f>
        <v>43768.010416666664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1">
        <f t="shared" ref="H4:H67" ca="1" si="4">MIN(C4,J4)</f>
        <v>3600</v>
      </c>
      <c r="I4" s="165">
        <f t="shared" ref="I4:I67" ca="1" si="5">MIN(J5/C4,1)</f>
        <v>0.34736461223012904</v>
      </c>
      <c r="J4" s="673">
        <f>SUM(Construction!AY4:BH4,Construction!BJ4:BP4,Construction!BW4:CF4,Construction!CH4:CN4)*building_employment</f>
        <v>3600</v>
      </c>
      <c r="K4" s="632"/>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38">
        <f ca="1">(Overview!$O$15 + Imps!Z4+MAX(Constants!$M$38*Techs!AE4,Constants!$M$50*Techs!AQ4)) * (1 + Production!O4/100*prestige_pop_multiplier) + Production!O4/100*prestige_pop_multiplier</f>
        <v>0.05</v>
      </c>
    </row>
    <row r="5" spans="1:30" s="170" customFormat="1" x14ac:dyDescent="0.25">
      <c r="A5" s="981">
        <f>Rezone!J5</f>
        <v>3</v>
      </c>
      <c r="B5" s="587">
        <f>Imps!L5</f>
        <v>43768.020833333328</v>
      </c>
      <c r="C5" s="152">
        <f ca="1">$C4+$W4+Military!BE5 - IF(race="Demon",Military!G4*2,0)</f>
        <v>9741.5625</v>
      </c>
      <c r="D5" s="164">
        <f ca="1">Military!B5</f>
        <v>4939</v>
      </c>
      <c r="E5" s="164">
        <f ca="1">Military!Z5</f>
        <v>4939</v>
      </c>
      <c r="F5" s="164">
        <f t="shared" ca="1" si="2"/>
        <v>14680.5625</v>
      </c>
      <c r="G5" s="165">
        <f t="shared" ca="1" si="3"/>
        <v>0.33643125050555794</v>
      </c>
      <c r="H5" s="591">
        <f t="shared" ca="1" si="4"/>
        <v>3600</v>
      </c>
      <c r="I5" s="165">
        <f t="shared" ca="1" si="5"/>
        <v>0.36955057261091329</v>
      </c>
      <c r="J5" s="673">
        <f>SUM(Construction!AY5:BH5,Construction!BJ5:BP5,Construction!BW5:CF5,Construction!CH5:CN5)*building_employment</f>
        <v>3600</v>
      </c>
      <c r="K5" s="632"/>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38">
        <f ca="1">(Overview!$O$15 + Imps!Z5+MAX(Constants!$M$38*Techs!AE5,Constants!$M$50*Techs!AQ5)) * (1 + Production!O5/100*prestige_pop_multiplier) + Production!O5/100*prestige_pop_multiplier</f>
        <v>0.05</v>
      </c>
    </row>
    <row r="6" spans="1:30" s="16" customFormat="1" x14ac:dyDescent="0.25">
      <c r="A6" s="982">
        <f>Rezone!J6</f>
        <v>4</v>
      </c>
      <c r="B6" s="587">
        <f>Imps!L6</f>
        <v>43768.031249999993</v>
      </c>
      <c r="C6" s="152">
        <f ca="1">$C5+$W5+Military!BE6 - IF(race="Demon",Military!G5*2,0)</f>
        <v>9157.484375</v>
      </c>
      <c r="D6" s="26">
        <f ca="1">Military!B6</f>
        <v>5036</v>
      </c>
      <c r="E6" s="26">
        <f ca="1">Military!Z6</f>
        <v>5036</v>
      </c>
      <c r="F6" s="26">
        <f t="shared" ca="1" si="2"/>
        <v>14193.484375</v>
      </c>
      <c r="G6" s="27">
        <f t="shared" ca="1" si="3"/>
        <v>0.35481069108514801</v>
      </c>
      <c r="H6" s="592">
        <f t="shared" ca="1" si="4"/>
        <v>3600</v>
      </c>
      <c r="I6" s="165">
        <f t="shared" ca="1" si="5"/>
        <v>0.39312106388387913</v>
      </c>
      <c r="J6" s="673">
        <f>SUM(Construction!AY6:BH6,Construction!BJ6:BP6,Construction!BW6:CF6,Construction!CH6:CN6)*building_employment</f>
        <v>3600</v>
      </c>
      <c r="K6" s="633"/>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38">
        <f ca="1">(Overview!$O$15 + Imps!Z6+MAX(Constants!$M$38*Techs!AE6,Constants!$M$50*Techs!AQ6)) * (1 + Production!O6/100*prestige_pop_multiplier) + Production!O6/100*prestige_pop_multiplier</f>
        <v>0.05</v>
      </c>
    </row>
    <row r="7" spans="1:30" s="12" customFormat="1" x14ac:dyDescent="0.25">
      <c r="A7" s="985">
        <f>Rezone!J7</f>
        <v>5</v>
      </c>
      <c r="B7" s="586">
        <f>Imps!L7</f>
        <v>43768.041666666657</v>
      </c>
      <c r="C7" s="151">
        <f ca="1">$C6+$W6+Military!BE7 - IF(race="Demon",Military!G6*2,0)</f>
        <v>8607.6101562500007</v>
      </c>
      <c r="D7" s="13">
        <f ca="1">Military!B7</f>
        <v>5128</v>
      </c>
      <c r="E7" s="13">
        <f ca="1">Military!Z7</f>
        <v>5128</v>
      </c>
      <c r="F7" s="13">
        <f t="shared" ca="1" si="2"/>
        <v>13735.610156250001</v>
      </c>
      <c r="G7" s="14">
        <f t="shared" ca="1" si="3"/>
        <v>0.37333616356799765</v>
      </c>
      <c r="H7" s="594">
        <f t="shared" ca="1" si="4"/>
        <v>3600</v>
      </c>
      <c r="I7" s="154">
        <f t="shared" ca="1" si="5"/>
        <v>0.41823455461514292</v>
      </c>
      <c r="J7" s="1507">
        <f>SUM(Construction!AY7:BH7,Construction!BJ7:BP7,Construction!BW7:CF7,Construction!CH7:CN7)*building_employment</f>
        <v>3600</v>
      </c>
      <c r="K7" s="751"/>
      <c r="L7" s="54">
        <f ca="1">Military!$Z7</f>
        <v>5128</v>
      </c>
      <c r="M7" s="13">
        <f>Military!E7</f>
        <v>0</v>
      </c>
      <c r="N7" s="13">
        <f>Military!F7</f>
        <v>0</v>
      </c>
      <c r="O7" s="13">
        <f>Military!G7</f>
        <v>0</v>
      </c>
      <c r="P7" s="13">
        <f>Military!H7</f>
        <v>0</v>
      </c>
      <c r="Q7" s="13">
        <f>Military!I7</f>
        <v>0</v>
      </c>
      <c r="R7" s="13">
        <f>Military!J7</f>
        <v>0</v>
      </c>
      <c r="S7" s="55">
        <f>Military!K7</f>
        <v>0</v>
      </c>
      <c r="T7" s="50"/>
      <c r="U7" s="54">
        <f ca="1">ROUND($V7*(1+$AC7),0)+MIN(D7-E7-SUM(Military!AF7:AL7),barracks_size*Construction!BI7)</f>
        <v>7140</v>
      </c>
      <c r="V7" s="158">
        <f>(Construction!AX7+Construction!BV7)*pop_in_home+(SUM(Construction!AY7:BP7)+Construction!C7-Construction!BI7)*pop_in_building+(SUM(Construction!F7:L7)-Explore!S7*20)*pop_on_barren-(SUM(Construction!N7:AF7)-SUM(Construction!BW7:CN7))*(15-pop_on_barren)-pop_on_barren*Construction!BV7</f>
        <v>6800</v>
      </c>
      <c r="W7" s="151">
        <f t="shared" ca="1" si="6"/>
        <v>-516.38050781250013</v>
      </c>
      <c r="X7" s="13">
        <f t="shared" ca="1" si="0"/>
        <v>256</v>
      </c>
      <c r="Y7" s="153">
        <f t="shared" ca="1" si="1"/>
        <v>255.6483046875</v>
      </c>
      <c r="Z7" s="55">
        <f ca="1">IF(G7&lt;Military!Y7, ROUND($C7*IF(Magic!AW7=0,Constants!$B$51,Constants!$B$51*2),0), 0)</f>
        <v>86</v>
      </c>
      <c r="AA7" s="286"/>
      <c r="AB7" s="161">
        <f ca="1">Overview!$O$16 + IF(Magic!AK7&gt;0,Constants!$F$75) + ROUND(6*(Construction!BL8+Construction!CJ7)/IF(Explore!S8&gt;0,Construction!E8-20,Construction!E8),4)</f>
        <v>0</v>
      </c>
      <c r="AC7" s="155">
        <f ca="1">(Overview!$O$15 + Imps!Z7+MAX(Constants!$M$38*Techs!AE7,Constants!$M$50*Techs!AQ7)) * (1 + Production!O7/100*prestige_pop_multiplier) + Production!O7/100*prestige_pop_multiplier</f>
        <v>0.05</v>
      </c>
    </row>
    <row r="8" spans="1:30" s="16" customFormat="1" x14ac:dyDescent="0.25">
      <c r="A8" s="982">
        <f>Rezone!J8</f>
        <v>6</v>
      </c>
      <c r="B8" s="587">
        <f>Imps!L8</f>
        <v>43768.052083333321</v>
      </c>
      <c r="C8" s="152">
        <f ca="1">$C7+$W7+Military!BE8 - IF(race="Demon",Military!G7*2,0)</f>
        <v>8091.2296484375001</v>
      </c>
      <c r="D8" s="26">
        <f ca="1">Military!B8</f>
        <v>5214</v>
      </c>
      <c r="E8" s="26">
        <f ca="1">Military!Z8</f>
        <v>5214</v>
      </c>
      <c r="F8" s="26">
        <f t="shared" ca="1" si="2"/>
        <v>13305.2296484375</v>
      </c>
      <c r="G8" s="27">
        <f t="shared" ca="1" si="3"/>
        <v>0.39187598694414916</v>
      </c>
      <c r="H8" s="592">
        <f t="shared" ca="1" si="4"/>
        <v>3600</v>
      </c>
      <c r="I8" s="165">
        <f t="shared" ca="1" si="5"/>
        <v>0.4449261924848712</v>
      </c>
      <c r="J8" s="673">
        <f>SUM(Construction!AY8:BH8,Construction!BJ8:BP8,Construction!BW8:CF8,Construction!CH8:CN8)*building_employment</f>
        <v>3600</v>
      </c>
      <c r="K8" s="633"/>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38">
        <f ca="1">(Overview!$O$15 + Imps!Z8+MAX(Constants!$M$38*Techs!AE8,Constants!$M$50*Techs!AQ8)) * (1 + Production!O8/100*prestige_pop_multiplier) + Production!O8/100*prestige_pop_multiplier</f>
        <v>0.05</v>
      </c>
    </row>
    <row r="9" spans="1:30" s="16" customFormat="1" x14ac:dyDescent="0.25">
      <c r="A9" s="982">
        <f>Rezone!J9</f>
        <v>7</v>
      </c>
      <c r="B9" s="587">
        <f>Imps!L9</f>
        <v>43768.062499999985</v>
      </c>
      <c r="C9" s="152">
        <f ca="1">$C8+$W8+Military!BE9 - IF(race="Demon",Military!G8*2,0)</f>
        <v>7605.6681660156255</v>
      </c>
      <c r="D9" s="26">
        <f ca="1">Military!B9</f>
        <v>5295</v>
      </c>
      <c r="E9" s="26">
        <f ca="1">Military!Z9</f>
        <v>5295</v>
      </c>
      <c r="F9" s="26">
        <f t="shared" ca="1" si="2"/>
        <v>12900.668166015625</v>
      </c>
      <c r="G9" s="27">
        <f t="shared" ca="1" si="3"/>
        <v>0.41044385700491687</v>
      </c>
      <c r="H9" s="592">
        <f t="shared" ca="1" si="4"/>
        <v>3600</v>
      </c>
      <c r="I9" s="165">
        <f t="shared" ca="1" si="5"/>
        <v>0.47333119476417135</v>
      </c>
      <c r="J9" s="673">
        <f>SUM(Construction!AY9:BH9,Construction!BJ9:BP9,Construction!BW9:CF9,Construction!CH9:CN9)*building_employment</f>
        <v>3600</v>
      </c>
      <c r="K9" s="633"/>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38">
        <f ca="1">(Overview!$O$15 + Imps!Z9+MAX(Constants!$M$38*Techs!AE9,Constants!$M$50*Techs!AQ9)) * (1 + Production!O9/100*prestige_pop_multiplier) + Production!O9/100*prestige_pop_multiplier</f>
        <v>0.05</v>
      </c>
    </row>
    <row r="10" spans="1:30" s="16" customFormat="1" x14ac:dyDescent="0.25">
      <c r="A10" s="982">
        <f>Rezone!J10</f>
        <v>8</v>
      </c>
      <c r="B10" s="587">
        <f>Imps!L10</f>
        <v>43768.07291666665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2">
        <f t="shared" ca="1" si="4"/>
        <v>3600</v>
      </c>
      <c r="I10" s="165">
        <f t="shared" ca="1" si="5"/>
        <v>0.49824336290965404</v>
      </c>
      <c r="J10" s="673">
        <f>SUM(Construction!AY10:BH10,Construction!BJ10:BP10,Construction!BW10:CF10,Construction!CH10:CN10)*building_employment</f>
        <v>3600</v>
      </c>
      <c r="K10" s="633"/>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38">
        <f ca="1">(Overview!$O$15 + Imps!Z10+MAX(Constants!$M$38*Techs!AE10,Constants!$M$50*Techs!AQ10)) * (1 + Production!O10/100*prestige_pop_multiplier) + Production!O10/100*prestige_pop_multiplier</f>
        <v>0.05</v>
      </c>
    </row>
    <row r="11" spans="1:30" s="16" customFormat="1" x14ac:dyDescent="0.25">
      <c r="A11" s="982">
        <f>Rezone!J11</f>
        <v>9</v>
      </c>
      <c r="B11" s="587">
        <f>Imps!L11</f>
        <v>43768.083333333314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2">
        <f t="shared" ca="1" si="4"/>
        <v>3600</v>
      </c>
      <c r="I11" s="165">
        <f t="shared" ca="1" si="5"/>
        <v>0.52446669779963584</v>
      </c>
      <c r="J11" s="673">
        <f>SUM(Construction!AY11:BH11,Construction!BJ11:BP11,Construction!BW11:CF11,Construction!CH11:CN11)*building_employment</f>
        <v>3600</v>
      </c>
      <c r="K11" s="633"/>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38">
        <f ca="1">(Overview!$O$15 + Imps!Z11+MAX(Constants!$M$38*Techs!AE11,Constants!$M$50*Techs!AQ11)) * (1 + Production!O11/100*prestige_pop_multiplier) + Production!O11/100*prestige_pop_multiplier</f>
        <v>0.05</v>
      </c>
    </row>
    <row r="12" spans="1:30" s="16" customFormat="1" x14ac:dyDescent="0.25">
      <c r="A12" s="982">
        <f>Rezone!J12</f>
        <v>10</v>
      </c>
      <c r="B12" s="587">
        <f>Imps!L12</f>
        <v>43768.093749999978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2">
        <f t="shared" ca="1" si="4"/>
        <v>3600</v>
      </c>
      <c r="I12" s="165">
        <f t="shared" ca="1" si="5"/>
        <v>0.55207020821014297</v>
      </c>
      <c r="J12" s="673">
        <f>SUM(Construction!AY12:BH12,Construction!BJ12:BP12,Construction!BW12:CF12,Construction!CH12:CN12)*building_employment</f>
        <v>3600</v>
      </c>
      <c r="K12" s="633"/>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38">
        <f ca="1">(Overview!$O$15 + Imps!Z12+MAX(Constants!$M$38*Techs!AE12,Constants!$M$50*Techs!AQ12)) * (1 + Production!O12/100*prestige_pop_multiplier) + Production!O12/100*prestige_pop_multiplier</f>
        <v>0.05</v>
      </c>
    </row>
    <row r="13" spans="1:30" s="16" customFormat="1" x14ac:dyDescent="0.25">
      <c r="A13" s="982">
        <f>Rezone!J13</f>
        <v>11</v>
      </c>
      <c r="B13" s="587">
        <f>Imps!L13</f>
        <v>43768.104166666642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2">
        <f t="shared" ca="1" si="4"/>
        <v>3600</v>
      </c>
      <c r="I13" s="165">
        <f t="shared" ca="1" si="5"/>
        <v>0.58112653495804523</v>
      </c>
      <c r="J13" s="673">
        <f>SUM(Construction!AY13:BH13,Construction!BJ13:BP13,Construction!BW13:CF13,Construction!CH13:CN13)*building_employment</f>
        <v>3600</v>
      </c>
      <c r="K13" s="633"/>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38">
        <f ca="1">(Overview!$O$15 + Imps!Z13+MAX(Constants!$M$38*Techs!AE13,Constants!$M$50*Techs!AQ13)) * (1 + Production!O13/100*prestige_pop_multiplier) + Production!O13/100*prestige_pop_multiplier</f>
        <v>0.05</v>
      </c>
    </row>
    <row r="14" spans="1:30" s="170" customFormat="1" x14ac:dyDescent="0.25">
      <c r="A14" s="981">
        <f>Rezone!J14</f>
        <v>12</v>
      </c>
      <c r="B14" s="587">
        <f>Imps!L14</f>
        <v>43768.114583333307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1">
        <f t="shared" ca="1" si="4"/>
        <v>3600</v>
      </c>
      <c r="I14" s="165">
        <f t="shared" ca="1" si="5"/>
        <v>0.61171214206110025</v>
      </c>
      <c r="J14" s="673">
        <f>SUM(Construction!AY14:BH14,Construction!BJ14:BP14,Construction!BW14:CF14,Construction!CH14:CN14)*building_employment</f>
        <v>3600</v>
      </c>
      <c r="K14" s="632"/>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38">
        <f ca="1">(Overview!$O$15 + Imps!Z14+MAX(Constants!$M$38*Techs!AE14,Constants!$M$50*Techs!AQ14)) * (1 + Production!O14/100*prestige_pop_multiplier) + Production!O14/100*prestige_pop_multiplier</f>
        <v>0.05</v>
      </c>
    </row>
    <row r="15" spans="1:30" s="163" customFormat="1" x14ac:dyDescent="0.25">
      <c r="A15" s="983">
        <f>Rezone!J15</f>
        <v>13</v>
      </c>
      <c r="B15" s="586">
        <f>Imps!L15</f>
        <v>43768.124999999971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0">
        <f t="shared" ca="1" si="4"/>
        <v>3600</v>
      </c>
      <c r="I15" s="154">
        <f t="shared" ca="1" si="5"/>
        <v>0.64390751795905288</v>
      </c>
      <c r="J15" s="1050">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x14ac:dyDescent="0.25">
      <c r="A16" s="981">
        <f>Rezone!J16</f>
        <v>14</v>
      </c>
      <c r="B16" s="587">
        <f>Imps!L16</f>
        <v>43768.135416666635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1">
        <f t="shared" ca="1" si="4"/>
        <v>3600</v>
      </c>
      <c r="I16" s="165">
        <f t="shared" ca="1" si="5"/>
        <v>0.6777973873253188</v>
      </c>
      <c r="J16" s="673">
        <f>SUM(Construction!AY16:BH16,Construction!BJ16:BP16,Construction!BW16:CF16,Construction!CH16:CN16)*building_employment</f>
        <v>3600</v>
      </c>
      <c r="K16" s="632"/>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38">
        <f ca="1">(Overview!$O$15 + Imps!Z16+MAX(Constants!$M$38*Techs!AE16,Constants!$M$50*Techs!AQ16)) * (1 + Production!O16/100*prestige_pop_multiplier) + Production!O16/100*prestige_pop_multiplier</f>
        <v>0.05</v>
      </c>
    </row>
    <row r="17" spans="1:29" s="170" customFormat="1" x14ac:dyDescent="0.25">
      <c r="A17" s="981">
        <f>Rezone!J17</f>
        <v>15</v>
      </c>
      <c r="B17" s="587">
        <f>Imps!L17</f>
        <v>43768.145833333299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1">
        <f t="shared" ca="1" si="4"/>
        <v>3600</v>
      </c>
      <c r="I17" s="165">
        <f t="shared" ca="1" si="5"/>
        <v>0.71347093402665129</v>
      </c>
      <c r="J17" s="673">
        <f>SUM(Construction!AY17:BH17,Construction!BJ17:BP17,Construction!BW17:CF17,Construction!CH17:CN17)*building_employment</f>
        <v>3600</v>
      </c>
      <c r="K17" s="632"/>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38">
        <f ca="1">(Overview!$O$15 + Imps!Z17+MAX(Constants!$M$38*Techs!AE17,Constants!$M$50*Techs!AQ17)) * (1 + Production!O17/100*prestige_pop_multiplier) + Production!O17/100*prestige_pop_multiplier</f>
        <v>0.05</v>
      </c>
    </row>
    <row r="18" spans="1:29" s="16" customFormat="1" x14ac:dyDescent="0.25">
      <c r="A18" s="982">
        <f>Rezone!J18</f>
        <v>16</v>
      </c>
      <c r="B18" s="587">
        <f>Imps!L18</f>
        <v>43768.156249999964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2">
        <f t="shared" ca="1" si="4"/>
        <v>3600</v>
      </c>
      <c r="I18" s="165">
        <f t="shared" ca="1" si="5"/>
        <v>0.75102203581752769</v>
      </c>
      <c r="J18" s="673">
        <f>SUM(Construction!AY18:BH18,Construction!BJ18:BP18,Construction!BW18:CF18,Construction!CH18:CN18)*building_employment</f>
        <v>3600</v>
      </c>
      <c r="K18" s="633"/>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38">
        <f ca="1">(Overview!$O$15 + Imps!Z18+MAX(Constants!$M$38*Techs!AE18,Constants!$M$50*Techs!AQ18)) * (1 + Production!O18/100*prestige_pop_multiplier) + Production!O18/100*prestige_pop_multiplier</f>
        <v>0.05</v>
      </c>
    </row>
    <row r="19" spans="1:29" s="163" customFormat="1" x14ac:dyDescent="0.25">
      <c r="A19" s="983">
        <f>Rezone!J19</f>
        <v>17</v>
      </c>
      <c r="B19" s="586">
        <f>Imps!L19</f>
        <v>43768.166666666628</v>
      </c>
      <c r="C19" s="151">
        <f ca="1">$C18+$W18+Military!BE19 - IF(race="Demon",Military!G18*2,0)</f>
        <v>4553.7944785829714</v>
      </c>
      <c r="D19" s="153">
        <f ca="1">Military!B19</f>
        <v>5295</v>
      </c>
      <c r="E19" s="153">
        <f ca="1">Military!Z19</f>
        <v>5295</v>
      </c>
      <c r="F19" s="153">
        <f t="shared" ca="1" si="2"/>
        <v>9848.7944785829714</v>
      </c>
      <c r="G19" s="154">
        <f t="shared" ca="1" si="3"/>
        <v>0.53762925112453319</v>
      </c>
      <c r="H19" s="590">
        <f t="shared" ca="1" si="4"/>
        <v>3600</v>
      </c>
      <c r="I19" s="154">
        <f t="shared" ca="1" si="5"/>
        <v>0.79054951138687124</v>
      </c>
      <c r="J19" s="1050">
        <f>SUM(Construction!AY19:BH19,Construction!BJ19:BP19,Construction!BW19:CF19,Construction!CH19:CN19)*building_employment</f>
        <v>3600</v>
      </c>
      <c r="K19" s="318"/>
      <c r="L19" s="151">
        <f ca="1">Military!$Z19</f>
        <v>5295</v>
      </c>
      <c r="M19" s="153">
        <f>Military!E19</f>
        <v>0</v>
      </c>
      <c r="N19" s="153">
        <f>Military!F19</f>
        <v>0</v>
      </c>
      <c r="O19" s="153">
        <f>Military!G19</f>
        <v>0</v>
      </c>
      <c r="P19" s="153">
        <f>Military!H19</f>
        <v>0</v>
      </c>
      <c r="Q19" s="153">
        <f>Military!I19</f>
        <v>0</v>
      </c>
      <c r="R19" s="153">
        <f>Military!J19</f>
        <v>0</v>
      </c>
      <c r="S19" s="158">
        <f>Military!K19</f>
        <v>0</v>
      </c>
      <c r="T19" s="184"/>
      <c r="U19" s="151">
        <f ca="1">ROUND($V19*(1+$AC19),0)+MIN(D19-E19-SUM(Military!AF19:AL19),barracks_size*Construction!BI19)</f>
        <v>7140</v>
      </c>
      <c r="V19" s="158">
        <f>(Construction!AX19+Construction!BV19)*pop_in_home+(SUM(Construction!AY19:BP19)+Construction!C19-Construction!BI19)*pop_in_building+(SUM(Construction!F19:L19)-Explore!S19*20)*pop_on_barren-(SUM(Construction!N19:AF19)-SUM(Construction!BW19:CN19))*(15-pop_on_barren)-pop_on_barren*Construction!BV19</f>
        <v>6800</v>
      </c>
      <c r="W19" s="151">
        <f t="shared" ca="1" si="6"/>
        <v>-227.68972392914858</v>
      </c>
      <c r="X19" s="153">
        <f t="shared" ca="1" si="0"/>
        <v>137</v>
      </c>
      <c r="Y19" s="153">
        <f t="shared" ca="1" si="1"/>
        <v>136.61383435748914</v>
      </c>
      <c r="Z19" s="158">
        <f ca="1">IF(G19&lt;Military!Y19, ROUND($C19*IF(Magic!AW19=0,Constants!$B$51,Constants!$B$51*2),0), 0)</f>
        <v>0</v>
      </c>
      <c r="AA19" s="287"/>
      <c r="AB19" s="161">
        <f ca="1">Overview!$O$16 + IF(Magic!AK19&gt;0,Constants!$F$75) + ROUND(6*(Construction!BL20+Construction!CJ19)/IF(Explore!S20&gt;0,Construction!E20-20,Construction!E20),4)</f>
        <v>0</v>
      </c>
      <c r="AC19" s="155">
        <f ca="1">(Overview!$O$15 + Imps!Z19+MAX(Constants!$M$38*Techs!AE19,Constants!$M$50*Techs!AQ19)) * (1 + Production!O19/100*prestige_pop_multiplier) + Production!O19/100*prestige_pop_multiplier</f>
        <v>0.05</v>
      </c>
    </row>
    <row r="20" spans="1:29" s="16" customFormat="1" x14ac:dyDescent="0.25">
      <c r="A20" s="982">
        <f>Rezone!J20</f>
        <v>18</v>
      </c>
      <c r="B20" s="587">
        <f>Imps!L20</f>
        <v>43768.177083333292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2">
        <f t="shared" ca="1" si="4"/>
        <v>3600</v>
      </c>
      <c r="I20" s="165">
        <f t="shared" ca="1" si="5"/>
        <v>0.83215738040723286</v>
      </c>
      <c r="J20" s="673">
        <f>SUM(Construction!AY20:BH20,Construction!BJ20:BP20,Construction!BW20:CF20,Construction!CH20:CN20)*building_employment</f>
        <v>3600</v>
      </c>
      <c r="K20" s="633"/>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38">
        <f ca="1">(Overview!$O$15 + Imps!Z20+MAX(Constants!$M$38*Techs!AE20,Constants!$M$50*Techs!AQ20)) * (1 + Production!O20/100*prestige_pop_multiplier) + Production!O20/100*prestige_pop_multiplier</f>
        <v>0.05</v>
      </c>
    </row>
    <row r="21" spans="1:29" s="16" customFormat="1" x14ac:dyDescent="0.25">
      <c r="A21" s="982">
        <f>Rezone!J21</f>
        <v>19</v>
      </c>
      <c r="B21" s="587">
        <f>Imps!L21</f>
        <v>43768.187499999956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2">
        <f t="shared" ca="1" si="4"/>
        <v>3600</v>
      </c>
      <c r="I21" s="165">
        <f t="shared" ca="1" si="5"/>
        <v>0.87595513727077146</v>
      </c>
      <c r="J21" s="673">
        <f>SUM(Construction!AY21:BH21,Construction!BJ21:BP21,Construction!BW21:CF21,Construction!CH21:CN21)*building_employment</f>
        <v>3600</v>
      </c>
      <c r="K21" s="633"/>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38">
        <f ca="1">(Overview!$O$15 + Imps!Z21+MAX(Constants!$M$38*Techs!AE21,Constants!$M$50*Techs!AQ21)) * (1 + Production!O21/100*prestige_pop_multiplier) + Production!O21/100*prestige_pop_multiplier</f>
        <v>0.05</v>
      </c>
    </row>
    <row r="22" spans="1:29" s="16" customFormat="1" x14ac:dyDescent="0.25">
      <c r="A22" s="982">
        <f>Rezone!J22</f>
        <v>20</v>
      </c>
      <c r="B22" s="587">
        <f>Imps!L22</f>
        <v>43768.197916666621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2">
        <f t="shared" ca="1" si="4"/>
        <v>3600</v>
      </c>
      <c r="I22" s="165">
        <f t="shared" ca="1" si="5"/>
        <v>0.92205803923239094</v>
      </c>
      <c r="J22" s="673">
        <f>SUM(Construction!AY22:BH22,Construction!BJ22:BP22,Construction!BW22:CF22,Construction!CH22:CN22)*building_employment</f>
        <v>3600</v>
      </c>
      <c r="K22" s="633"/>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38">
        <f ca="1">(Overview!$O$15 + Imps!Z22+MAX(Constants!$M$38*Techs!AE22,Constants!$M$50*Techs!AQ22)) * (1 + Production!O22/100*prestige_pop_multiplier) + Production!O22/100*prestige_pop_multiplier</f>
        <v>0.05</v>
      </c>
    </row>
    <row r="23" spans="1:29" s="16" customFormat="1" x14ac:dyDescent="0.25">
      <c r="A23" s="982">
        <f>Rezone!J23</f>
        <v>21</v>
      </c>
      <c r="B23" s="587">
        <f>Imps!L23</f>
        <v>43768.208333333285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2">
        <f t="shared" ca="1" si="4"/>
        <v>3600</v>
      </c>
      <c r="I23" s="165">
        <f t="shared" ca="1" si="5"/>
        <v>0.97058740971830626</v>
      </c>
      <c r="J23" s="673">
        <f>SUM(Construction!AY23:BH23,Construction!BJ23:BP23,Construction!BW23:CF23,Construction!CH23:CN23)*building_employment</f>
        <v>3600</v>
      </c>
      <c r="K23" s="633"/>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38">
        <f ca="1">(Overview!$O$15 + Imps!Z23+MAX(Constants!$M$38*Techs!AE23,Constants!$M$50*Techs!AQ23)) * (1 + Production!O23/100*prestige_pop_multiplier) + Production!O23/100*prestige_pop_multiplier</f>
        <v>0.05</v>
      </c>
    </row>
    <row r="24" spans="1:29" s="16" customFormat="1" x14ac:dyDescent="0.25">
      <c r="A24" s="982">
        <f>Rezone!J24</f>
        <v>22</v>
      </c>
      <c r="B24" s="587">
        <f>Imps!L24</f>
        <v>43768.218749999949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2">
        <f t="shared" ca="1" si="4"/>
        <v>3523.6393608202557</v>
      </c>
      <c r="I24" s="165">
        <f t="shared" ca="1" si="5"/>
        <v>1</v>
      </c>
      <c r="J24" s="673">
        <f>SUM(Construction!AY24:BH24,Construction!BJ24:BP24,Construction!BW24:CF24,Construction!CH24:CN24)*building_employment</f>
        <v>3600</v>
      </c>
      <c r="K24" s="633"/>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38">
        <f ca="1">(Overview!$O$15 + Imps!Z24+MAX(Constants!$M$38*Techs!AE24,Constants!$M$50*Techs!AQ24)) * (1 + Production!O24/100*prestige_pop_multiplier) + Production!O24/100*prestige_pop_multiplier</f>
        <v>0.05</v>
      </c>
    </row>
    <row r="25" spans="1:29" s="16" customFormat="1" x14ac:dyDescent="0.25">
      <c r="A25" s="982">
        <f>Rezone!J25</f>
        <v>23</v>
      </c>
      <c r="B25" s="587">
        <f>Imps!L25</f>
        <v>43768.229166666613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2">
        <f t="shared" ca="1" si="4"/>
        <v>3347.457392779243</v>
      </c>
      <c r="I25" s="165">
        <f t="shared" ca="1" si="5"/>
        <v>1</v>
      </c>
      <c r="J25" s="673">
        <f>SUM(Construction!AY25:BH25,Construction!BJ25:BP25,Construction!BW25:CF25,Construction!CH25:CN25)*building_employment</f>
        <v>3600</v>
      </c>
      <c r="K25" s="633"/>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38">
        <f ca="1">(Overview!$O$15 + Imps!Z25+MAX(Constants!$M$38*Techs!AE25,Constants!$M$50*Techs!AQ25)) * (1 + Production!O25/100*prestige_pop_multiplier) + Production!O25/100*prestige_pop_multiplier</f>
        <v>0.05</v>
      </c>
    </row>
    <row r="26" spans="1:29" s="170" customFormat="1" x14ac:dyDescent="0.25">
      <c r="A26" s="981">
        <f>Rezone!J26</f>
        <v>24</v>
      </c>
      <c r="B26" s="587">
        <f>Imps!L26</f>
        <v>43768.239583333278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1">
        <f t="shared" ca="1" si="4"/>
        <v>3180.0845231402809</v>
      </c>
      <c r="I26" s="165">
        <f t="shared" ca="1" si="5"/>
        <v>1</v>
      </c>
      <c r="J26" s="673">
        <f>SUM(Construction!AY26:BH26,Construction!BJ26:BP26,Construction!BW26:CF26,Construction!CH26:CN26)*building_employment</f>
        <v>3600</v>
      </c>
      <c r="K26" s="632"/>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38">
        <f ca="1">(Overview!$O$15 + Imps!Z26+MAX(Constants!$M$38*Techs!AE26,Constants!$M$50*Techs!AQ26)) * (1 + Production!O26/100*prestige_pop_multiplier) + Production!O26/100*prestige_pop_multiplier</f>
        <v>0.05</v>
      </c>
    </row>
    <row r="27" spans="1:29" s="16" customFormat="1" x14ac:dyDescent="0.25">
      <c r="A27" s="982">
        <f>Rezone!J27</f>
        <v>25</v>
      </c>
      <c r="B27" s="587">
        <f>Imps!L27</f>
        <v>43768.249999999942</v>
      </c>
      <c r="C27" s="152">
        <f ca="1">$C26+$W26+Military!BE27 - IF(race="Demon",Military!G26*2,0)</f>
        <v>3021.0802969832666</v>
      </c>
      <c r="D27" s="26">
        <f ca="1">Military!B27</f>
        <v>5295</v>
      </c>
      <c r="E27" s="26">
        <f ca="1">Military!Z27</f>
        <v>5295</v>
      </c>
      <c r="F27" s="26">
        <f ca="1">C27+D27</f>
        <v>8316.0802969832657</v>
      </c>
      <c r="G27" s="27">
        <f t="shared" ca="1" si="3"/>
        <v>0.63671823875014888</v>
      </c>
      <c r="H27" s="592">
        <f t="shared" ca="1" si="4"/>
        <v>3021.0802969832666</v>
      </c>
      <c r="I27" s="165">
        <f t="shared" ca="1" si="5"/>
        <v>1</v>
      </c>
      <c r="J27" s="673">
        <f>SUM(Construction!AY27:BH27,Construction!BJ27:BP27,Construction!BW27:CF27,Construction!CH27:CN27)*building_employment</f>
        <v>3600</v>
      </c>
      <c r="K27" s="633"/>
      <c r="L27" s="56">
        <f ca="1">Military!$Z27</f>
        <v>5295</v>
      </c>
      <c r="M27" s="26">
        <f>Military!E27</f>
        <v>0</v>
      </c>
      <c r="N27" s="26">
        <f>Military!F27</f>
        <v>0</v>
      </c>
      <c r="O27" s="26">
        <f>Military!G27</f>
        <v>0</v>
      </c>
      <c r="P27" s="26">
        <f>Military!H27</f>
        <v>0</v>
      </c>
      <c r="Q27" s="26">
        <f>Military!I27</f>
        <v>0</v>
      </c>
      <c r="R27" s="26">
        <f>Military!J27</f>
        <v>0</v>
      </c>
      <c r="S27" s="57">
        <f>Military!K27</f>
        <v>0</v>
      </c>
      <c r="T27" s="52"/>
      <c r="U27" s="56">
        <f ca="1">ROUND($V27*(1+$AC27),0)+MIN(D27-E27-SUM(Military!AF27:AL27),barracks_size*Construction!BI27)</f>
        <v>7140</v>
      </c>
      <c r="V27" s="166">
        <f>(Construction!AX27+Construction!BV27)*pop_in_home+(SUM(Construction!AY27:BP27)+Construction!C27-Construction!BI27)*pop_in_building+(SUM(Construction!F27:L27)-Explore!S27*20)*pop_on_barren-(SUM(Construction!N27:AF27)-SUM(Construction!BW27:CN27))*(15-pop_on_barren)-pop_on_barren*Construction!BV27</f>
        <v>6800</v>
      </c>
      <c r="W27" s="152">
        <f t="shared" ca="1" si="6"/>
        <v>-151.05401484916334</v>
      </c>
      <c r="X27" s="26">
        <f t="shared" ca="1" si="0"/>
        <v>91</v>
      </c>
      <c r="Y27" s="164">
        <f t="shared" ca="1" si="1"/>
        <v>90.632408909497997</v>
      </c>
      <c r="Z27" s="57">
        <f ca="1">IF(G27&lt;Military!Y27, ROUND($C27*IF(Magic!AW27=0,Constants!$B$51,Constants!$B$51*2),0), 0)</f>
        <v>0</v>
      </c>
      <c r="AA27" s="63"/>
      <c r="AB27" s="169">
        <f ca="1">Overview!$O$16 + IF(Magic!AK27&gt;0,Constants!$F$75) + ROUND(6*(Construction!BL28+Construction!CJ27)/IF(Explore!S28&gt;0,Construction!E28-20,Construction!E28),4)</f>
        <v>0</v>
      </c>
      <c r="AC27" s="538">
        <f ca="1">(Overview!$O$15 + Imps!Z27+MAX(Constants!$M$38*Techs!AE27,Constants!$M$50*Techs!AQ27)) * (1 + Production!O27/100*prestige_pop_multiplier) + Production!O27/100*prestige_pop_multiplier</f>
        <v>0.05</v>
      </c>
    </row>
    <row r="28" spans="1:29" s="170" customFormat="1" x14ac:dyDescent="0.25">
      <c r="A28" s="981">
        <f>Rezone!J28</f>
        <v>26</v>
      </c>
      <c r="B28" s="587">
        <f>Imps!L28</f>
        <v>43768.260416666606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1">
        <f t="shared" ca="1" si="4"/>
        <v>2870.0262821341034</v>
      </c>
      <c r="I28" s="165">
        <f t="shared" ca="1" si="5"/>
        <v>1</v>
      </c>
      <c r="J28" s="673">
        <f>SUM(Construction!AY28:BH28,Construction!BJ28:BP28,Construction!BW28:CF28,Construction!CH28:CN28)*building_employment</f>
        <v>3600</v>
      </c>
      <c r="K28" s="632"/>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38">
        <f ca="1">(Overview!$O$15 + Imps!Z28+MAX(Constants!$M$38*Techs!AE28,Constants!$M$50*Techs!AQ28)) * (1 + Production!O28/100*prestige_pop_multiplier) + Production!O28/100*prestige_pop_multiplier</f>
        <v>0.05</v>
      </c>
    </row>
    <row r="29" spans="1:29" s="170" customFormat="1" x14ac:dyDescent="0.25">
      <c r="A29" s="981">
        <f>Rezone!J29</f>
        <v>27</v>
      </c>
      <c r="B29" s="587">
        <f>Imps!L29</f>
        <v>43768.27083333327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1">
        <f t="shared" ca="1" si="4"/>
        <v>2726.5249680273982</v>
      </c>
      <c r="I29" s="165">
        <f t="shared" ca="1" si="5"/>
        <v>1</v>
      </c>
      <c r="J29" s="673">
        <f>SUM(Construction!AY29:BH29,Construction!BJ29:BP29,Construction!BW29:CF29,Construction!CH29:CN29)*building_employment</f>
        <v>3600</v>
      </c>
      <c r="K29" s="632"/>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38">
        <f ca="1">(Overview!$O$15 + Imps!Z29+MAX(Constants!$M$38*Techs!AE29,Constants!$M$50*Techs!AQ29)) * (1 + Production!O29/100*prestige_pop_multiplier) + Production!O29/100*prestige_pop_multiplier</f>
        <v>0.05</v>
      </c>
    </row>
    <row r="30" spans="1:29" s="16" customFormat="1" ht="13.8" thickBot="1" x14ac:dyDescent="0.3">
      <c r="A30" s="982">
        <f>Rezone!J30</f>
        <v>28</v>
      </c>
      <c r="B30" s="587">
        <f>Imps!L30</f>
        <v>43768.281249999935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2">
        <f t="shared" ca="1" si="4"/>
        <v>2590.1987196260284</v>
      </c>
      <c r="I30" s="165">
        <f t="shared" ca="1" si="5"/>
        <v>1</v>
      </c>
      <c r="J30" s="673">
        <f>SUM(Construction!AY30:BH30,Construction!BJ30:BP30,Construction!BW30:CF30,Construction!CH30:CN30)*building_employment</f>
        <v>3600</v>
      </c>
      <c r="K30" s="633"/>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38">
        <f ca="1">(Overview!$O$15 + Imps!Z30+MAX(Constants!$M$38*Techs!AE30,Constants!$M$50*Techs!AQ30)) * (1 + Production!O30/100*prestige_pop_multiplier) + Production!O30/100*prestige_pop_multiplier</f>
        <v>0.05</v>
      </c>
    </row>
    <row r="31" spans="1:29" s="1203" customFormat="1" ht="14.4" thickTop="1" thickBot="1" x14ac:dyDescent="0.3">
      <c r="A31" s="1190">
        <f>Rezone!J31</f>
        <v>29</v>
      </c>
      <c r="B31" s="1191">
        <f>Imps!L31</f>
        <v>43768.291666666599</v>
      </c>
      <c r="C31" s="1192">
        <f ca="1">$C30+$W30+Military!BE31 - IF(race="Demon",Military!G30*2,0)</f>
        <v>2460.6887836447268</v>
      </c>
      <c r="D31" s="1193">
        <f ca="1">Military!B31</f>
        <v>5295</v>
      </c>
      <c r="E31" s="1193">
        <f ca="1">Military!Z31</f>
        <v>5295</v>
      </c>
      <c r="F31" s="1193">
        <f t="shared" ca="1" si="2"/>
        <v>7755.6887836447268</v>
      </c>
      <c r="G31" s="1194">
        <f t="shared" ca="1" si="3"/>
        <v>0.68272466156276779</v>
      </c>
      <c r="H31" s="1195">
        <f t="shared" ca="1" si="4"/>
        <v>2460.6887836447268</v>
      </c>
      <c r="I31" s="1194">
        <f t="shared" ca="1" si="5"/>
        <v>1</v>
      </c>
      <c r="J31" s="1196">
        <f>SUM(Construction!AY31:BH31,Construction!BJ31:BP31,Construction!BW31:CF31,Construction!CH31:CN31)*building_employment</f>
        <v>3600</v>
      </c>
      <c r="K31" s="1197"/>
      <c r="L31" s="1192">
        <f ca="1">Military!$Z31</f>
        <v>5295</v>
      </c>
      <c r="M31" s="1193">
        <f>Military!E31</f>
        <v>0</v>
      </c>
      <c r="N31" s="1193">
        <f>Military!F31</f>
        <v>0</v>
      </c>
      <c r="O31" s="1193">
        <f>Military!G31</f>
        <v>0</v>
      </c>
      <c r="P31" s="1193">
        <f>Military!H31</f>
        <v>0</v>
      </c>
      <c r="Q31" s="1193">
        <f>Military!I31</f>
        <v>0</v>
      </c>
      <c r="R31" s="1193">
        <f>Military!J31</f>
        <v>0</v>
      </c>
      <c r="S31" s="1198">
        <f>Military!K31</f>
        <v>0</v>
      </c>
      <c r="T31" s="1199"/>
      <c r="U31" s="1192">
        <f ca="1">ROUND($V31*(1+$AC31),0)+MIN(D31-E31-SUM(Military!AF31:AL31),barracks_size*Construction!BI31)</f>
        <v>7140</v>
      </c>
      <c r="V31" s="1198">
        <f>(Construction!AX31+Construction!BV31)*pop_in_home+(SUM(Construction!AY31:BP31)+Construction!C31-Construction!BI31)*pop_in_building+(SUM(Construction!F31:L31)-Explore!S31*20)*pop_on_barren-(SUM(Construction!N31:AF31)-SUM(Construction!BW31:CN31))*(15-pop_on_barren)-pop_on_barren*Construction!BV31</f>
        <v>6800</v>
      </c>
      <c r="W31" s="1192">
        <f t="shared" ca="1" si="6"/>
        <v>-123.03443918223634</v>
      </c>
      <c r="X31" s="1193">
        <f t="shared" ca="1" si="0"/>
        <v>74</v>
      </c>
      <c r="Y31" s="1193">
        <f t="shared" ca="1" si="1"/>
        <v>73.820663509341799</v>
      </c>
      <c r="Z31" s="1198">
        <f ca="1">IF(G31&lt;Military!Y31, ROUND($C31*IF(Magic!AW31=0,Constants!$B$51,Constants!$B$51*2),0), 0)</f>
        <v>0</v>
      </c>
      <c r="AA31" s="1200"/>
      <c r="AB31" s="1201">
        <f ca="1">Overview!$O$16 + IF(Magic!AK31&gt;0,Constants!$F$75) + ROUND(6*(Construction!BL32+Construction!CJ31)/IF(Explore!S32&gt;0,Construction!E32-20,Construction!E32),4)</f>
        <v>0</v>
      </c>
      <c r="AC31" s="1202">
        <f ca="1">(Overview!$O$15 + Imps!Z31+MAX(Constants!$M$38*Techs!AE31,Constants!$M$50*Techs!AQ31)) * (1 + Production!O31/100*prestige_pop_multiplier) + Production!O31/100*prestige_pop_multiplier</f>
        <v>0.05</v>
      </c>
    </row>
    <row r="32" spans="1:29" s="16" customFormat="1" ht="13.8" thickTop="1" x14ac:dyDescent="0.25">
      <c r="A32" s="982">
        <f>Rezone!J32</f>
        <v>30</v>
      </c>
      <c r="B32" s="587">
        <f>Imps!L32</f>
        <v>43768.302083333263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2">
        <f t="shared" ca="1" si="4"/>
        <v>2337.6543444624904</v>
      </c>
      <c r="I32" s="165">
        <f t="shared" ca="1" si="5"/>
        <v>1</v>
      </c>
      <c r="J32" s="673">
        <f>SUM(Construction!AY32:BH32,Construction!BJ32:BP32,Construction!BW32:CF32,Construction!CH32:CN32)*building_employment</f>
        <v>3600</v>
      </c>
      <c r="K32" s="633"/>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38">
        <f ca="1">(Overview!$O$15 + Imps!Z32+MAX(Constants!$M$38*Techs!AE32,Constants!$M$50*Techs!AQ32)) * (1 + Production!O32/100*prestige_pop_multiplier) + Production!O32/100*prestige_pop_multiplier</f>
        <v>0.05</v>
      </c>
    </row>
    <row r="33" spans="1:29" s="16" customFormat="1" x14ac:dyDescent="0.25">
      <c r="A33" s="982">
        <f>Rezone!J33</f>
        <v>31</v>
      </c>
      <c r="B33" s="587">
        <f>Imps!L33</f>
        <v>43768.312499999927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2">
        <f t="shared" ca="1" si="4"/>
        <v>2220.7716272393659</v>
      </c>
      <c r="I33" s="165">
        <f t="shared" ca="1" si="5"/>
        <v>1</v>
      </c>
      <c r="J33" s="673">
        <f>SUM(Construction!AY33:BH33,Construction!BJ33:BP33,Construction!BW33:CF33,Construction!CH33:CN33)*building_employment</f>
        <v>3600</v>
      </c>
      <c r="K33" s="633"/>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38">
        <f ca="1">(Overview!$O$15 + Imps!Z33+MAX(Constants!$M$38*Techs!AE33,Constants!$M$50*Techs!AQ33)) * (1 + Production!O33/100*prestige_pop_multiplier) + Production!O33/100*prestige_pop_multiplier</f>
        <v>0.05</v>
      </c>
    </row>
    <row r="34" spans="1:29" s="16" customFormat="1" x14ac:dyDescent="0.25">
      <c r="A34" s="982">
        <f>Rezone!J34</f>
        <v>32</v>
      </c>
      <c r="B34" s="587">
        <f>Imps!L34</f>
        <v>43768.322916666591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2">
        <f t="shared" ca="1" si="4"/>
        <v>2109.7330458773977</v>
      </c>
      <c r="I34" s="165">
        <f t="shared" ca="1" si="5"/>
        <v>1</v>
      </c>
      <c r="J34" s="673">
        <f>SUM(Construction!AY34:BH34,Construction!BJ34:BP34,Construction!BW34:CF34,Construction!CH34:CN34)*building_employment</f>
        <v>3600</v>
      </c>
      <c r="K34" s="633"/>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38">
        <f ca="1">(Overview!$O$15 + Imps!Z34+MAX(Constants!$M$38*Techs!AE34,Constants!$M$50*Techs!AQ34)) * (1 + Production!O34/100*prestige_pop_multiplier) + Production!O34/100*prestige_pop_multiplier</f>
        <v>0.05</v>
      </c>
    </row>
    <row r="35" spans="1:29" s="16" customFormat="1" x14ac:dyDescent="0.25">
      <c r="A35" s="982">
        <f>Rezone!J35</f>
        <v>33</v>
      </c>
      <c r="B35" s="587">
        <f>Imps!L35</f>
        <v>43768.333333333256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2">
        <f t="shared" ca="1" si="4"/>
        <v>2004.2463935835278</v>
      </c>
      <c r="I35" s="165">
        <f t="shared" ca="1" si="5"/>
        <v>1</v>
      </c>
      <c r="J35" s="673">
        <f>SUM(Construction!AY35:BH35,Construction!BJ35:BP35,Construction!BW35:CF35,Construction!CH35:CN35)*building_employment</f>
        <v>3600</v>
      </c>
      <c r="K35" s="633"/>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38">
        <f ca="1">(Overview!$O$15 + Imps!Z35+MAX(Constants!$M$38*Techs!AE35,Constants!$M$50*Techs!AQ35)) * (1 + Production!O35/100*prestige_pop_multiplier) + Production!O35/100*prestige_pop_multiplier</f>
        <v>0.05</v>
      </c>
    </row>
    <row r="36" spans="1:29" s="16" customFormat="1" x14ac:dyDescent="0.25">
      <c r="A36" s="982">
        <f>Rezone!J36</f>
        <v>34</v>
      </c>
      <c r="B36" s="587">
        <f>Imps!L36</f>
        <v>43768.34374999992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2">
        <f t="shared" ca="1" si="4"/>
        <v>1904.0340739043513</v>
      </c>
      <c r="I36" s="165">
        <f t="shared" ca="1" si="5"/>
        <v>1</v>
      </c>
      <c r="J36" s="673">
        <f>SUM(Construction!AY36:BH36,Construction!BJ36:BP36,Construction!BW36:CF36,Construction!CH36:CN36)*building_employment</f>
        <v>3600</v>
      </c>
      <c r="K36" s="633"/>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38">
        <f ca="1">(Overview!$O$15 + Imps!Z36+MAX(Constants!$M$38*Techs!AE36,Constants!$M$50*Techs!AQ36)) * (1 + Production!O36/100*prestige_pop_multiplier) + Production!O36/100*prestige_pop_multiplier</f>
        <v>0.05</v>
      </c>
    </row>
    <row r="37" spans="1:29" s="16" customFormat="1" x14ac:dyDescent="0.25">
      <c r="A37" s="982">
        <f>Rezone!J37</f>
        <v>35</v>
      </c>
      <c r="B37" s="587">
        <f>Imps!L37</f>
        <v>43768.354166666584</v>
      </c>
      <c r="C37" s="152">
        <f ca="1">$C36+$W36+Military!BE37 - IF(race="Demon",Military!G36*2,0)</f>
        <v>1845</v>
      </c>
      <c r="D37" s="26">
        <f ca="1">Military!B37</f>
        <v>5295</v>
      </c>
      <c r="E37" s="26">
        <f ca="1">Military!Z37</f>
        <v>5295</v>
      </c>
      <c r="F37" s="26">
        <f t="shared" ca="1" si="2"/>
        <v>7140</v>
      </c>
      <c r="G37" s="27">
        <f t="shared" ca="1" si="3"/>
        <v>0.74159663865546221</v>
      </c>
      <c r="H37" s="592">
        <f t="shared" ca="1" si="4"/>
        <v>1845</v>
      </c>
      <c r="I37" s="165">
        <f t="shared" ca="1" si="5"/>
        <v>1</v>
      </c>
      <c r="J37" s="673">
        <f>SUM(Construction!AY37:BH37,Construction!BJ37:BP37,Construction!BW37:CF37,Construction!CH37:CN37)*building_employment</f>
        <v>3600</v>
      </c>
      <c r="K37" s="633"/>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38">
        <f ca="1">(Overview!$O$15 + Imps!Z37+MAX(Constants!$M$38*Techs!AE37,Constants!$M$50*Techs!AQ37)) * (1 + Production!O37/100*prestige_pop_multiplier) + Production!O37/100*prestige_pop_multiplier</f>
        <v>0.05</v>
      </c>
    </row>
    <row r="38" spans="1:29" s="16" customFormat="1" ht="13.5" customHeight="1" x14ac:dyDescent="0.25">
      <c r="A38" s="982">
        <f>Rezone!J38</f>
        <v>36</v>
      </c>
      <c r="B38" s="587">
        <f>Imps!L38</f>
        <v>43768.364583333248</v>
      </c>
      <c r="C38" s="152">
        <f ca="1">$C37+$W37+Military!BE38 - IF(race="Demon",Military!G37*2,0)</f>
        <v>1845</v>
      </c>
      <c r="D38" s="26">
        <f ca="1">Military!B38</f>
        <v>5295</v>
      </c>
      <c r="E38" s="26">
        <f ca="1">Military!Z38</f>
        <v>5295</v>
      </c>
      <c r="F38" s="26">
        <f t="shared" ca="1" si="2"/>
        <v>7140</v>
      </c>
      <c r="G38" s="27">
        <f t="shared" ca="1" si="3"/>
        <v>0.74159663865546221</v>
      </c>
      <c r="H38" s="592">
        <f t="shared" ca="1" si="4"/>
        <v>1845</v>
      </c>
      <c r="I38" s="165">
        <f t="shared" ca="1" si="5"/>
        <v>1</v>
      </c>
      <c r="J38" s="673">
        <f>SUM(Construction!AY38:BH38,Construction!BJ38:BP38,Construction!BW38:CF38,Construction!CH38:CN38)*building_employment</f>
        <v>3600</v>
      </c>
      <c r="K38" s="633"/>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38">
        <f ca="1">(Overview!$O$15 + Imps!Z38+MAX(Constants!$M$38*Techs!AE38,Constants!$M$50*Techs!AQ38)) * (1 + Production!O38/100*prestige_pop_multiplier) + Production!O38/100*prestige_pop_multiplier</f>
        <v>0.05</v>
      </c>
    </row>
    <row r="39" spans="1:29" s="12" customFormat="1" x14ac:dyDescent="0.25">
      <c r="A39" s="985">
        <f>Rezone!J39</f>
        <v>37</v>
      </c>
      <c r="B39" s="586">
        <f>Imps!L39</f>
        <v>43768.374999999913</v>
      </c>
      <c r="C39" s="151">
        <f ca="1">$C38+$W38+Military!BE39 - IF(race="Demon",Military!G38*2,0)</f>
        <v>1845</v>
      </c>
      <c r="D39" s="13">
        <f ca="1">Military!B39</f>
        <v>5295</v>
      </c>
      <c r="E39" s="13">
        <f ca="1">Military!Z39</f>
        <v>5295</v>
      </c>
      <c r="F39" s="13">
        <f t="shared" ca="1" si="2"/>
        <v>7140</v>
      </c>
      <c r="G39" s="14">
        <f t="shared" ca="1" si="3"/>
        <v>0.74159663865546221</v>
      </c>
      <c r="H39" s="594">
        <f t="shared" ca="1" si="4"/>
        <v>1845</v>
      </c>
      <c r="I39" s="154">
        <f t="shared" ca="1" si="5"/>
        <v>1</v>
      </c>
      <c r="J39" s="1050">
        <f>SUM(Construction!AY39:BH39,Construction!BJ39:BP39,Construction!BW39:CF39,Construction!CH39:CN39)*building_employment</f>
        <v>3600</v>
      </c>
      <c r="K39" s="751"/>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x14ac:dyDescent="0.25">
      <c r="A40" s="982">
        <f>Rezone!J40</f>
        <v>38</v>
      </c>
      <c r="B40" s="587">
        <f>Imps!L40</f>
        <v>43768.385416666577</v>
      </c>
      <c r="C40" s="152">
        <f ca="1">$C39+$W39+Military!BE40 - IF(race="Demon",Military!G39*2,0)</f>
        <v>1845</v>
      </c>
      <c r="D40" s="26">
        <f ca="1">Military!B40</f>
        <v>5295</v>
      </c>
      <c r="E40" s="26">
        <f ca="1">Military!Z40</f>
        <v>5295</v>
      </c>
      <c r="F40" s="26">
        <f t="shared" ca="1" si="2"/>
        <v>7140</v>
      </c>
      <c r="G40" s="27">
        <f t="shared" ca="1" si="3"/>
        <v>0.74159663865546221</v>
      </c>
      <c r="H40" s="592">
        <f t="shared" ca="1" si="4"/>
        <v>1845</v>
      </c>
      <c r="I40" s="165">
        <f t="shared" ca="1" si="5"/>
        <v>1</v>
      </c>
      <c r="J40" s="673">
        <f>SUM(Construction!AY40:BH40,Construction!BJ40:BP40,Construction!BW40:CF40,Construction!CH40:CN40)*building_employment</f>
        <v>3600</v>
      </c>
      <c r="K40" s="633"/>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38">
        <f ca="1">(Overview!$O$15 + Imps!Z40+MAX(Constants!$M$38*Techs!AE40,Constants!$M$50*Techs!AQ40)) * (1 + Production!O40/100*prestige_pop_multiplier) + Production!O40/100*prestige_pop_multiplier</f>
        <v>0.05</v>
      </c>
    </row>
    <row r="41" spans="1:29" s="16" customFormat="1" x14ac:dyDescent="0.25">
      <c r="A41" s="982">
        <f>Rezone!J41</f>
        <v>39</v>
      </c>
      <c r="B41" s="587">
        <f>Imps!L41</f>
        <v>43768.395833333241</v>
      </c>
      <c r="C41" s="152">
        <f ca="1">$C40+$W40+Military!BE41 - IF(race="Demon",Military!G40*2,0)</f>
        <v>1845</v>
      </c>
      <c r="D41" s="26">
        <f ca="1">Military!B41</f>
        <v>5295</v>
      </c>
      <c r="E41" s="26">
        <f ca="1">Military!Z41</f>
        <v>5295</v>
      </c>
      <c r="F41" s="26">
        <f t="shared" ca="1" si="2"/>
        <v>7140</v>
      </c>
      <c r="G41" s="27">
        <f t="shared" ca="1" si="3"/>
        <v>0.74159663865546221</v>
      </c>
      <c r="H41" s="592">
        <f t="shared" ca="1" si="4"/>
        <v>1845</v>
      </c>
      <c r="I41" s="165">
        <f t="shared" ca="1" si="5"/>
        <v>1</v>
      </c>
      <c r="J41" s="673">
        <f>SUM(Construction!AY41:BH41,Construction!BJ41:BP41,Construction!BW41:CF41,Construction!CH41:CN41)*building_employment</f>
        <v>3600</v>
      </c>
      <c r="K41" s="633"/>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38">
        <f ca="1">(Overview!$O$15 + Imps!Z41+MAX(Constants!$M$38*Techs!AE41,Constants!$M$50*Techs!AQ41)) * (1 + Production!O41/100*prestige_pop_multiplier) + Production!O41/100*prestige_pop_multiplier</f>
        <v>0.05</v>
      </c>
    </row>
    <row r="42" spans="1:29" s="16" customFormat="1" x14ac:dyDescent="0.25">
      <c r="A42" s="982">
        <f>Rezone!J42</f>
        <v>40</v>
      </c>
      <c r="B42" s="587">
        <f>Imps!L42</f>
        <v>43768.406249999905</v>
      </c>
      <c r="C42" s="152">
        <f ca="1">$C41+$W41+Military!BE42 - IF(race="Demon",Military!G41*2,0)</f>
        <v>1845</v>
      </c>
      <c r="D42" s="26">
        <f ca="1">Military!B42</f>
        <v>5295</v>
      </c>
      <c r="E42" s="26">
        <f ca="1">Military!Z42</f>
        <v>5295</v>
      </c>
      <c r="F42" s="26">
        <f t="shared" ca="1" si="2"/>
        <v>7140</v>
      </c>
      <c r="G42" s="27">
        <f t="shared" ca="1" si="3"/>
        <v>0.74159663865546221</v>
      </c>
      <c r="H42" s="592">
        <f t="shared" ca="1" si="4"/>
        <v>1845</v>
      </c>
      <c r="I42" s="165">
        <f t="shared" ca="1" si="5"/>
        <v>1</v>
      </c>
      <c r="J42" s="673">
        <f>SUM(Construction!AY42:BH42,Construction!BJ42:BP42,Construction!BW42:CF42,Construction!CH42:CN42)*building_employment</f>
        <v>3600</v>
      </c>
      <c r="K42" s="633"/>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38">
        <f ca="1">(Overview!$O$15 + Imps!Z42+MAX(Constants!$M$38*Techs!AE42,Constants!$M$50*Techs!AQ42)) * (1 + Production!O42/100*prestige_pop_multiplier) + Production!O42/100*prestige_pop_multiplier</f>
        <v>0.05</v>
      </c>
    </row>
    <row r="43" spans="1:29" s="16" customFormat="1" x14ac:dyDescent="0.25">
      <c r="A43" s="982">
        <f>Rezone!J43</f>
        <v>41</v>
      </c>
      <c r="B43" s="587">
        <f>Imps!L43</f>
        <v>43768.41666666657</v>
      </c>
      <c r="C43" s="152">
        <f ca="1">$C42+$W42+Military!BE43 - IF(race="Demon",Military!G42*2,0)</f>
        <v>1845</v>
      </c>
      <c r="D43" s="26">
        <f ca="1">Military!B43</f>
        <v>5295</v>
      </c>
      <c r="E43" s="26">
        <f ca="1">Military!Z43</f>
        <v>5295</v>
      </c>
      <c r="F43" s="26">
        <f t="shared" ca="1" si="2"/>
        <v>7140</v>
      </c>
      <c r="G43" s="27">
        <f t="shared" ca="1" si="3"/>
        <v>0.74159663865546221</v>
      </c>
      <c r="H43" s="592">
        <f t="shared" ca="1" si="4"/>
        <v>1845</v>
      </c>
      <c r="I43" s="165">
        <f t="shared" ca="1" si="5"/>
        <v>1</v>
      </c>
      <c r="J43" s="673">
        <f>SUM(Construction!AY43:BH43,Construction!BJ43:BP43,Construction!BW43:CF43,Construction!CH43:CN43)*building_employment</f>
        <v>3600</v>
      </c>
      <c r="K43" s="633"/>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38">
        <f ca="1">(Overview!$O$15 + Imps!Z43+MAX(Constants!$M$38*Techs!AE43,Constants!$M$50*Techs!AQ43)) * (1 + Production!O43/100*prestige_pop_multiplier) + Production!O43/100*prestige_pop_multiplier</f>
        <v>0.05</v>
      </c>
    </row>
    <row r="44" spans="1:29" s="16" customFormat="1" x14ac:dyDescent="0.25">
      <c r="A44" s="982">
        <f>Rezone!J44</f>
        <v>42</v>
      </c>
      <c r="B44" s="587">
        <f>Imps!L44</f>
        <v>43768.427083333234</v>
      </c>
      <c r="C44" s="152">
        <f ca="1">$C43+$W43+Military!BE44 - IF(race="Demon",Military!G43*2,0)</f>
        <v>1845</v>
      </c>
      <c r="D44" s="26">
        <f ca="1">Military!B44</f>
        <v>5295</v>
      </c>
      <c r="E44" s="26">
        <f ca="1">Military!Z44</f>
        <v>5295</v>
      </c>
      <c r="F44" s="26">
        <f t="shared" ca="1" si="2"/>
        <v>7140</v>
      </c>
      <c r="G44" s="27">
        <f t="shared" ca="1" si="3"/>
        <v>0.74159663865546221</v>
      </c>
      <c r="H44" s="592">
        <f t="shared" ca="1" si="4"/>
        <v>1845</v>
      </c>
      <c r="I44" s="165">
        <f t="shared" ca="1" si="5"/>
        <v>1</v>
      </c>
      <c r="J44" s="673">
        <f>SUM(Construction!AY44:BH44,Construction!BJ44:BP44,Construction!BW44:CF44,Construction!CH44:CN44)*building_employment</f>
        <v>3600</v>
      </c>
      <c r="K44" s="633"/>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38">
        <f ca="1">(Overview!$O$15 + Imps!Z44+MAX(Constants!$M$38*Techs!AE44,Constants!$M$50*Techs!AQ44)) * (1 + Production!O44/100*prestige_pop_multiplier) + Production!O44/100*prestige_pop_multiplier</f>
        <v>0.05</v>
      </c>
    </row>
    <row r="45" spans="1:29" s="16" customFormat="1" x14ac:dyDescent="0.25">
      <c r="A45" s="982">
        <f>Rezone!J45</f>
        <v>43</v>
      </c>
      <c r="B45" s="587">
        <f>Imps!L45</f>
        <v>43768.437499999898</v>
      </c>
      <c r="C45" s="152">
        <f ca="1">$C44+$W44+Military!BE45 - IF(race="Demon",Military!G44*2,0)</f>
        <v>1845</v>
      </c>
      <c r="D45" s="26">
        <f ca="1">Military!B45</f>
        <v>5295</v>
      </c>
      <c r="E45" s="26">
        <f ca="1">Military!Z45</f>
        <v>5295</v>
      </c>
      <c r="F45" s="26">
        <f t="shared" ca="1" si="2"/>
        <v>7140</v>
      </c>
      <c r="G45" s="27">
        <f t="shared" ca="1" si="3"/>
        <v>0.74159663865546221</v>
      </c>
      <c r="H45" s="592">
        <f t="shared" ca="1" si="4"/>
        <v>1845</v>
      </c>
      <c r="I45" s="165">
        <f t="shared" ca="1" si="5"/>
        <v>1</v>
      </c>
      <c r="J45" s="673">
        <f>SUM(Construction!AY45:BH45,Construction!BJ45:BP45,Construction!BW45:CF45,Construction!CH45:CN45)*building_employment</f>
        <v>3600</v>
      </c>
      <c r="K45" s="633"/>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38">
        <f ca="1">(Overview!$O$15 + Imps!Z45+MAX(Constants!$M$38*Techs!AE45,Constants!$M$50*Techs!AQ45)) * (1 + Production!O45/100*prestige_pop_multiplier) + Production!O45/100*prestige_pop_multiplier</f>
        <v>0.05</v>
      </c>
    </row>
    <row r="46" spans="1:29" s="16" customFormat="1" x14ac:dyDescent="0.25">
      <c r="A46" s="982">
        <f>Rezone!J46</f>
        <v>44</v>
      </c>
      <c r="B46" s="587">
        <f>Imps!L46</f>
        <v>43768.447916666562</v>
      </c>
      <c r="C46" s="152">
        <f ca="1">$C45+$W45+Military!BE46 - IF(race="Demon",Military!G45*2,0)</f>
        <v>1845</v>
      </c>
      <c r="D46" s="26">
        <f ca="1">Military!B46</f>
        <v>5295</v>
      </c>
      <c r="E46" s="26">
        <f ca="1">Military!Z46</f>
        <v>5295</v>
      </c>
      <c r="F46" s="26">
        <f t="shared" ca="1" si="2"/>
        <v>7140</v>
      </c>
      <c r="G46" s="27">
        <f t="shared" ca="1" si="3"/>
        <v>0.74159663865546221</v>
      </c>
      <c r="H46" s="592">
        <f t="shared" ca="1" si="4"/>
        <v>1845</v>
      </c>
      <c r="I46" s="165">
        <f t="shared" ca="1" si="5"/>
        <v>1</v>
      </c>
      <c r="J46" s="673">
        <f>SUM(Construction!AY46:BH46,Construction!BJ46:BP46,Construction!BW46:CF46,Construction!CH46:CN46)*building_employment</f>
        <v>3600</v>
      </c>
      <c r="K46" s="633"/>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38">
        <f ca="1">(Overview!$O$15 + Imps!Z46+MAX(Constants!$M$38*Techs!AE46,Constants!$M$50*Techs!AQ46)) * (1 + Production!O46/100*prestige_pop_multiplier) + Production!O46/100*prestige_pop_multiplier</f>
        <v>0.05</v>
      </c>
    </row>
    <row r="47" spans="1:29" s="16" customFormat="1" x14ac:dyDescent="0.25">
      <c r="A47" s="982">
        <f>Rezone!J47</f>
        <v>45</v>
      </c>
      <c r="B47" s="587">
        <f>Imps!L47</f>
        <v>43768.458333333227</v>
      </c>
      <c r="C47" s="152">
        <f ca="1">$C46+$W46+Military!BE47 - IF(race="Demon",Military!G46*2,0)</f>
        <v>1845</v>
      </c>
      <c r="D47" s="26">
        <f ca="1">Military!B47</f>
        <v>5295</v>
      </c>
      <c r="E47" s="26">
        <f ca="1">Military!Z47</f>
        <v>5295</v>
      </c>
      <c r="F47" s="26">
        <f t="shared" ca="1" si="2"/>
        <v>7140</v>
      </c>
      <c r="G47" s="27">
        <f t="shared" ca="1" si="3"/>
        <v>0.74159663865546221</v>
      </c>
      <c r="H47" s="592">
        <f t="shared" ca="1" si="4"/>
        <v>1845</v>
      </c>
      <c r="I47" s="165">
        <f t="shared" ca="1" si="5"/>
        <v>1</v>
      </c>
      <c r="J47" s="673">
        <f>SUM(Construction!AY47:BH47,Construction!BJ47:BP47,Construction!BW47:CF47,Construction!CH47:CN47)*building_employment</f>
        <v>3600</v>
      </c>
      <c r="K47" s="633"/>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38">
        <f ca="1">(Overview!$O$15 + Imps!Z47+MAX(Constants!$M$38*Techs!AE47,Constants!$M$50*Techs!AQ47)) * (1 + Production!O47/100*prestige_pop_multiplier) + Production!O47/100*prestige_pop_multiplier</f>
        <v>0.05</v>
      </c>
    </row>
    <row r="48" spans="1:29" s="16" customFormat="1" x14ac:dyDescent="0.25">
      <c r="A48" s="982">
        <f>Rezone!J48</f>
        <v>46</v>
      </c>
      <c r="B48" s="587">
        <f>Imps!L48</f>
        <v>43768.468749999891</v>
      </c>
      <c r="C48" s="152">
        <f ca="1">$C47+$W47+Military!BE48 - IF(race="Demon",Military!G47*2,0)</f>
        <v>1845</v>
      </c>
      <c r="D48" s="26">
        <f ca="1">Military!B48</f>
        <v>5295</v>
      </c>
      <c r="E48" s="26">
        <f ca="1">Military!Z48</f>
        <v>5295</v>
      </c>
      <c r="F48" s="26">
        <f t="shared" ca="1" si="2"/>
        <v>7140</v>
      </c>
      <c r="G48" s="27">
        <f t="shared" ca="1" si="3"/>
        <v>0.74159663865546221</v>
      </c>
      <c r="H48" s="592">
        <f t="shared" ca="1" si="4"/>
        <v>1845</v>
      </c>
      <c r="I48" s="165">
        <f t="shared" ca="1" si="5"/>
        <v>1</v>
      </c>
      <c r="J48" s="673">
        <f>SUM(Construction!AY48:BH48,Construction!BJ48:BP48,Construction!BW48:CF48,Construction!CH48:CN48)*building_employment</f>
        <v>3600</v>
      </c>
      <c r="K48" s="633"/>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38">
        <f ca="1">(Overview!$O$15 + Imps!Z48+MAX(Constants!$M$38*Techs!AE48,Constants!$M$50*Techs!AQ48)) * (1 + Production!O48/100*prestige_pop_multiplier) + Production!O48/100*prestige_pop_multiplier</f>
        <v>0.05</v>
      </c>
    </row>
    <row r="49" spans="1:29" s="16" customFormat="1" x14ac:dyDescent="0.25">
      <c r="A49" s="982">
        <f>Rezone!J49</f>
        <v>47</v>
      </c>
      <c r="B49" s="587">
        <f>Imps!L49</f>
        <v>43768.479166666555</v>
      </c>
      <c r="C49" s="152">
        <f ca="1">$C48+$W48+Military!BE49 - IF(race="Demon",Military!G48*2,0)</f>
        <v>1845</v>
      </c>
      <c r="D49" s="26">
        <f ca="1">Military!B49</f>
        <v>5295</v>
      </c>
      <c r="E49" s="26">
        <f ca="1">Military!Z49</f>
        <v>5295</v>
      </c>
      <c r="F49" s="26">
        <f t="shared" ca="1" si="2"/>
        <v>7140</v>
      </c>
      <c r="G49" s="27">
        <f t="shared" ca="1" si="3"/>
        <v>0.74159663865546221</v>
      </c>
      <c r="H49" s="592">
        <f t="shared" ca="1" si="4"/>
        <v>1845</v>
      </c>
      <c r="I49" s="165">
        <f t="shared" ca="1" si="5"/>
        <v>1</v>
      </c>
      <c r="J49" s="673">
        <f>SUM(Construction!AY49:BH49,Construction!BJ49:BP49,Construction!BW49:CF49,Construction!CH49:CN49)*building_employment</f>
        <v>3600</v>
      </c>
      <c r="K49" s="633"/>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38">
        <f ca="1">(Overview!$O$15 + Imps!Z49+MAX(Constants!$M$38*Techs!AE49,Constants!$M$50*Techs!AQ49)) * (1 + Production!O49/100*prestige_pop_multiplier) + Production!O49/100*prestige_pop_multiplier</f>
        <v>0.05</v>
      </c>
    </row>
    <row r="50" spans="1:29" s="16" customFormat="1" ht="13.8" thickBot="1" x14ac:dyDescent="0.3">
      <c r="A50" s="982">
        <f>Rezone!J50</f>
        <v>48</v>
      </c>
      <c r="B50" s="587">
        <f>Imps!L50</f>
        <v>43768.489583333219</v>
      </c>
      <c r="C50" s="152">
        <f ca="1">$C49+$W49+Military!BE50 - IF(race="Demon",Military!G49*2,0)</f>
        <v>1845</v>
      </c>
      <c r="D50" s="26">
        <f ca="1">Military!B50</f>
        <v>5295</v>
      </c>
      <c r="E50" s="26">
        <f ca="1">Military!Z50</f>
        <v>5295</v>
      </c>
      <c r="F50" s="26">
        <f t="shared" ca="1" si="2"/>
        <v>7140</v>
      </c>
      <c r="G50" s="27">
        <f t="shared" ca="1" si="3"/>
        <v>0.74159663865546221</v>
      </c>
      <c r="H50" s="592">
        <f t="shared" ca="1" si="4"/>
        <v>1845</v>
      </c>
      <c r="I50" s="165">
        <f t="shared" ca="1" si="5"/>
        <v>1</v>
      </c>
      <c r="J50" s="673">
        <f>SUM(Construction!AY50:BH50,Construction!BJ50:BP50,Construction!BW50:CF50,Construction!CH50:CN50)*building_employment</f>
        <v>3600</v>
      </c>
      <c r="K50" s="633"/>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38">
        <f ca="1">(Overview!$O$15 + Imps!Z50+MAX(Constants!$M$38*Techs!AE50,Constants!$M$50*Techs!AQ50)) * (1 + Production!O50/100*prestige_pop_multiplier) + Production!O50/100*prestige_pop_multiplier</f>
        <v>0.05</v>
      </c>
    </row>
    <row r="51" spans="1:29" s="111" customFormat="1" ht="14.4" thickTop="1" thickBot="1" x14ac:dyDescent="0.3">
      <c r="A51" s="986">
        <f>Rezone!J51</f>
        <v>49</v>
      </c>
      <c r="B51" s="589">
        <f>Imps!L51</f>
        <v>43768.499999999884</v>
      </c>
      <c r="C51" s="273">
        <f ca="1">$C50+$W50+Military!BE51 - IF(race="Demon",Military!G50*2,0)</f>
        <v>1845</v>
      </c>
      <c r="D51" s="108">
        <f ca="1">Military!B51</f>
        <v>5295</v>
      </c>
      <c r="E51" s="108">
        <f ca="1">Military!Z51</f>
        <v>5295</v>
      </c>
      <c r="F51" s="108">
        <f t="shared" ca="1" si="2"/>
        <v>7140</v>
      </c>
      <c r="G51" s="114">
        <f t="shared" ca="1" si="3"/>
        <v>0.74159663865546221</v>
      </c>
      <c r="H51" s="595">
        <f t="shared" ca="1" si="4"/>
        <v>1845</v>
      </c>
      <c r="I51" s="540">
        <f t="shared" ca="1" si="5"/>
        <v>1</v>
      </c>
      <c r="J51" s="1052">
        <f>SUM(Construction!AY51:BH51,Construction!BJ51:BP51,Construction!BW51:CF51,Construction!CH51:CN51)*building_employment</f>
        <v>3600</v>
      </c>
      <c r="K51" s="635"/>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0">
        <f ca="1">Overview!$O$16 + IF(Magic!AK51&gt;0,Constants!$F$75) + ROUND(6*(Construction!BL52+Construction!CJ51)/IF(Explore!S52&gt;0,Construction!E52-20,Construction!E52),4)</f>
        <v>0</v>
      </c>
      <c r="AC51" s="541">
        <f ca="1">(Overview!$O$15 + Imps!Z51+MAX(Constants!$M$38*Techs!AE51,Constants!$M$50*Techs!AQ51)) * (1 + Production!O51/100*prestige_pop_multiplier) + Production!O51/100*prestige_pop_multiplier</f>
        <v>0.05</v>
      </c>
    </row>
    <row r="52" spans="1:29" s="16" customFormat="1" ht="13.8" thickTop="1" x14ac:dyDescent="0.25">
      <c r="A52" s="982">
        <f>Rezone!J52</f>
        <v>50</v>
      </c>
      <c r="B52" s="587">
        <f>Imps!L52</f>
        <v>43768.510416666548</v>
      </c>
      <c r="C52" s="152">
        <f ca="1">$C51+$W51+Military!BE52 - IF(race="Demon",Military!G51*2,0)</f>
        <v>1845</v>
      </c>
      <c r="D52" s="26">
        <f ca="1">Military!B52</f>
        <v>5295</v>
      </c>
      <c r="E52" s="26">
        <f ca="1">Military!Z52</f>
        <v>5295</v>
      </c>
      <c r="F52" s="26">
        <f t="shared" ca="1" si="2"/>
        <v>7140</v>
      </c>
      <c r="G52" s="27">
        <f t="shared" ca="1" si="3"/>
        <v>0.74159663865546221</v>
      </c>
      <c r="H52" s="592">
        <f t="shared" ca="1" si="4"/>
        <v>1845</v>
      </c>
      <c r="I52" s="165">
        <f t="shared" ca="1" si="5"/>
        <v>1</v>
      </c>
      <c r="J52" s="673">
        <f>SUM(Construction!AY52:BH52,Construction!BJ52:BP52,Construction!BW52:CF52,Construction!CH52:CN52)*building_employment</f>
        <v>3600</v>
      </c>
      <c r="K52" s="633"/>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38">
        <f ca="1">(Overview!$O$15 + Imps!Z52+MAX(Constants!$M$38*Techs!AE52,Constants!$M$50*Techs!AQ52)) * (1 + Production!O52/100*prestige_pop_multiplier) + Production!O52/100*prestige_pop_multiplier</f>
        <v>0.05</v>
      </c>
    </row>
    <row r="53" spans="1:29" s="16" customFormat="1" x14ac:dyDescent="0.25">
      <c r="A53" s="982">
        <f>Rezone!J53</f>
        <v>51</v>
      </c>
      <c r="B53" s="587">
        <f>Imps!L53</f>
        <v>43768.520833333212</v>
      </c>
      <c r="C53" s="152">
        <f ca="1">$C52+$W52+Military!BE53 - IF(race="Demon",Military!G52*2,0)</f>
        <v>1845</v>
      </c>
      <c r="D53" s="26">
        <f ca="1">Military!B53</f>
        <v>5295</v>
      </c>
      <c r="E53" s="26">
        <f ca="1">Military!Z53</f>
        <v>5295</v>
      </c>
      <c r="F53" s="26">
        <f t="shared" ca="1" si="2"/>
        <v>7140</v>
      </c>
      <c r="G53" s="27">
        <f t="shared" ca="1" si="3"/>
        <v>0.74159663865546221</v>
      </c>
      <c r="H53" s="592">
        <f t="shared" ca="1" si="4"/>
        <v>1845</v>
      </c>
      <c r="I53" s="165">
        <f t="shared" ca="1" si="5"/>
        <v>1</v>
      </c>
      <c r="J53" s="673">
        <f>SUM(Construction!AY53:BH53,Construction!BJ53:BP53,Construction!BW53:CF53,Construction!CH53:CN53)*building_employment</f>
        <v>3600</v>
      </c>
      <c r="K53" s="633"/>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38">
        <f ca="1">(Overview!$O$15 + Imps!Z53+MAX(Constants!$M$38*Techs!AE53,Constants!$M$50*Techs!AQ53)) * (1 + Production!O53/100*prestige_pop_multiplier) + Production!O53/100*prestige_pop_multiplier</f>
        <v>0.05</v>
      </c>
    </row>
    <row r="54" spans="1:29" s="16" customFormat="1" x14ac:dyDescent="0.25">
      <c r="A54" s="982">
        <f>Rezone!J54</f>
        <v>52</v>
      </c>
      <c r="B54" s="587">
        <f>Imps!L54</f>
        <v>43768.531249999876</v>
      </c>
      <c r="C54" s="152">
        <f ca="1">$C53+$W53+Military!BE54 - IF(race="Demon",Military!G53*2,0)</f>
        <v>1845</v>
      </c>
      <c r="D54" s="26">
        <f ca="1">Military!B54</f>
        <v>5295</v>
      </c>
      <c r="E54" s="26">
        <f ca="1">Military!Z54</f>
        <v>5295</v>
      </c>
      <c r="F54" s="26">
        <f t="shared" ca="1" si="2"/>
        <v>7140</v>
      </c>
      <c r="G54" s="27">
        <f t="shared" ca="1" si="3"/>
        <v>0.74159663865546221</v>
      </c>
      <c r="H54" s="592">
        <f t="shared" ca="1" si="4"/>
        <v>1845</v>
      </c>
      <c r="I54" s="165">
        <f t="shared" ca="1" si="5"/>
        <v>1</v>
      </c>
      <c r="J54" s="673">
        <f>SUM(Construction!AY54:BH54,Construction!BJ54:BP54,Construction!BW54:CF54,Construction!CH54:CN54)*building_employment</f>
        <v>3600</v>
      </c>
      <c r="K54" s="633"/>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38">
        <f ca="1">(Overview!$O$15 + Imps!Z54+MAX(Constants!$M$38*Techs!AE54,Constants!$M$50*Techs!AQ54)) * (1 + Production!O54/100*prestige_pop_multiplier) + Production!O54/100*prestige_pop_multiplier</f>
        <v>0.05</v>
      </c>
    </row>
    <row r="55" spans="1:29" s="16" customFormat="1" x14ac:dyDescent="0.25">
      <c r="A55" s="982">
        <f>Rezone!J55</f>
        <v>53</v>
      </c>
      <c r="B55" s="587">
        <f>Imps!L55</f>
        <v>43768.541666666541</v>
      </c>
      <c r="C55" s="152">
        <f ca="1">$C54+$W54+Military!BE55 - IF(race="Demon",Military!G54*2,0)</f>
        <v>1845</v>
      </c>
      <c r="D55" s="26">
        <f ca="1">Military!B55</f>
        <v>5295</v>
      </c>
      <c r="E55" s="26">
        <f ca="1">Military!Z55</f>
        <v>5295</v>
      </c>
      <c r="F55" s="26">
        <f t="shared" ca="1" si="2"/>
        <v>7140</v>
      </c>
      <c r="G55" s="27">
        <f t="shared" ca="1" si="3"/>
        <v>0.74159663865546221</v>
      </c>
      <c r="H55" s="592">
        <f t="shared" ca="1" si="4"/>
        <v>1845</v>
      </c>
      <c r="I55" s="165">
        <f t="shared" ca="1" si="5"/>
        <v>1</v>
      </c>
      <c r="J55" s="673">
        <f>SUM(Construction!AY55:BH55,Construction!BJ55:BP55,Construction!BW55:CF55,Construction!CH55:CN55)*building_employment</f>
        <v>3600</v>
      </c>
      <c r="K55" s="633"/>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38">
        <f ca="1">(Overview!$O$15 + Imps!Z55+MAX(Constants!$M$38*Techs!AE55,Constants!$M$50*Techs!AQ55)) * (1 + Production!O55/100*prestige_pop_multiplier) + Production!O55/100*prestige_pop_multiplier</f>
        <v>0.05</v>
      </c>
    </row>
    <row r="56" spans="1:29" s="16" customFormat="1" x14ac:dyDescent="0.25">
      <c r="A56" s="982">
        <f>Rezone!J56</f>
        <v>54</v>
      </c>
      <c r="B56" s="587">
        <f>Imps!L56</f>
        <v>43768.552083333205</v>
      </c>
      <c r="C56" s="152">
        <f ca="1">$C55+$W55+Military!BE56 - IF(race="Demon",Military!G55*2,0)</f>
        <v>1845</v>
      </c>
      <c r="D56" s="26">
        <f ca="1">Military!B56</f>
        <v>5295</v>
      </c>
      <c r="E56" s="26">
        <f ca="1">Military!Z56</f>
        <v>5295</v>
      </c>
      <c r="F56" s="26">
        <f t="shared" ca="1" si="2"/>
        <v>7140</v>
      </c>
      <c r="G56" s="27">
        <f t="shared" ca="1" si="3"/>
        <v>0.74159663865546221</v>
      </c>
      <c r="H56" s="592">
        <f t="shared" ca="1" si="4"/>
        <v>1845</v>
      </c>
      <c r="I56" s="165">
        <f t="shared" ca="1" si="5"/>
        <v>1</v>
      </c>
      <c r="J56" s="673">
        <f>SUM(Construction!AY56:BH56,Construction!BJ56:BP56,Construction!BW56:CF56,Construction!CH56:CN56)*building_employment</f>
        <v>3600</v>
      </c>
      <c r="K56" s="633"/>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38">
        <f ca="1">(Overview!$O$15 + Imps!Z56+MAX(Constants!$M$38*Techs!AE56,Constants!$M$50*Techs!AQ56)) * (1 + Production!O56/100*prestige_pop_multiplier) + Production!O56/100*prestige_pop_multiplier</f>
        <v>0.05</v>
      </c>
    </row>
    <row r="57" spans="1:29" s="16" customFormat="1" x14ac:dyDescent="0.25">
      <c r="A57" s="982">
        <f>Rezone!J57</f>
        <v>55</v>
      </c>
      <c r="B57" s="587">
        <f>Imps!L57</f>
        <v>43768.562499999869</v>
      </c>
      <c r="C57" s="152">
        <f ca="1">$C56+$W56+Military!BE57 - IF(race="Demon",Military!G56*2,0)</f>
        <v>1845</v>
      </c>
      <c r="D57" s="26">
        <f ca="1">Military!B57</f>
        <v>5295</v>
      </c>
      <c r="E57" s="26">
        <f ca="1">Military!Z57</f>
        <v>5295</v>
      </c>
      <c r="F57" s="26">
        <f t="shared" ca="1" si="2"/>
        <v>7140</v>
      </c>
      <c r="G57" s="27">
        <f t="shared" ca="1" si="3"/>
        <v>0.74159663865546221</v>
      </c>
      <c r="H57" s="592">
        <f t="shared" ca="1" si="4"/>
        <v>1845</v>
      </c>
      <c r="I57" s="165">
        <f t="shared" ca="1" si="5"/>
        <v>1</v>
      </c>
      <c r="J57" s="673">
        <f>SUM(Construction!AY57:BH57,Construction!BJ57:BP57,Construction!BW57:CF57,Construction!CH57:CN57)*building_employment</f>
        <v>3600</v>
      </c>
      <c r="K57" s="633"/>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38">
        <f ca="1">(Overview!$O$15 + Imps!Z57+MAX(Constants!$M$38*Techs!AE57,Constants!$M$50*Techs!AQ57)) * (1 + Production!O57/100*prestige_pop_multiplier) + Production!O57/100*prestige_pop_multiplier</f>
        <v>0.05</v>
      </c>
    </row>
    <row r="58" spans="1:29" s="16" customFormat="1" x14ac:dyDescent="0.25">
      <c r="A58" s="982">
        <f>Rezone!J58</f>
        <v>56</v>
      </c>
      <c r="B58" s="587">
        <f>Imps!L58</f>
        <v>43768.572916666533</v>
      </c>
      <c r="C58" s="152">
        <f ca="1">$C57+$W57+Military!BE58 - IF(race="Demon",Military!G57*2,0)</f>
        <v>1845</v>
      </c>
      <c r="D58" s="26">
        <f ca="1">Military!B58</f>
        <v>5295</v>
      </c>
      <c r="E58" s="26">
        <f ca="1">Military!Z58</f>
        <v>5295</v>
      </c>
      <c r="F58" s="26">
        <f t="shared" ca="1" si="2"/>
        <v>7140</v>
      </c>
      <c r="G58" s="27">
        <f t="shared" ca="1" si="3"/>
        <v>0.74159663865546221</v>
      </c>
      <c r="H58" s="592">
        <f t="shared" ca="1" si="4"/>
        <v>1845</v>
      </c>
      <c r="I58" s="165">
        <f t="shared" ca="1" si="5"/>
        <v>1</v>
      </c>
      <c r="J58" s="673">
        <f>SUM(Construction!AY58:BH58,Construction!BJ58:BP58,Construction!BW58:CF58,Construction!CH58:CN58)*building_employment</f>
        <v>3600</v>
      </c>
      <c r="K58" s="633"/>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38">
        <f ca="1">(Overview!$O$15 + Imps!Z58+MAX(Constants!$M$38*Techs!AE58,Constants!$M$50*Techs!AQ58)) * (1 + Production!O58/100*prestige_pop_multiplier) + Production!O58/100*prestige_pop_multiplier</f>
        <v>0.05</v>
      </c>
    </row>
    <row r="59" spans="1:29" s="16" customFormat="1" x14ac:dyDescent="0.25">
      <c r="A59" s="982">
        <f>Rezone!J59</f>
        <v>57</v>
      </c>
      <c r="B59" s="587">
        <f>Imps!L59</f>
        <v>43768.583333333198</v>
      </c>
      <c r="C59" s="152">
        <f ca="1">$C58+$W58+Military!BE59 - IF(race="Demon",Military!G58*2,0)</f>
        <v>1845</v>
      </c>
      <c r="D59" s="26">
        <f ca="1">Military!B59</f>
        <v>5295</v>
      </c>
      <c r="E59" s="26">
        <f ca="1">Military!Z59</f>
        <v>5295</v>
      </c>
      <c r="F59" s="26">
        <f t="shared" ca="1" si="2"/>
        <v>7140</v>
      </c>
      <c r="G59" s="27">
        <f t="shared" ca="1" si="3"/>
        <v>0.74159663865546221</v>
      </c>
      <c r="H59" s="592">
        <f t="shared" ca="1" si="4"/>
        <v>1845</v>
      </c>
      <c r="I59" s="165">
        <f t="shared" ca="1" si="5"/>
        <v>1</v>
      </c>
      <c r="J59" s="673">
        <f>SUM(Construction!AY59:BH59,Construction!BJ59:BP59,Construction!BW59:CF59,Construction!CH59:CN59)*building_employment</f>
        <v>3600</v>
      </c>
      <c r="K59" s="633"/>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38">
        <f ca="1">(Overview!$O$15 + Imps!Z59+MAX(Constants!$M$38*Techs!AE59,Constants!$M$50*Techs!AQ59)) * (1 + Production!O59/100*prestige_pop_multiplier) + Production!O59/100*prestige_pop_multiplier</f>
        <v>0.05</v>
      </c>
    </row>
    <row r="60" spans="1:29" s="16" customFormat="1" x14ac:dyDescent="0.25">
      <c r="A60" s="982">
        <f>Rezone!J60</f>
        <v>58</v>
      </c>
      <c r="B60" s="587">
        <f>Imps!L60</f>
        <v>43768.593749999862</v>
      </c>
      <c r="C60" s="152">
        <f ca="1">$C59+$W59+Military!BE60 - IF(race="Demon",Military!G59*2,0)</f>
        <v>1845</v>
      </c>
      <c r="D60" s="26">
        <f ca="1">Military!B60</f>
        <v>5295</v>
      </c>
      <c r="E60" s="26">
        <f ca="1">Military!Z60</f>
        <v>5295</v>
      </c>
      <c r="F60" s="26">
        <f t="shared" ca="1" si="2"/>
        <v>7140</v>
      </c>
      <c r="G60" s="27">
        <f t="shared" ca="1" si="3"/>
        <v>0.74159663865546221</v>
      </c>
      <c r="H60" s="592">
        <f t="shared" ca="1" si="4"/>
        <v>1845</v>
      </c>
      <c r="I60" s="165">
        <f t="shared" ca="1" si="5"/>
        <v>1</v>
      </c>
      <c r="J60" s="673">
        <f>SUM(Construction!AY60:BH60,Construction!BJ60:BP60,Construction!BW60:CF60,Construction!CH60:CN60)*building_employment</f>
        <v>3600</v>
      </c>
      <c r="K60" s="633"/>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38">
        <f ca="1">(Overview!$O$15 + Imps!Z60+MAX(Constants!$M$38*Techs!AE60,Constants!$M$50*Techs!AQ60)) * (1 + Production!O60/100*prestige_pop_multiplier) + Production!O60/100*prestige_pop_multiplier</f>
        <v>0.05</v>
      </c>
    </row>
    <row r="61" spans="1:29" s="16" customFormat="1" x14ac:dyDescent="0.25">
      <c r="A61" s="982">
        <f>Rezone!J61</f>
        <v>59</v>
      </c>
      <c r="B61" s="587">
        <f>Imps!L61</f>
        <v>43768.604166666526</v>
      </c>
      <c r="C61" s="152">
        <f ca="1">$C60+$W60+Military!BE61 - IF(race="Demon",Military!G60*2,0)</f>
        <v>1845</v>
      </c>
      <c r="D61" s="26">
        <f ca="1">Military!B61</f>
        <v>5295</v>
      </c>
      <c r="E61" s="26">
        <f ca="1">Military!Z61</f>
        <v>5295</v>
      </c>
      <c r="F61" s="26">
        <f t="shared" ca="1" si="2"/>
        <v>7140</v>
      </c>
      <c r="G61" s="27">
        <f t="shared" ca="1" si="3"/>
        <v>0.74159663865546221</v>
      </c>
      <c r="H61" s="592">
        <f t="shared" ca="1" si="4"/>
        <v>1845</v>
      </c>
      <c r="I61" s="165">
        <f t="shared" ca="1" si="5"/>
        <v>1</v>
      </c>
      <c r="J61" s="673">
        <f>SUM(Construction!AY61:BH61,Construction!BJ61:BP61,Construction!BW61:CF61,Construction!CH61:CN61)*building_employment</f>
        <v>3600</v>
      </c>
      <c r="K61" s="633"/>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38">
        <f ca="1">(Overview!$O$15 + Imps!Z61+MAX(Constants!$M$38*Techs!AE61,Constants!$M$50*Techs!AQ61)) * (1 + Production!O61/100*prestige_pop_multiplier) + Production!O61/100*prestige_pop_multiplier</f>
        <v>0.05</v>
      </c>
    </row>
    <row r="62" spans="1:29" s="16" customFormat="1" x14ac:dyDescent="0.25">
      <c r="A62" s="982">
        <f>Rezone!J62</f>
        <v>60</v>
      </c>
      <c r="B62" s="587">
        <f>Imps!L62</f>
        <v>43768.61458333319</v>
      </c>
      <c r="C62" s="152">
        <f ca="1">$C61+$W61+Military!BE62 - IF(race="Demon",Military!G61*2,0)</f>
        <v>1845</v>
      </c>
      <c r="D62" s="26">
        <f ca="1">Military!B62</f>
        <v>5295</v>
      </c>
      <c r="E62" s="26">
        <f ca="1">Military!Z62</f>
        <v>5295</v>
      </c>
      <c r="F62" s="26">
        <f t="shared" ca="1" si="2"/>
        <v>7140</v>
      </c>
      <c r="G62" s="27">
        <f t="shared" ca="1" si="3"/>
        <v>0.74159663865546221</v>
      </c>
      <c r="H62" s="592">
        <f t="shared" ca="1" si="4"/>
        <v>1845</v>
      </c>
      <c r="I62" s="165">
        <f t="shared" ca="1" si="5"/>
        <v>1</v>
      </c>
      <c r="J62" s="673">
        <f>SUM(Construction!AY62:BH62,Construction!BJ62:BP62,Construction!BW62:CF62,Construction!CH62:CN62)*building_employment</f>
        <v>3600</v>
      </c>
      <c r="K62" s="633"/>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38">
        <f ca="1">(Overview!$O$15 + Imps!Z62+MAX(Constants!$M$38*Techs!AE62,Constants!$M$50*Techs!AQ62)) * (1 + Production!O62/100*prestige_pop_multiplier) + Production!O62/100*prestige_pop_multiplier</f>
        <v>0.05</v>
      </c>
    </row>
    <row r="63" spans="1:29" s="12" customFormat="1" x14ac:dyDescent="0.25">
      <c r="A63" s="985">
        <f>Rezone!J63</f>
        <v>61</v>
      </c>
      <c r="B63" s="586">
        <f>Imps!L63</f>
        <v>43768.624999999854</v>
      </c>
      <c r="C63" s="151">
        <f ca="1">$C62+$W62+Military!BE63 - IF(race="Demon",Military!G62*2,0)</f>
        <v>1845</v>
      </c>
      <c r="D63" s="13">
        <f ca="1">Military!B63</f>
        <v>5295</v>
      </c>
      <c r="E63" s="13">
        <f ca="1">Military!Z63</f>
        <v>5295</v>
      </c>
      <c r="F63" s="13">
        <f t="shared" ca="1" si="2"/>
        <v>7140</v>
      </c>
      <c r="G63" s="14">
        <f t="shared" ca="1" si="3"/>
        <v>0.74159663865546221</v>
      </c>
      <c r="H63" s="594">
        <f t="shared" ca="1" si="4"/>
        <v>1845</v>
      </c>
      <c r="I63" s="154">
        <f t="shared" ca="1" si="5"/>
        <v>1</v>
      </c>
      <c r="J63" s="1050">
        <f>SUM(Construction!AY63:BH63,Construction!BJ63:BP63,Construction!BW63:CF63,Construction!CH63:CN63)*building_employment</f>
        <v>3600</v>
      </c>
      <c r="K63" s="751"/>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x14ac:dyDescent="0.25">
      <c r="A64" s="982">
        <f>Rezone!J64</f>
        <v>62</v>
      </c>
      <c r="B64" s="587">
        <f>Imps!L64</f>
        <v>43768.635416666519</v>
      </c>
      <c r="C64" s="152">
        <f ca="1">$C63+$W63+Military!BE64 - IF(race="Demon",Military!G63*2,0)</f>
        <v>1845</v>
      </c>
      <c r="D64" s="26">
        <f ca="1">Military!B64</f>
        <v>5295</v>
      </c>
      <c r="E64" s="26">
        <f ca="1">Military!Z64</f>
        <v>5295</v>
      </c>
      <c r="F64" s="26">
        <f t="shared" ca="1" si="2"/>
        <v>7140</v>
      </c>
      <c r="G64" s="27">
        <f t="shared" ca="1" si="3"/>
        <v>0.74159663865546221</v>
      </c>
      <c r="H64" s="592">
        <f t="shared" ca="1" si="4"/>
        <v>1845</v>
      </c>
      <c r="I64" s="165">
        <f t="shared" ca="1" si="5"/>
        <v>1</v>
      </c>
      <c r="J64" s="673">
        <f>SUM(Construction!AY64:BH64,Construction!BJ64:BP64,Construction!BW64:CF64,Construction!CH64:CN64)*building_employment</f>
        <v>3600</v>
      </c>
      <c r="K64" s="633"/>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38">
        <f ca="1">(Overview!$O$15 + Imps!Z64+MAX(Constants!$M$38*Techs!AE64,Constants!$M$50*Techs!AQ64)) * (1 + Production!O64/100*prestige_pop_multiplier) + Production!O64/100*prestige_pop_multiplier</f>
        <v>0.05</v>
      </c>
    </row>
    <row r="65" spans="1:29" s="16" customFormat="1" x14ac:dyDescent="0.25">
      <c r="A65" s="982">
        <f>Rezone!J65</f>
        <v>63</v>
      </c>
      <c r="B65" s="587">
        <f>Imps!L65</f>
        <v>43768.645833333183</v>
      </c>
      <c r="C65" s="152">
        <f ca="1">$C64+$W64+Military!BE65 - IF(race="Demon",Military!G64*2,0)</f>
        <v>1845</v>
      </c>
      <c r="D65" s="26">
        <f ca="1">Military!B65</f>
        <v>5295</v>
      </c>
      <c r="E65" s="26">
        <f ca="1">Military!Z65</f>
        <v>5295</v>
      </c>
      <c r="F65" s="26">
        <f t="shared" ca="1" si="2"/>
        <v>7140</v>
      </c>
      <c r="G65" s="27">
        <f t="shared" ca="1" si="3"/>
        <v>0.74159663865546221</v>
      </c>
      <c r="H65" s="592">
        <f t="shared" ca="1" si="4"/>
        <v>1845</v>
      </c>
      <c r="I65" s="165">
        <f t="shared" ca="1" si="5"/>
        <v>1</v>
      </c>
      <c r="J65" s="673">
        <f>SUM(Construction!AY65:BH65,Construction!BJ65:BP65,Construction!BW65:CF65,Construction!CH65:CN65)*building_employment</f>
        <v>3600</v>
      </c>
      <c r="K65" s="633"/>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38">
        <f ca="1">(Overview!$O$15 + Imps!Z65+MAX(Constants!$M$38*Techs!AE65,Constants!$M$50*Techs!AQ65)) * (1 + Production!O65/100*prestige_pop_multiplier) + Production!O65/100*prestige_pop_multiplier</f>
        <v>0.05</v>
      </c>
    </row>
    <row r="66" spans="1:29" s="16" customFormat="1" x14ac:dyDescent="0.25">
      <c r="A66" s="982">
        <f>Rezone!J66</f>
        <v>64</v>
      </c>
      <c r="B66" s="587">
        <f>Imps!L66</f>
        <v>43768.656249999847</v>
      </c>
      <c r="C66" s="152">
        <f ca="1">$C65+$W65+Military!BE66 - IF(race="Demon",Military!G65*2,0)</f>
        <v>1845</v>
      </c>
      <c r="D66" s="26">
        <f ca="1">Military!B66</f>
        <v>5295</v>
      </c>
      <c r="E66" s="26">
        <f ca="1">Military!Z66</f>
        <v>5295</v>
      </c>
      <c r="F66" s="26">
        <f t="shared" ca="1" si="2"/>
        <v>7140</v>
      </c>
      <c r="G66" s="27">
        <f t="shared" ca="1" si="3"/>
        <v>0.74159663865546221</v>
      </c>
      <c r="H66" s="592">
        <f t="shared" ca="1" si="4"/>
        <v>1845</v>
      </c>
      <c r="I66" s="165">
        <f t="shared" ca="1" si="5"/>
        <v>1</v>
      </c>
      <c r="J66" s="673">
        <f>SUM(Construction!AY66:BH66,Construction!BJ66:BP66,Construction!BW66:CF66,Construction!CH66:CN66)*building_employment</f>
        <v>3600</v>
      </c>
      <c r="K66" s="633"/>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38">
        <f ca="1">(Overview!$O$15 + Imps!Z66+MAX(Constants!$M$38*Techs!AE66,Constants!$M$50*Techs!AQ66)) * (1 + Production!O66/100*prestige_pop_multiplier) + Production!O66/100*prestige_pop_multiplier</f>
        <v>0.05</v>
      </c>
    </row>
    <row r="67" spans="1:29" s="16" customFormat="1" x14ac:dyDescent="0.25">
      <c r="A67" s="982">
        <f>Rezone!J67</f>
        <v>65</v>
      </c>
      <c r="B67" s="587">
        <f>Imps!L67</f>
        <v>43768.666666666511</v>
      </c>
      <c r="C67" s="152">
        <f ca="1">$C66+$W66+Military!BE67 - IF(race="Demon",Military!G66*2,0)</f>
        <v>1845</v>
      </c>
      <c r="D67" s="26">
        <f ca="1">Military!B67</f>
        <v>5295</v>
      </c>
      <c r="E67" s="26">
        <f ca="1">Military!Z67</f>
        <v>5295</v>
      </c>
      <c r="F67" s="26">
        <f t="shared" ca="1" si="2"/>
        <v>7140</v>
      </c>
      <c r="G67" s="27">
        <f t="shared" ca="1" si="3"/>
        <v>0.74159663865546221</v>
      </c>
      <c r="H67" s="592">
        <f t="shared" ca="1" si="4"/>
        <v>1845</v>
      </c>
      <c r="I67" s="165">
        <f t="shared" ca="1" si="5"/>
        <v>1</v>
      </c>
      <c r="J67" s="673">
        <f>SUM(Construction!AY67:BH67,Construction!BJ67:BP67,Construction!BW67:CF67,Construction!CH67:CN67)*building_employment</f>
        <v>3600</v>
      </c>
      <c r="K67" s="633"/>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38">
        <f ca="1">(Overview!$O$15 + Imps!Z67+MAX(Constants!$M$38*Techs!AE67,Constants!$M$50*Techs!AQ67)) * (1 + Production!O67/100*prestige_pop_multiplier) + Production!O67/100*prestige_pop_multiplier</f>
        <v>0.05</v>
      </c>
    </row>
    <row r="68" spans="1:29" s="16" customFormat="1" x14ac:dyDescent="0.25">
      <c r="A68" s="982">
        <f>Rezone!J68</f>
        <v>66</v>
      </c>
      <c r="B68" s="587">
        <f>Imps!L68</f>
        <v>43768.677083333176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2">
        <f t="shared" ref="H68:H131" ca="1" si="12">MIN(C68,J68)</f>
        <v>1845</v>
      </c>
      <c r="I68" s="165">
        <f t="shared" ref="I68:I131" ca="1" si="13">MIN(J69/C68,1)</f>
        <v>1</v>
      </c>
      <c r="J68" s="673">
        <f>SUM(Construction!AY68:BH68,Construction!BJ68:BP68,Construction!BW68:CF68,Construction!CH68:CN68)*building_employment</f>
        <v>3600</v>
      </c>
      <c r="K68" s="633"/>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38">
        <f ca="1">(Overview!$O$15 + Imps!Z68+MAX(Constants!$M$38*Techs!AE68,Constants!$M$50*Techs!AQ68)) * (1 + Production!O68/100*prestige_pop_multiplier) + Production!O68/100*prestige_pop_multiplier</f>
        <v>0.05</v>
      </c>
    </row>
    <row r="69" spans="1:29" s="16" customFormat="1" x14ac:dyDescent="0.25">
      <c r="A69" s="982">
        <f>Rezone!J69</f>
        <v>67</v>
      </c>
      <c r="B69" s="587">
        <f>Imps!L69</f>
        <v>43768.68749999984</v>
      </c>
      <c r="C69" s="152">
        <f ca="1">$C68+$W68+Military!BE69 - IF(race="Demon",Military!G68*2,0)</f>
        <v>1845</v>
      </c>
      <c r="D69" s="26">
        <f ca="1">Military!B69</f>
        <v>5295</v>
      </c>
      <c r="E69" s="26">
        <f ca="1">Military!Z69</f>
        <v>5295</v>
      </c>
      <c r="F69" s="26">
        <f t="shared" ca="1" si="10"/>
        <v>7140</v>
      </c>
      <c r="G69" s="27">
        <f t="shared" ca="1" si="11"/>
        <v>0.74159663865546221</v>
      </c>
      <c r="H69" s="592">
        <f t="shared" ca="1" si="12"/>
        <v>1845</v>
      </c>
      <c r="I69" s="165">
        <f t="shared" ca="1" si="13"/>
        <v>1</v>
      </c>
      <c r="J69" s="673">
        <f>SUM(Construction!AY69:BH69,Construction!BJ69:BP69,Construction!BW69:CF69,Construction!CH69:CN69)*building_employment</f>
        <v>3600</v>
      </c>
      <c r="K69" s="633"/>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38">
        <f ca="1">(Overview!$O$15 + Imps!Z69+MAX(Constants!$M$38*Techs!AE69,Constants!$M$50*Techs!AQ69)) * (1 + Production!O69/100*prestige_pop_multiplier) + Production!O69/100*prestige_pop_multiplier</f>
        <v>0.05</v>
      </c>
    </row>
    <row r="70" spans="1:29" s="16" customFormat="1" x14ac:dyDescent="0.25">
      <c r="A70" s="982">
        <f>Rezone!J70</f>
        <v>68</v>
      </c>
      <c r="B70" s="587">
        <f>Imps!L70</f>
        <v>43768.697916666504</v>
      </c>
      <c r="C70" s="152">
        <f ca="1">$C69+$W69+Military!BE70 - IF(race="Demon",Military!G69*2,0)</f>
        <v>1845</v>
      </c>
      <c r="D70" s="26">
        <f ca="1">Military!B70</f>
        <v>5295</v>
      </c>
      <c r="E70" s="26">
        <f ca="1">Military!Z70</f>
        <v>5295</v>
      </c>
      <c r="F70" s="26">
        <f t="shared" ca="1" si="10"/>
        <v>7140</v>
      </c>
      <c r="G70" s="27">
        <f t="shared" ca="1" si="11"/>
        <v>0.74159663865546221</v>
      </c>
      <c r="H70" s="592">
        <f t="shared" ca="1" si="12"/>
        <v>1845</v>
      </c>
      <c r="I70" s="165">
        <f t="shared" ca="1" si="13"/>
        <v>1</v>
      </c>
      <c r="J70" s="673">
        <f>SUM(Construction!AY70:BH70,Construction!BJ70:BP70,Construction!BW70:CF70,Construction!CH70:CN70)*building_employment</f>
        <v>3600</v>
      </c>
      <c r="K70" s="633"/>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38">
        <f ca="1">(Overview!$O$15 + Imps!Z70+MAX(Constants!$M$38*Techs!AE70,Constants!$M$50*Techs!AQ70)) * (1 + Production!O70/100*prestige_pop_multiplier) + Production!O70/100*prestige_pop_multiplier</f>
        <v>0.05</v>
      </c>
    </row>
    <row r="71" spans="1:29" s="16" customFormat="1" x14ac:dyDescent="0.25">
      <c r="A71" s="982">
        <f>Rezone!J71</f>
        <v>69</v>
      </c>
      <c r="B71" s="587">
        <f>Imps!L71</f>
        <v>43768.708333333168</v>
      </c>
      <c r="C71" s="152">
        <f ca="1">$C70+$W70+Military!BE71 - IF(race="Demon",Military!G70*2,0)</f>
        <v>1845</v>
      </c>
      <c r="D71" s="26">
        <f ca="1">Military!B71</f>
        <v>5295</v>
      </c>
      <c r="E71" s="26">
        <f ca="1">Military!Z71</f>
        <v>5295</v>
      </c>
      <c r="F71" s="26">
        <f t="shared" ca="1" si="10"/>
        <v>7140</v>
      </c>
      <c r="G71" s="27">
        <f t="shared" ca="1" si="11"/>
        <v>0.74159663865546221</v>
      </c>
      <c r="H71" s="592">
        <f t="shared" ca="1" si="12"/>
        <v>1845</v>
      </c>
      <c r="I71" s="165">
        <f t="shared" ca="1" si="13"/>
        <v>1</v>
      </c>
      <c r="J71" s="673">
        <f>SUM(Construction!AY71:BH71,Construction!BJ71:BP71,Construction!BW71:CF71,Construction!CH71:CN71)*building_employment</f>
        <v>3600</v>
      </c>
      <c r="K71" s="633"/>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38">
        <f ca="1">(Overview!$O$15 + Imps!Z71+MAX(Constants!$M$38*Techs!AE71,Constants!$M$50*Techs!AQ71)) * (1 + Production!O71/100*prestige_pop_multiplier) + Production!O71/100*prestige_pop_multiplier</f>
        <v>0.05</v>
      </c>
    </row>
    <row r="72" spans="1:29" s="16" customFormat="1" x14ac:dyDescent="0.25">
      <c r="A72" s="982">
        <f>Rezone!J72</f>
        <v>70</v>
      </c>
      <c r="B72" s="587">
        <f>Imps!L72</f>
        <v>43768.718749999833</v>
      </c>
      <c r="C72" s="152">
        <f ca="1">$C71+$W71+Military!BE72 - IF(race="Demon",Military!G71*2,0)</f>
        <v>1845</v>
      </c>
      <c r="D72" s="26">
        <f ca="1">Military!B72</f>
        <v>5295</v>
      </c>
      <c r="E72" s="26">
        <f ca="1">Military!Z72</f>
        <v>5295</v>
      </c>
      <c r="F72" s="26">
        <f t="shared" ca="1" si="10"/>
        <v>7140</v>
      </c>
      <c r="G72" s="27">
        <f t="shared" ca="1" si="11"/>
        <v>0.74159663865546221</v>
      </c>
      <c r="H72" s="592">
        <f t="shared" ca="1" si="12"/>
        <v>1845</v>
      </c>
      <c r="I72" s="165">
        <f t="shared" ca="1" si="13"/>
        <v>1</v>
      </c>
      <c r="J72" s="673">
        <f>SUM(Construction!AY72:BH72,Construction!BJ72:BP72,Construction!BW72:CF72,Construction!CH72:CN72)*building_employment</f>
        <v>3600</v>
      </c>
      <c r="K72" s="633"/>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38">
        <f ca="1">(Overview!$O$15 + Imps!Z72+MAX(Constants!$M$38*Techs!AE72,Constants!$M$50*Techs!AQ72)) * (1 + Production!O72/100*prestige_pop_multiplier) + Production!O72/100*prestige_pop_multiplier</f>
        <v>0.05</v>
      </c>
    </row>
    <row r="73" spans="1:29" s="16" customFormat="1" x14ac:dyDescent="0.25">
      <c r="A73" s="982">
        <f>Rezone!J73</f>
        <v>71</v>
      </c>
      <c r="B73" s="587">
        <f>Imps!L73</f>
        <v>43768.729166666497</v>
      </c>
      <c r="C73" s="152">
        <f ca="1">$C72+$W72+Military!BE73 - IF(race="Demon",Military!G72*2,0)</f>
        <v>1845</v>
      </c>
      <c r="D73" s="26">
        <f ca="1">Military!B73</f>
        <v>5295</v>
      </c>
      <c r="E73" s="26">
        <f ca="1">Military!Z73</f>
        <v>5295</v>
      </c>
      <c r="F73" s="26">
        <f t="shared" ca="1" si="10"/>
        <v>7140</v>
      </c>
      <c r="G73" s="27">
        <f t="shared" ca="1" si="11"/>
        <v>0.74159663865546221</v>
      </c>
      <c r="H73" s="592">
        <f t="shared" ca="1" si="12"/>
        <v>1845</v>
      </c>
      <c r="I73" s="165">
        <f t="shared" ca="1" si="13"/>
        <v>1</v>
      </c>
      <c r="J73" s="673">
        <f>SUM(Construction!AY73:BH73,Construction!BJ73:BP73,Construction!BW73:CF73,Construction!CH73:CN73)*building_employment</f>
        <v>3600</v>
      </c>
      <c r="K73" s="633"/>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38">
        <f ca="1">(Overview!$O$15 + Imps!Z73+MAX(Constants!$M$38*Techs!AE73,Constants!$M$50*Techs!AQ73)) * (1 + Production!O73/100*prestige_pop_multiplier) + Production!O73/100*prestige_pop_multiplier</f>
        <v>0.05</v>
      </c>
    </row>
    <row r="74" spans="1:29" s="16" customFormat="1" ht="13.8" thickBot="1" x14ac:dyDescent="0.3">
      <c r="A74" s="982">
        <f>Rezone!J74</f>
        <v>72</v>
      </c>
      <c r="B74" s="587">
        <f>Imps!L74</f>
        <v>43768.739583333161</v>
      </c>
      <c r="C74" s="152">
        <f ca="1">$C73+$W73+Military!BE74 - IF(race="Demon",Military!G73*2,0)</f>
        <v>1845</v>
      </c>
      <c r="D74" s="26">
        <f ca="1">Military!B74</f>
        <v>5295</v>
      </c>
      <c r="E74" s="26">
        <f ca="1">Military!Z74</f>
        <v>5295</v>
      </c>
      <c r="F74" s="26">
        <f t="shared" ca="1" si="10"/>
        <v>7140</v>
      </c>
      <c r="G74" s="27">
        <f t="shared" ca="1" si="11"/>
        <v>0.74159663865546221</v>
      </c>
      <c r="H74" s="592">
        <f t="shared" ca="1" si="12"/>
        <v>1845</v>
      </c>
      <c r="I74" s="165">
        <f t="shared" ca="1" si="13"/>
        <v>1</v>
      </c>
      <c r="J74" s="673">
        <f>SUM(Construction!AY74:BH74,Construction!BJ74:BP74,Construction!BW74:CF74,Construction!CH74:CN74)*building_employment</f>
        <v>3600</v>
      </c>
      <c r="K74" s="633"/>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38">
        <f ca="1">(Overview!$O$15 + Imps!Z74+MAX(Constants!$M$38*Techs!AE74,Constants!$M$50*Techs!AQ74)) * (1 + Production!O74/100*prestige_pop_multiplier) + Production!O74/100*prestige_pop_multiplier</f>
        <v>0.05</v>
      </c>
    </row>
    <row r="75" spans="1:29" s="599" customFormat="1" ht="14.4" thickTop="1" thickBot="1" x14ac:dyDescent="0.3">
      <c r="A75" s="987">
        <f>Rezone!J75</f>
        <v>73</v>
      </c>
      <c r="B75" s="615">
        <f>Imps!L75</f>
        <v>43768.749999999825</v>
      </c>
      <c r="C75" s="1189">
        <f ca="1">$C74+$W74+Military!BE75 - IF(race="Demon",Military!G74*2,0)</f>
        <v>1845</v>
      </c>
      <c r="D75" s="598">
        <f ca="1">Military!B75</f>
        <v>5295</v>
      </c>
      <c r="E75" s="598">
        <f ca="1">Military!Z75</f>
        <v>5295</v>
      </c>
      <c r="F75" s="598">
        <f t="shared" ca="1" si="10"/>
        <v>7140</v>
      </c>
      <c r="G75" s="605">
        <f t="shared" ca="1" si="11"/>
        <v>0.74159663865546221</v>
      </c>
      <c r="H75" s="623">
        <f t="shared" ca="1" si="12"/>
        <v>1845</v>
      </c>
      <c r="I75" s="605">
        <f t="shared" ca="1" si="13"/>
        <v>1</v>
      </c>
      <c r="J75" s="1148">
        <f>SUM(Construction!AY75:BH75,Construction!BJ75:BP75,Construction!BW75:CF75,Construction!CH75:CN75)*building_employment</f>
        <v>3600</v>
      </c>
      <c r="K75" s="609"/>
      <c r="L75" s="597">
        <f ca="1">Military!$Z75</f>
        <v>5295</v>
      </c>
      <c r="M75" s="598">
        <f>Military!E75</f>
        <v>0</v>
      </c>
      <c r="N75" s="598">
        <f>Military!F75</f>
        <v>0</v>
      </c>
      <c r="O75" s="598">
        <f>Military!G75</f>
        <v>0</v>
      </c>
      <c r="P75" s="598">
        <f>Military!H75</f>
        <v>0</v>
      </c>
      <c r="Q75" s="598">
        <f>Military!I75</f>
        <v>0</v>
      </c>
      <c r="R75" s="677">
        <f>Military!J75</f>
        <v>0</v>
      </c>
      <c r="S75" s="596">
        <f>Military!K75</f>
        <v>0</v>
      </c>
      <c r="T75" s="607"/>
      <c r="U75" s="597">
        <f ca="1">ROUND($V75*(1+$AC75),0)+MIN(D75-E75-SUM(Military!AF75:AL75),barracks_size*Construction!BI75)</f>
        <v>7140</v>
      </c>
      <c r="V75" s="596">
        <f>(Construction!AX75+Construction!BV75)*pop_in_home+(SUM(Construction!AY75:BP75)+Construction!C75-Construction!BI75)*pop_in_building+(SUM(Construction!F75:L75)-Explore!S75*20)*pop_on_barren-(SUM(Construction!N75:AF75)-SUM(Construction!BW75:CN75))*(15-pop_on_barren)-pop_on_barren*Construction!BV75</f>
        <v>6800</v>
      </c>
      <c r="W75" s="597">
        <f t="shared" ca="1" si="14"/>
        <v>0</v>
      </c>
      <c r="X75" s="598">
        <f t="shared" ca="1" si="8"/>
        <v>55</v>
      </c>
      <c r="Y75" s="598">
        <f t="shared" ca="1" si="9"/>
        <v>55.35</v>
      </c>
      <c r="Z75" s="596">
        <f ca="1">IF(G75&lt;Military!Y75, ROUND($C75*IF(Magic!AW75=0,Constants!$B$51,Constants!$B$51*2),0), 0)</f>
        <v>0</v>
      </c>
      <c r="AA75" s="611"/>
      <c r="AB75" s="624">
        <f ca="1">Overview!$O$16 + IF(Magic!AK75&gt;0,Constants!$F$75) + ROUND(6*(Construction!BL76+Construction!CJ75)/IF(Explore!S76&gt;0,Construction!E76-20,Construction!E76),4)</f>
        <v>0</v>
      </c>
      <c r="AC75" s="1156">
        <f ca="1">(Overview!$O$15 + Imps!Z75+MAX(Constants!$M$38*Techs!AE75,Constants!$M$50*Techs!AQ75)) * (1 + Production!O75/100*prestige_pop_multiplier) + Production!O75/100*prestige_pop_multiplier</f>
        <v>0.05</v>
      </c>
    </row>
    <row r="76" spans="1:29" s="170" customFormat="1" ht="13.8" thickTop="1" x14ac:dyDescent="0.25">
      <c r="A76" s="981">
        <f>Rezone!J76</f>
        <v>74</v>
      </c>
      <c r="B76" s="587">
        <f>Imps!L76</f>
        <v>43768.76041666649</v>
      </c>
      <c r="C76" s="152">
        <f ca="1">$C75+$W75+Military!BE76 - IF(race="Demon",Military!G75*2,0)</f>
        <v>1845</v>
      </c>
      <c r="D76" s="164">
        <f ca="1">Military!B76</f>
        <v>5295</v>
      </c>
      <c r="E76" s="164">
        <f ca="1">Military!Z76</f>
        <v>5295</v>
      </c>
      <c r="F76" s="164">
        <f t="shared" ca="1" si="10"/>
        <v>7140</v>
      </c>
      <c r="G76" s="165">
        <f t="shared" ca="1" si="11"/>
        <v>0.74159663865546221</v>
      </c>
      <c r="H76" s="591">
        <f t="shared" ca="1" si="12"/>
        <v>1845</v>
      </c>
      <c r="I76" s="165">
        <f t="shared" ca="1" si="13"/>
        <v>1</v>
      </c>
      <c r="J76" s="673">
        <f>SUM(Construction!AY76:BH76,Construction!BJ76:BP76,Construction!BW76:CF76,Construction!CH76:CN76)*building_employment</f>
        <v>3600</v>
      </c>
      <c r="K76" s="632"/>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38">
        <f ca="1">(Overview!$O$15 + Imps!Z76+MAX(Constants!$M$38*Techs!AE76,Constants!$M$50*Techs!AQ76)) * (1 + Production!O76/100*prestige_pop_multiplier) + Production!O76/100*prestige_pop_multiplier</f>
        <v>0.05</v>
      </c>
    </row>
    <row r="77" spans="1:29" s="170" customFormat="1" x14ac:dyDescent="0.25">
      <c r="A77" s="981">
        <f>Rezone!J77</f>
        <v>75</v>
      </c>
      <c r="B77" s="587">
        <f>Imps!L77</f>
        <v>43768.770833333154</v>
      </c>
      <c r="C77" s="152">
        <f ca="1">$C76+$W76+Military!BE77 - IF(race="Demon",Military!G76*2,0)</f>
        <v>1845</v>
      </c>
      <c r="D77" s="164">
        <f ca="1">Military!B77</f>
        <v>5295</v>
      </c>
      <c r="E77" s="164">
        <f ca="1">Military!Z77</f>
        <v>5295</v>
      </c>
      <c r="F77" s="164">
        <f t="shared" ca="1" si="10"/>
        <v>7140</v>
      </c>
      <c r="G77" s="165">
        <f t="shared" ca="1" si="11"/>
        <v>0.74159663865546221</v>
      </c>
      <c r="H77" s="591">
        <f t="shared" ca="1" si="12"/>
        <v>1845</v>
      </c>
      <c r="I77" s="165">
        <f t="shared" ca="1" si="13"/>
        <v>1</v>
      </c>
      <c r="J77" s="673">
        <f>SUM(Construction!AY77:BH77,Construction!BJ77:BP77,Construction!BW77:CF77,Construction!CH77:CN77)*building_employment</f>
        <v>3600</v>
      </c>
      <c r="K77" s="632"/>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38">
        <f ca="1">(Overview!$O$15 + Imps!Z77+MAX(Constants!$M$38*Techs!AE77,Constants!$M$50*Techs!AQ77)) * (1 + Production!O77/100*prestige_pop_multiplier) + Production!O77/100*prestige_pop_multiplier</f>
        <v>0.05</v>
      </c>
    </row>
    <row r="78" spans="1:29" s="16" customFormat="1" x14ac:dyDescent="0.25">
      <c r="A78" s="982">
        <f>Rezone!J78</f>
        <v>76</v>
      </c>
      <c r="B78" s="587">
        <f>Imps!L78</f>
        <v>43768.781249999818</v>
      </c>
      <c r="C78" s="152">
        <f ca="1">$C77+$W77+Military!BE78 - IF(race="Demon",Military!G77*2,0)</f>
        <v>1845</v>
      </c>
      <c r="D78" s="26">
        <f ca="1">Military!B78</f>
        <v>5295</v>
      </c>
      <c r="E78" s="26">
        <f ca="1">Military!Z78</f>
        <v>5295</v>
      </c>
      <c r="F78" s="26">
        <f t="shared" ca="1" si="10"/>
        <v>7140</v>
      </c>
      <c r="G78" s="27">
        <f t="shared" ca="1" si="11"/>
        <v>0.74159663865546221</v>
      </c>
      <c r="H78" s="592">
        <f t="shared" ca="1" si="12"/>
        <v>1845</v>
      </c>
      <c r="I78" s="165">
        <f t="shared" ca="1" si="13"/>
        <v>1</v>
      </c>
      <c r="J78" s="673">
        <f>SUM(Construction!AY78:BH78,Construction!BJ78:BP78,Construction!BW78:CF78,Construction!CH78:CN78)*building_employment</f>
        <v>3600</v>
      </c>
      <c r="K78" s="633"/>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38">
        <f ca="1">(Overview!$O$15 + Imps!Z78+MAX(Constants!$M$38*Techs!AE78,Constants!$M$50*Techs!AQ78)) * (1 + Production!O78/100*prestige_pop_multiplier) + Production!O78/100*prestige_pop_multiplier</f>
        <v>0.05</v>
      </c>
    </row>
    <row r="79" spans="1:29" s="16" customFormat="1" x14ac:dyDescent="0.25">
      <c r="A79" s="982">
        <f>Rezone!J79</f>
        <v>77</v>
      </c>
      <c r="B79" s="587">
        <f>Imps!L79</f>
        <v>43768.791666666482</v>
      </c>
      <c r="C79" s="152">
        <f ca="1">$C78+$W78+Military!BE79 - IF(race="Demon",Military!G78*2,0)</f>
        <v>1845</v>
      </c>
      <c r="D79" s="26">
        <f ca="1">Military!B79</f>
        <v>5295</v>
      </c>
      <c r="E79" s="26">
        <f ca="1">Military!Z79</f>
        <v>5295</v>
      </c>
      <c r="F79" s="26">
        <f t="shared" ca="1" si="10"/>
        <v>7140</v>
      </c>
      <c r="G79" s="27">
        <f t="shared" ca="1" si="11"/>
        <v>0.74159663865546221</v>
      </c>
      <c r="H79" s="592">
        <f t="shared" ca="1" si="12"/>
        <v>1845</v>
      </c>
      <c r="I79" s="165">
        <f t="shared" ca="1" si="13"/>
        <v>1</v>
      </c>
      <c r="J79" s="673">
        <f>SUM(Construction!AY79:BH79,Construction!BJ79:BP79,Construction!BW79:CF79,Construction!CH79:CN79)*building_employment</f>
        <v>3600</v>
      </c>
      <c r="K79" s="633"/>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38">
        <f ca="1">(Overview!$O$15 + Imps!Z79+MAX(Constants!$M$38*Techs!AE79,Constants!$M$50*Techs!AQ79)) * (1 + Production!O79/100*prestige_pop_multiplier) + Production!O79/100*prestige_pop_multiplier</f>
        <v>0.05</v>
      </c>
    </row>
    <row r="80" spans="1:29" s="16" customFormat="1" x14ac:dyDescent="0.25">
      <c r="A80" s="982">
        <f>Rezone!J80</f>
        <v>78</v>
      </c>
      <c r="B80" s="587">
        <f>Imps!L80</f>
        <v>43768.802083333147</v>
      </c>
      <c r="C80" s="152">
        <f ca="1">$C79+$W79+Military!BE80 - IF(race="Demon",Military!G79*2,0)</f>
        <v>1845</v>
      </c>
      <c r="D80" s="26">
        <f ca="1">Military!B80</f>
        <v>5295</v>
      </c>
      <c r="E80" s="26">
        <f ca="1">Military!Z80</f>
        <v>5295</v>
      </c>
      <c r="F80" s="26">
        <f t="shared" ca="1" si="10"/>
        <v>7140</v>
      </c>
      <c r="G80" s="27">
        <f t="shared" ca="1" si="11"/>
        <v>0.74159663865546221</v>
      </c>
      <c r="H80" s="592">
        <f t="shared" ca="1" si="12"/>
        <v>1845</v>
      </c>
      <c r="I80" s="165">
        <f t="shared" ca="1" si="13"/>
        <v>1</v>
      </c>
      <c r="J80" s="673">
        <f>SUM(Construction!AY80:BH80,Construction!BJ80:BP80,Construction!BW80:CF80,Construction!CH80:CN80)*building_employment</f>
        <v>3600</v>
      </c>
      <c r="K80" s="633"/>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38">
        <f ca="1">(Overview!$O$15 + Imps!Z80+MAX(Constants!$M$38*Techs!AE80,Constants!$M$50*Techs!AQ80)) * (1 + Production!O80/100*prestige_pop_multiplier) + Production!O80/100*prestige_pop_multiplier</f>
        <v>0.05</v>
      </c>
    </row>
    <row r="81" spans="1:29" s="16" customFormat="1" x14ac:dyDescent="0.25">
      <c r="A81" s="982">
        <f>Rezone!J81</f>
        <v>79</v>
      </c>
      <c r="B81" s="587">
        <f>Imps!L81</f>
        <v>43768.812499999811</v>
      </c>
      <c r="C81" s="152">
        <f ca="1">$C80+$W80+Military!BE81 - IF(race="Demon",Military!G80*2,0)</f>
        <v>1845</v>
      </c>
      <c r="D81" s="26">
        <f ca="1">Military!B81</f>
        <v>5295</v>
      </c>
      <c r="E81" s="26">
        <f ca="1">Military!Z81</f>
        <v>5295</v>
      </c>
      <c r="F81" s="26">
        <f t="shared" ca="1" si="10"/>
        <v>7140</v>
      </c>
      <c r="G81" s="27">
        <f t="shared" ca="1" si="11"/>
        <v>0.74159663865546221</v>
      </c>
      <c r="H81" s="592">
        <f t="shared" ca="1" si="12"/>
        <v>1845</v>
      </c>
      <c r="I81" s="165">
        <f t="shared" ca="1" si="13"/>
        <v>1</v>
      </c>
      <c r="J81" s="673">
        <f>SUM(Construction!AY81:BH81,Construction!BJ81:BP81,Construction!BW81:CF81,Construction!CH81:CN81)*building_employment</f>
        <v>3600</v>
      </c>
      <c r="K81" s="633"/>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38">
        <f ca="1">(Overview!$O$15 + Imps!Z81+MAX(Constants!$M$38*Techs!AE81,Constants!$M$50*Techs!AQ81)) * (1 + Production!O81/100*prestige_pop_multiplier) + Production!O81/100*prestige_pop_multiplier</f>
        <v>0.05</v>
      </c>
    </row>
    <row r="82" spans="1:29" s="16" customFormat="1" x14ac:dyDescent="0.25">
      <c r="A82" s="982">
        <f>Rezone!J82</f>
        <v>80</v>
      </c>
      <c r="B82" s="587">
        <f>Imps!L82</f>
        <v>43768.822916666475</v>
      </c>
      <c r="C82" s="152">
        <f ca="1">$C81+$W81+Military!BE82 - IF(race="Demon",Military!G81*2,0)</f>
        <v>1845</v>
      </c>
      <c r="D82" s="26">
        <f ca="1">Military!B82</f>
        <v>5295</v>
      </c>
      <c r="E82" s="26">
        <f ca="1">Military!Z82</f>
        <v>5295</v>
      </c>
      <c r="F82" s="26">
        <f t="shared" ca="1" si="10"/>
        <v>7140</v>
      </c>
      <c r="G82" s="27">
        <f t="shared" ca="1" si="11"/>
        <v>0.74159663865546221</v>
      </c>
      <c r="H82" s="592">
        <f t="shared" ca="1" si="12"/>
        <v>1845</v>
      </c>
      <c r="I82" s="165">
        <f t="shared" ca="1" si="13"/>
        <v>1</v>
      </c>
      <c r="J82" s="673">
        <f>SUM(Construction!AY82:BH82,Construction!BJ82:BP82,Construction!BW82:CF82,Construction!CH82:CN82)*building_employment</f>
        <v>3600</v>
      </c>
      <c r="K82" s="633"/>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38">
        <f ca="1">(Overview!$O$15 + Imps!Z82+MAX(Constants!$M$38*Techs!AE82,Constants!$M$50*Techs!AQ82)) * (1 + Production!O82/100*prestige_pop_multiplier) + Production!O82/100*prestige_pop_multiplier</f>
        <v>0.05</v>
      </c>
    </row>
    <row r="83" spans="1:29" s="16" customFormat="1" x14ac:dyDescent="0.25">
      <c r="A83" s="982">
        <f>Rezone!J83</f>
        <v>81</v>
      </c>
      <c r="B83" s="587">
        <f>Imps!L83</f>
        <v>43768.833333333139</v>
      </c>
      <c r="C83" s="152">
        <f ca="1">$C82+$W82+Military!BE83 - IF(race="Demon",Military!G82*2,0)</f>
        <v>1845</v>
      </c>
      <c r="D83" s="26">
        <f ca="1">Military!B83</f>
        <v>5295</v>
      </c>
      <c r="E83" s="26">
        <f ca="1">Military!Z83</f>
        <v>5295</v>
      </c>
      <c r="F83" s="26">
        <f t="shared" ca="1" si="10"/>
        <v>7140</v>
      </c>
      <c r="G83" s="27">
        <f t="shared" ca="1" si="11"/>
        <v>0.74159663865546221</v>
      </c>
      <c r="H83" s="592">
        <f t="shared" ca="1" si="12"/>
        <v>1845</v>
      </c>
      <c r="I83" s="165">
        <f t="shared" ca="1" si="13"/>
        <v>1</v>
      </c>
      <c r="J83" s="673">
        <f>SUM(Construction!AY83:BH83,Construction!BJ83:BP83,Construction!BW83:CF83,Construction!CH83:CN83)*building_employment</f>
        <v>3600</v>
      </c>
      <c r="K83" s="633"/>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38">
        <f ca="1">(Overview!$O$15 + Imps!Z83+MAX(Constants!$M$38*Techs!AE83,Constants!$M$50*Techs!AQ83)) * (1 + Production!O83/100*prestige_pop_multiplier) + Production!O83/100*prestige_pop_multiplier</f>
        <v>0.05</v>
      </c>
    </row>
    <row r="84" spans="1:29" s="16" customFormat="1" x14ac:dyDescent="0.25">
      <c r="A84" s="982">
        <f>Rezone!J84</f>
        <v>82</v>
      </c>
      <c r="B84" s="587">
        <f>Imps!L84</f>
        <v>43768.843749999804</v>
      </c>
      <c r="C84" s="152">
        <f ca="1">$C83+$W83+Military!BE84 - IF(race="Demon",Military!G83*2,0)</f>
        <v>1845</v>
      </c>
      <c r="D84" s="26">
        <f ca="1">Military!B84</f>
        <v>5295</v>
      </c>
      <c r="E84" s="26">
        <f ca="1">Military!Z84</f>
        <v>5295</v>
      </c>
      <c r="F84" s="26">
        <f t="shared" ca="1" si="10"/>
        <v>7140</v>
      </c>
      <c r="G84" s="27">
        <f t="shared" ca="1" si="11"/>
        <v>0.74159663865546221</v>
      </c>
      <c r="H84" s="592">
        <f t="shared" ca="1" si="12"/>
        <v>1845</v>
      </c>
      <c r="I84" s="165">
        <f t="shared" ca="1" si="13"/>
        <v>1</v>
      </c>
      <c r="J84" s="673">
        <f>SUM(Construction!AY84:BH84,Construction!BJ84:BP84,Construction!BW84:CF84,Construction!CH84:CN84)*building_employment</f>
        <v>3600</v>
      </c>
      <c r="K84" s="633"/>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38">
        <f ca="1">(Overview!$O$15 + Imps!Z84+MAX(Constants!$M$38*Techs!AE84,Constants!$M$50*Techs!AQ84)) * (1 + Production!O84/100*prestige_pop_multiplier) + Production!O84/100*prestige_pop_multiplier</f>
        <v>0.05</v>
      </c>
    </row>
    <row r="85" spans="1:29" s="16" customFormat="1" x14ac:dyDescent="0.25">
      <c r="A85" s="982">
        <f>Rezone!J85</f>
        <v>83</v>
      </c>
      <c r="B85" s="587">
        <f>Imps!L85</f>
        <v>43768.854166666468</v>
      </c>
      <c r="C85" s="152">
        <f ca="1">$C84+$W84+Military!BE85 - IF(race="Demon",Military!G84*2,0)</f>
        <v>1845</v>
      </c>
      <c r="D85" s="26">
        <f ca="1">Military!B85</f>
        <v>5295</v>
      </c>
      <c r="E85" s="26">
        <f ca="1">Military!Z85</f>
        <v>5295</v>
      </c>
      <c r="F85" s="26">
        <f t="shared" ca="1" si="10"/>
        <v>7140</v>
      </c>
      <c r="G85" s="27">
        <f t="shared" ca="1" si="11"/>
        <v>0.74159663865546221</v>
      </c>
      <c r="H85" s="592">
        <f t="shared" ca="1" si="12"/>
        <v>1845</v>
      </c>
      <c r="I85" s="165">
        <f t="shared" ca="1" si="13"/>
        <v>1</v>
      </c>
      <c r="J85" s="673">
        <f>SUM(Construction!AY85:BH85,Construction!BJ85:BP85,Construction!BW85:CF85,Construction!CH85:CN85)*building_employment</f>
        <v>3600</v>
      </c>
      <c r="K85" s="633"/>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38">
        <f ca="1">(Overview!$O$15 + Imps!Z85+MAX(Constants!$M$38*Techs!AE85,Constants!$M$50*Techs!AQ85)) * (1 + Production!O85/100*prestige_pop_multiplier) + Production!O85/100*prestige_pop_multiplier</f>
        <v>0.05</v>
      </c>
    </row>
    <row r="86" spans="1:29" s="170" customFormat="1" x14ac:dyDescent="0.25">
      <c r="A86" s="981">
        <f>Rezone!J86</f>
        <v>84</v>
      </c>
      <c r="B86" s="587">
        <f>Imps!L86</f>
        <v>43768.864583333132</v>
      </c>
      <c r="C86" s="152">
        <f ca="1">$C85+$W85+Military!BE86 - IF(race="Demon",Military!G85*2,0)</f>
        <v>1845</v>
      </c>
      <c r="D86" s="164">
        <f ca="1">Military!B86</f>
        <v>5295</v>
      </c>
      <c r="E86" s="164">
        <f ca="1">Military!Z86</f>
        <v>5295</v>
      </c>
      <c r="F86" s="164">
        <f t="shared" ca="1" si="10"/>
        <v>7140</v>
      </c>
      <c r="G86" s="165">
        <f t="shared" ca="1" si="11"/>
        <v>0.74159663865546221</v>
      </c>
      <c r="H86" s="591">
        <f t="shared" ca="1" si="12"/>
        <v>1845</v>
      </c>
      <c r="I86" s="165">
        <f t="shared" ca="1" si="13"/>
        <v>1</v>
      </c>
      <c r="J86" s="673">
        <f>SUM(Construction!AY86:BH86,Construction!BJ86:BP86,Construction!BW86:CF86,Construction!CH86:CN86)*building_employment</f>
        <v>3600</v>
      </c>
      <c r="K86" s="632"/>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38">
        <f ca="1">(Overview!$O$15 + Imps!Z86+MAX(Constants!$M$38*Techs!AE86,Constants!$M$50*Techs!AQ86)) * (1 + Production!O86/100*prestige_pop_multiplier) + Production!O86/100*prestige_pop_multiplier</f>
        <v>0.05</v>
      </c>
    </row>
    <row r="87" spans="1:29" s="163" customFormat="1" x14ac:dyDescent="0.25">
      <c r="A87" s="983">
        <f>Rezone!J87</f>
        <v>85</v>
      </c>
      <c r="B87" s="586">
        <f>Imps!L87</f>
        <v>43768.874999999796</v>
      </c>
      <c r="C87" s="151">
        <f ca="1">$C86+$W86+Military!BE87 - IF(race="Demon",Military!G86*2,0)</f>
        <v>1845</v>
      </c>
      <c r="D87" s="153">
        <f ca="1">Military!B87</f>
        <v>5295</v>
      </c>
      <c r="E87" s="153">
        <f ca="1">Military!Z87</f>
        <v>5295</v>
      </c>
      <c r="F87" s="153">
        <f t="shared" ca="1" si="10"/>
        <v>7140</v>
      </c>
      <c r="G87" s="154">
        <f t="shared" ca="1" si="11"/>
        <v>0.74159663865546221</v>
      </c>
      <c r="H87" s="590">
        <f t="shared" ca="1" si="12"/>
        <v>1845</v>
      </c>
      <c r="I87" s="154">
        <f t="shared" ca="1" si="13"/>
        <v>1</v>
      </c>
      <c r="J87" s="1050">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x14ac:dyDescent="0.25">
      <c r="A88" s="981">
        <f>Rezone!J88</f>
        <v>86</v>
      </c>
      <c r="B88" s="587">
        <f>Imps!L88</f>
        <v>43768.885416666461</v>
      </c>
      <c r="C88" s="152">
        <f ca="1">$C87+$W87+Military!BE88 - IF(race="Demon",Military!G87*2,0)</f>
        <v>1845</v>
      </c>
      <c r="D88" s="164">
        <f ca="1">Military!B88</f>
        <v>5295</v>
      </c>
      <c r="E88" s="164">
        <f ca="1">Military!Z88</f>
        <v>5295</v>
      </c>
      <c r="F88" s="164">
        <f t="shared" ca="1" si="10"/>
        <v>7140</v>
      </c>
      <c r="G88" s="165">
        <f t="shared" ca="1" si="11"/>
        <v>0.74159663865546221</v>
      </c>
      <c r="H88" s="591">
        <f t="shared" ca="1" si="12"/>
        <v>1845</v>
      </c>
      <c r="I88" s="165">
        <f t="shared" ca="1" si="13"/>
        <v>1</v>
      </c>
      <c r="J88" s="673">
        <f>SUM(Construction!AY88:BH88,Construction!BJ88:BP88,Construction!BW88:CF88,Construction!CH88:CN88)*building_employment</f>
        <v>3600</v>
      </c>
      <c r="K88" s="632"/>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38">
        <f ca="1">(Overview!$O$15 + Imps!Z88+MAX(Constants!$M$38*Techs!AE88,Constants!$M$50*Techs!AQ88)) * (1 + Production!O88/100*prestige_pop_multiplier) + Production!O88/100*prestige_pop_multiplier</f>
        <v>0.05</v>
      </c>
    </row>
    <row r="89" spans="1:29" s="170" customFormat="1" x14ac:dyDescent="0.25">
      <c r="A89" s="981">
        <f>Rezone!J89</f>
        <v>87</v>
      </c>
      <c r="B89" s="587">
        <f>Imps!L89</f>
        <v>43768.895833333125</v>
      </c>
      <c r="C89" s="152">
        <f ca="1">$C88+$W88+Military!BE89 - IF(race="Demon",Military!G88*2,0)</f>
        <v>1845</v>
      </c>
      <c r="D89" s="164">
        <f ca="1">Military!B89</f>
        <v>5295</v>
      </c>
      <c r="E89" s="164">
        <f ca="1">Military!Z89</f>
        <v>5295</v>
      </c>
      <c r="F89" s="164">
        <f t="shared" ca="1" si="10"/>
        <v>7140</v>
      </c>
      <c r="G89" s="165">
        <f t="shared" ca="1" si="11"/>
        <v>0.74159663865546221</v>
      </c>
      <c r="H89" s="591">
        <f t="shared" ca="1" si="12"/>
        <v>1845</v>
      </c>
      <c r="I89" s="165">
        <f t="shared" ca="1" si="13"/>
        <v>1</v>
      </c>
      <c r="J89" s="673">
        <f>SUM(Construction!AY89:BH89,Construction!BJ89:BP89,Construction!BW89:CF89,Construction!CH89:CN89)*building_employment</f>
        <v>3600</v>
      </c>
      <c r="K89" s="632"/>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38">
        <f ca="1">(Overview!$O$15 + Imps!Z89+MAX(Constants!$M$38*Techs!AE89,Constants!$M$50*Techs!AQ89)) * (1 + Production!O89/100*prestige_pop_multiplier) + Production!O89/100*prestige_pop_multiplier</f>
        <v>0.05</v>
      </c>
    </row>
    <row r="90" spans="1:29" s="16" customFormat="1" x14ac:dyDescent="0.25">
      <c r="A90" s="982">
        <f>Rezone!J90</f>
        <v>88</v>
      </c>
      <c r="B90" s="587">
        <f>Imps!L90</f>
        <v>43768.906249999789</v>
      </c>
      <c r="C90" s="152">
        <f ca="1">$C89+$W89+Military!BE90 - IF(race="Demon",Military!G89*2,0)</f>
        <v>1845</v>
      </c>
      <c r="D90" s="26">
        <f ca="1">Military!B90</f>
        <v>5295</v>
      </c>
      <c r="E90" s="26">
        <f ca="1">Military!Z90</f>
        <v>5295</v>
      </c>
      <c r="F90" s="26">
        <f t="shared" ca="1" si="10"/>
        <v>7140</v>
      </c>
      <c r="G90" s="27">
        <f t="shared" ca="1" si="11"/>
        <v>0.74159663865546221</v>
      </c>
      <c r="H90" s="592">
        <f t="shared" ca="1" si="12"/>
        <v>1845</v>
      </c>
      <c r="I90" s="165">
        <f t="shared" ca="1" si="13"/>
        <v>1</v>
      </c>
      <c r="J90" s="673">
        <f>SUM(Construction!AY90:BH90,Construction!BJ90:BP90,Construction!BW90:CF90,Construction!CH90:CN90)*building_employment</f>
        <v>3600</v>
      </c>
      <c r="K90" s="633"/>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38">
        <f ca="1">(Overview!$O$15 + Imps!Z90+MAX(Constants!$M$38*Techs!AE90,Constants!$M$50*Techs!AQ90)) * (1 + Production!O90/100*prestige_pop_multiplier) + Production!O90/100*prestige_pop_multiplier</f>
        <v>0.05</v>
      </c>
    </row>
    <row r="91" spans="1:29" s="16" customFormat="1" x14ac:dyDescent="0.25">
      <c r="A91" s="982">
        <f>Rezone!J91</f>
        <v>89</v>
      </c>
      <c r="B91" s="587">
        <f>Imps!L91</f>
        <v>43768.916666666453</v>
      </c>
      <c r="C91" s="152">
        <f ca="1">$C90+$W90+Military!BE91 - IF(race="Demon",Military!G90*2,0)</f>
        <v>1845</v>
      </c>
      <c r="D91" s="26">
        <f ca="1">Military!B91</f>
        <v>5295</v>
      </c>
      <c r="E91" s="26">
        <f ca="1">Military!Z91</f>
        <v>5295</v>
      </c>
      <c r="F91" s="26">
        <f t="shared" ca="1" si="10"/>
        <v>7140</v>
      </c>
      <c r="G91" s="27">
        <f t="shared" ca="1" si="11"/>
        <v>0.74159663865546221</v>
      </c>
      <c r="H91" s="592">
        <f t="shared" ca="1" si="12"/>
        <v>1845</v>
      </c>
      <c r="I91" s="165">
        <f t="shared" ca="1" si="13"/>
        <v>1</v>
      </c>
      <c r="J91" s="673">
        <f>SUM(Construction!AY91:BH91,Construction!BJ91:BP91,Construction!BW91:CF91,Construction!CH91:CN91)*building_employment</f>
        <v>3600</v>
      </c>
      <c r="K91" s="633"/>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38">
        <f ca="1">(Overview!$O$15 + Imps!Z91+MAX(Constants!$M$38*Techs!AE91,Constants!$M$50*Techs!AQ91)) * (1 + Production!O91/100*prestige_pop_multiplier) + Production!O91/100*prestige_pop_multiplier</f>
        <v>0.05</v>
      </c>
    </row>
    <row r="92" spans="1:29" s="16" customFormat="1" x14ac:dyDescent="0.25">
      <c r="A92" s="982">
        <f>Rezone!J92</f>
        <v>90</v>
      </c>
      <c r="B92" s="587">
        <f>Imps!L92</f>
        <v>43768.927083333117</v>
      </c>
      <c r="C92" s="152">
        <f ca="1">$C91+$W91+Military!BE92 - IF(race="Demon",Military!G91*2,0)</f>
        <v>1845</v>
      </c>
      <c r="D92" s="26">
        <f ca="1">Military!B92</f>
        <v>5295</v>
      </c>
      <c r="E92" s="26">
        <f ca="1">Military!Z92</f>
        <v>5295</v>
      </c>
      <c r="F92" s="26">
        <f t="shared" ca="1" si="10"/>
        <v>7140</v>
      </c>
      <c r="G92" s="27">
        <f t="shared" ca="1" si="11"/>
        <v>0.74159663865546221</v>
      </c>
      <c r="H92" s="592">
        <f t="shared" ca="1" si="12"/>
        <v>1845</v>
      </c>
      <c r="I92" s="165">
        <f t="shared" ca="1" si="13"/>
        <v>1</v>
      </c>
      <c r="J92" s="673">
        <f>SUM(Construction!AY92:BH92,Construction!BJ92:BP92,Construction!BW92:CF92,Construction!CH92:CN92)*building_employment</f>
        <v>3600</v>
      </c>
      <c r="K92" s="633"/>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38">
        <f ca="1">(Overview!$O$15 + Imps!Z92+MAX(Constants!$M$38*Techs!AE92,Constants!$M$50*Techs!AQ92)) * (1 + Production!O92/100*prestige_pop_multiplier) + Production!O92/100*prestige_pop_multiplier</f>
        <v>0.05</v>
      </c>
    </row>
    <row r="93" spans="1:29" s="16" customFormat="1" x14ac:dyDescent="0.25">
      <c r="A93" s="982">
        <f>Rezone!J93</f>
        <v>91</v>
      </c>
      <c r="B93" s="587">
        <f>Imps!L93</f>
        <v>43768.937499999782</v>
      </c>
      <c r="C93" s="152">
        <f ca="1">$C92+$W92+Military!BE93 - IF(race="Demon",Military!G92*2,0)</f>
        <v>1845</v>
      </c>
      <c r="D93" s="26">
        <f ca="1">Military!B93</f>
        <v>5295</v>
      </c>
      <c r="E93" s="26">
        <f ca="1">Military!Z93</f>
        <v>5295</v>
      </c>
      <c r="F93" s="26">
        <f t="shared" ca="1" si="10"/>
        <v>7140</v>
      </c>
      <c r="G93" s="27">
        <f t="shared" ca="1" si="11"/>
        <v>0.74159663865546221</v>
      </c>
      <c r="H93" s="592">
        <f t="shared" ca="1" si="12"/>
        <v>1845</v>
      </c>
      <c r="I93" s="165">
        <f t="shared" ca="1" si="13"/>
        <v>1</v>
      </c>
      <c r="J93" s="673">
        <f>SUM(Construction!AY93:BH93,Construction!BJ93:BP93,Construction!BW93:CF93,Construction!CH93:CN93)*building_employment</f>
        <v>3600</v>
      </c>
      <c r="K93" s="633"/>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38">
        <f ca="1">(Overview!$O$15 + Imps!Z93+MAX(Constants!$M$38*Techs!AE93,Constants!$M$50*Techs!AQ93)) * (1 + Production!O93/100*prestige_pop_multiplier) + Production!O93/100*prestige_pop_multiplier</f>
        <v>0.05</v>
      </c>
    </row>
    <row r="94" spans="1:29" s="16" customFormat="1" x14ac:dyDescent="0.25">
      <c r="A94" s="982">
        <f>Rezone!J94</f>
        <v>92</v>
      </c>
      <c r="B94" s="587">
        <f>Imps!L94</f>
        <v>43768.947916666446</v>
      </c>
      <c r="C94" s="152">
        <f ca="1">$C93+$W93+Military!BE94 - IF(race="Demon",Military!G93*2,0)</f>
        <v>1845</v>
      </c>
      <c r="D94" s="26">
        <f ca="1">Military!B94</f>
        <v>5295</v>
      </c>
      <c r="E94" s="26">
        <f ca="1">Military!Z94</f>
        <v>5295</v>
      </c>
      <c r="F94" s="26">
        <f t="shared" ca="1" si="10"/>
        <v>7140</v>
      </c>
      <c r="G94" s="27">
        <f t="shared" ca="1" si="11"/>
        <v>0.74159663865546221</v>
      </c>
      <c r="H94" s="592">
        <f t="shared" ca="1" si="12"/>
        <v>1845</v>
      </c>
      <c r="I94" s="165">
        <f t="shared" ca="1" si="13"/>
        <v>1</v>
      </c>
      <c r="J94" s="673">
        <f>SUM(Construction!AY94:BH94,Construction!BJ94:BP94,Construction!BW94:CF94,Construction!CH94:CN94)*building_employment</f>
        <v>3600</v>
      </c>
      <c r="K94" s="633"/>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38">
        <f ca="1">(Overview!$O$15 + Imps!Z94+MAX(Constants!$M$38*Techs!AE94,Constants!$M$50*Techs!AQ94)) * (1 + Production!O94/100*prestige_pop_multiplier) + Production!O94/100*prestige_pop_multiplier</f>
        <v>0.05</v>
      </c>
    </row>
    <row r="95" spans="1:29" s="16" customFormat="1" x14ac:dyDescent="0.25">
      <c r="A95" s="982">
        <f>Rezone!J95</f>
        <v>93</v>
      </c>
      <c r="B95" s="587">
        <f>Imps!L95</f>
        <v>43768.95833333311</v>
      </c>
      <c r="C95" s="152">
        <f ca="1">$C94+$W94+Military!BE95 - IF(race="Demon",Military!G94*2,0)</f>
        <v>1845</v>
      </c>
      <c r="D95" s="26">
        <f ca="1">Military!B95</f>
        <v>5295</v>
      </c>
      <c r="E95" s="26">
        <f ca="1">Military!Z95</f>
        <v>5295</v>
      </c>
      <c r="F95" s="26">
        <f t="shared" ca="1" si="10"/>
        <v>7140</v>
      </c>
      <c r="G95" s="27">
        <f t="shared" ca="1" si="11"/>
        <v>0.74159663865546221</v>
      </c>
      <c r="H95" s="592">
        <f t="shared" ca="1" si="12"/>
        <v>1845</v>
      </c>
      <c r="I95" s="165">
        <f t="shared" ca="1" si="13"/>
        <v>1</v>
      </c>
      <c r="J95" s="673">
        <f>SUM(Construction!AY95:BH95,Construction!BJ95:BP95,Construction!BW95:CF95,Construction!CH95:CN95)*building_employment</f>
        <v>3600</v>
      </c>
      <c r="K95" s="633"/>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38">
        <f ca="1">(Overview!$O$15 + Imps!Z95+MAX(Constants!$M$38*Techs!AE95,Constants!$M$50*Techs!AQ95)) * (1 + Production!O95/100*prestige_pop_multiplier) + Production!O95/100*prestige_pop_multiplier</f>
        <v>0.05</v>
      </c>
    </row>
    <row r="96" spans="1:29" s="16" customFormat="1" x14ac:dyDescent="0.25">
      <c r="A96" s="982">
        <f>Rezone!J96</f>
        <v>94</v>
      </c>
      <c r="B96" s="587">
        <f>Imps!L96</f>
        <v>43768.968749999774</v>
      </c>
      <c r="C96" s="152">
        <f ca="1">$C95+$W95+Military!BE96 - IF(race="Demon",Military!G95*2,0)</f>
        <v>1845</v>
      </c>
      <c r="D96" s="26">
        <f ca="1">Military!B96</f>
        <v>5295</v>
      </c>
      <c r="E96" s="26">
        <f ca="1">Military!Z96</f>
        <v>5295</v>
      </c>
      <c r="F96" s="26">
        <f t="shared" ca="1" si="10"/>
        <v>7140</v>
      </c>
      <c r="G96" s="27">
        <f t="shared" ca="1" si="11"/>
        <v>0.74159663865546221</v>
      </c>
      <c r="H96" s="592">
        <f t="shared" ca="1" si="12"/>
        <v>1845</v>
      </c>
      <c r="I96" s="165">
        <f t="shared" ca="1" si="13"/>
        <v>1</v>
      </c>
      <c r="J96" s="673">
        <f>SUM(Construction!AY96:BH96,Construction!BJ96:BP96,Construction!BW96:CF96,Construction!CH96:CN96)*building_employment</f>
        <v>3600</v>
      </c>
      <c r="K96" s="633"/>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38">
        <f ca="1">(Overview!$O$15 + Imps!Z96+MAX(Constants!$M$38*Techs!AE96,Constants!$M$50*Techs!AQ96)) * (1 + Production!O96/100*prestige_pop_multiplier) + Production!O96/100*prestige_pop_multiplier</f>
        <v>0.05</v>
      </c>
    </row>
    <row r="97" spans="1:29" s="16" customFormat="1" x14ac:dyDescent="0.25">
      <c r="A97" s="982">
        <f>Rezone!J97</f>
        <v>95</v>
      </c>
      <c r="B97" s="587">
        <f>Imps!L97</f>
        <v>43768.979166666439</v>
      </c>
      <c r="C97" s="152">
        <f ca="1">$C96+$W96+Military!BE97 - IF(race="Demon",Military!G96*2,0)</f>
        <v>1845</v>
      </c>
      <c r="D97" s="26">
        <f ca="1">Military!B97</f>
        <v>5295</v>
      </c>
      <c r="E97" s="26">
        <f ca="1">Military!Z97</f>
        <v>5295</v>
      </c>
      <c r="F97" s="26">
        <f t="shared" ca="1" si="10"/>
        <v>7140</v>
      </c>
      <c r="G97" s="27">
        <f t="shared" ca="1" si="11"/>
        <v>0.74159663865546221</v>
      </c>
      <c r="H97" s="592">
        <f t="shared" ca="1" si="12"/>
        <v>1845</v>
      </c>
      <c r="I97" s="165">
        <f t="shared" ca="1" si="13"/>
        <v>1</v>
      </c>
      <c r="J97" s="673">
        <f>SUM(Construction!AY97:BH97,Construction!BJ97:BP97,Construction!BW97:CF97,Construction!CH97:CN97)*building_employment</f>
        <v>3600</v>
      </c>
      <c r="K97" s="633"/>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38">
        <f ca="1">(Overview!$O$15 + Imps!Z97+MAX(Constants!$M$38*Techs!AE97,Constants!$M$50*Techs!AQ97)) * (1 + Production!O97/100*prestige_pop_multiplier) + Production!O97/100*prestige_pop_multiplier</f>
        <v>0.05</v>
      </c>
    </row>
    <row r="98" spans="1:29" s="170" customFormat="1" ht="13.8" thickBot="1" x14ac:dyDescent="0.3">
      <c r="A98" s="981">
        <f>Rezone!J98</f>
        <v>96</v>
      </c>
      <c r="B98" s="587">
        <f>Imps!L98</f>
        <v>43768.989583333103</v>
      </c>
      <c r="C98" s="152">
        <f ca="1">$C97+$W97+Military!BE98 - IF(race="Demon",Military!G97*2,0)</f>
        <v>1845</v>
      </c>
      <c r="D98" s="164">
        <f ca="1">Military!B98</f>
        <v>5295</v>
      </c>
      <c r="E98" s="164">
        <f ca="1">Military!Z98</f>
        <v>5295</v>
      </c>
      <c r="F98" s="164">
        <f t="shared" ca="1" si="10"/>
        <v>7140</v>
      </c>
      <c r="G98" s="165">
        <f t="shared" ca="1" si="11"/>
        <v>0.74159663865546221</v>
      </c>
      <c r="H98" s="591">
        <f t="shared" ca="1" si="12"/>
        <v>1845</v>
      </c>
      <c r="I98" s="165">
        <f t="shared" ca="1" si="13"/>
        <v>1</v>
      </c>
      <c r="J98" s="673">
        <f>SUM(Construction!AY98:BH98,Construction!BJ98:BP98,Construction!BW98:CF98,Construction!CH98:CN98)*building_employment</f>
        <v>3600</v>
      </c>
      <c r="K98" s="632"/>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38">
        <f ca="1">(Overview!$O$15 + Imps!Z98+MAX(Constants!$M$38*Techs!AE98,Constants!$M$50*Techs!AQ98)) * (1 + Production!O98/100*prestige_pop_multiplier) + Production!O98/100*prestige_pop_multiplier</f>
        <v>0.05</v>
      </c>
    </row>
    <row r="99" spans="1:29" s="173" customFormat="1" ht="13.8" thickBot="1" x14ac:dyDescent="0.3">
      <c r="A99" s="984">
        <f>Rezone!J99</f>
        <v>97</v>
      </c>
      <c r="B99" s="588">
        <f>Imps!L99</f>
        <v>43768.999999999767</v>
      </c>
      <c r="C99" s="175">
        <f ca="1">$C98+$W98+Military!BE99 - IF(race="Demon",Military!G98*2,0)</f>
        <v>1845</v>
      </c>
      <c r="D99" s="174">
        <f ca="1">Military!B99</f>
        <v>5295</v>
      </c>
      <c r="E99" s="174">
        <f ca="1">Military!Z99</f>
        <v>5295</v>
      </c>
      <c r="F99" s="174">
        <f t="shared" ca="1" si="10"/>
        <v>7140</v>
      </c>
      <c r="G99" s="176">
        <f t="shared" ca="1" si="11"/>
        <v>0.74159663865546221</v>
      </c>
      <c r="H99" s="593">
        <f t="shared" ca="1" si="12"/>
        <v>1845</v>
      </c>
      <c r="I99" s="176">
        <f t="shared" ca="1" si="13"/>
        <v>1</v>
      </c>
      <c r="J99" s="1051">
        <f>SUM(Construction!AY99:BH99,Construction!BJ99:BP99,Construction!BW99:CF99,Construction!CH99:CN99)*building_employment</f>
        <v>3600</v>
      </c>
      <c r="K99" s="634"/>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39">
        <f ca="1">(Overview!$O$15 + Imps!Z99+MAX(Constants!$M$38*Techs!AE99,Constants!$M$50*Techs!AQ99)) * (1 + Production!O99/100*prestige_pop_multiplier) + Production!O99/100*prestige_pop_multiplier</f>
        <v>0.05</v>
      </c>
    </row>
    <row r="100" spans="1:29" s="170" customFormat="1" x14ac:dyDescent="0.25">
      <c r="A100" s="981">
        <f>Rezone!J100</f>
        <v>98</v>
      </c>
      <c r="B100" s="587">
        <f>Imps!L100</f>
        <v>43769.010416666431</v>
      </c>
      <c r="C100" s="152">
        <f ca="1">$C99+$W99+Military!BE100 - IF(race="Demon",Military!G99*2,0)</f>
        <v>1845</v>
      </c>
      <c r="D100" s="164">
        <f ca="1">Military!B100</f>
        <v>5295</v>
      </c>
      <c r="E100" s="164">
        <f ca="1">Military!Z100</f>
        <v>5295</v>
      </c>
      <c r="F100" s="164">
        <f t="shared" ca="1" si="10"/>
        <v>7140</v>
      </c>
      <c r="G100" s="165">
        <f t="shared" ca="1" si="11"/>
        <v>0.74159663865546221</v>
      </c>
      <c r="H100" s="591">
        <f t="shared" ca="1" si="12"/>
        <v>1845</v>
      </c>
      <c r="I100" s="165">
        <f t="shared" ca="1" si="13"/>
        <v>1</v>
      </c>
      <c r="J100" s="673">
        <f>SUM(Construction!AY100:BH100,Construction!BJ100:BP100,Construction!BW100:CF100,Construction!CH100:CN100)*building_employment</f>
        <v>3600</v>
      </c>
      <c r="K100" s="632"/>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38">
        <f ca="1">(Overview!$O$15 + Imps!Z100+MAX(Constants!$M$38*Techs!AE100,Constants!$M$50*Techs!AQ100)) * (1 + Production!O100/100*prestige_pop_multiplier) + Production!O100/100*prestige_pop_multiplier</f>
        <v>0.05</v>
      </c>
    </row>
    <row r="101" spans="1:29" s="170" customFormat="1" x14ac:dyDescent="0.25">
      <c r="A101" s="981">
        <f>Rezone!J101</f>
        <v>99</v>
      </c>
      <c r="B101" s="587">
        <f>Imps!L101</f>
        <v>43769.020833333096</v>
      </c>
      <c r="C101" s="152">
        <f ca="1">$C100+$W100+Military!BE101 - IF(race="Demon",Military!G100*2,0)</f>
        <v>1845</v>
      </c>
      <c r="D101" s="164">
        <f ca="1">Military!B101</f>
        <v>5295</v>
      </c>
      <c r="E101" s="164">
        <f ca="1">Military!Z101</f>
        <v>5295</v>
      </c>
      <c r="F101" s="164">
        <f t="shared" ca="1" si="10"/>
        <v>7140</v>
      </c>
      <c r="G101" s="165">
        <f t="shared" ca="1" si="11"/>
        <v>0.74159663865546221</v>
      </c>
      <c r="H101" s="591">
        <f t="shared" ca="1" si="12"/>
        <v>1845</v>
      </c>
      <c r="I101" s="165">
        <f t="shared" ca="1" si="13"/>
        <v>1</v>
      </c>
      <c r="J101" s="673">
        <f>SUM(Construction!AY101:BH101,Construction!BJ101:BP101,Construction!BW101:CF101,Construction!CH101:CN101)*building_employment</f>
        <v>3600</v>
      </c>
      <c r="K101" s="632"/>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38">
        <f ca="1">(Overview!$O$15 + Imps!Z101+MAX(Constants!$M$38*Techs!AE101,Constants!$M$50*Techs!AQ101)) * (1 + Production!O101/100*prestige_pop_multiplier) + Production!O101/100*prestige_pop_multiplier</f>
        <v>0.05</v>
      </c>
    </row>
    <row r="102" spans="1:29" s="16" customFormat="1" x14ac:dyDescent="0.25">
      <c r="A102" s="982">
        <f>Rezone!J102</f>
        <v>100</v>
      </c>
      <c r="B102" s="587">
        <f>Imps!L102</f>
        <v>43769.03124999976</v>
      </c>
      <c r="C102" s="152">
        <f ca="1">$C101+$W101+Military!BE102 - IF(race="Demon",Military!G101*2,0)</f>
        <v>1845</v>
      </c>
      <c r="D102" s="26">
        <f ca="1">Military!B102</f>
        <v>5295</v>
      </c>
      <c r="E102" s="26">
        <f ca="1">Military!Z102</f>
        <v>5295</v>
      </c>
      <c r="F102" s="26">
        <f t="shared" ca="1" si="10"/>
        <v>7140</v>
      </c>
      <c r="G102" s="27">
        <f t="shared" ca="1" si="11"/>
        <v>0.74159663865546221</v>
      </c>
      <c r="H102" s="592">
        <f t="shared" ca="1" si="12"/>
        <v>1845</v>
      </c>
      <c r="I102" s="165">
        <f t="shared" ca="1" si="13"/>
        <v>1</v>
      </c>
      <c r="J102" s="673">
        <f>SUM(Construction!AY102:BH102,Construction!BJ102:BP102,Construction!BW102:CF102,Construction!CH102:CN102)*building_employment</f>
        <v>3600</v>
      </c>
      <c r="K102" s="633"/>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38">
        <f ca="1">(Overview!$O$15 + Imps!Z102+MAX(Constants!$M$38*Techs!AE102,Constants!$M$50*Techs!AQ102)) * (1 + Production!O102/100*prestige_pop_multiplier) + Production!O102/100*prestige_pop_multiplier</f>
        <v>0.05</v>
      </c>
    </row>
    <row r="103" spans="1:29" s="16" customFormat="1" x14ac:dyDescent="0.25">
      <c r="A103" s="982">
        <f>Rezone!J103</f>
        <v>101</v>
      </c>
      <c r="B103" s="587">
        <f>Imps!L103</f>
        <v>43769.041666666424</v>
      </c>
      <c r="C103" s="152">
        <f ca="1">$C102+$W102+Military!BE103 - IF(race="Demon",Military!G102*2,0)</f>
        <v>1845</v>
      </c>
      <c r="D103" s="26">
        <f ca="1">Military!B103</f>
        <v>5295</v>
      </c>
      <c r="E103" s="26">
        <f ca="1">Military!Z103</f>
        <v>5295</v>
      </c>
      <c r="F103" s="26">
        <f t="shared" ca="1" si="10"/>
        <v>7140</v>
      </c>
      <c r="G103" s="27">
        <f t="shared" ca="1" si="11"/>
        <v>0.74159663865546221</v>
      </c>
      <c r="H103" s="592">
        <f t="shared" ca="1" si="12"/>
        <v>1845</v>
      </c>
      <c r="I103" s="165">
        <f t="shared" ca="1" si="13"/>
        <v>1</v>
      </c>
      <c r="J103" s="673">
        <f>SUM(Construction!AY103:BH103,Construction!BJ103:BP103,Construction!BW103:CF103,Construction!CH103:CN103)*building_employment</f>
        <v>3600</v>
      </c>
      <c r="K103" s="633"/>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38">
        <f ca="1">(Overview!$O$15 + Imps!Z103+MAX(Constants!$M$38*Techs!AE103,Constants!$M$50*Techs!AQ103)) * (1 + Production!O103/100*prestige_pop_multiplier) + Production!O103/100*prestige_pop_multiplier</f>
        <v>0.05</v>
      </c>
    </row>
    <row r="104" spans="1:29" s="16" customFormat="1" x14ac:dyDescent="0.25">
      <c r="A104" s="982">
        <f>Rezone!J104</f>
        <v>102</v>
      </c>
      <c r="B104" s="587">
        <f>Imps!L104</f>
        <v>43769.052083333088</v>
      </c>
      <c r="C104" s="152">
        <f ca="1">$C103+$W103+Military!BE104 - IF(race="Demon",Military!G103*2,0)</f>
        <v>1845</v>
      </c>
      <c r="D104" s="26">
        <f ca="1">Military!B104</f>
        <v>5295</v>
      </c>
      <c r="E104" s="26">
        <f ca="1">Military!Z104</f>
        <v>5295</v>
      </c>
      <c r="F104" s="26">
        <f t="shared" ca="1" si="10"/>
        <v>7140</v>
      </c>
      <c r="G104" s="27">
        <f t="shared" ca="1" si="11"/>
        <v>0.74159663865546221</v>
      </c>
      <c r="H104" s="592">
        <f t="shared" ca="1" si="12"/>
        <v>1845</v>
      </c>
      <c r="I104" s="165">
        <f t="shared" ca="1" si="13"/>
        <v>1</v>
      </c>
      <c r="J104" s="673">
        <f>SUM(Construction!AY104:BH104,Construction!BJ104:BP104,Construction!BW104:CF104,Construction!CH104:CN104)*building_employment</f>
        <v>3600</v>
      </c>
      <c r="K104" s="633"/>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38">
        <f ca="1">(Overview!$O$15 + Imps!Z104+MAX(Constants!$M$38*Techs!AE104,Constants!$M$50*Techs!AQ104)) * (1 + Production!O104/100*prestige_pop_multiplier) + Production!O104/100*prestige_pop_multiplier</f>
        <v>0.05</v>
      </c>
    </row>
    <row r="105" spans="1:29" s="16" customFormat="1" x14ac:dyDescent="0.25">
      <c r="A105" s="982">
        <f>Rezone!J105</f>
        <v>103</v>
      </c>
      <c r="B105" s="587">
        <f>Imps!L105</f>
        <v>43769.062499999753</v>
      </c>
      <c r="C105" s="152">
        <f ca="1">$C104+$W104+Military!BE105 - IF(race="Demon",Military!G104*2,0)</f>
        <v>1845</v>
      </c>
      <c r="D105" s="26">
        <f ca="1">Military!B105</f>
        <v>5295</v>
      </c>
      <c r="E105" s="26">
        <f ca="1">Military!Z105</f>
        <v>5295</v>
      </c>
      <c r="F105" s="26">
        <f t="shared" ca="1" si="10"/>
        <v>7140</v>
      </c>
      <c r="G105" s="27">
        <f t="shared" ca="1" si="11"/>
        <v>0.74159663865546221</v>
      </c>
      <c r="H105" s="592">
        <f t="shared" ca="1" si="12"/>
        <v>1845</v>
      </c>
      <c r="I105" s="165">
        <f t="shared" ca="1" si="13"/>
        <v>1</v>
      </c>
      <c r="J105" s="673">
        <f>SUM(Construction!AY105:BH105,Construction!BJ105:BP105,Construction!BW105:CF105,Construction!CH105:CN105)*building_employment</f>
        <v>3600</v>
      </c>
      <c r="K105" s="633"/>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38">
        <f ca="1">(Overview!$O$15 + Imps!Z105+MAX(Constants!$M$38*Techs!AE105,Constants!$M$50*Techs!AQ105)) * (1 + Production!O105/100*prestige_pop_multiplier) + Production!O105/100*prestige_pop_multiplier</f>
        <v>0.05</v>
      </c>
    </row>
    <row r="106" spans="1:29" s="16" customFormat="1" x14ac:dyDescent="0.25">
      <c r="A106" s="982">
        <f>Rezone!J106</f>
        <v>104</v>
      </c>
      <c r="B106" s="587">
        <f>Imps!L106</f>
        <v>43769.072916666417</v>
      </c>
      <c r="C106" s="152">
        <f ca="1">$C105+$W105+Military!BE106 - IF(race="Demon",Military!G105*2,0)</f>
        <v>1845</v>
      </c>
      <c r="D106" s="26">
        <f ca="1">Military!B106</f>
        <v>5295</v>
      </c>
      <c r="E106" s="26">
        <f ca="1">Military!Z106</f>
        <v>5295</v>
      </c>
      <c r="F106" s="26">
        <f t="shared" ca="1" si="10"/>
        <v>7140</v>
      </c>
      <c r="G106" s="27">
        <f t="shared" ca="1" si="11"/>
        <v>0.74159663865546221</v>
      </c>
      <c r="H106" s="592">
        <f t="shared" ca="1" si="12"/>
        <v>1845</v>
      </c>
      <c r="I106" s="165">
        <f t="shared" ca="1" si="13"/>
        <v>1</v>
      </c>
      <c r="J106" s="673">
        <f>SUM(Construction!AY106:BH106,Construction!BJ106:BP106,Construction!BW106:CF106,Construction!CH106:CN106)*building_employment</f>
        <v>3600</v>
      </c>
      <c r="K106" s="633"/>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38">
        <f ca="1">(Overview!$O$15 + Imps!Z106+MAX(Constants!$M$38*Techs!AE106,Constants!$M$50*Techs!AQ106)) * (1 + Production!O106/100*prestige_pop_multiplier) + Production!O106/100*prestige_pop_multiplier</f>
        <v>0.05</v>
      </c>
    </row>
    <row r="107" spans="1:29" s="16" customFormat="1" x14ac:dyDescent="0.25">
      <c r="A107" s="982">
        <f>Rezone!J107</f>
        <v>105</v>
      </c>
      <c r="B107" s="587">
        <f>Imps!L107</f>
        <v>43769.083333333081</v>
      </c>
      <c r="C107" s="152">
        <f ca="1">$C106+$W106+Military!BE107 - IF(race="Demon",Military!G106*2,0)</f>
        <v>1845</v>
      </c>
      <c r="D107" s="26">
        <f ca="1">Military!B107</f>
        <v>5295</v>
      </c>
      <c r="E107" s="26">
        <f ca="1">Military!Z107</f>
        <v>5295</v>
      </c>
      <c r="F107" s="26">
        <f t="shared" ca="1" si="10"/>
        <v>7140</v>
      </c>
      <c r="G107" s="27">
        <f t="shared" ca="1" si="11"/>
        <v>0.74159663865546221</v>
      </c>
      <c r="H107" s="592">
        <f t="shared" ca="1" si="12"/>
        <v>1845</v>
      </c>
      <c r="I107" s="165">
        <f t="shared" ca="1" si="13"/>
        <v>1</v>
      </c>
      <c r="J107" s="673">
        <f>SUM(Construction!AY107:BH107,Construction!BJ107:BP107,Construction!BW107:CF107,Construction!CH107:CN107)*building_employment</f>
        <v>3600</v>
      </c>
      <c r="K107" s="633"/>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38">
        <f ca="1">(Overview!$O$15 + Imps!Z107+MAX(Constants!$M$38*Techs!AE107,Constants!$M$50*Techs!AQ107)) * (1 + Production!O107/100*prestige_pop_multiplier) + Production!O107/100*prestige_pop_multiplier</f>
        <v>0.05</v>
      </c>
    </row>
    <row r="108" spans="1:29" s="16" customFormat="1" x14ac:dyDescent="0.25">
      <c r="A108" s="982">
        <f>Rezone!J108</f>
        <v>106</v>
      </c>
      <c r="B108" s="587">
        <f>Imps!L108</f>
        <v>43769.093749999745</v>
      </c>
      <c r="C108" s="152">
        <f ca="1">$C107+$W107+Military!BE108 - IF(race="Demon",Military!G107*2,0)</f>
        <v>1845</v>
      </c>
      <c r="D108" s="26">
        <f ca="1">Military!B108</f>
        <v>5295</v>
      </c>
      <c r="E108" s="26">
        <f ca="1">Military!Z108</f>
        <v>5295</v>
      </c>
      <c r="F108" s="26">
        <f t="shared" ca="1" si="10"/>
        <v>7140</v>
      </c>
      <c r="G108" s="27">
        <f t="shared" ca="1" si="11"/>
        <v>0.74159663865546221</v>
      </c>
      <c r="H108" s="592">
        <f t="shared" ca="1" si="12"/>
        <v>1845</v>
      </c>
      <c r="I108" s="165">
        <f t="shared" ca="1" si="13"/>
        <v>1</v>
      </c>
      <c r="J108" s="673">
        <f>SUM(Construction!AY108:BH108,Construction!BJ108:BP108,Construction!BW108:CF108,Construction!CH108:CN108)*building_employment</f>
        <v>3600</v>
      </c>
      <c r="K108" s="633"/>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38">
        <f ca="1">(Overview!$O$15 + Imps!Z108+MAX(Constants!$M$38*Techs!AE108,Constants!$M$50*Techs!AQ108)) * (1 + Production!O108/100*prestige_pop_multiplier) + Production!O108/100*prestige_pop_multiplier</f>
        <v>0.05</v>
      </c>
    </row>
    <row r="109" spans="1:29" s="16" customFormat="1" x14ac:dyDescent="0.25">
      <c r="A109" s="982">
        <f>Rezone!J109</f>
        <v>107</v>
      </c>
      <c r="B109" s="587">
        <f>Imps!L109</f>
        <v>43769.10416666641</v>
      </c>
      <c r="C109" s="152">
        <f ca="1">$C108+$W108+Military!BE109 - IF(race="Demon",Military!G108*2,0)</f>
        <v>1845</v>
      </c>
      <c r="D109" s="26">
        <f ca="1">Military!B109</f>
        <v>5295</v>
      </c>
      <c r="E109" s="26">
        <f ca="1">Military!Z109</f>
        <v>5295</v>
      </c>
      <c r="F109" s="26">
        <f t="shared" ca="1" si="10"/>
        <v>7140</v>
      </c>
      <c r="G109" s="27">
        <f t="shared" ca="1" si="11"/>
        <v>0.74159663865546221</v>
      </c>
      <c r="H109" s="592">
        <f t="shared" ca="1" si="12"/>
        <v>1845</v>
      </c>
      <c r="I109" s="165">
        <f t="shared" ca="1" si="13"/>
        <v>1</v>
      </c>
      <c r="J109" s="673">
        <f>SUM(Construction!AY109:BH109,Construction!BJ109:BP109,Construction!BW109:CF109,Construction!CH109:CN109)*building_employment</f>
        <v>3600</v>
      </c>
      <c r="K109" s="633"/>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38">
        <f ca="1">(Overview!$O$15 + Imps!Z109+MAX(Constants!$M$38*Techs!AE109,Constants!$M$50*Techs!AQ109)) * (1 + Production!O109/100*prestige_pop_multiplier) + Production!O109/100*prestige_pop_multiplier</f>
        <v>0.05</v>
      </c>
    </row>
    <row r="110" spans="1:29" s="16" customFormat="1" ht="13.5" customHeight="1" x14ac:dyDescent="0.25">
      <c r="A110" s="982">
        <f>Rezone!J110</f>
        <v>108</v>
      </c>
      <c r="B110" s="587">
        <f>Imps!L110</f>
        <v>43769.114583333074</v>
      </c>
      <c r="C110" s="152">
        <f ca="1">$C109+$W109+Military!BE110 - IF(race="Demon",Military!G109*2,0)</f>
        <v>1845</v>
      </c>
      <c r="D110" s="26">
        <f ca="1">Military!B110</f>
        <v>5295</v>
      </c>
      <c r="E110" s="26">
        <f ca="1">Military!Z110</f>
        <v>5295</v>
      </c>
      <c r="F110" s="26">
        <f t="shared" ca="1" si="10"/>
        <v>7140</v>
      </c>
      <c r="G110" s="27">
        <f t="shared" ca="1" si="11"/>
        <v>0.74159663865546221</v>
      </c>
      <c r="H110" s="592">
        <f t="shared" ca="1" si="12"/>
        <v>1845</v>
      </c>
      <c r="I110" s="165">
        <f t="shared" ca="1" si="13"/>
        <v>1</v>
      </c>
      <c r="J110" s="673">
        <f>SUM(Construction!AY110:BH110,Construction!BJ110:BP110,Construction!BW110:CF110,Construction!CH110:CN110)*building_employment</f>
        <v>3600</v>
      </c>
      <c r="K110" s="633"/>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38">
        <f ca="1">(Overview!$O$15 + Imps!Z110+MAX(Constants!$M$38*Techs!AE110,Constants!$M$50*Techs!AQ110)) * (1 + Production!O110/100*prestige_pop_multiplier) + Production!O110/100*prestige_pop_multiplier</f>
        <v>0.05</v>
      </c>
    </row>
    <row r="111" spans="1:29" s="12" customFormat="1" x14ac:dyDescent="0.25">
      <c r="A111" s="985">
        <f>Rezone!J111</f>
        <v>109</v>
      </c>
      <c r="B111" s="586">
        <f>Imps!L111</f>
        <v>43769.124999999738</v>
      </c>
      <c r="C111" s="151">
        <f ca="1">$C110+$W110+Military!BE111 - IF(race="Demon",Military!G110*2,0)</f>
        <v>1845</v>
      </c>
      <c r="D111" s="13">
        <f ca="1">Military!B111</f>
        <v>5295</v>
      </c>
      <c r="E111" s="13">
        <f ca="1">Military!Z111</f>
        <v>5295</v>
      </c>
      <c r="F111" s="13">
        <f t="shared" ca="1" si="10"/>
        <v>7140</v>
      </c>
      <c r="G111" s="14">
        <f t="shared" ca="1" si="11"/>
        <v>0.74159663865546221</v>
      </c>
      <c r="H111" s="594">
        <f t="shared" ca="1" si="12"/>
        <v>1845</v>
      </c>
      <c r="I111" s="154">
        <f t="shared" ca="1" si="13"/>
        <v>1</v>
      </c>
      <c r="J111" s="1050">
        <f>SUM(Construction!AY111:BH111,Construction!BJ111:BP111,Construction!BW111:CF111,Construction!CH111:CN111)*building_employment</f>
        <v>3600</v>
      </c>
      <c r="K111" s="751"/>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x14ac:dyDescent="0.25">
      <c r="A112" s="982">
        <f>Rezone!J112</f>
        <v>110</v>
      </c>
      <c r="B112" s="587">
        <f>Imps!L112</f>
        <v>43769.135416666402</v>
      </c>
      <c r="C112" s="152">
        <f ca="1">$C111+$W111+Military!BE112 - IF(race="Demon",Military!G111*2,0)</f>
        <v>1845</v>
      </c>
      <c r="D112" s="26">
        <f ca="1">Military!B112</f>
        <v>5295</v>
      </c>
      <c r="E112" s="26">
        <f ca="1">Military!Z112</f>
        <v>5295</v>
      </c>
      <c r="F112" s="26">
        <f t="shared" ca="1" si="10"/>
        <v>7140</v>
      </c>
      <c r="G112" s="27">
        <f t="shared" ca="1" si="11"/>
        <v>0.74159663865546221</v>
      </c>
      <c r="H112" s="592">
        <f t="shared" ca="1" si="12"/>
        <v>1845</v>
      </c>
      <c r="I112" s="165">
        <f t="shared" ca="1" si="13"/>
        <v>1</v>
      </c>
      <c r="J112" s="673">
        <f>SUM(Construction!AY112:BH112,Construction!BJ112:BP112,Construction!BW112:CF112,Construction!CH112:CN112)*building_employment</f>
        <v>3600</v>
      </c>
      <c r="K112" s="633"/>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38">
        <f ca="1">(Overview!$O$15 + Imps!Z112+MAX(Constants!$M$38*Techs!AE112,Constants!$M$50*Techs!AQ112)) * (1 + Production!O112/100*prestige_pop_multiplier) + Production!O112/100*prestige_pop_multiplier</f>
        <v>0.05</v>
      </c>
    </row>
    <row r="113" spans="1:29" s="16" customFormat="1" x14ac:dyDescent="0.25">
      <c r="A113" s="982">
        <f>Rezone!J113</f>
        <v>111</v>
      </c>
      <c r="B113" s="587">
        <f>Imps!L113</f>
        <v>43769.145833333067</v>
      </c>
      <c r="C113" s="152">
        <f ca="1">$C112+$W112+Military!BE113 - IF(race="Demon",Military!G112*2,0)</f>
        <v>1845</v>
      </c>
      <c r="D113" s="26">
        <f ca="1">Military!B113</f>
        <v>5295</v>
      </c>
      <c r="E113" s="26">
        <f ca="1">Military!Z113</f>
        <v>5295</v>
      </c>
      <c r="F113" s="26">
        <f t="shared" ca="1" si="10"/>
        <v>7140</v>
      </c>
      <c r="G113" s="27">
        <f t="shared" ca="1" si="11"/>
        <v>0.74159663865546221</v>
      </c>
      <c r="H113" s="592">
        <f t="shared" ca="1" si="12"/>
        <v>1845</v>
      </c>
      <c r="I113" s="165">
        <f t="shared" ca="1" si="13"/>
        <v>1</v>
      </c>
      <c r="J113" s="673">
        <f>SUM(Construction!AY113:BH113,Construction!BJ113:BP113,Construction!BW113:CF113,Construction!CH113:CN113)*building_employment</f>
        <v>3600</v>
      </c>
      <c r="K113" s="633"/>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38">
        <f ca="1">(Overview!$O$15 + Imps!Z113+MAX(Constants!$M$38*Techs!AE113,Constants!$M$50*Techs!AQ113)) * (1 + Production!O113/100*prestige_pop_multiplier) + Production!O113/100*prestige_pop_multiplier</f>
        <v>0.05</v>
      </c>
    </row>
    <row r="114" spans="1:29" s="16" customFormat="1" x14ac:dyDescent="0.25">
      <c r="A114" s="982">
        <f>Rezone!J114</f>
        <v>112</v>
      </c>
      <c r="B114" s="587">
        <f>Imps!L114</f>
        <v>43769.156249999731</v>
      </c>
      <c r="C114" s="152">
        <f ca="1">$C113+$W113+Military!BE114 - IF(race="Demon",Military!G113*2,0)</f>
        <v>1845</v>
      </c>
      <c r="D114" s="26">
        <f ca="1">Military!B114</f>
        <v>5295</v>
      </c>
      <c r="E114" s="26">
        <f ca="1">Military!Z114</f>
        <v>5295</v>
      </c>
      <c r="F114" s="26">
        <f t="shared" ca="1" si="10"/>
        <v>7140</v>
      </c>
      <c r="G114" s="27">
        <f t="shared" ca="1" si="11"/>
        <v>0.74159663865546221</v>
      </c>
      <c r="H114" s="592">
        <f t="shared" ca="1" si="12"/>
        <v>1845</v>
      </c>
      <c r="I114" s="165">
        <f t="shared" ca="1" si="13"/>
        <v>1</v>
      </c>
      <c r="J114" s="673">
        <f>SUM(Construction!AY114:BH114,Construction!BJ114:BP114,Construction!BW114:CF114,Construction!CH114:CN114)*building_employment</f>
        <v>3600</v>
      </c>
      <c r="K114" s="633"/>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38">
        <f ca="1">(Overview!$O$15 + Imps!Z114+MAX(Constants!$M$38*Techs!AE114,Constants!$M$50*Techs!AQ114)) * (1 + Production!O114/100*prestige_pop_multiplier) + Production!O114/100*prestige_pop_multiplier</f>
        <v>0.05</v>
      </c>
    </row>
    <row r="115" spans="1:29" s="16" customFormat="1" x14ac:dyDescent="0.25">
      <c r="A115" s="982">
        <f>Rezone!J115</f>
        <v>113</v>
      </c>
      <c r="B115" s="587">
        <f>Imps!L115</f>
        <v>43769.166666666395</v>
      </c>
      <c r="C115" s="152">
        <f ca="1">$C114+$W114+Military!BE115 - IF(race="Demon",Military!G114*2,0)</f>
        <v>1845</v>
      </c>
      <c r="D115" s="26">
        <f ca="1">Military!B115</f>
        <v>5295</v>
      </c>
      <c r="E115" s="26">
        <f ca="1">Military!Z115</f>
        <v>5295</v>
      </c>
      <c r="F115" s="26">
        <f t="shared" ca="1" si="10"/>
        <v>7140</v>
      </c>
      <c r="G115" s="27">
        <f t="shared" ca="1" si="11"/>
        <v>0.74159663865546221</v>
      </c>
      <c r="H115" s="592">
        <f t="shared" ca="1" si="12"/>
        <v>1845</v>
      </c>
      <c r="I115" s="165">
        <f t="shared" ca="1" si="13"/>
        <v>1</v>
      </c>
      <c r="J115" s="673">
        <f>SUM(Construction!AY115:BH115,Construction!BJ115:BP115,Construction!BW115:CF115,Construction!CH115:CN115)*building_employment</f>
        <v>3600</v>
      </c>
      <c r="K115" s="633"/>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38">
        <f ca="1">(Overview!$O$15 + Imps!Z115+MAX(Constants!$M$38*Techs!AE115,Constants!$M$50*Techs!AQ115)) * (1 + Production!O115/100*prestige_pop_multiplier) + Production!O115/100*prestige_pop_multiplier</f>
        <v>0.05</v>
      </c>
    </row>
    <row r="116" spans="1:29" s="16" customFormat="1" x14ac:dyDescent="0.25">
      <c r="A116" s="982">
        <f>Rezone!J116</f>
        <v>114</v>
      </c>
      <c r="B116" s="587">
        <f>Imps!L116</f>
        <v>43769.177083333059</v>
      </c>
      <c r="C116" s="152">
        <f ca="1">$C115+$W115+Military!BE116 - IF(race="Demon",Military!G115*2,0)</f>
        <v>1845</v>
      </c>
      <c r="D116" s="26">
        <f ca="1">Military!B116</f>
        <v>5295</v>
      </c>
      <c r="E116" s="26">
        <f ca="1">Military!Z116</f>
        <v>5295</v>
      </c>
      <c r="F116" s="26">
        <f t="shared" ca="1" si="10"/>
        <v>7140</v>
      </c>
      <c r="G116" s="27">
        <f t="shared" ca="1" si="11"/>
        <v>0.74159663865546221</v>
      </c>
      <c r="H116" s="592">
        <f t="shared" ca="1" si="12"/>
        <v>1845</v>
      </c>
      <c r="I116" s="165">
        <f t="shared" ca="1" si="13"/>
        <v>1</v>
      </c>
      <c r="J116" s="673">
        <f>SUM(Construction!AY116:BH116,Construction!BJ116:BP116,Construction!BW116:CF116,Construction!CH116:CN116)*building_employment</f>
        <v>3600</v>
      </c>
      <c r="K116" s="633"/>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38">
        <f ca="1">(Overview!$O$15 + Imps!Z116+MAX(Constants!$M$38*Techs!AE116,Constants!$M$50*Techs!AQ116)) * (1 + Production!O116/100*prestige_pop_multiplier) + Production!O116/100*prestige_pop_multiplier</f>
        <v>0.05</v>
      </c>
    </row>
    <row r="117" spans="1:29" s="16" customFormat="1" x14ac:dyDescent="0.25">
      <c r="A117" s="982">
        <f>Rezone!J117</f>
        <v>115</v>
      </c>
      <c r="B117" s="587">
        <f>Imps!L117</f>
        <v>43769.187499999724</v>
      </c>
      <c r="C117" s="152">
        <f ca="1">$C116+$W116+Military!BE117 - IF(race="Demon",Military!G116*2,0)</f>
        <v>1845</v>
      </c>
      <c r="D117" s="26">
        <f ca="1">Military!B117</f>
        <v>5295</v>
      </c>
      <c r="E117" s="26">
        <f ca="1">Military!Z117</f>
        <v>5295</v>
      </c>
      <c r="F117" s="26">
        <f t="shared" ca="1" si="10"/>
        <v>7140</v>
      </c>
      <c r="G117" s="27">
        <f t="shared" ca="1" si="11"/>
        <v>0.74159663865546221</v>
      </c>
      <c r="H117" s="592">
        <f t="shared" ca="1" si="12"/>
        <v>1845</v>
      </c>
      <c r="I117" s="165">
        <f t="shared" ca="1" si="13"/>
        <v>1</v>
      </c>
      <c r="J117" s="673">
        <f>SUM(Construction!AY117:BH117,Construction!BJ117:BP117,Construction!BW117:CF117,Construction!CH117:CN117)*building_employment</f>
        <v>3600</v>
      </c>
      <c r="K117" s="633"/>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38">
        <f ca="1">(Overview!$O$15 + Imps!Z117+MAX(Constants!$M$38*Techs!AE117,Constants!$M$50*Techs!AQ117)) * (1 + Production!O117/100*prestige_pop_multiplier) + Production!O117/100*prestige_pop_multiplier</f>
        <v>0.05</v>
      </c>
    </row>
    <row r="118" spans="1:29" s="16" customFormat="1" x14ac:dyDescent="0.25">
      <c r="A118" s="982">
        <f>Rezone!J118</f>
        <v>116</v>
      </c>
      <c r="B118" s="587">
        <f>Imps!L118</f>
        <v>43769.197916666388</v>
      </c>
      <c r="C118" s="152">
        <f ca="1">$C117+$W117+Military!BE118 - IF(race="Demon",Military!G117*2,0)</f>
        <v>1845</v>
      </c>
      <c r="D118" s="26">
        <f ca="1">Military!B118</f>
        <v>5295</v>
      </c>
      <c r="E118" s="26">
        <f ca="1">Military!Z118</f>
        <v>5295</v>
      </c>
      <c r="F118" s="26">
        <f t="shared" ca="1" si="10"/>
        <v>7140</v>
      </c>
      <c r="G118" s="27">
        <f t="shared" ca="1" si="11"/>
        <v>0.74159663865546221</v>
      </c>
      <c r="H118" s="592">
        <f t="shared" ca="1" si="12"/>
        <v>1845</v>
      </c>
      <c r="I118" s="165">
        <f t="shared" ca="1" si="13"/>
        <v>1</v>
      </c>
      <c r="J118" s="673">
        <f>SUM(Construction!AY118:BH118,Construction!BJ118:BP118,Construction!BW118:CF118,Construction!CH118:CN118)*building_employment</f>
        <v>3600</v>
      </c>
      <c r="K118" s="633"/>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38">
        <f ca="1">(Overview!$O$15 + Imps!Z118+MAX(Constants!$M$38*Techs!AE118,Constants!$M$50*Techs!AQ118)) * (1 + Production!O118/100*prestige_pop_multiplier) + Production!O118/100*prestige_pop_multiplier</f>
        <v>0.05</v>
      </c>
    </row>
    <row r="119" spans="1:29" s="16" customFormat="1" x14ac:dyDescent="0.25">
      <c r="A119" s="982">
        <f>Rezone!J119</f>
        <v>117</v>
      </c>
      <c r="B119" s="587">
        <f>Imps!L119</f>
        <v>43769.208333333052</v>
      </c>
      <c r="C119" s="152">
        <f ca="1">$C118+$W118+Military!BE119 - IF(race="Demon",Military!G118*2,0)</f>
        <v>1845</v>
      </c>
      <c r="D119" s="26">
        <f ca="1">Military!B119</f>
        <v>5295</v>
      </c>
      <c r="E119" s="26">
        <f ca="1">Military!Z119</f>
        <v>5295</v>
      </c>
      <c r="F119" s="26">
        <f t="shared" ca="1" si="10"/>
        <v>7140</v>
      </c>
      <c r="G119" s="27">
        <f t="shared" ca="1" si="11"/>
        <v>0.74159663865546221</v>
      </c>
      <c r="H119" s="592">
        <f t="shared" ca="1" si="12"/>
        <v>1845</v>
      </c>
      <c r="I119" s="165">
        <f t="shared" ca="1" si="13"/>
        <v>1</v>
      </c>
      <c r="J119" s="673">
        <f>SUM(Construction!AY119:BH119,Construction!BJ119:BP119,Construction!BW119:CF119,Construction!CH119:CN119)*building_employment</f>
        <v>3600</v>
      </c>
      <c r="K119" s="633"/>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38">
        <f ca="1">(Overview!$O$15 + Imps!Z119+MAX(Constants!$M$38*Techs!AE119,Constants!$M$50*Techs!AQ119)) * (1 + Production!O119/100*prestige_pop_multiplier) + Production!O119/100*prestige_pop_multiplier</f>
        <v>0.05</v>
      </c>
    </row>
    <row r="120" spans="1:29" s="16" customFormat="1" x14ac:dyDescent="0.25">
      <c r="A120" s="982">
        <f>Rezone!J120</f>
        <v>118</v>
      </c>
      <c r="B120" s="587">
        <f>Imps!L120</f>
        <v>43769.218749999716</v>
      </c>
      <c r="C120" s="152">
        <f ca="1">$C119+$W119+Military!BE120 - IF(race="Demon",Military!G119*2,0)</f>
        <v>1845</v>
      </c>
      <c r="D120" s="26">
        <f ca="1">Military!B120</f>
        <v>5295</v>
      </c>
      <c r="E120" s="26">
        <f ca="1">Military!Z120</f>
        <v>5295</v>
      </c>
      <c r="F120" s="26">
        <f t="shared" ca="1" si="10"/>
        <v>7140</v>
      </c>
      <c r="G120" s="27">
        <f t="shared" ca="1" si="11"/>
        <v>0.74159663865546221</v>
      </c>
      <c r="H120" s="592">
        <f t="shared" ca="1" si="12"/>
        <v>1845</v>
      </c>
      <c r="I120" s="165">
        <f t="shared" ca="1" si="13"/>
        <v>1</v>
      </c>
      <c r="J120" s="673">
        <f>SUM(Construction!AY120:BH120,Construction!BJ120:BP120,Construction!BW120:CF120,Construction!CH120:CN120)*building_employment</f>
        <v>3600</v>
      </c>
      <c r="K120" s="633"/>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38">
        <f ca="1">(Overview!$O$15 + Imps!Z120+MAX(Constants!$M$38*Techs!AE120,Constants!$M$50*Techs!AQ120)) * (1 + Production!O120/100*prestige_pop_multiplier) + Production!O120/100*prestige_pop_multiplier</f>
        <v>0.05</v>
      </c>
    </row>
    <row r="121" spans="1:29" s="16" customFormat="1" x14ac:dyDescent="0.25">
      <c r="A121" s="982">
        <f>Rezone!J121</f>
        <v>119</v>
      </c>
      <c r="B121" s="587">
        <f>Imps!L121</f>
        <v>43769.22916666638</v>
      </c>
      <c r="C121" s="152">
        <f ca="1">$C120+$W120+Military!BE121 - IF(race="Demon",Military!G120*2,0)</f>
        <v>1845</v>
      </c>
      <c r="D121" s="26">
        <f ca="1">Military!B121</f>
        <v>5295</v>
      </c>
      <c r="E121" s="26">
        <f ca="1">Military!Z121</f>
        <v>5295</v>
      </c>
      <c r="F121" s="26">
        <f t="shared" ca="1" si="10"/>
        <v>7140</v>
      </c>
      <c r="G121" s="27">
        <f t="shared" ca="1" si="11"/>
        <v>0.74159663865546221</v>
      </c>
      <c r="H121" s="592">
        <f t="shared" ca="1" si="12"/>
        <v>1845</v>
      </c>
      <c r="I121" s="165">
        <f t="shared" ca="1" si="13"/>
        <v>1</v>
      </c>
      <c r="J121" s="673">
        <f>SUM(Construction!AY121:BH121,Construction!BJ121:BP121,Construction!BW121:CF121,Construction!CH121:CN121)*building_employment</f>
        <v>3600</v>
      </c>
      <c r="K121" s="633"/>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38">
        <f ca="1">(Overview!$O$15 + Imps!Z121+MAX(Constants!$M$38*Techs!AE121,Constants!$M$50*Techs!AQ121)) * (1 + Production!O121/100*prestige_pop_multiplier) + Production!O121/100*prestige_pop_multiplier</f>
        <v>0.05</v>
      </c>
    </row>
    <row r="122" spans="1:29" s="16" customFormat="1" ht="13.8" thickBot="1" x14ac:dyDescent="0.3">
      <c r="A122" s="982">
        <f>Rezone!J122</f>
        <v>120</v>
      </c>
      <c r="B122" s="587">
        <f>Imps!L122</f>
        <v>43769.239583333045</v>
      </c>
      <c r="C122" s="152">
        <f ca="1">$C121+$W121+Military!BE122 - IF(race="Demon",Military!G121*2,0)</f>
        <v>1845</v>
      </c>
      <c r="D122" s="26">
        <f ca="1">Military!B122</f>
        <v>5295</v>
      </c>
      <c r="E122" s="26">
        <f ca="1">Military!Z122</f>
        <v>5295</v>
      </c>
      <c r="F122" s="26">
        <f t="shared" ca="1" si="10"/>
        <v>7140</v>
      </c>
      <c r="G122" s="27">
        <f t="shared" ca="1" si="11"/>
        <v>0.74159663865546221</v>
      </c>
      <c r="H122" s="592">
        <f t="shared" ca="1" si="12"/>
        <v>1845</v>
      </c>
      <c r="I122" s="165">
        <f t="shared" ca="1" si="13"/>
        <v>1</v>
      </c>
      <c r="J122" s="673">
        <f>SUM(Construction!AY122:BH122,Construction!BJ122:BP122,Construction!BW122:CF122,Construction!CH122:CN122)*building_employment</f>
        <v>3600</v>
      </c>
      <c r="K122" s="633"/>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38">
        <f ca="1">(Overview!$O$15 + Imps!Z122+MAX(Constants!$M$38*Techs!AE122,Constants!$M$50*Techs!AQ122)) * (1 + Production!O122/100*prestige_pop_multiplier) + Production!O122/100*prestige_pop_multiplier</f>
        <v>0.05</v>
      </c>
    </row>
    <row r="123" spans="1:29" s="111" customFormat="1" ht="14.4" thickTop="1" thickBot="1" x14ac:dyDescent="0.3">
      <c r="A123" s="986">
        <f>Rezone!J123</f>
        <v>121</v>
      </c>
      <c r="B123" s="589">
        <f>Imps!L123</f>
        <v>43769.249999999709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5">
        <f t="shared" ca="1" si="12"/>
        <v>1845</v>
      </c>
      <c r="I123" s="540">
        <f t="shared" ca="1" si="13"/>
        <v>1</v>
      </c>
      <c r="J123" s="1052">
        <f>SUM(Construction!AY123:BH123,Construction!BJ123:BP123,Construction!BW123:CF123,Construction!CH123:CN123)*building_employment</f>
        <v>3600</v>
      </c>
      <c r="K123" s="635"/>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0">
        <f ca="1">Overview!$O$16 + IF(Magic!AK123&gt;0,Constants!$F$75) + ROUND(6*(Construction!BL124+Construction!CJ123)/IF(Explore!S124&gt;0,Construction!E124-20,Construction!E124),4)</f>
        <v>0</v>
      </c>
      <c r="AC123" s="541">
        <f ca="1">(Overview!$O$15 + Imps!Z123+MAX(Constants!$M$38*Techs!AE123,Constants!$M$50*Techs!AQ123)) * (1 + Production!O123/100*prestige_pop_multiplier) + Production!O123/100*prestige_pop_multiplier</f>
        <v>0.05</v>
      </c>
    </row>
    <row r="124" spans="1:29" s="16" customFormat="1" ht="13.8" thickTop="1" x14ac:dyDescent="0.25">
      <c r="A124" s="982">
        <f>Rezone!J124</f>
        <v>122</v>
      </c>
      <c r="B124" s="587">
        <f>Imps!L124</f>
        <v>43769.260416666373</v>
      </c>
      <c r="C124" s="152">
        <f ca="1">$C123+$W123+Military!BE124 - IF(race="Demon",Military!G123*2,0)</f>
        <v>1845</v>
      </c>
      <c r="D124" s="26">
        <f ca="1">Military!B124</f>
        <v>5295</v>
      </c>
      <c r="E124" s="26">
        <f ca="1">Military!Z124</f>
        <v>5295</v>
      </c>
      <c r="F124" s="26">
        <f t="shared" ca="1" si="10"/>
        <v>7140</v>
      </c>
      <c r="G124" s="27">
        <f t="shared" ca="1" si="11"/>
        <v>0.74159663865546221</v>
      </c>
      <c r="H124" s="592">
        <f t="shared" ca="1" si="12"/>
        <v>1845</v>
      </c>
      <c r="I124" s="165">
        <f t="shared" ca="1" si="13"/>
        <v>1</v>
      </c>
      <c r="J124" s="673">
        <f>SUM(Construction!AY124:BH124,Construction!BJ124:BP124,Construction!BW124:CF124,Construction!CH124:CN124)*building_employment</f>
        <v>3600</v>
      </c>
      <c r="K124" s="633"/>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38">
        <f ca="1">(Overview!$O$15 + Imps!Z124+MAX(Constants!$M$38*Techs!AE124,Constants!$M$50*Techs!AQ124)) * (1 + Production!O124/100*prestige_pop_multiplier) + Production!O124/100*prestige_pop_multiplier</f>
        <v>0.05</v>
      </c>
    </row>
    <row r="125" spans="1:29" s="16" customFormat="1" x14ac:dyDescent="0.25">
      <c r="A125" s="982">
        <f>Rezone!J125</f>
        <v>123</v>
      </c>
      <c r="B125" s="587">
        <f>Imps!L125</f>
        <v>43769.270833333037</v>
      </c>
      <c r="C125" s="152">
        <f ca="1">$C124+$W124+Military!BE125 - IF(race="Demon",Military!G124*2,0)</f>
        <v>1845</v>
      </c>
      <c r="D125" s="26">
        <f ca="1">Military!B125</f>
        <v>5295</v>
      </c>
      <c r="E125" s="26">
        <f ca="1">Military!Z125</f>
        <v>5295</v>
      </c>
      <c r="F125" s="26">
        <f t="shared" ca="1" si="10"/>
        <v>7140</v>
      </c>
      <c r="G125" s="27">
        <f t="shared" ca="1" si="11"/>
        <v>0.74159663865546221</v>
      </c>
      <c r="H125" s="592">
        <f t="shared" ca="1" si="12"/>
        <v>1845</v>
      </c>
      <c r="I125" s="165">
        <f t="shared" ca="1" si="13"/>
        <v>1</v>
      </c>
      <c r="J125" s="673">
        <f>SUM(Construction!AY125:BH125,Construction!BJ125:BP125,Construction!BW125:CF125,Construction!CH125:CN125)*building_employment</f>
        <v>3600</v>
      </c>
      <c r="K125" s="633"/>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38">
        <f ca="1">(Overview!$O$15 + Imps!Z125+MAX(Constants!$M$38*Techs!AE125,Constants!$M$50*Techs!AQ125)) * (1 + Production!O125/100*prestige_pop_multiplier) + Production!O125/100*prestige_pop_multiplier</f>
        <v>0.05</v>
      </c>
    </row>
    <row r="126" spans="1:29" s="16" customFormat="1" x14ac:dyDescent="0.25">
      <c r="A126" s="982">
        <f>Rezone!J126</f>
        <v>124</v>
      </c>
      <c r="B126" s="587">
        <f>Imps!L126</f>
        <v>43769.281249999702</v>
      </c>
      <c r="C126" s="152">
        <f ca="1">$C125+$W125+Military!BE126 - IF(race="Demon",Military!G125*2,0)</f>
        <v>1845</v>
      </c>
      <c r="D126" s="26">
        <f ca="1">Military!B126</f>
        <v>5295</v>
      </c>
      <c r="E126" s="26">
        <f ca="1">Military!Z126</f>
        <v>5295</v>
      </c>
      <c r="F126" s="26">
        <f t="shared" ca="1" si="10"/>
        <v>7140</v>
      </c>
      <c r="G126" s="27">
        <f t="shared" ca="1" si="11"/>
        <v>0.74159663865546221</v>
      </c>
      <c r="H126" s="592">
        <f t="shared" ca="1" si="12"/>
        <v>1845</v>
      </c>
      <c r="I126" s="165">
        <f t="shared" ca="1" si="13"/>
        <v>1</v>
      </c>
      <c r="J126" s="673">
        <f>SUM(Construction!AY126:BH126,Construction!BJ126:BP126,Construction!BW126:CF126,Construction!CH126:CN126)*building_employment</f>
        <v>3600</v>
      </c>
      <c r="K126" s="633"/>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38">
        <f ca="1">(Overview!$O$15 + Imps!Z126+MAX(Constants!$M$38*Techs!AE126,Constants!$M$50*Techs!AQ126)) * (1 + Production!O126/100*prestige_pop_multiplier) + Production!O126/100*prestige_pop_multiplier</f>
        <v>0.05</v>
      </c>
    </row>
    <row r="127" spans="1:29" s="16" customFormat="1" x14ac:dyDescent="0.25">
      <c r="A127" s="982">
        <f>Rezone!J127</f>
        <v>125</v>
      </c>
      <c r="B127" s="587">
        <f>Imps!L127</f>
        <v>43769.291666666366</v>
      </c>
      <c r="C127" s="152">
        <f ca="1">$C126+$W126+Military!BE127 - IF(race="Demon",Military!G126*2,0)</f>
        <v>1845</v>
      </c>
      <c r="D127" s="26">
        <f ca="1">Military!B127</f>
        <v>5295</v>
      </c>
      <c r="E127" s="26">
        <f ca="1">Military!Z127</f>
        <v>5295</v>
      </c>
      <c r="F127" s="26">
        <f t="shared" ca="1" si="10"/>
        <v>7140</v>
      </c>
      <c r="G127" s="27">
        <f t="shared" ca="1" si="11"/>
        <v>0.74159663865546221</v>
      </c>
      <c r="H127" s="592">
        <f t="shared" ca="1" si="12"/>
        <v>1845</v>
      </c>
      <c r="I127" s="165">
        <f t="shared" ca="1" si="13"/>
        <v>1</v>
      </c>
      <c r="J127" s="673">
        <f>SUM(Construction!AY127:BH127,Construction!BJ127:BP127,Construction!BW127:CF127,Construction!CH127:CN127)*building_employment</f>
        <v>3600</v>
      </c>
      <c r="K127" s="633"/>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38">
        <f ca="1">(Overview!$O$15 + Imps!Z127+MAX(Constants!$M$38*Techs!AE127,Constants!$M$50*Techs!AQ127)) * (1 + Production!O127/100*prestige_pop_multiplier) + Production!O127/100*prestige_pop_multiplier</f>
        <v>0.05</v>
      </c>
    </row>
    <row r="128" spans="1:29" s="16" customFormat="1" x14ac:dyDescent="0.25">
      <c r="A128" s="982">
        <f>Rezone!J128</f>
        <v>126</v>
      </c>
      <c r="B128" s="587">
        <f>Imps!L128</f>
        <v>43769.30208333303</v>
      </c>
      <c r="C128" s="152">
        <f ca="1">$C127+$W127+Military!BE128 - IF(race="Demon",Military!G127*2,0)</f>
        <v>1845</v>
      </c>
      <c r="D128" s="26">
        <f ca="1">Military!B128</f>
        <v>5295</v>
      </c>
      <c r="E128" s="26">
        <f ca="1">Military!Z128</f>
        <v>5295</v>
      </c>
      <c r="F128" s="26">
        <f t="shared" ca="1" si="10"/>
        <v>7140</v>
      </c>
      <c r="G128" s="27">
        <f t="shared" ca="1" si="11"/>
        <v>0.74159663865546221</v>
      </c>
      <c r="H128" s="592">
        <f t="shared" ca="1" si="12"/>
        <v>1845</v>
      </c>
      <c r="I128" s="165">
        <f t="shared" ca="1" si="13"/>
        <v>1</v>
      </c>
      <c r="J128" s="673">
        <f>SUM(Construction!AY128:BH128,Construction!BJ128:BP128,Construction!BW128:CF128,Construction!CH128:CN128)*building_employment</f>
        <v>3600</v>
      </c>
      <c r="K128" s="633"/>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38">
        <f ca="1">(Overview!$O$15 + Imps!Z128+MAX(Constants!$M$38*Techs!AE128,Constants!$M$50*Techs!AQ128)) * (1 + Production!O128/100*prestige_pop_multiplier) + Production!O128/100*prestige_pop_multiplier</f>
        <v>0.05</v>
      </c>
    </row>
    <row r="129" spans="1:29" s="16" customFormat="1" x14ac:dyDescent="0.25">
      <c r="A129" s="982">
        <f>Rezone!J129</f>
        <v>127</v>
      </c>
      <c r="B129" s="587">
        <f>Imps!L129</f>
        <v>43769.312499999694</v>
      </c>
      <c r="C129" s="152">
        <f ca="1">$C128+$W128+Military!BE129 - IF(race="Demon",Military!G128*2,0)</f>
        <v>1845</v>
      </c>
      <c r="D129" s="26">
        <f ca="1">Military!B129</f>
        <v>5295</v>
      </c>
      <c r="E129" s="26">
        <f ca="1">Military!Z129</f>
        <v>5295</v>
      </c>
      <c r="F129" s="26">
        <f t="shared" ca="1" si="10"/>
        <v>7140</v>
      </c>
      <c r="G129" s="27">
        <f t="shared" ca="1" si="11"/>
        <v>0.74159663865546221</v>
      </c>
      <c r="H129" s="592">
        <f t="shared" ca="1" si="12"/>
        <v>1845</v>
      </c>
      <c r="I129" s="165">
        <f t="shared" ca="1" si="13"/>
        <v>1</v>
      </c>
      <c r="J129" s="673">
        <f>SUM(Construction!AY129:BH129,Construction!BJ129:BP129,Construction!BW129:CF129,Construction!CH129:CN129)*building_employment</f>
        <v>3600</v>
      </c>
      <c r="K129" s="633"/>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38">
        <f ca="1">(Overview!$O$15 + Imps!Z129+MAX(Constants!$M$38*Techs!AE129,Constants!$M$50*Techs!AQ129)) * (1 + Production!O129/100*prestige_pop_multiplier) + Production!O129/100*prestige_pop_multiplier</f>
        <v>0.05</v>
      </c>
    </row>
    <row r="130" spans="1:29" s="16" customFormat="1" x14ac:dyDescent="0.25">
      <c r="A130" s="982">
        <f>Rezone!J130</f>
        <v>128</v>
      </c>
      <c r="B130" s="587">
        <f>Imps!L130</f>
        <v>43769.322916666359</v>
      </c>
      <c r="C130" s="152">
        <f ca="1">$C129+$W129+Military!BE130 - IF(race="Demon",Military!G129*2,0)</f>
        <v>1845</v>
      </c>
      <c r="D130" s="26">
        <f ca="1">Military!B130</f>
        <v>5295</v>
      </c>
      <c r="E130" s="26">
        <f ca="1">Military!Z130</f>
        <v>5295</v>
      </c>
      <c r="F130" s="26">
        <f t="shared" ca="1" si="10"/>
        <v>7140</v>
      </c>
      <c r="G130" s="27">
        <f t="shared" ca="1" si="11"/>
        <v>0.74159663865546221</v>
      </c>
      <c r="H130" s="592">
        <f t="shared" ca="1" si="12"/>
        <v>1845</v>
      </c>
      <c r="I130" s="165">
        <f t="shared" ca="1" si="13"/>
        <v>1</v>
      </c>
      <c r="J130" s="673">
        <f>SUM(Construction!AY130:BH130,Construction!BJ130:BP130,Construction!BW130:CF130,Construction!CH130:CN130)*building_employment</f>
        <v>3600</v>
      </c>
      <c r="K130" s="633"/>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38">
        <f ca="1">(Overview!$O$15 + Imps!Z130+MAX(Constants!$M$38*Techs!AE130,Constants!$M$50*Techs!AQ130)) * (1 + Production!O130/100*prestige_pop_multiplier) + Production!O130/100*prestige_pop_multiplier</f>
        <v>0.05</v>
      </c>
    </row>
    <row r="131" spans="1:29" s="16" customFormat="1" x14ac:dyDescent="0.25">
      <c r="A131" s="982">
        <f>Rezone!J131</f>
        <v>129</v>
      </c>
      <c r="B131" s="587">
        <f>Imps!L131</f>
        <v>43769.333333333023</v>
      </c>
      <c r="C131" s="152">
        <f ca="1">$C130+$W130+Military!BE131 - IF(race="Demon",Military!G130*2,0)</f>
        <v>1845</v>
      </c>
      <c r="D131" s="26">
        <f ca="1">Military!B131</f>
        <v>5295</v>
      </c>
      <c r="E131" s="26">
        <f ca="1">Military!Z131</f>
        <v>5295</v>
      </c>
      <c r="F131" s="26">
        <f t="shared" ca="1" si="10"/>
        <v>7140</v>
      </c>
      <c r="G131" s="27">
        <f t="shared" ca="1" si="11"/>
        <v>0.74159663865546221</v>
      </c>
      <c r="H131" s="592">
        <f t="shared" ca="1" si="12"/>
        <v>1845</v>
      </c>
      <c r="I131" s="165">
        <f t="shared" ca="1" si="13"/>
        <v>1</v>
      </c>
      <c r="J131" s="673">
        <f>SUM(Construction!AY131:BH131,Construction!BJ131:BP131,Construction!BW131:CF131,Construction!CH131:CN131)*building_employment</f>
        <v>3600</v>
      </c>
      <c r="K131" s="633"/>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38">
        <f ca="1">(Overview!$O$15 + Imps!Z131+MAX(Constants!$M$38*Techs!AE131,Constants!$M$50*Techs!AQ131)) * (1 + Production!O131/100*prestige_pop_multiplier) + Production!O131/100*prestige_pop_multiplier</f>
        <v>0.05</v>
      </c>
    </row>
    <row r="132" spans="1:29" s="16" customFormat="1" x14ac:dyDescent="0.25">
      <c r="A132" s="982">
        <f>Rezone!J132</f>
        <v>130</v>
      </c>
      <c r="B132" s="587">
        <f>Imps!L132</f>
        <v>43769.343749999687</v>
      </c>
      <c r="C132" s="152">
        <f ca="1">$C131+$W131+Military!BE132 - IF(race="Demon",Military!G131*2,0)</f>
        <v>1845</v>
      </c>
      <c r="D132" s="26">
        <f ca="1">Military!B132</f>
        <v>5295</v>
      </c>
      <c r="E132" s="26">
        <f ca="1">Military!Z132</f>
        <v>5295</v>
      </c>
      <c r="F132" s="26">
        <f ca="1">C132+D132</f>
        <v>7140</v>
      </c>
      <c r="G132" s="27">
        <f ca="1">D132/F132</f>
        <v>0.74159663865546221</v>
      </c>
      <c r="H132" s="592">
        <f ca="1">MIN(C132,J132)</f>
        <v>1845</v>
      </c>
      <c r="I132" s="165">
        <f ca="1">MIN(J133/C132,1)</f>
        <v>1</v>
      </c>
      <c r="J132" s="673">
        <f>SUM(Construction!AY132:BH132,Construction!BJ132:BP132,Construction!BW132:CF132,Construction!CH132:CN132)*building_employment</f>
        <v>3600</v>
      </c>
      <c r="K132" s="633"/>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38">
        <f ca="1">(Overview!$O$15 + Imps!Z132+MAX(Constants!$M$38*Techs!AE132,Constants!$M$50*Techs!AQ132)) * (1 + Production!O132/100*prestige_pop_multiplier) + Production!O132/100*prestige_pop_multiplier</f>
        <v>0.05</v>
      </c>
    </row>
    <row r="133" spans="1:29" s="16" customFormat="1" x14ac:dyDescent="0.25">
      <c r="A133" s="982">
        <f>Rezone!J133</f>
        <v>131</v>
      </c>
      <c r="B133" s="587">
        <f>Imps!L133</f>
        <v>43769.354166666351</v>
      </c>
      <c r="C133" s="152">
        <f ca="1">$C132+$W132+Military!BE133 - IF(race="Demon",Military!G132*2,0)</f>
        <v>1845</v>
      </c>
      <c r="D133" s="26">
        <f ca="1">Military!B133</f>
        <v>5295</v>
      </c>
      <c r="E133" s="26">
        <f ca="1">Military!Z133</f>
        <v>5295</v>
      </c>
      <c r="F133" s="26">
        <f ca="1">C133+D133</f>
        <v>7140</v>
      </c>
      <c r="G133" s="27">
        <f ca="1">D133/F133</f>
        <v>0.74159663865546221</v>
      </c>
      <c r="H133" s="592">
        <f ca="1">MIN(C133,J133)</f>
        <v>1845</v>
      </c>
      <c r="I133" s="165">
        <f ca="1">MIN(J134/C133,1)</f>
        <v>1</v>
      </c>
      <c r="J133" s="673">
        <f>SUM(Construction!AY133:BH133,Construction!BJ133:BP133,Construction!BW133:CF133,Construction!CH133:CN133)*building_employment</f>
        <v>3600</v>
      </c>
      <c r="K133" s="633"/>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38">
        <f ca="1">(Overview!$O$15 + Imps!Z133+MAX(Constants!$M$38*Techs!AE133,Constants!$M$50*Techs!AQ133)) * (1 + Production!O133/100*prestige_pop_multiplier) + Production!O133/100*prestige_pop_multiplier</f>
        <v>0.05</v>
      </c>
    </row>
    <row r="134" spans="1:29" s="16" customFormat="1" x14ac:dyDescent="0.25">
      <c r="A134" s="982">
        <f>Rezone!J134</f>
        <v>132</v>
      </c>
      <c r="B134" s="587">
        <f>Imps!L134</f>
        <v>43769.364583333016</v>
      </c>
      <c r="C134" s="152">
        <f ca="1">$C133+$W133+Military!BE134 - IF(race="Demon",Military!G133*2,0)</f>
        <v>1845</v>
      </c>
      <c r="D134" s="26">
        <f ca="1">Military!B134</f>
        <v>5295</v>
      </c>
      <c r="E134" s="26">
        <f ca="1">Military!Z134</f>
        <v>5295</v>
      </c>
      <c r="F134" s="26">
        <f ca="1">C134+D134</f>
        <v>7140</v>
      </c>
      <c r="G134" s="27">
        <f ca="1">D134/F134</f>
        <v>0.74159663865546221</v>
      </c>
      <c r="H134" s="592">
        <f ca="1">MIN(C134,J134)</f>
        <v>1845</v>
      </c>
      <c r="I134" s="165">
        <f ca="1">MIN(J135/C134,1)</f>
        <v>1</v>
      </c>
      <c r="J134" s="673">
        <f>SUM(Construction!AY134:BH134,Construction!BJ134:BP134,Construction!BW134:CF134,Construction!CH134:CN134)*building_employment</f>
        <v>3600</v>
      </c>
      <c r="K134" s="633"/>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38">
        <f ca="1">(Overview!$O$15 + Imps!Z134+MAX(Constants!$M$38*Techs!AE134,Constants!$M$50*Techs!AQ134)) * (1 + Production!O134/100*prestige_pop_multiplier) + Production!O134/100*prestige_pop_multiplier</f>
        <v>0.05</v>
      </c>
    </row>
    <row r="135" spans="1:29" s="12" customFormat="1" x14ac:dyDescent="0.25">
      <c r="A135" s="985">
        <f>Rezone!J135</f>
        <v>133</v>
      </c>
      <c r="B135" s="586">
        <f>Imps!L135</f>
        <v>43769.37499999968</v>
      </c>
      <c r="C135" s="151">
        <f ca="1">$C134+$W134+Military!BE135 - IF(race="Demon",Military!G134*2,0)</f>
        <v>1845</v>
      </c>
      <c r="D135" s="13">
        <f ca="1">Military!B135</f>
        <v>5295</v>
      </c>
      <c r="E135" s="13">
        <f ca="1">Military!Z135</f>
        <v>5295</v>
      </c>
      <c r="F135" s="13">
        <f ca="1">C135+D135</f>
        <v>7140</v>
      </c>
      <c r="G135" s="14">
        <f ca="1">D135/F135</f>
        <v>0.74159663865546221</v>
      </c>
      <c r="H135" s="594">
        <f ca="1">MIN(C135,J135)</f>
        <v>1845</v>
      </c>
      <c r="I135" s="154">
        <f ca="1">MIN(J136/C135,1)</f>
        <v>0</v>
      </c>
      <c r="J135" s="1050">
        <f>SUM(Construction!AY135:BH135,Construction!BJ135:BP135,Construction!BW135:CF135,Construction!CH135:CN135)*building_employment</f>
        <v>3600</v>
      </c>
      <c r="K135" s="751"/>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x14ac:dyDescent="0.25">
      <c r="C1268" s="1464" t="s">
        <v>330</v>
      </c>
      <c r="D1268" s="1415"/>
      <c r="W1268" s="9"/>
      <c r="X1268" s="9"/>
      <c r="Y1268" s="9"/>
      <c r="Z1268" s="9"/>
    </row>
    <row r="1269" spans="3:26" x14ac:dyDescent="0.25">
      <c r="C1269" s="669">
        <f ca="1">Overview!E17</f>
        <v>-42</v>
      </c>
      <c r="D1269" s="669"/>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265" priority="7" stopIfTrue="1">
      <formula>$C$1269&gt;144</formula>
    </cfRule>
  </conditionalFormatting>
  <conditionalFormatting sqref="W1:IV2 V2 A1:U2">
    <cfRule type="expression" dxfId="264" priority="8" stopIfTrue="1">
      <formula>$C$1269&lt;1</formula>
    </cfRule>
  </conditionalFormatting>
  <conditionalFormatting sqref="K3:K18 A3:B18 T3:IV18 T32:IV135 A32:B135 K32:K135 T28:IV30 A28:B30 K28:K30 T20:IV26 A20:B26 K20:K26">
    <cfRule type="expression" dxfId="263" priority="9" stopIfTrue="1">
      <formula>ROW()-3=$C$1269</formula>
    </cfRule>
  </conditionalFormatting>
  <conditionalFormatting sqref="L3:S18 C3:J18 C32:J135 L32:S135 C28:J30 L28:S30 C20:J26 L20:S26">
    <cfRule type="expression" dxfId="262" priority="10" stopIfTrue="1">
      <formula>OR(C3&lt;0,ROW()-3=$C$1269)</formula>
    </cfRule>
  </conditionalFormatting>
  <conditionalFormatting sqref="K19 A19:B19 T19:IV19">
    <cfRule type="expression" dxfId="261" priority="1" stopIfTrue="1">
      <formula>ROW()-3=$C$1269</formula>
    </cfRule>
  </conditionalFormatting>
  <conditionalFormatting sqref="K31 A31:B31 T31:IV31">
    <cfRule type="expression" dxfId="260" priority="5" stopIfTrue="1">
      <formula>ROW()-3=$C$1269</formula>
    </cfRule>
  </conditionalFormatting>
  <conditionalFormatting sqref="L31:S31 C31:J31">
    <cfRule type="expression" dxfId="259" priority="6" stopIfTrue="1">
      <formula>OR(C31&lt;0,ROW()-3=$C$1269)</formula>
    </cfRule>
  </conditionalFormatting>
  <conditionalFormatting sqref="K27 A27:B27 T27:IV27">
    <cfRule type="expression" dxfId="258" priority="3" stopIfTrue="1">
      <formula>ROW()-3=$C$1269</formula>
    </cfRule>
  </conditionalFormatting>
  <conditionalFormatting sqref="L27:S27 C27:J27">
    <cfRule type="expression" dxfId="257" priority="4" stopIfTrue="1">
      <formula>OR(C27&lt;0,ROW()-3=$C$1269)</formula>
    </cfRule>
  </conditionalFormatting>
  <conditionalFormatting sqref="L19:S19 C19:J19">
    <cfRule type="expression" dxfId="256" priority="2" stopIfTrue="1">
      <formula>OR(C19&lt;0,ROW()-3=$C$1269)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BO1269"/>
  <sheetViews>
    <sheetView zoomScale="85" workbookViewId="0">
      <pane ySplit="2" topLeftCell="A3" activePane="bottomLeft" state="frozenSplit"/>
      <selection activeCell="S34" sqref="S34"/>
      <selection pane="bottomLeft" activeCell="A3" sqref="A3"/>
    </sheetView>
  </sheetViews>
  <sheetFormatPr defaultRowHeight="13.2" x14ac:dyDescent="0.25"/>
  <cols>
    <col min="1" max="1" width="5.109375" style="982" bestFit="1" customWidth="1"/>
    <col min="2" max="2" width="5.6640625" style="16" bestFit="1" customWidth="1"/>
    <col min="3" max="3" width="10.109375" bestFit="1" customWidth="1"/>
    <col min="4" max="4" width="6.109375" customWidth="1"/>
    <col min="5" max="5" width="6.33203125" customWidth="1"/>
    <col min="6" max="6" width="8.6640625" bestFit="1" customWidth="1"/>
    <col min="7" max="9" width="9.33203125" bestFit="1" customWidth="1"/>
    <col min="10" max="10" width="7.6640625" bestFit="1" customWidth="1"/>
    <col min="11" max="11" width="9.33203125" bestFit="1" customWidth="1"/>
    <col min="12" max="12" width="7.5546875" customWidth="1"/>
    <col min="13" max="13" width="6.6640625" bestFit="1" customWidth="1"/>
    <col min="14" max="14" width="7.88671875" bestFit="1" customWidth="1"/>
    <col min="15" max="15" width="10" bestFit="1" customWidth="1"/>
    <col min="16" max="16" width="10" customWidth="1"/>
    <col min="17" max="17" width="8.44140625" bestFit="1" customWidth="1"/>
    <col min="18" max="18" width="6.6640625" bestFit="1" customWidth="1"/>
    <col min="19" max="19" width="7.44140625" bestFit="1" customWidth="1"/>
    <col min="20" max="21" width="9.44140625" bestFit="1" customWidth="1"/>
    <col min="22" max="22" width="6.44140625" bestFit="1" customWidth="1"/>
    <col min="23" max="23" width="8.109375" bestFit="1" customWidth="1"/>
    <col min="24" max="25" width="8" bestFit="1" customWidth="1"/>
    <col min="26" max="26" width="4.6640625" customWidth="1"/>
    <col min="27" max="27" width="7.44140625" bestFit="1" customWidth="1"/>
    <col min="28" max="29" width="9.44140625" bestFit="1" customWidth="1"/>
    <col min="30" max="30" width="7.6640625" bestFit="1" customWidth="1"/>
    <col min="31" max="32" width="8.109375" bestFit="1" customWidth="1"/>
    <col min="33" max="33" width="5.33203125" customWidth="1"/>
    <col min="34" max="34" width="7.44140625" bestFit="1" customWidth="1"/>
    <col min="35" max="36" width="9.44140625" bestFit="1" customWidth="1"/>
    <col min="37" max="37" width="7.6640625" bestFit="1" customWidth="1"/>
    <col min="38" max="39" width="8.109375" bestFit="1" customWidth="1"/>
    <col min="40" max="40" width="5.33203125" customWidth="1"/>
    <col min="41" max="41" width="10.33203125" customWidth="1"/>
    <col min="42" max="42" width="9.88671875" customWidth="1"/>
    <col min="43" max="43" width="10.109375" customWidth="1"/>
    <col min="44" max="44" width="10.5546875" bestFit="1" customWidth="1"/>
    <col min="45" max="45" width="6.44140625" customWidth="1"/>
    <col min="46" max="46" width="7.109375" bestFit="1" customWidth="1"/>
    <col min="47" max="47" width="7.109375" customWidth="1"/>
    <col min="48" max="48" width="5.5546875" bestFit="1" customWidth="1"/>
    <col min="49" max="50" width="6" bestFit="1" customWidth="1"/>
    <col min="51" max="52" width="6" customWidth="1"/>
    <col min="53" max="53" width="7" bestFit="1" customWidth="1"/>
    <col min="54" max="54" width="9.44140625" bestFit="1" customWidth="1"/>
    <col min="56" max="58" width="7.44140625" bestFit="1" customWidth="1"/>
    <col min="59" max="59" width="6.6640625" bestFit="1" customWidth="1"/>
    <col min="61" max="61" width="5.6640625" bestFit="1" customWidth="1"/>
    <col min="62" max="62" width="5" customWidth="1"/>
  </cols>
  <sheetData>
    <row r="1" spans="1:67" s="34" customFormat="1" x14ac:dyDescent="0.25">
      <c r="A1" s="989"/>
      <c r="B1" s="495"/>
      <c r="C1" s="34" t="s">
        <v>240</v>
      </c>
      <c r="E1" s="34" t="s">
        <v>17</v>
      </c>
      <c r="S1" s="1468" t="s">
        <v>261</v>
      </c>
      <c r="T1" s="1468"/>
      <c r="U1" s="1468"/>
      <c r="AA1" s="1468" t="s">
        <v>88</v>
      </c>
      <c r="AB1" s="1468"/>
      <c r="AH1" s="1468" t="s">
        <v>177</v>
      </c>
      <c r="AI1" s="1468"/>
      <c r="AJ1" s="1468"/>
      <c r="AK1" s="1468"/>
      <c r="AL1" s="1468"/>
      <c r="AM1" s="1468"/>
      <c r="AO1" s="34" t="s">
        <v>19</v>
      </c>
      <c r="AT1" s="1468" t="s">
        <v>197</v>
      </c>
      <c r="AU1" s="1468"/>
      <c r="BE1" s="34" t="s">
        <v>484</v>
      </c>
      <c r="BK1" s="34" t="s">
        <v>17</v>
      </c>
    </row>
    <row r="2" spans="1:67" s="820" customFormat="1" ht="13.8" thickBot="1" x14ac:dyDescent="0.3">
      <c r="A2" s="1403" t="s">
        <v>760</v>
      </c>
      <c r="B2" s="820" t="s">
        <v>325</v>
      </c>
      <c r="C2" s="820" t="s">
        <v>337</v>
      </c>
      <c r="E2" s="820" t="s">
        <v>1</v>
      </c>
      <c r="F2" s="820" t="s">
        <v>21</v>
      </c>
      <c r="G2" s="820" t="s">
        <v>242</v>
      </c>
      <c r="H2" s="820" t="s">
        <v>2</v>
      </c>
      <c r="I2" s="820" t="s">
        <v>5</v>
      </c>
      <c r="J2" s="820" t="s">
        <v>7</v>
      </c>
      <c r="K2" s="820" t="s">
        <v>12</v>
      </c>
      <c r="L2" s="820" t="s">
        <v>3</v>
      </c>
      <c r="M2" s="820" t="s">
        <v>4</v>
      </c>
      <c r="N2" s="820" t="s">
        <v>85</v>
      </c>
      <c r="O2" s="820" t="s">
        <v>366</v>
      </c>
      <c r="P2" s="820" t="s">
        <v>384</v>
      </c>
      <c r="Q2" s="820" t="s">
        <v>385</v>
      </c>
      <c r="S2" s="820" t="s">
        <v>6</v>
      </c>
      <c r="T2" s="820" t="s">
        <v>9</v>
      </c>
      <c r="U2" s="820" t="s">
        <v>8</v>
      </c>
      <c r="V2" s="820" t="s">
        <v>13</v>
      </c>
      <c r="W2" s="820" t="s">
        <v>10</v>
      </c>
      <c r="X2" s="820" t="s">
        <v>11</v>
      </c>
      <c r="Y2" s="820" t="s">
        <v>51</v>
      </c>
      <c r="AA2" s="820" t="s">
        <v>6</v>
      </c>
      <c r="AB2" s="820" t="s">
        <v>9</v>
      </c>
      <c r="AC2" s="820" t="s">
        <v>8</v>
      </c>
      <c r="AD2" s="820" t="s">
        <v>13</v>
      </c>
      <c r="AE2" s="820" t="s">
        <v>10</v>
      </c>
      <c r="AF2" s="820" t="s">
        <v>11</v>
      </c>
      <c r="AH2" s="820" t="s">
        <v>6</v>
      </c>
      <c r="AI2" s="820" t="s">
        <v>9</v>
      </c>
      <c r="AJ2" s="820" t="s">
        <v>8</v>
      </c>
      <c r="AK2" s="820" t="s">
        <v>13</v>
      </c>
      <c r="AL2" s="820" t="s">
        <v>10</v>
      </c>
      <c r="AM2" s="820" t="s">
        <v>11</v>
      </c>
      <c r="AO2" s="820" t="s">
        <v>14</v>
      </c>
      <c r="AP2" s="820" t="s">
        <v>20</v>
      </c>
      <c r="AQ2" s="820" t="s">
        <v>16</v>
      </c>
      <c r="AR2" s="820" t="s">
        <v>15</v>
      </c>
      <c r="AT2" s="820" t="s">
        <v>2</v>
      </c>
      <c r="AU2" s="820" t="s">
        <v>7</v>
      </c>
      <c r="AV2" s="820" t="s">
        <v>12</v>
      </c>
      <c r="AW2" s="820" t="s">
        <v>3</v>
      </c>
      <c r="AX2" s="820" t="s">
        <v>4</v>
      </c>
      <c r="AY2" s="1181" t="s">
        <v>5</v>
      </c>
      <c r="AZ2" s="1181" t="s">
        <v>85</v>
      </c>
      <c r="BB2" s="820" t="s">
        <v>340</v>
      </c>
      <c r="BC2" s="820" t="s">
        <v>341</v>
      </c>
      <c r="BD2" s="820" t="s">
        <v>0</v>
      </c>
      <c r="BE2" s="820" t="s">
        <v>39</v>
      </c>
      <c r="BF2" s="820" t="s">
        <v>7</v>
      </c>
      <c r="BG2" s="820" t="s">
        <v>3</v>
      </c>
      <c r="BH2" s="820" t="s">
        <v>4</v>
      </c>
      <c r="BI2" s="820" t="s">
        <v>325</v>
      </c>
      <c r="BJ2" s="820" t="s">
        <v>206</v>
      </c>
      <c r="BK2" s="820" t="s">
        <v>2</v>
      </c>
      <c r="BL2" s="820" t="s">
        <v>5</v>
      </c>
      <c r="BM2" s="820" t="s">
        <v>7</v>
      </c>
      <c r="BN2" s="820" t="s">
        <v>12</v>
      </c>
      <c r="BO2" s="820" t="s">
        <v>3</v>
      </c>
    </row>
    <row r="3" spans="1:67" s="1006" customFormat="1" x14ac:dyDescent="0.25">
      <c r="A3" s="1100">
        <v>1</v>
      </c>
      <c r="B3" s="792">
        <f>Imps!L3</f>
        <v>43768</v>
      </c>
      <c r="C3" s="1101"/>
      <c r="D3" s="1102"/>
      <c r="E3" s="1063">
        <f>Construction!E3</f>
        <v>1000</v>
      </c>
      <c r="F3" s="1074">
        <f ca="1">Population!$C3</f>
        <v>11025</v>
      </c>
      <c r="G3" s="1074">
        <f ca="1">Military!EM3</f>
        <v>20900</v>
      </c>
      <c r="H3" s="1074">
        <f ca="1">start_plat - AT3 + IF(AND(C3=1,ISNUMBER(MATCH(race,plat_db,0))),Population!C3*4) + days_late*days_late_plat</f>
        <v>4350000</v>
      </c>
      <c r="I3" s="1074">
        <f ca="1">start_food+days_late*days_late_food-AY3 +  IF(AND(C3=1,ISNUMBER(MATCH(race,food_db,0))),Population!C3*4)</f>
        <v>50000</v>
      </c>
      <c r="J3" s="1074">
        <f ca="1">start_lumber - AU3+days_late*days_late_lumber</f>
        <v>355000</v>
      </c>
      <c r="K3" s="1074">
        <f ca="1">start_mana - AV3+days_late*days_late_mana +  IF(AND(C3=1,ISNUMBER(MATCH(race,mana_db,0))),Population!C3*4)</f>
        <v>20000</v>
      </c>
      <c r="L3" s="1074">
        <f ca="1">start_ore - AW3+days_late*days_late_ore +  IF(AND(C3=1,ISNUMBER(MATCH(race,ore_db,0))),Population!C3*4)</f>
        <v>300000</v>
      </c>
      <c r="M3" s="1074">
        <f ca="1">start_gems - AX3</f>
        <v>20000</v>
      </c>
      <c r="N3" s="1074">
        <f ca="1">start_boats-AZ3</f>
        <v>200</v>
      </c>
      <c r="O3" s="1074">
        <f>start_prestige</f>
        <v>500</v>
      </c>
      <c r="P3" s="1098">
        <f>ROUNDDOWN(-Q3*SUM(Techs!AY3:BY3),0)</f>
        <v>0</v>
      </c>
      <c r="Q3" s="1103">
        <f>MAX(min_tech_cost,ROUNDDOWN(tech_cost_per_acre*Construction!E3,0))</f>
        <v>5000</v>
      </c>
      <c r="S3" s="1063">
        <f t="shared" ref="S3:S14" ca="1" si="0">ROUNDDOWN(AA3*(1+AH3),0)</f>
        <v>9720</v>
      </c>
      <c r="T3" s="1074">
        <f t="shared" ref="T3:T14" ca="1" si="1">ROUND(AB3*(1+AI3)-AO3-AP3,0)</f>
        <v>2603</v>
      </c>
      <c r="U3" s="1074">
        <f t="shared" ref="U3:U14" ca="1" si="2">ROUND(AC3*(1+AJ3)-AQ3,0)</f>
        <v>-1050</v>
      </c>
      <c r="V3" s="1074">
        <f t="shared" ref="V3:V14" ca="1" si="3">ROUND(AD3*(1+AK3)-AR3,0)</f>
        <v>850</v>
      </c>
      <c r="W3" s="1074">
        <f t="shared" ref="W3:W14" ca="1" si="4">ROUNDDOWN(AE3*(1+AL3),0)</f>
        <v>0</v>
      </c>
      <c r="X3" s="1074">
        <f t="shared" ref="X3:X14" ca="1" si="5">ROUNDDOWN(AF3*(1+AM3),0)</f>
        <v>0</v>
      </c>
      <c r="Y3" s="1104">
        <f>Construction!BP4*dock_boats_hr</f>
        <v>0</v>
      </c>
      <c r="Z3" s="1066"/>
      <c r="AA3" s="1063">
        <f ca="1">Population!C3*tax*Population!I3 + (Construction!AY4+Construction!BW4)*(alch_plat+(Magic!AR3&gt;0)*alchemist_flame_bonus)</f>
        <v>9720</v>
      </c>
      <c r="AB3" s="1074">
        <f>Construction!$AZ3*farm_food + Construction!$BP3*dock_food+IF(race="Growth",ROUNDDOWN(Military!G3*8,0),0)</f>
        <v>6400</v>
      </c>
      <c r="AC3" s="1074">
        <f>Construction!$BC3*ly_lumber+IF(race="Ants",ROUNDDOWN(Military!F3/2,0),0)</f>
        <v>2500</v>
      </c>
      <c r="AD3" s="1074">
        <f>Construction!$BK4*tower_mana+IF(race="Templars",ROUNDDOWN(Military!F3*0.02,0),0)+IF(race="Black Orc",Military!G3*5,0)+IF(race="Growth",ROUNDDOWN(Military!G3*0.1,0),0)+IF(race="Void",ROUNDDOWN(Military!F3*1.5,0),0)+IF(race="Void",ROUNDDOWN(Military!G3*4,0),0)</f>
        <v>1250</v>
      </c>
      <c r="AE3" s="1074">
        <f>Construction!$BE4*om_ore+IF(race="Dwarf",ROUNDDOWN(Military!F3*2,0),0)</f>
        <v>0</v>
      </c>
      <c r="AF3" s="236">
        <f>Construction!$BN4*dm_gems+IF(race="Dwarf",ROUNDDOWN(Military!F3/2,0),0)</f>
        <v>0</v>
      </c>
      <c r="AH3" s="1105">
        <f ca="1">MIN(race_platinum_bonus + IF(Magic!AJ3&gt;0,midas_bonus) + Imps!Y3 - BB3*0.02+MAX(tech_production_plat*Techs!Y3,tech_treasure_hunt_plat*Techs!AR3), 0.5)</f>
        <v>0</v>
      </c>
      <c r="AI3" s="1067">
        <f ca="1">race_food_bonus + IF(Magic!AO3&gt;0,gaias_blessing_food,IF(Magic!AG3&gt;0,gaias_watch_bonus)) + Imps!AD3+tech_production_food*Techs!W3 + O3/100*prestige_food_bonus</f>
        <v>0.1</v>
      </c>
      <c r="AJ3" s="1106">
        <f ca="1">race_lumber_bonus+ IF(Magic!AO3&gt;0,gaias_blessing_lumber)+tech_fruits_of_labor1*Techs!AP3</f>
        <v>0</v>
      </c>
      <c r="AK3" s="1106">
        <f ca="1">race_mana_bonus+tech_enchanted_lands_mana*Techs!AT3</f>
        <v>0</v>
      </c>
      <c r="AL3" s="1106">
        <f ca="1">race_ore_bonus + IF(Magic!AL3&gt;0,miners_sight_bonus,IF(Magic!AH3&gt;0,mining_strength_bonus))+tech_fruits_of_labor1*Techs!AP3</f>
        <v>0</v>
      </c>
      <c r="AM3" s="1107">
        <f ca="1">race_gem_bonus+MAX(tech_production_gems*Techs!X3,tech_fruits_of_labor_gems*Techs!AP3)</f>
        <v>0</v>
      </c>
      <c r="AO3" s="1063">
        <f ca="1">I3*food_decay*IF(Magic!AZ3&gt;0,0.5,1)</f>
        <v>500</v>
      </c>
      <c r="AP3" s="1074">
        <f ca="1">(1+race_food_consumption)*Population!F3*food_per_person</f>
        <v>3937.5</v>
      </c>
      <c r="AQ3" s="1074">
        <f t="shared" ref="AQ3:AQ34" ca="1" si="6">J3*lumber_rot</f>
        <v>3550</v>
      </c>
      <c r="AR3" s="236">
        <f t="shared" ref="AR3:AR34" ca="1" si="7">K3*mana_drain</f>
        <v>400</v>
      </c>
      <c r="AS3" s="1074"/>
      <c r="AT3" s="1063">
        <f ca="1">Explore!AH3+Construction!AP3+Military!AU3+Rezone!Y3+Imps!AQ3-BE3</f>
        <v>0</v>
      </c>
      <c r="AU3" s="1074">
        <f ca="1">Construction!AQ3+Imps!AR3-BF3+Military!AW3</f>
        <v>0</v>
      </c>
      <c r="AV3" s="1074">
        <f ca="1">Magic!AD3+Military!AY3</f>
        <v>0</v>
      </c>
      <c r="AW3" s="1074">
        <f ca="1">Military!AV3+Imps!AS3-BG3</f>
        <v>0</v>
      </c>
      <c r="AX3" s="683">
        <f ca="1">Imps!AT3-BH3+Military!AX3</f>
        <v>0</v>
      </c>
      <c r="AY3" s="1074">
        <f ca="1">Military!AZ3</f>
        <v>0</v>
      </c>
      <c r="AZ3" s="684">
        <f ca="1">Military!BA3</f>
        <v>0</v>
      </c>
      <c r="BB3" s="1063" t="b">
        <f>IF(BC3&lt;&gt;"",BC3,FALSE)</f>
        <v>0</v>
      </c>
      <c r="BC3" s="1101"/>
      <c r="BD3" s="1108">
        <v>1</v>
      </c>
      <c r="BE3" s="1101">
        <f>-BF3 / 2 + -BH3 * 2</f>
        <v>0</v>
      </c>
      <c r="BF3" s="426"/>
      <c r="BG3" s="426"/>
      <c r="BH3" s="1109"/>
      <c r="BI3" s="1032">
        <f t="shared" ref="BI3:BI34" si="8">B3</f>
        <v>43768</v>
      </c>
      <c r="BJ3" s="1037" t="str">
        <f>IF(AND(BE3=0,BF3=0,BG3=0,BH3=0),"",IF(BE3&gt;0,IF((BF3+BG3)/2+BH3*2+BE3=0,"Ok","Nope"),IF(BF3&gt;0,IF((BE3+BG3)/2+BH3*2+BF3=0,"Ok","Nope"),IF(BG3&gt;0,IF((BE3+BF3)/2+BH3*2+BG3=0,"Ok","Nope")))))</f>
        <v/>
      </c>
      <c r="BK3" s="1074">
        <f ca="1">H3</f>
        <v>4350000</v>
      </c>
      <c r="BL3" s="1074">
        <f t="shared" ref="BL3:BL66" ca="1" si="9">I3</f>
        <v>50000</v>
      </c>
      <c r="BM3" s="1074">
        <f t="shared" ref="BM3:BM66" ca="1" si="10">J3</f>
        <v>355000</v>
      </c>
      <c r="BN3" s="1074">
        <f t="shared" ref="BN3:BN66" ca="1" si="11">K3</f>
        <v>20000</v>
      </c>
      <c r="BO3" s="236">
        <f t="shared" ref="BO3:BO66" ca="1" si="12">L3</f>
        <v>300000</v>
      </c>
    </row>
    <row r="4" spans="1:67" s="170" customFormat="1" x14ac:dyDescent="0.25">
      <c r="A4" s="981">
        <v>2</v>
      </c>
      <c r="B4" s="530">
        <f>Imps!L4</f>
        <v>43768.010416666664</v>
      </c>
      <c r="C4" s="329"/>
      <c r="D4" s="829"/>
      <c r="E4" s="152">
        <f>Construction!E4</f>
        <v>1000</v>
      </c>
      <c r="F4" s="164">
        <f ca="1">Population!$C4</f>
        <v>10363.75</v>
      </c>
      <c r="G4" s="164">
        <f ca="1">Military!EM4</f>
        <v>20900</v>
      </c>
      <c r="H4" s="26">
        <f ca="1">H3+S3 - AT4 + IF(AND(C3=1,ISNUMBER(MATCH(race,plat_db,0))),Population!C3*4)</f>
        <v>4359720</v>
      </c>
      <c r="I4" s="164">
        <f ca="1">I3+T3-AY4 +  IF(AND(C3=1,ISNUMBER(MATCH(race,food_db,0))),Population!C3*4)</f>
        <v>52603</v>
      </c>
      <c r="J4" s="164">
        <f t="shared" ref="J4" ca="1" si="13">J3+U3 - AU4</f>
        <v>353950</v>
      </c>
      <c r="K4" s="164">
        <f ca="1">K3+V3 - AV4 + IF(AND(C3=1,ISNUMBER(MATCH(race,mana_db,0))),Population!C3*4)</f>
        <v>20850</v>
      </c>
      <c r="L4" s="164">
        <f ca="1">L3+W3 - AW4 + IF(AND(C3=1,ISNUMBER(MATCH(race,ore_db,0))),Population!C3*4)</f>
        <v>300000</v>
      </c>
      <c r="M4" s="164">
        <f t="shared" ref="M4:M35" ca="1" si="14">M3+X3 - AX4</f>
        <v>20000</v>
      </c>
      <c r="N4" s="164">
        <f ca="1">N3+Y3-AZ4</f>
        <v>200</v>
      </c>
      <c r="O4" s="164">
        <f>O3</f>
        <v>500</v>
      </c>
      <c r="P4" s="164">
        <f>ROUNDDOWN(P3+MAX(Construction!BO4/2,Construction!BO4*(1-Construction!BO4/(E4-Explore!S4*20)))-Q4*SUM(Techs!AY4:BY4),0)</f>
        <v>0</v>
      </c>
      <c r="Q4" s="166">
        <f>MAX(min_tech_cost,ROUNDDOWN(tech_cost_per_acre*Construction!E4,0))</f>
        <v>5000</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4">
        <f ca="1">race_food_bonus + IF(Magic!AO4&gt;0,gaias_blessing_food,IF(Magic!AG4&gt;0,gaias_watch_bonus)) + Imps!AD4+tech_production_food*Techs!W4 + O4/100*prestige_food_bonus</f>
        <v>0.1</v>
      </c>
      <c r="AJ4" s="267">
        <f ca="1">race_lumber_bonus+ IF(Magic!AO4&gt;0,gaias_blessing_lumber)+tech_fruits_of_labor1*Techs!AP4</f>
        <v>0</v>
      </c>
      <c r="AK4" s="267">
        <f ca="1">race_mana_bonus+tech_enchanted_lands_mana*Techs!AT4</f>
        <v>0</v>
      </c>
      <c r="AL4" s="267">
        <f ca="1">race_ore_bonus + IF(Magic!AL4&gt;0,miners_sight_bonus,IF(Magic!AH4&gt;0,mining_strength_bonus))+tech_fruits_of_labor1*Techs!AP4</f>
        <v>0</v>
      </c>
      <c r="AM4" s="193">
        <f ca="1">race_gem_bonus+MAX(tech_production_gems*Techs!X4,tech_fruits_of_labor_gems*Techs!AP4)</f>
        <v>0</v>
      </c>
      <c r="AO4" s="152">
        <f ca="1">I4*food_decay*IF(Magic!AZ4&gt;0,0.5,1)</f>
        <v>526.03</v>
      </c>
      <c r="AP4" s="26">
        <f ca="1">(1+race_food_consumption)*Population!F4*food_per_person</f>
        <v>3799.6875</v>
      </c>
      <c r="AQ4" s="164">
        <f t="shared" ca="1" si="6"/>
        <v>3539.5</v>
      </c>
      <c r="AR4" s="166">
        <f t="shared" ca="1" si="7"/>
        <v>417</v>
      </c>
      <c r="AS4" s="164"/>
      <c r="AT4" s="152">
        <f ca="1">Explore!AH4+Construction!AP4+Military!AU4+Rezone!Y4+Imps!AQ4-BE4</f>
        <v>0</v>
      </c>
      <c r="AU4" s="164">
        <f>Construction!AQ4+Imps!AR4-BF4</f>
        <v>0</v>
      </c>
      <c r="AV4" s="164">
        <f>Magic!AD4</f>
        <v>0</v>
      </c>
      <c r="AW4" s="164">
        <f ca="1">Military!AV4+Imps!AS4-BG4</f>
        <v>0</v>
      </c>
      <c r="AX4" s="164">
        <f>Imps!AT4-BH4</f>
        <v>0</v>
      </c>
      <c r="AY4" s="164">
        <f ca="1">Military!AZ4</f>
        <v>0</v>
      </c>
      <c r="AZ4" s="166">
        <f ca="1">Military!BA4</f>
        <v>0</v>
      </c>
      <c r="BB4" s="152" t="b">
        <f t="shared" ref="BB4:BB14" si="15">IF(BC4&lt;&gt;"",BC4,BB3)</f>
        <v>0</v>
      </c>
      <c r="BC4" s="329"/>
      <c r="BD4" s="973">
        <v>2</v>
      </c>
      <c r="BE4" s="329"/>
      <c r="BF4" s="407"/>
      <c r="BG4" s="407"/>
      <c r="BH4" s="739"/>
      <c r="BI4" s="1031">
        <f t="shared" si="8"/>
        <v>43768.010416666664</v>
      </c>
      <c r="BJ4" s="159" t="str">
        <f>IF(AND(BE4=0,BF4=0,BG4=0,BH4=0),"",IF(BE4&gt;0,IF((BF4+BG4)/2+BH4*2+BE4=0,"Ok","Nope"),IF(BF4&gt;0,IF((BE4+BG4)/2+BH4*2+BF4=0,"Ok","Nope"),IF(BG4&gt;0,IF((BE4+BF4)/2+BH4*2+BG4=0,"Ok","Nope")))))</f>
        <v/>
      </c>
      <c r="BK4" s="26">
        <f t="shared" ref="BK4:BK67" ca="1" si="16">H4</f>
        <v>4359720</v>
      </c>
      <c r="BL4" s="164">
        <f t="shared" ca="1" si="9"/>
        <v>52603</v>
      </c>
      <c r="BM4" s="164">
        <f t="shared" ca="1" si="10"/>
        <v>353950</v>
      </c>
      <c r="BN4" s="164">
        <f t="shared" ca="1" si="11"/>
        <v>20850</v>
      </c>
      <c r="BO4" s="166">
        <f t="shared" ca="1" si="12"/>
        <v>300000</v>
      </c>
    </row>
    <row r="5" spans="1:67" s="170" customFormat="1" x14ac:dyDescent="0.25">
      <c r="A5" s="981">
        <v>3</v>
      </c>
      <c r="B5" s="812">
        <f>Imps!L5</f>
        <v>43768.020833333328</v>
      </c>
      <c r="C5" s="329"/>
      <c r="D5" s="829"/>
      <c r="E5" s="152">
        <f>Construction!E5</f>
        <v>1000</v>
      </c>
      <c r="F5" s="164">
        <f ca="1">Population!$C5</f>
        <v>9741.5625</v>
      </c>
      <c r="G5" s="164">
        <f ca="1">Military!EM5</f>
        <v>20900</v>
      </c>
      <c r="H5" s="26">
        <f ca="1">H4+S4 - AT5 + IF(AND(C4=1,ISNUMBER(MATCH(race,plat_db,0))),Population!C4*4)</f>
        <v>4369440</v>
      </c>
      <c r="I5" s="164">
        <f ca="1">I4+T4-AY5 +  IF(AND(C4=1,ISNUMBER(MATCH(race,food_db,0))),Population!C4*4)</f>
        <v>55317</v>
      </c>
      <c r="J5" s="164">
        <f t="shared" ref="J5:J68" ca="1" si="17">J4+U4 - AU5</f>
        <v>352910</v>
      </c>
      <c r="K5" s="164">
        <f ca="1">K4+V4 - AV5 + IF(AND(C4=1,ISNUMBER(MATCH(race,mana_db,0))),Population!C4*4)</f>
        <v>21683</v>
      </c>
      <c r="L5" s="164">
        <f ca="1">L4+W4 - AW5 + IF(AND(C4=1,ISNUMBER(MATCH(race,ore_db,0))),Population!C4*4)</f>
        <v>300000</v>
      </c>
      <c r="M5" s="164">
        <f t="shared" ca="1" si="14"/>
        <v>20000</v>
      </c>
      <c r="N5" s="164">
        <f t="shared" ref="N5:N68" ca="1" si="18">N4+Y4-AZ5</f>
        <v>200</v>
      </c>
      <c r="O5" s="164">
        <f t="shared" ref="O5:O68" si="19">O4</f>
        <v>500</v>
      </c>
      <c r="P5" s="164">
        <f>ROUNDDOWN(P4+MAX(Construction!BO5/2,Construction!BO5*(1-Construction!BO5/(E5-Explore!S5*20)))-Q5*SUM(Techs!AY5:BY5),0)</f>
        <v>0</v>
      </c>
      <c r="Q5" s="166">
        <f>MAX(min_tech_cost,ROUNDDOWN(tech_cost_per_acre*Construction!E5,0))</f>
        <v>5000</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4">
        <f ca="1">race_food_bonus + IF(Magic!AO5&gt;0,gaias_blessing_food,IF(Magic!AG5&gt;0,gaias_watch_bonus)) + Imps!AD5+tech_production_food*Techs!W5 + O5/100*prestige_food_bonus</f>
        <v>0.1</v>
      </c>
      <c r="AJ5" s="267">
        <f ca="1">race_lumber_bonus+ IF(Magic!AO5&gt;0,gaias_blessing_lumber)+tech_fruits_of_labor1*Techs!AP5</f>
        <v>0</v>
      </c>
      <c r="AK5" s="267">
        <f ca="1">race_mana_bonus+tech_enchanted_lands_mana*Techs!AT5</f>
        <v>0</v>
      </c>
      <c r="AL5" s="267">
        <f ca="1">race_ore_bonus + IF(Magic!AL5&gt;0,miners_sight_bonus,IF(Magic!AH5&gt;0,mining_strength_bonus))+tech_fruits_of_labor1*Techs!AP5</f>
        <v>0</v>
      </c>
      <c r="AM5" s="193">
        <f ca="1">race_gem_bonus+MAX(tech_production_gems*Techs!X5,tech_fruits_of_labor_gems*Techs!AP5)</f>
        <v>0</v>
      </c>
      <c r="AO5" s="152">
        <f ca="1">I5*food_decay*IF(Magic!AZ5&gt;0,0.5,1)</f>
        <v>553.16999999999996</v>
      </c>
      <c r="AP5" s="26">
        <f ca="1">(1+race_food_consumption)*Population!F5*food_per_person</f>
        <v>3670.140625</v>
      </c>
      <c r="AQ5" s="164">
        <f t="shared" ca="1" si="6"/>
        <v>3529.1</v>
      </c>
      <c r="AR5" s="166">
        <f t="shared" ca="1" si="7"/>
        <v>433.66</v>
      </c>
      <c r="AS5" s="164"/>
      <c r="AT5" s="152">
        <f ca="1">Explore!AH5+Construction!AP5+Military!AU5+Rezone!Y5+Imps!AQ5-BE5</f>
        <v>0</v>
      </c>
      <c r="AU5" s="164">
        <f>Construction!AQ5+Imps!AR5-BF5</f>
        <v>0</v>
      </c>
      <c r="AV5" s="164">
        <f>Magic!AD5</f>
        <v>0</v>
      </c>
      <c r="AW5" s="164">
        <f ca="1">Military!AV5+Imps!AS5-BG5</f>
        <v>0</v>
      </c>
      <c r="AX5" s="164">
        <f>Imps!AT5-BH5</f>
        <v>0</v>
      </c>
      <c r="AY5" s="164">
        <f ca="1">Military!AZ5</f>
        <v>0</v>
      </c>
      <c r="AZ5" s="166">
        <f ca="1">Military!BA5</f>
        <v>0</v>
      </c>
      <c r="BB5" s="152" t="b">
        <f t="shared" si="15"/>
        <v>0</v>
      </c>
      <c r="BC5" s="329"/>
      <c r="BD5" s="973">
        <v>3</v>
      </c>
      <c r="BE5" s="329"/>
      <c r="BF5" s="407"/>
      <c r="BG5" s="407"/>
      <c r="BH5" s="739"/>
      <c r="BI5" s="1031">
        <f t="shared" si="8"/>
        <v>43768.020833333328</v>
      </c>
      <c r="BJ5" s="159" t="str">
        <f>IF(AND(BE5=0,BF5=0,BG5=0,BH5=0),"",IF(BE5&gt;0,IF((BF5+BG5)/2+BH5*2+BE5=0,"Ok","Nope"),IF(BF5&gt;0,IF((BE5+BG5)/2+BH5*2+BF5=0,"Ok","Nope"),IF(BG5&gt;0,IF((BE5+BF5)/2+BH5*2+BG5=0,"Ok","Nope")))))</f>
        <v/>
      </c>
      <c r="BK5" s="26">
        <f t="shared" ca="1" si="16"/>
        <v>4369440</v>
      </c>
      <c r="BL5" s="164">
        <f t="shared" ca="1" si="9"/>
        <v>55317</v>
      </c>
      <c r="BM5" s="164">
        <f t="shared" ca="1" si="10"/>
        <v>352910</v>
      </c>
      <c r="BN5" s="164">
        <f t="shared" ca="1" si="11"/>
        <v>21683</v>
      </c>
      <c r="BO5" s="166">
        <f t="shared" ca="1" si="12"/>
        <v>300000</v>
      </c>
    </row>
    <row r="6" spans="1:67" s="16" customFormat="1" x14ac:dyDescent="0.25">
      <c r="A6" s="982">
        <v>4</v>
      </c>
      <c r="B6" s="812">
        <f>Imps!L6</f>
        <v>43768.031249999993</v>
      </c>
      <c r="C6" s="332"/>
      <c r="D6" s="830"/>
      <c r="E6" s="56">
        <f>Construction!E6</f>
        <v>1000</v>
      </c>
      <c r="F6" s="26">
        <f ca="1">Population!$C6</f>
        <v>9157.484375</v>
      </c>
      <c r="G6" s="26">
        <f ca="1">Military!EM6</f>
        <v>20900</v>
      </c>
      <c r="H6" s="26">
        <f ca="1">H5+S5 - AT6 + IF(AND(C5=1,ISNUMBER(MATCH(race,plat_db,0))),Population!C5*4)</f>
        <v>4379160</v>
      </c>
      <c r="I6" s="26">
        <f ca="1">I5+T5-AY6 +  IF(AND(C5=1,ISNUMBER(MATCH(race,food_db,0))),Population!C5*4)</f>
        <v>58134</v>
      </c>
      <c r="J6" s="26">
        <f t="shared" ca="1" si="17"/>
        <v>351881</v>
      </c>
      <c r="K6" s="26">
        <f ca="1">K5+V5 - AV6 + IF(AND(C5=1,ISNUMBER(MATCH(race,mana_db,0))),Population!C5*4)</f>
        <v>22499</v>
      </c>
      <c r="L6" s="26">
        <f ca="1">L5+W5 - AW6 + IF(AND(C5=1,ISNUMBER(MATCH(race,ore_db,0))),Population!C5*4)</f>
        <v>300000</v>
      </c>
      <c r="M6" s="26">
        <f t="shared" ca="1" si="14"/>
        <v>20000</v>
      </c>
      <c r="N6" s="26">
        <f t="shared" ca="1" si="18"/>
        <v>200</v>
      </c>
      <c r="O6" s="26">
        <f t="shared" si="19"/>
        <v>500</v>
      </c>
      <c r="P6" s="26">
        <f>ROUNDDOWN(P5+MAX(Construction!BO6/2,Construction!BO6*(1-Construction!BO6/(E6-Explore!S6*20)))-Q6*SUM(Techs!AY6:BY6),0)</f>
        <v>0</v>
      </c>
      <c r="Q6" s="166">
        <f>MAX(min_tech_cost,ROUNDDOWN(tech_cost_per_acre*Construction!E6,0))</f>
        <v>5000</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4">
        <f ca="1">race_food_bonus + IF(Magic!AO6&gt;0,gaias_blessing_food,IF(Magic!AG6&gt;0,gaias_watch_bonus)) + Imps!AD6+tech_production_food*Techs!W6 + O6/100*prestige_food_bonus</f>
        <v>0.1</v>
      </c>
      <c r="AJ6" s="267">
        <f ca="1">race_lumber_bonus+ IF(Magic!AO6&gt;0,gaias_blessing_lumber)+tech_fruits_of_labor1*Techs!AP6</f>
        <v>0</v>
      </c>
      <c r="AK6" s="267">
        <f ca="1">race_mana_bonus+tech_enchanted_lands_mana*Techs!AT6</f>
        <v>0</v>
      </c>
      <c r="AL6" s="267">
        <f ca="1">race_ore_bonus + IF(Magic!AL6&gt;0,miners_sight_bonus,IF(Magic!AH6&gt;0,mining_strength_bonus))+tech_fruits_of_labor1*Techs!AP6</f>
        <v>0</v>
      </c>
      <c r="AM6" s="193">
        <f ca="1">race_gem_bonus+MAX(tech_production_gems*Techs!X6,tech_fruits_of_labor_gems*Techs!AP6)</f>
        <v>0</v>
      </c>
      <c r="AO6" s="56">
        <f ca="1">I6*food_decay*IF(Magic!AZ6&gt;0,0.5,1)</f>
        <v>581.34</v>
      </c>
      <c r="AP6" s="26">
        <f ca="1">(1+race_food_consumption)*Population!F6*food_per_person</f>
        <v>3548.37109375</v>
      </c>
      <c r="AQ6" s="26">
        <f t="shared" ca="1" si="6"/>
        <v>3518.81</v>
      </c>
      <c r="AR6" s="57">
        <f t="shared" ca="1" si="7"/>
        <v>449.98</v>
      </c>
      <c r="AS6" s="26"/>
      <c r="AT6" s="56">
        <f ca="1">Explore!AH6+Construction!AP6+Military!AU6+Rezone!Y6+Imps!AQ6-BE6</f>
        <v>0</v>
      </c>
      <c r="AU6" s="26">
        <f>Construction!AQ6+Imps!AR6-BF6</f>
        <v>0</v>
      </c>
      <c r="AV6" s="26">
        <f>Magic!AD6</f>
        <v>0</v>
      </c>
      <c r="AW6" s="26">
        <f ca="1">Military!AV6+Imps!AS6-BG6</f>
        <v>0</v>
      </c>
      <c r="AX6" s="26">
        <f>Imps!AT6-BH6</f>
        <v>0</v>
      </c>
      <c r="AY6" s="26">
        <f ca="1">Military!AZ6</f>
        <v>0</v>
      </c>
      <c r="AZ6" s="57">
        <f ca="1">Military!BA6</f>
        <v>0</v>
      </c>
      <c r="BB6" s="56" t="b">
        <f t="shared" si="15"/>
        <v>0</v>
      </c>
      <c r="BC6" s="332"/>
      <c r="BD6" s="974">
        <v>4</v>
      </c>
      <c r="BE6" s="329"/>
      <c r="BF6" s="370"/>
      <c r="BG6" s="370"/>
      <c r="BH6" s="740"/>
      <c r="BI6" s="1031">
        <f t="shared" si="8"/>
        <v>43768.031249999993</v>
      </c>
      <c r="BJ6" s="159" t="str">
        <f t="shared" ref="BJ6:BJ69" si="20">IF(AND(BE6=0,BF6=0,BG6=0,BH6=0),"",IF(BE6&gt;0,IF((BF6+BG6)/2+BH6*2+BE6=0,"Ok","Nope"),IF(BF6&gt;0,IF((BE6+BG6)/2+BH6*2+BF6=0,"Ok","Nope"),IF(BG6&gt;0,IF((BE6+BF6)/2+BH6*2+BG6=0,"Ok","Nope")))))</f>
        <v/>
      </c>
      <c r="BK6" s="26">
        <f t="shared" ca="1" si="16"/>
        <v>4379160</v>
      </c>
      <c r="BL6" s="26">
        <f t="shared" ca="1" si="9"/>
        <v>58134</v>
      </c>
      <c r="BM6" s="26">
        <f t="shared" ca="1" si="10"/>
        <v>351881</v>
      </c>
      <c r="BN6" s="26">
        <f t="shared" ca="1" si="11"/>
        <v>22499</v>
      </c>
      <c r="BO6" s="57">
        <f t="shared" ca="1" si="12"/>
        <v>300000</v>
      </c>
    </row>
    <row r="7" spans="1:67" s="16" customFormat="1" x14ac:dyDescent="0.25">
      <c r="A7" s="982">
        <v>5</v>
      </c>
      <c r="B7" s="812">
        <f>Imps!L7</f>
        <v>43768.041666666657</v>
      </c>
      <c r="C7" s="332"/>
      <c r="D7" s="830"/>
      <c r="E7" s="56">
        <f>Construction!E7</f>
        <v>1000</v>
      </c>
      <c r="F7" s="26">
        <f ca="1">Population!$C7</f>
        <v>8607.6101562500007</v>
      </c>
      <c r="G7" s="26">
        <f ca="1">Military!EM7</f>
        <v>20900</v>
      </c>
      <c r="H7" s="26">
        <f ca="1">H6+S6 - AT7 + IF(AND(C6=1,ISNUMBER(MATCH(race,plat_db,0))),Population!C6*4)</f>
        <v>4388880</v>
      </c>
      <c r="I7" s="26">
        <f ca="1">I6+T6-AY7 +  IF(AND(C6=1,ISNUMBER(MATCH(race,food_db,0))),Population!C6*4)</f>
        <v>61044</v>
      </c>
      <c r="J7" s="26">
        <f t="shared" ca="1" si="17"/>
        <v>350862</v>
      </c>
      <c r="K7" s="26">
        <f ca="1">K6+V6 - AV7 + IF(AND(C6=1,ISNUMBER(MATCH(race,mana_db,0))),Population!C6*4)</f>
        <v>23299</v>
      </c>
      <c r="L7" s="26">
        <f ca="1">L6+W6 - AW7 + IF(AND(C6=1,ISNUMBER(MATCH(race,ore_db,0))),Population!C6*4)</f>
        <v>300000</v>
      </c>
      <c r="M7" s="26">
        <f t="shared" ca="1" si="14"/>
        <v>20000</v>
      </c>
      <c r="N7" s="26">
        <f t="shared" ca="1" si="18"/>
        <v>200</v>
      </c>
      <c r="O7" s="26">
        <f t="shared" si="19"/>
        <v>500</v>
      </c>
      <c r="P7" s="26">
        <f>ROUNDDOWN(P6+MAX(Construction!BO7/2,Construction!BO7*(1-Construction!BO7/(E7-Explore!S7*20)))-Q7*SUM(Techs!AY7:BY7),0)</f>
        <v>0</v>
      </c>
      <c r="Q7" s="166">
        <f>MAX(min_tech_cost,ROUNDDOWN(tech_cost_per_acre*Construction!E7,0))</f>
        <v>5000</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4">
        <f ca="1">race_food_bonus + IF(Magic!AO7&gt;0,gaias_blessing_food,IF(Magic!AG7&gt;0,gaias_watch_bonus)) + Imps!AD7+tech_production_food*Techs!W7 + O7/100*prestige_food_bonus</f>
        <v>0.1</v>
      </c>
      <c r="AJ7" s="267">
        <f ca="1">race_lumber_bonus+ IF(Magic!AO7&gt;0,gaias_blessing_lumber)+tech_fruits_of_labor1*Techs!AP7</f>
        <v>0</v>
      </c>
      <c r="AK7" s="267">
        <f ca="1">race_mana_bonus+tech_enchanted_lands_mana*Techs!AT7</f>
        <v>0</v>
      </c>
      <c r="AL7" s="267">
        <f ca="1">race_ore_bonus + IF(Magic!AL7&gt;0,miners_sight_bonus,IF(Magic!AH7&gt;0,mining_strength_bonus))+tech_fruits_of_labor1*Techs!AP7</f>
        <v>0</v>
      </c>
      <c r="AM7" s="193">
        <f ca="1">race_gem_bonus+MAX(tech_production_gems*Techs!X7,tech_fruits_of_labor_gems*Techs!AP7)</f>
        <v>0</v>
      </c>
      <c r="AO7" s="56">
        <f ca="1">I7*food_decay*IF(Magic!AZ7&gt;0,0.5,1)</f>
        <v>610.44000000000005</v>
      </c>
      <c r="AP7" s="26">
        <f ca="1">(1+race_food_consumption)*Population!F7*food_per_person</f>
        <v>3433.9025390625002</v>
      </c>
      <c r="AQ7" s="26">
        <f t="shared" ca="1" si="6"/>
        <v>3508.62</v>
      </c>
      <c r="AR7" s="57">
        <f t="shared" ca="1" si="7"/>
        <v>465.98</v>
      </c>
      <c r="AS7" s="26"/>
      <c r="AT7" s="56">
        <f ca="1">Explore!AH7+Construction!AP7+Military!AU7+Rezone!Y7+Imps!AQ7-BE7</f>
        <v>0</v>
      </c>
      <c r="AU7" s="26">
        <f>Construction!AQ7+Imps!AR7-BF7</f>
        <v>0</v>
      </c>
      <c r="AV7" s="26">
        <f>Magic!AD7</f>
        <v>0</v>
      </c>
      <c r="AW7" s="26">
        <f ca="1">Military!AV7+Imps!AS7-BG7</f>
        <v>0</v>
      </c>
      <c r="AX7" s="26">
        <f>Imps!AT7-BH7</f>
        <v>0</v>
      </c>
      <c r="AY7" s="26">
        <f ca="1">Military!AZ7</f>
        <v>0</v>
      </c>
      <c r="AZ7" s="57">
        <f ca="1">Military!BA7</f>
        <v>0</v>
      </c>
      <c r="BB7" s="56" t="b">
        <f t="shared" si="15"/>
        <v>0</v>
      </c>
      <c r="BC7" s="332"/>
      <c r="BD7" s="974">
        <v>5</v>
      </c>
      <c r="BE7" s="329"/>
      <c r="BF7" s="370"/>
      <c r="BG7" s="370"/>
      <c r="BH7" s="740"/>
      <c r="BI7" s="1031">
        <f t="shared" si="8"/>
        <v>43768.041666666657</v>
      </c>
      <c r="BJ7" s="159" t="str">
        <f t="shared" si="20"/>
        <v/>
      </c>
      <c r="BK7" s="26">
        <f t="shared" ca="1" si="16"/>
        <v>4388880</v>
      </c>
      <c r="BL7" s="26">
        <f t="shared" ca="1" si="9"/>
        <v>61044</v>
      </c>
      <c r="BM7" s="26">
        <f t="shared" ca="1" si="10"/>
        <v>350862</v>
      </c>
      <c r="BN7" s="26">
        <f t="shared" ca="1" si="11"/>
        <v>23299</v>
      </c>
      <c r="BO7" s="57">
        <f t="shared" ca="1" si="12"/>
        <v>300000</v>
      </c>
    </row>
    <row r="8" spans="1:67" s="16" customFormat="1" x14ac:dyDescent="0.25">
      <c r="A8" s="982">
        <v>6</v>
      </c>
      <c r="B8" s="812">
        <f>Imps!L8</f>
        <v>43768.052083333321</v>
      </c>
      <c r="C8" s="332"/>
      <c r="D8" s="830"/>
      <c r="E8" s="56">
        <f>Construction!E8</f>
        <v>1000</v>
      </c>
      <c r="F8" s="26">
        <f ca="1">Population!$C8</f>
        <v>8091.2296484375001</v>
      </c>
      <c r="G8" s="26">
        <f ca="1">Military!EM8</f>
        <v>20900</v>
      </c>
      <c r="H8" s="26">
        <f ca="1">H7+S7 - AT8 + IF(AND(C7=1,ISNUMBER(MATCH(race,plat_db,0))),Population!C7*4)</f>
        <v>4398600</v>
      </c>
      <c r="I8" s="26">
        <f ca="1">I7+T7-AY8 +  IF(AND(C7=1,ISNUMBER(MATCH(race,food_db,0))),Population!C7*4)</f>
        <v>64040</v>
      </c>
      <c r="J8" s="26">
        <f t="shared" ca="1" si="17"/>
        <v>349853</v>
      </c>
      <c r="K8" s="26">
        <f ca="1">K7+V7 - AV8 + IF(AND(C7=1,ISNUMBER(MATCH(race,mana_db,0))),Population!C7*4)</f>
        <v>24083</v>
      </c>
      <c r="L8" s="26">
        <f ca="1">L7+W7 - AW8 + IF(AND(C7=1,ISNUMBER(MATCH(race,ore_db,0))),Population!C7*4)</f>
        <v>300000</v>
      </c>
      <c r="M8" s="26">
        <f t="shared" ca="1" si="14"/>
        <v>20000</v>
      </c>
      <c r="N8" s="26">
        <f t="shared" ca="1" si="18"/>
        <v>200</v>
      </c>
      <c r="O8" s="26">
        <f t="shared" si="19"/>
        <v>500</v>
      </c>
      <c r="P8" s="26">
        <f>ROUNDDOWN(P7+MAX(Construction!BO8/2,Construction!BO8*(1-Construction!BO8/(E8-Explore!S8*20)))-Q8*SUM(Techs!AY8:BY8),0)</f>
        <v>0</v>
      </c>
      <c r="Q8" s="166">
        <f>MAX(min_tech_cost,ROUNDDOWN(tech_cost_per_acre*Construction!E8,0))</f>
        <v>5000</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4">
        <f ca="1">race_food_bonus + IF(Magic!AO8&gt;0,gaias_blessing_food,IF(Magic!AG8&gt;0,gaias_watch_bonus)) + Imps!AD8+tech_production_food*Techs!W8 + O8/100*prestige_food_bonus</f>
        <v>0.1</v>
      </c>
      <c r="AJ8" s="267">
        <f ca="1">race_lumber_bonus+ IF(Magic!AO8&gt;0,gaias_blessing_lumber)+tech_fruits_of_labor1*Techs!AP8</f>
        <v>0</v>
      </c>
      <c r="AK8" s="267">
        <f ca="1">race_mana_bonus+tech_enchanted_lands_mana*Techs!AT8</f>
        <v>0</v>
      </c>
      <c r="AL8" s="267">
        <f ca="1">race_ore_bonus + IF(Magic!AL8&gt;0,miners_sight_bonus,IF(Magic!AH8&gt;0,mining_strength_bonus))+tech_fruits_of_labor1*Techs!AP8</f>
        <v>0</v>
      </c>
      <c r="AM8" s="193">
        <f ca="1">race_gem_bonus+MAX(tech_production_gems*Techs!X8,tech_fruits_of_labor_gems*Techs!AP8)</f>
        <v>0</v>
      </c>
      <c r="AO8" s="56">
        <f ca="1">I8*food_decay*IF(Magic!AZ8&gt;0,0.5,1)</f>
        <v>640.4</v>
      </c>
      <c r="AP8" s="26">
        <f ca="1">(1+race_food_consumption)*Population!F8*food_per_person</f>
        <v>3326.307412109375</v>
      </c>
      <c r="AQ8" s="26">
        <f t="shared" ca="1" si="6"/>
        <v>3498.53</v>
      </c>
      <c r="AR8" s="57">
        <f t="shared" ca="1" si="7"/>
        <v>481.66</v>
      </c>
      <c r="AS8" s="26"/>
      <c r="AT8" s="56">
        <f ca="1">Explore!AH8+Construction!AP8+Military!AU8+Rezone!Y8+Imps!AQ8-BE8</f>
        <v>0</v>
      </c>
      <c r="AU8" s="26">
        <f>Construction!AQ8+Imps!AR8-BF8</f>
        <v>0</v>
      </c>
      <c r="AV8" s="26">
        <f>Magic!AD8</f>
        <v>0</v>
      </c>
      <c r="AW8" s="26">
        <f ca="1">Military!AV8+Imps!AS8-BG8</f>
        <v>0</v>
      </c>
      <c r="AX8" s="26">
        <f>Imps!AT8-BH8</f>
        <v>0</v>
      </c>
      <c r="AY8" s="26">
        <f ca="1">Military!AZ8</f>
        <v>0</v>
      </c>
      <c r="AZ8" s="57">
        <f ca="1">Military!BA8</f>
        <v>0</v>
      </c>
      <c r="BB8" s="56" t="b">
        <f t="shared" si="15"/>
        <v>0</v>
      </c>
      <c r="BC8" s="332"/>
      <c r="BD8" s="974">
        <v>6</v>
      </c>
      <c r="BE8" s="329"/>
      <c r="BF8" s="370"/>
      <c r="BG8" s="370"/>
      <c r="BH8" s="740"/>
      <c r="BI8" s="1031">
        <f t="shared" si="8"/>
        <v>43768.052083333321</v>
      </c>
      <c r="BJ8" s="159" t="str">
        <f t="shared" si="20"/>
        <v/>
      </c>
      <c r="BK8" s="26">
        <f t="shared" ca="1" si="16"/>
        <v>4398600</v>
      </c>
      <c r="BL8" s="26">
        <f t="shared" ca="1" si="9"/>
        <v>64040</v>
      </c>
      <c r="BM8" s="26">
        <f t="shared" ca="1" si="10"/>
        <v>349853</v>
      </c>
      <c r="BN8" s="26">
        <f t="shared" ca="1" si="11"/>
        <v>24083</v>
      </c>
      <c r="BO8" s="57">
        <f t="shared" ca="1" si="12"/>
        <v>300000</v>
      </c>
    </row>
    <row r="9" spans="1:67" s="16" customFormat="1" x14ac:dyDescent="0.25">
      <c r="A9" s="982">
        <v>7</v>
      </c>
      <c r="B9" s="812">
        <f>Imps!L9</f>
        <v>43768.062499999985</v>
      </c>
      <c r="C9" s="332"/>
      <c r="D9" s="830"/>
      <c r="E9" s="56">
        <f>Construction!E9</f>
        <v>1000</v>
      </c>
      <c r="F9" s="26">
        <f ca="1">Population!$C9</f>
        <v>7605.6681660156255</v>
      </c>
      <c r="G9" s="26">
        <f ca="1">Military!EM9</f>
        <v>20900</v>
      </c>
      <c r="H9" s="26">
        <f ca="1">H8+S8 - AT9 + IF(AND(C8=1,ISNUMBER(MATCH(race,plat_db,0))),Population!C8*4)</f>
        <v>4408320</v>
      </c>
      <c r="I9" s="26">
        <f ca="1">I8+T8-AY9 +  IF(AND(C8=1,ISNUMBER(MATCH(race,food_db,0))),Population!C8*4)</f>
        <v>67113</v>
      </c>
      <c r="J9" s="26">
        <f t="shared" ca="1" si="17"/>
        <v>348854</v>
      </c>
      <c r="K9" s="26">
        <f ca="1">K8+V8 - AV9 + IF(AND(C8=1,ISNUMBER(MATCH(race,mana_db,0))),Population!C8*4)</f>
        <v>24851</v>
      </c>
      <c r="L9" s="26">
        <f ca="1">L8+W8 - AW9 + IF(AND(C8=1,ISNUMBER(MATCH(race,ore_db,0))),Population!C8*4)</f>
        <v>300000</v>
      </c>
      <c r="M9" s="26">
        <f t="shared" ca="1" si="14"/>
        <v>20000</v>
      </c>
      <c r="N9" s="26">
        <f t="shared" ca="1" si="18"/>
        <v>200</v>
      </c>
      <c r="O9" s="26">
        <f t="shared" si="19"/>
        <v>500</v>
      </c>
      <c r="P9" s="26">
        <f>ROUNDDOWN(P8+MAX(Construction!BO9/2,Construction!BO9*(1-Construction!BO9/(E9-Explore!S9*20)))-Q9*SUM(Techs!AY9:BY9),0)</f>
        <v>0</v>
      </c>
      <c r="Q9" s="166">
        <f>MAX(min_tech_cost,ROUNDDOWN(tech_cost_per_acre*Construction!E9,0))</f>
        <v>5000</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4">
        <f ca="1">race_food_bonus + IF(Magic!AO9&gt;0,gaias_blessing_food,IF(Magic!AG9&gt;0,gaias_watch_bonus)) + Imps!AD9+tech_production_food*Techs!W9 + O9/100*prestige_food_bonus</f>
        <v>0.1</v>
      </c>
      <c r="AJ9" s="267">
        <f ca="1">race_lumber_bonus+ IF(Magic!AO9&gt;0,gaias_blessing_lumber)+tech_fruits_of_labor1*Techs!AP9</f>
        <v>0</v>
      </c>
      <c r="AK9" s="267">
        <f ca="1">race_mana_bonus+tech_enchanted_lands_mana*Techs!AT9</f>
        <v>0</v>
      </c>
      <c r="AL9" s="267">
        <f ca="1">race_ore_bonus + IF(Magic!AL9&gt;0,miners_sight_bonus,IF(Magic!AH9&gt;0,mining_strength_bonus))+tech_fruits_of_labor1*Techs!AP9</f>
        <v>0</v>
      </c>
      <c r="AM9" s="193">
        <f ca="1">race_gem_bonus+MAX(tech_production_gems*Techs!X9,tech_fruits_of_labor_gems*Techs!AP9)</f>
        <v>0</v>
      </c>
      <c r="AO9" s="56">
        <f ca="1">I9*food_decay*IF(Magic!AZ9&gt;0,0.5,1)</f>
        <v>671.13</v>
      </c>
      <c r="AP9" s="26">
        <f ca="1">(1+race_food_consumption)*Population!F9*food_per_person</f>
        <v>3225.1670415039061</v>
      </c>
      <c r="AQ9" s="26">
        <f t="shared" ca="1" si="6"/>
        <v>3488.54</v>
      </c>
      <c r="AR9" s="57">
        <f t="shared" ca="1" si="7"/>
        <v>497.02000000000004</v>
      </c>
      <c r="AS9" s="26"/>
      <c r="AT9" s="56">
        <f ca="1">Explore!AH9+Construction!AP9+Military!AU9+Rezone!Y9+Imps!AQ9-BE9</f>
        <v>0</v>
      </c>
      <c r="AU9" s="26">
        <f>Construction!AQ9+Imps!AR9-BF9</f>
        <v>0</v>
      </c>
      <c r="AV9" s="26">
        <f>Magic!AD9</f>
        <v>0</v>
      </c>
      <c r="AW9" s="26">
        <f ca="1">Military!AV9+Imps!AS9-BG9</f>
        <v>0</v>
      </c>
      <c r="AX9" s="26">
        <f>Imps!AT9-BH9</f>
        <v>0</v>
      </c>
      <c r="AY9" s="26">
        <f ca="1">Military!AZ9</f>
        <v>0</v>
      </c>
      <c r="AZ9" s="57">
        <f ca="1">Military!BA9</f>
        <v>0</v>
      </c>
      <c r="BB9" s="56" t="b">
        <f t="shared" si="15"/>
        <v>0</v>
      </c>
      <c r="BC9" s="332"/>
      <c r="BD9" s="974">
        <v>7</v>
      </c>
      <c r="BE9" s="329"/>
      <c r="BF9" s="370"/>
      <c r="BG9" s="370"/>
      <c r="BH9" s="740"/>
      <c r="BI9" s="1031">
        <f t="shared" si="8"/>
        <v>43768.062499999985</v>
      </c>
      <c r="BJ9" s="159" t="str">
        <f t="shared" si="20"/>
        <v/>
      </c>
      <c r="BK9" s="26">
        <f t="shared" ca="1" si="16"/>
        <v>4408320</v>
      </c>
      <c r="BL9" s="26">
        <f t="shared" ca="1" si="9"/>
        <v>67113</v>
      </c>
      <c r="BM9" s="26">
        <f t="shared" ca="1" si="10"/>
        <v>348854</v>
      </c>
      <c r="BN9" s="26">
        <f t="shared" ca="1" si="11"/>
        <v>24851</v>
      </c>
      <c r="BO9" s="57">
        <f t="shared" ca="1" si="12"/>
        <v>300000</v>
      </c>
    </row>
    <row r="10" spans="1:67" s="16" customFormat="1" x14ac:dyDescent="0.25">
      <c r="A10" s="982">
        <v>8</v>
      </c>
      <c r="B10" s="812">
        <f>Imps!L10</f>
        <v>43768.07291666665</v>
      </c>
      <c r="C10" s="332"/>
      <c r="D10" s="830"/>
      <c r="E10" s="56">
        <f>Construction!E10</f>
        <v>1000</v>
      </c>
      <c r="F10" s="26">
        <f ca="1">Population!$C10</f>
        <v>7225.3847577148445</v>
      </c>
      <c r="G10" s="26">
        <f ca="1">Military!EM10</f>
        <v>20900</v>
      </c>
      <c r="H10" s="26">
        <f ca="1">H9+S9 - AT10 + IF(AND(C9=1,ISNUMBER(MATCH(race,plat_db,0))),Population!C9*4)</f>
        <v>4418040</v>
      </c>
      <c r="I10" s="26">
        <f ca="1">I9+T9-AY10 +  IF(AND(C9=1,ISNUMBER(MATCH(race,food_db,0))),Population!C9*4)</f>
        <v>70257</v>
      </c>
      <c r="J10" s="26">
        <f t="shared" ca="1" si="17"/>
        <v>347865</v>
      </c>
      <c r="K10" s="26">
        <f ca="1">K9+V9 - AV10 + IF(AND(C9=1,ISNUMBER(MATCH(race,mana_db,0))),Population!C9*4)</f>
        <v>25604</v>
      </c>
      <c r="L10" s="26">
        <f ca="1">L9+W9 - AW10 + IF(AND(C9=1,ISNUMBER(MATCH(race,ore_db,0))),Population!C9*4)</f>
        <v>300000</v>
      </c>
      <c r="M10" s="26">
        <f t="shared" ca="1" si="14"/>
        <v>20000</v>
      </c>
      <c r="N10" s="26">
        <f t="shared" ca="1" si="18"/>
        <v>200</v>
      </c>
      <c r="O10" s="26">
        <f t="shared" si="19"/>
        <v>500</v>
      </c>
      <c r="P10" s="26">
        <f>ROUNDDOWN(P9+MAX(Construction!BO10/2,Construction!BO10*(1-Construction!BO10/(E10-Explore!S10*20)))-Q10*SUM(Techs!AY10:BY10),0)</f>
        <v>0</v>
      </c>
      <c r="Q10" s="166">
        <f>MAX(min_tech_cost,ROUNDDOWN(tech_cost_per_acre*Construction!E10,0))</f>
        <v>5000</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4">
        <f ca="1">race_food_bonus + IF(Magic!AO10&gt;0,gaias_blessing_food,IF(Magic!AG10&gt;0,gaias_watch_bonus)) + Imps!AD10+tech_production_food*Techs!W10 + O10/100*prestige_food_bonus</f>
        <v>0.1</v>
      </c>
      <c r="AJ10" s="267">
        <f ca="1">race_lumber_bonus+ IF(Magic!AO10&gt;0,gaias_blessing_lumber)+tech_fruits_of_labor1*Techs!AP10</f>
        <v>0</v>
      </c>
      <c r="AK10" s="267">
        <f ca="1">race_mana_bonus+tech_enchanted_lands_mana*Techs!AT10</f>
        <v>0</v>
      </c>
      <c r="AL10" s="267">
        <f ca="1">race_ore_bonus + IF(Magic!AL10&gt;0,miners_sight_bonus,IF(Magic!AH10&gt;0,mining_strength_bonus))+tech_fruits_of_labor1*Techs!AP10</f>
        <v>0</v>
      </c>
      <c r="AM10" s="193">
        <f ca="1">race_gem_bonus+MAX(tech_production_gems*Techs!X10,tech_fruits_of_labor_gems*Techs!AP10)</f>
        <v>0</v>
      </c>
      <c r="AO10" s="56">
        <f ca="1">I10*food_decay*IF(Magic!AZ10&gt;0,0.5,1)</f>
        <v>702.57</v>
      </c>
      <c r="AP10" s="26">
        <f ca="1">(1+race_food_consumption)*Population!F10*food_per_person</f>
        <v>3130.0961894287111</v>
      </c>
      <c r="AQ10" s="26">
        <f t="shared" ca="1" si="6"/>
        <v>3478.65</v>
      </c>
      <c r="AR10" s="57">
        <f t="shared" ca="1" si="7"/>
        <v>512.08000000000004</v>
      </c>
      <c r="AS10" s="26"/>
      <c r="AT10" s="56">
        <f ca="1">Explore!AH10+Construction!AP10+Military!AU10+Rezone!Y10+Imps!AQ10-BE10</f>
        <v>0</v>
      </c>
      <c r="AU10" s="26">
        <f>Construction!AQ10+Imps!AR10-BF10</f>
        <v>0</v>
      </c>
      <c r="AV10" s="26">
        <f>Magic!AD10</f>
        <v>0</v>
      </c>
      <c r="AW10" s="26">
        <f ca="1">Military!AV10+Imps!AS10-BG10</f>
        <v>0</v>
      </c>
      <c r="AX10" s="26">
        <f>Imps!AT10-BH10</f>
        <v>0</v>
      </c>
      <c r="AY10" s="26">
        <f ca="1">Military!AZ10</f>
        <v>0</v>
      </c>
      <c r="AZ10" s="57">
        <f ca="1">Military!BA10</f>
        <v>0</v>
      </c>
      <c r="BB10" s="56" t="b">
        <f t="shared" si="15"/>
        <v>0</v>
      </c>
      <c r="BC10" s="332"/>
      <c r="BD10" s="974">
        <v>8</v>
      </c>
      <c r="BE10" s="329"/>
      <c r="BF10" s="370"/>
      <c r="BG10" s="370"/>
      <c r="BH10" s="740"/>
      <c r="BI10" s="1031">
        <f t="shared" si="8"/>
        <v>43768.07291666665</v>
      </c>
      <c r="BJ10" s="159" t="str">
        <f t="shared" si="20"/>
        <v/>
      </c>
      <c r="BK10" s="26">
        <f t="shared" ca="1" si="16"/>
        <v>4418040</v>
      </c>
      <c r="BL10" s="26">
        <f t="shared" ca="1" si="9"/>
        <v>70257</v>
      </c>
      <c r="BM10" s="26">
        <f t="shared" ca="1" si="10"/>
        <v>347865</v>
      </c>
      <c r="BN10" s="26">
        <f t="shared" ca="1" si="11"/>
        <v>25604</v>
      </c>
      <c r="BO10" s="57">
        <f t="shared" ca="1" si="12"/>
        <v>300000</v>
      </c>
    </row>
    <row r="11" spans="1:67" s="16" customFormat="1" x14ac:dyDescent="0.25">
      <c r="A11" s="982">
        <v>9</v>
      </c>
      <c r="B11" s="812">
        <f>Imps!L11</f>
        <v>43768.083333333314</v>
      </c>
      <c r="C11" s="332"/>
      <c r="D11" s="830"/>
      <c r="E11" s="56">
        <f>Construction!E11</f>
        <v>1000</v>
      </c>
      <c r="F11" s="26">
        <f ca="1">Population!$C11</f>
        <v>6864.1155198291026</v>
      </c>
      <c r="G11" s="26">
        <f ca="1">Military!EM11</f>
        <v>20900</v>
      </c>
      <c r="H11" s="26">
        <f ca="1">H10+S10 - AT11 + IF(AND(C10=1,ISNUMBER(MATCH(race,plat_db,0))),Population!C10*4)</f>
        <v>4427760</v>
      </c>
      <c r="I11" s="26">
        <f ca="1">I10+T10-AY11 +  IF(AND(C10=1,ISNUMBER(MATCH(race,food_db,0))),Population!C10*4)</f>
        <v>73464</v>
      </c>
      <c r="J11" s="26">
        <f t="shared" ca="1" si="17"/>
        <v>346886</v>
      </c>
      <c r="K11" s="26">
        <f ca="1">K10+V10 - AV11 + IF(AND(C10=1,ISNUMBER(MATCH(race,mana_db,0))),Population!C10*4)</f>
        <v>26342</v>
      </c>
      <c r="L11" s="26">
        <f ca="1">L10+W10 - AW11 + IF(AND(C10=1,ISNUMBER(MATCH(race,ore_db,0))),Population!C10*4)</f>
        <v>300000</v>
      </c>
      <c r="M11" s="26">
        <f t="shared" ca="1" si="14"/>
        <v>20000</v>
      </c>
      <c r="N11" s="26">
        <f t="shared" ca="1" si="18"/>
        <v>200</v>
      </c>
      <c r="O11" s="26">
        <f t="shared" si="19"/>
        <v>500</v>
      </c>
      <c r="P11" s="26">
        <f>ROUNDDOWN(P10+MAX(Construction!BO11/2,Construction!BO11*(1-Construction!BO11/(E11-Explore!S11*20)))-Q11*SUM(Techs!AY11:BY11),0)</f>
        <v>0</v>
      </c>
      <c r="Q11" s="166">
        <f>MAX(min_tech_cost,ROUNDDOWN(tech_cost_per_acre*Construction!E11,0))</f>
        <v>5000</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4">
        <f ca="1">race_food_bonus + IF(Magic!AO11&gt;0,gaias_blessing_food,IF(Magic!AG11&gt;0,gaias_watch_bonus)) + Imps!AD11+tech_production_food*Techs!W11 + O11/100*prestige_food_bonus</f>
        <v>0.1</v>
      </c>
      <c r="AJ11" s="267">
        <f ca="1">race_lumber_bonus+ IF(Magic!AO11&gt;0,gaias_blessing_lumber)+tech_fruits_of_labor1*Techs!AP11</f>
        <v>0</v>
      </c>
      <c r="AK11" s="267">
        <f ca="1">race_mana_bonus+tech_enchanted_lands_mana*Techs!AT11</f>
        <v>0</v>
      </c>
      <c r="AL11" s="267">
        <f ca="1">race_ore_bonus + IF(Magic!AL11&gt;0,miners_sight_bonus,IF(Magic!AH11&gt;0,mining_strength_bonus))+tech_fruits_of_labor1*Techs!AP11</f>
        <v>0</v>
      </c>
      <c r="AM11" s="193">
        <f ca="1">race_gem_bonus+MAX(tech_production_gems*Techs!X11,tech_fruits_of_labor_gems*Techs!AP11)</f>
        <v>0</v>
      </c>
      <c r="AO11" s="56">
        <f ca="1">I11*food_decay*IF(Magic!AZ11&gt;0,0.5,1)</f>
        <v>734.64</v>
      </c>
      <c r="AP11" s="26">
        <f ca="1">(1+race_food_consumption)*Population!F11*food_per_person</f>
        <v>3039.7788799572754</v>
      </c>
      <c r="AQ11" s="26">
        <f t="shared" ca="1" si="6"/>
        <v>3468.86</v>
      </c>
      <c r="AR11" s="57">
        <f t="shared" ca="1" si="7"/>
        <v>526.84</v>
      </c>
      <c r="AS11" s="26"/>
      <c r="AT11" s="56">
        <f ca="1">Explore!AH11+Construction!AP11+Military!AU11+Rezone!Y11+Imps!AQ11-BE11</f>
        <v>0</v>
      </c>
      <c r="AU11" s="26">
        <f>Construction!AQ11+Imps!AR11-BF11</f>
        <v>0</v>
      </c>
      <c r="AV11" s="26">
        <f>Magic!AD11</f>
        <v>0</v>
      </c>
      <c r="AW11" s="26">
        <f ca="1">Military!AV11+Imps!AS11-BG11</f>
        <v>0</v>
      </c>
      <c r="AX11" s="26">
        <f>Imps!AT11-BH11</f>
        <v>0</v>
      </c>
      <c r="AY11" s="26">
        <f ca="1">Military!AZ11</f>
        <v>0</v>
      </c>
      <c r="AZ11" s="57">
        <f ca="1">Military!BA11</f>
        <v>0</v>
      </c>
      <c r="BB11" s="56" t="b">
        <f t="shared" si="15"/>
        <v>0</v>
      </c>
      <c r="BC11" s="332"/>
      <c r="BD11" s="974">
        <v>9</v>
      </c>
      <c r="BE11" s="329"/>
      <c r="BF11" s="370"/>
      <c r="BG11" s="370"/>
      <c r="BH11" s="740"/>
      <c r="BI11" s="1031">
        <f t="shared" si="8"/>
        <v>43768.083333333314</v>
      </c>
      <c r="BJ11" s="159" t="str">
        <f t="shared" si="20"/>
        <v/>
      </c>
      <c r="BK11" s="26">
        <f t="shared" ca="1" si="16"/>
        <v>4427760</v>
      </c>
      <c r="BL11" s="26">
        <f t="shared" ca="1" si="9"/>
        <v>73464</v>
      </c>
      <c r="BM11" s="26">
        <f t="shared" ca="1" si="10"/>
        <v>346886</v>
      </c>
      <c r="BN11" s="26">
        <f t="shared" ca="1" si="11"/>
        <v>26342</v>
      </c>
      <c r="BO11" s="57">
        <f t="shared" ca="1" si="12"/>
        <v>300000</v>
      </c>
    </row>
    <row r="12" spans="1:67" s="16" customFormat="1" x14ac:dyDescent="0.25">
      <c r="A12" s="982">
        <v>10</v>
      </c>
      <c r="B12" s="812">
        <f>Imps!L12</f>
        <v>43768.093749999978</v>
      </c>
      <c r="C12" s="332"/>
      <c r="D12" s="830"/>
      <c r="E12" s="56">
        <f>Construction!E12</f>
        <v>1000</v>
      </c>
      <c r="F12" s="26">
        <f ca="1">Population!$C12</f>
        <v>6520.9097438376475</v>
      </c>
      <c r="G12" s="26">
        <f ca="1">Military!EM12</f>
        <v>20900</v>
      </c>
      <c r="H12" s="26">
        <f ca="1">H11+S11 - AT12 + IF(AND(C11=1,ISNUMBER(MATCH(race,plat_db,0))),Population!C11*4)</f>
        <v>4437480</v>
      </c>
      <c r="I12" s="26">
        <f ca="1">I11+T11-AY12 +  IF(AND(C11=1,ISNUMBER(MATCH(race,food_db,0))),Population!C11*4)</f>
        <v>76730</v>
      </c>
      <c r="J12" s="26">
        <f t="shared" ca="1" si="17"/>
        <v>345917</v>
      </c>
      <c r="K12" s="26">
        <f ca="1">K11+V11 - AV12 + IF(AND(C11=1,ISNUMBER(MATCH(race,mana_db,0))),Population!C11*4)</f>
        <v>27065</v>
      </c>
      <c r="L12" s="26">
        <f ca="1">L11+W11 - AW12 + IF(AND(C11=1,ISNUMBER(MATCH(race,ore_db,0))),Population!C11*4)</f>
        <v>300000</v>
      </c>
      <c r="M12" s="26">
        <f t="shared" ca="1" si="14"/>
        <v>20000</v>
      </c>
      <c r="N12" s="26">
        <f t="shared" ca="1" si="18"/>
        <v>200</v>
      </c>
      <c r="O12" s="26">
        <f t="shared" si="19"/>
        <v>500</v>
      </c>
      <c r="P12" s="26">
        <f>ROUNDDOWN(P11+MAX(Construction!BO12/2,Construction!BO12*(1-Construction!BO12/(E12-Explore!S12*20)))-Q12*SUM(Techs!AY12:BY12),0)</f>
        <v>0</v>
      </c>
      <c r="Q12" s="166">
        <f>MAX(min_tech_cost,ROUNDDOWN(tech_cost_per_acre*Construction!E12,0))</f>
        <v>5000</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4">
        <f ca="1">race_food_bonus + IF(Magic!AO12&gt;0,gaias_blessing_food,IF(Magic!AG12&gt;0,gaias_watch_bonus)) + Imps!AD12+tech_production_food*Techs!W12 + O12/100*prestige_food_bonus</f>
        <v>0.1</v>
      </c>
      <c r="AJ12" s="267">
        <f ca="1">race_lumber_bonus+ IF(Magic!AO12&gt;0,gaias_blessing_lumber)+tech_fruits_of_labor1*Techs!AP12</f>
        <v>0</v>
      </c>
      <c r="AK12" s="267">
        <f ca="1">race_mana_bonus+tech_enchanted_lands_mana*Techs!AT12</f>
        <v>0</v>
      </c>
      <c r="AL12" s="267">
        <f ca="1">race_ore_bonus + IF(Magic!AL12&gt;0,miners_sight_bonus,IF(Magic!AH12&gt;0,mining_strength_bonus))+tech_fruits_of_labor1*Techs!AP12</f>
        <v>0</v>
      </c>
      <c r="AM12" s="193">
        <f ca="1">race_gem_bonus+MAX(tech_production_gems*Techs!X12,tech_fruits_of_labor_gems*Techs!AP12)</f>
        <v>0</v>
      </c>
      <c r="AO12" s="56">
        <f ca="1">I12*food_decay*IF(Magic!AZ12&gt;0,0.5,1)</f>
        <v>767.30000000000007</v>
      </c>
      <c r="AP12" s="26">
        <f ca="1">(1+race_food_consumption)*Population!F12*food_per_person</f>
        <v>2953.9774359594121</v>
      </c>
      <c r="AQ12" s="26">
        <f t="shared" ca="1" si="6"/>
        <v>3459.17</v>
      </c>
      <c r="AR12" s="57">
        <f t="shared" ca="1" si="7"/>
        <v>541.29999999999995</v>
      </c>
      <c r="AS12" s="26"/>
      <c r="AT12" s="56">
        <f ca="1">Explore!AH12+Construction!AP12+Military!AU12+Rezone!Y12+Imps!AQ12-BE12</f>
        <v>0</v>
      </c>
      <c r="AU12" s="26">
        <f>Construction!AQ12+Imps!AR12-BF12</f>
        <v>0</v>
      </c>
      <c r="AV12" s="26">
        <f>Magic!AD12</f>
        <v>0</v>
      </c>
      <c r="AW12" s="26">
        <f ca="1">Military!AV12+Imps!AS12-BG12</f>
        <v>0</v>
      </c>
      <c r="AX12" s="26">
        <f>Imps!AT12-BH12</f>
        <v>0</v>
      </c>
      <c r="AY12" s="26">
        <f ca="1">Military!AZ12</f>
        <v>0</v>
      </c>
      <c r="AZ12" s="57">
        <f ca="1">Military!BA12</f>
        <v>0</v>
      </c>
      <c r="BB12" s="56" t="b">
        <f t="shared" si="15"/>
        <v>0</v>
      </c>
      <c r="BC12" s="332"/>
      <c r="BD12" s="974">
        <v>10</v>
      </c>
      <c r="BE12" s="329"/>
      <c r="BF12" s="370"/>
      <c r="BG12" s="370"/>
      <c r="BH12" s="740"/>
      <c r="BI12" s="1031">
        <f t="shared" si="8"/>
        <v>43768.093749999978</v>
      </c>
      <c r="BJ12" s="159" t="str">
        <f t="shared" si="20"/>
        <v/>
      </c>
      <c r="BK12" s="26">
        <f t="shared" ca="1" si="16"/>
        <v>4437480</v>
      </c>
      <c r="BL12" s="26">
        <f t="shared" ca="1" si="9"/>
        <v>76730</v>
      </c>
      <c r="BM12" s="26">
        <f t="shared" ca="1" si="10"/>
        <v>345917</v>
      </c>
      <c r="BN12" s="26">
        <f t="shared" ca="1" si="11"/>
        <v>27065</v>
      </c>
      <c r="BO12" s="57">
        <f t="shared" ca="1" si="12"/>
        <v>300000</v>
      </c>
    </row>
    <row r="13" spans="1:67" s="16" customFormat="1" x14ac:dyDescent="0.25">
      <c r="A13" s="982">
        <v>11</v>
      </c>
      <c r="B13" s="812">
        <f>Imps!L13</f>
        <v>43768.104166666642</v>
      </c>
      <c r="C13" s="332"/>
      <c r="D13" s="830"/>
      <c r="E13" s="56">
        <f>Construction!E13</f>
        <v>1000</v>
      </c>
      <c r="F13" s="26">
        <f ca="1">Population!$C13</f>
        <v>6194.8642566457647</v>
      </c>
      <c r="G13" s="26">
        <f ca="1">Military!EM13</f>
        <v>20900</v>
      </c>
      <c r="H13" s="26">
        <f ca="1">H12+S12 - AT13 + IF(AND(C12=1,ISNUMBER(MATCH(race,plat_db,0))),Population!C12*4)</f>
        <v>4447200</v>
      </c>
      <c r="I13" s="26">
        <f ca="1">I12+T12-AY13 +  IF(AND(C12=1,ISNUMBER(MATCH(race,food_db,0))),Population!C12*4)</f>
        <v>80049</v>
      </c>
      <c r="J13" s="26">
        <f t="shared" ca="1" si="17"/>
        <v>344958</v>
      </c>
      <c r="K13" s="26">
        <f ca="1">K12+V12 - AV13 + IF(AND(C12=1,ISNUMBER(MATCH(race,mana_db,0))),Population!C12*4)</f>
        <v>27774</v>
      </c>
      <c r="L13" s="26">
        <f ca="1">L12+W12 - AW13 + IF(AND(C12=1,ISNUMBER(MATCH(race,ore_db,0))),Population!C12*4)</f>
        <v>300000</v>
      </c>
      <c r="M13" s="26">
        <f t="shared" ca="1" si="14"/>
        <v>20000</v>
      </c>
      <c r="N13" s="26">
        <f t="shared" ca="1" si="18"/>
        <v>200</v>
      </c>
      <c r="O13" s="26">
        <f t="shared" si="19"/>
        <v>500</v>
      </c>
      <c r="P13" s="26">
        <f>ROUNDDOWN(P12+MAX(Construction!BO13/2,Construction!BO13*(1-Construction!BO13/(E13-Explore!S13*20)))-Q13*SUM(Techs!AY13:BY13),0)</f>
        <v>0</v>
      </c>
      <c r="Q13" s="166">
        <f>MAX(min_tech_cost,ROUNDDOWN(tech_cost_per_acre*Construction!E13,0))</f>
        <v>5000</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4">
        <f ca="1">race_food_bonus + IF(Magic!AO13&gt;0,gaias_blessing_food,IF(Magic!AG13&gt;0,gaias_watch_bonus)) + Imps!AD13+tech_production_food*Techs!W13 + O13/100*prestige_food_bonus</f>
        <v>0.1</v>
      </c>
      <c r="AJ13" s="267">
        <f ca="1">race_lumber_bonus+ IF(Magic!AO13&gt;0,gaias_blessing_lumber)+tech_fruits_of_labor1*Techs!AP13</f>
        <v>0</v>
      </c>
      <c r="AK13" s="267">
        <f ca="1">race_mana_bonus+tech_enchanted_lands_mana*Techs!AT13</f>
        <v>0</v>
      </c>
      <c r="AL13" s="267">
        <f ca="1">race_ore_bonus + IF(Magic!AL13&gt;0,miners_sight_bonus,IF(Magic!AH13&gt;0,mining_strength_bonus))+tech_fruits_of_labor1*Techs!AP13</f>
        <v>0</v>
      </c>
      <c r="AM13" s="193">
        <f ca="1">race_gem_bonus+MAX(tech_production_gems*Techs!X13,tech_fruits_of_labor_gems*Techs!AP13)</f>
        <v>0</v>
      </c>
      <c r="AO13" s="56">
        <f ca="1">I13*food_decay*IF(Magic!AZ13&gt;0,0.5,1)</f>
        <v>800.49</v>
      </c>
      <c r="AP13" s="26">
        <f ca="1">(1+race_food_consumption)*Population!F13*food_per_person</f>
        <v>2872.466064161441</v>
      </c>
      <c r="AQ13" s="26">
        <f t="shared" ca="1" si="6"/>
        <v>3449.58</v>
      </c>
      <c r="AR13" s="57">
        <f t="shared" ca="1" si="7"/>
        <v>555.48</v>
      </c>
      <c r="AS13" s="26"/>
      <c r="AT13" s="56">
        <f ca="1">Explore!AH13+Construction!AP13+Military!AU13+Rezone!Y13+Imps!AQ13-BE13</f>
        <v>0</v>
      </c>
      <c r="AU13" s="26">
        <f>Construction!AQ13+Imps!AR13-BF13</f>
        <v>0</v>
      </c>
      <c r="AV13" s="26">
        <f>Magic!AD13</f>
        <v>0</v>
      </c>
      <c r="AW13" s="26">
        <f ca="1">Military!AV13+Imps!AS13-BG13</f>
        <v>0</v>
      </c>
      <c r="AX13" s="26">
        <f>Imps!AT13-BH13</f>
        <v>0</v>
      </c>
      <c r="AY13" s="26">
        <f ca="1">Military!AZ13</f>
        <v>0</v>
      </c>
      <c r="AZ13" s="57">
        <f ca="1">Military!BA13</f>
        <v>0</v>
      </c>
      <c r="BB13" s="56" t="b">
        <f t="shared" si="15"/>
        <v>0</v>
      </c>
      <c r="BC13" s="332"/>
      <c r="BD13" s="974">
        <v>11</v>
      </c>
      <c r="BE13" s="329"/>
      <c r="BF13" s="370"/>
      <c r="BG13" s="370"/>
      <c r="BH13" s="740"/>
      <c r="BI13" s="1031">
        <f t="shared" si="8"/>
        <v>43768.104166666642</v>
      </c>
      <c r="BJ13" s="159" t="str">
        <f t="shared" si="20"/>
        <v/>
      </c>
      <c r="BK13" s="26">
        <f t="shared" ca="1" si="16"/>
        <v>4447200</v>
      </c>
      <c r="BL13" s="26">
        <f t="shared" ca="1" si="9"/>
        <v>80049</v>
      </c>
      <c r="BM13" s="26">
        <f t="shared" ca="1" si="10"/>
        <v>344958</v>
      </c>
      <c r="BN13" s="26">
        <f t="shared" ca="1" si="11"/>
        <v>27774</v>
      </c>
      <c r="BO13" s="57">
        <f t="shared" ca="1" si="12"/>
        <v>300000</v>
      </c>
    </row>
    <row r="14" spans="1:67" s="170" customFormat="1" x14ac:dyDescent="0.25">
      <c r="A14" s="981">
        <v>12</v>
      </c>
      <c r="B14" s="530">
        <f>Imps!L14</f>
        <v>43768.114583333307</v>
      </c>
      <c r="C14" s="329"/>
      <c r="D14" s="829"/>
      <c r="E14" s="152">
        <f>Construction!E14</f>
        <v>1000</v>
      </c>
      <c r="F14" s="164">
        <f ca="1">Population!$C14</f>
        <v>5885.1210438134767</v>
      </c>
      <c r="G14" s="164">
        <f ca="1">Military!EM14</f>
        <v>20900</v>
      </c>
      <c r="H14" s="164">
        <f ca="1">H13+S13 - AT14 + IF(AND(C13=1,ISNUMBER(MATCH(race,plat_db,0))),Population!C13*4)</f>
        <v>4456920</v>
      </c>
      <c r="I14" s="164">
        <f ca="1">I13+T13-AY14 +  IF(AND(C13=1,ISNUMBER(MATCH(race,food_db,0))),Population!C13*4)</f>
        <v>83416</v>
      </c>
      <c r="J14" s="164">
        <f t="shared" ca="1" si="17"/>
        <v>344008</v>
      </c>
      <c r="K14" s="164">
        <f ca="1">K13+V13 - AV14 + IF(AND(C13=1,ISNUMBER(MATCH(race,mana_db,0))),Population!C13*4)</f>
        <v>28469</v>
      </c>
      <c r="L14" s="164">
        <f ca="1">L13+W13 - AW14 + IF(AND(C13=1,ISNUMBER(MATCH(race,ore_db,0))),Population!C13*4)</f>
        <v>300000</v>
      </c>
      <c r="M14" s="164">
        <f t="shared" ca="1" si="14"/>
        <v>20000</v>
      </c>
      <c r="N14" s="164">
        <f t="shared" ca="1" si="18"/>
        <v>200</v>
      </c>
      <c r="O14" s="164">
        <f t="shared" si="19"/>
        <v>500</v>
      </c>
      <c r="P14" s="164">
        <f>ROUNDDOWN(P13+MAX(Construction!BO14/2,Construction!BO14*(1-Construction!BO14/(E14-Explore!S14*20)))-Q14*SUM(Techs!AY14:BY14),0)</f>
        <v>0</v>
      </c>
      <c r="Q14" s="166">
        <f>MAX(min_tech_cost,ROUNDDOWN(tech_cost_per_acre*Construction!E14,0))</f>
        <v>5000</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4">
        <f ca="1">race_food_bonus + IF(Magic!AO14&gt;0,gaias_blessing_food,IF(Magic!AG14&gt;0,gaias_watch_bonus)) + Imps!AD14+tech_production_food*Techs!W14 + O14/100*prestige_food_bonus</f>
        <v>0.1</v>
      </c>
      <c r="AJ14" s="267">
        <f ca="1">race_lumber_bonus+ IF(Magic!AO14&gt;0,gaias_blessing_lumber)+tech_fruits_of_labor1*Techs!AP14</f>
        <v>0</v>
      </c>
      <c r="AK14" s="267">
        <f ca="1">race_mana_bonus+tech_enchanted_lands_mana*Techs!AT14</f>
        <v>0</v>
      </c>
      <c r="AL14" s="267">
        <f ca="1">race_ore_bonus + IF(Magic!AL14&gt;0,miners_sight_bonus,IF(Magic!AH14&gt;0,mining_strength_bonus))+tech_fruits_of_labor1*Techs!AP14</f>
        <v>0</v>
      </c>
      <c r="AM14" s="193">
        <f ca="1">race_gem_bonus+MAX(tech_production_gems*Techs!X14,tech_fruits_of_labor_gems*Techs!AP14)</f>
        <v>0</v>
      </c>
      <c r="AO14" s="152">
        <f ca="1">I14*food_decay*IF(Magic!AZ14&gt;0,0.5,1)</f>
        <v>834.16</v>
      </c>
      <c r="AP14" s="26">
        <f ca="1">(1+race_food_consumption)*Population!F14*food_per_person</f>
        <v>2795.0302609533692</v>
      </c>
      <c r="AQ14" s="164">
        <f t="shared" ca="1" si="6"/>
        <v>3440.08</v>
      </c>
      <c r="AR14" s="166">
        <f t="shared" ca="1" si="7"/>
        <v>569.38</v>
      </c>
      <c r="AS14" s="164"/>
      <c r="AT14" s="152">
        <f ca="1">Explore!AH14+Construction!AP14+Military!AU14+Rezone!Y14+Imps!AQ14-BE14</f>
        <v>0</v>
      </c>
      <c r="AU14" s="164">
        <f>Construction!AQ14+Imps!AR14-BF14</f>
        <v>0</v>
      </c>
      <c r="AV14" s="164">
        <f>Magic!AD14</f>
        <v>0</v>
      </c>
      <c r="AW14" s="164">
        <f ca="1">Military!AV14+Imps!AS14-BG14</f>
        <v>0</v>
      </c>
      <c r="AX14" s="164">
        <f>Imps!AT14-BH14</f>
        <v>0</v>
      </c>
      <c r="AY14" s="164">
        <f ca="1">Military!AZ14</f>
        <v>0</v>
      </c>
      <c r="AZ14" s="166">
        <f ca="1">Military!BA14</f>
        <v>0</v>
      </c>
      <c r="BB14" s="152" t="b">
        <f t="shared" si="15"/>
        <v>0</v>
      </c>
      <c r="BC14" s="329"/>
      <c r="BD14" s="973">
        <v>12</v>
      </c>
      <c r="BE14" s="329"/>
      <c r="BF14" s="407"/>
      <c r="BG14" s="407"/>
      <c r="BH14" s="739"/>
      <c r="BI14" s="1031">
        <f t="shared" si="8"/>
        <v>43768.114583333307</v>
      </c>
      <c r="BJ14" s="159" t="str">
        <f t="shared" si="20"/>
        <v/>
      </c>
      <c r="BK14" s="164">
        <f t="shared" ca="1" si="16"/>
        <v>4456920</v>
      </c>
      <c r="BL14" s="164">
        <f t="shared" ca="1" si="9"/>
        <v>83416</v>
      </c>
      <c r="BM14" s="164">
        <f t="shared" ca="1" si="10"/>
        <v>344008</v>
      </c>
      <c r="BN14" s="164">
        <f t="shared" ca="1" si="11"/>
        <v>28469</v>
      </c>
      <c r="BO14" s="166">
        <f t="shared" ca="1" si="12"/>
        <v>300000</v>
      </c>
    </row>
    <row r="15" spans="1:67" s="163" customFormat="1" x14ac:dyDescent="0.25">
      <c r="A15" s="983">
        <v>13</v>
      </c>
      <c r="B15" s="674">
        <f>Imps!L15</f>
        <v>43768.124999999971</v>
      </c>
      <c r="C15" s="330"/>
      <c r="D15" s="831"/>
      <c r="E15" s="151">
        <f>Construction!E15</f>
        <v>1000</v>
      </c>
      <c r="F15" s="153">
        <f ca="1">Population!$C15</f>
        <v>5590.8649916228032</v>
      </c>
      <c r="G15" s="153">
        <f ca="1">Military!EM15</f>
        <v>20900</v>
      </c>
      <c r="H15" s="153">
        <f ca="1">H14+S14 - AT15 + IF(AND(C14=1,ISNUMBER(MATCH(race,plat_db,0))),Population!C14*4)</f>
        <v>4466640</v>
      </c>
      <c r="I15" s="153">
        <f ca="1">I14+T14-AY15 +  IF(AND(C14=1,ISNUMBER(MATCH(race,food_db,0))),Population!C14*4)</f>
        <v>86827</v>
      </c>
      <c r="J15" s="153">
        <f t="shared" ca="1" si="17"/>
        <v>343068</v>
      </c>
      <c r="K15" s="153">
        <f ca="1">K14+V14 - AV15 + IF(AND(C14=1,ISNUMBER(MATCH(race,mana_db,0))),Population!C14*4)</f>
        <v>29150</v>
      </c>
      <c r="L15" s="153">
        <f ca="1">L14+W14 - AW15 + IF(AND(C14=1,ISNUMBER(MATCH(race,ore_db,0))),Population!C14*4)</f>
        <v>300000</v>
      </c>
      <c r="M15" s="153">
        <f t="shared" ca="1" si="14"/>
        <v>20000</v>
      </c>
      <c r="N15" s="153">
        <f t="shared" ca="1" si="18"/>
        <v>200</v>
      </c>
      <c r="O15" s="153">
        <f t="shared" si="19"/>
        <v>500</v>
      </c>
      <c r="P15" s="153">
        <f>ROUNDDOWN(P14+MAX(Construction!BO15/2,Construction!BO15*(1-Construction!BO15/(E15-Explore!S15*20)))-Q15*SUM(Techs!AY15:BY15),0)</f>
        <v>0</v>
      </c>
      <c r="Q15" s="158">
        <f>MAX(min_tech_cost,ROUNDDOWN(tech_cost_per_acre*Construction!E15,0))</f>
        <v>5000</v>
      </c>
      <c r="S15" s="151">
        <f t="shared" ref="S15:S67" ca="1" si="21">ROUNDDOWN(AA15*(1+AH15),0)</f>
        <v>9720</v>
      </c>
      <c r="T15" s="153">
        <f t="shared" ref="T15:T34" ca="1" si="22">ROUND(AB15*(1+AI15)-AO15-AP15,0)</f>
        <v>3450</v>
      </c>
      <c r="U15" s="153">
        <f t="shared" ref="U15:U34" ca="1" si="23">ROUND(AC15*(1+AJ15)-AQ15,0)</f>
        <v>-931</v>
      </c>
      <c r="V15" s="153">
        <f t="shared" ref="V15:V34" ca="1" si="24">ROUND(AD15*(1+AK15)-AR15,0)</f>
        <v>667</v>
      </c>
      <c r="W15" s="153">
        <f t="shared" ref="W15:W67" ca="1" si="25">ROUNDDOWN(AE15*(1+AL15),0)</f>
        <v>0</v>
      </c>
      <c r="X15" s="153">
        <f t="shared" ref="X15:X67" ca="1" si="26">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6">
        <f ca="1">race_food_bonus + IF(Magic!AO15&gt;0,gaias_blessing_food,IF(Magic!AG15&gt;0,gaias_watch_bonus)) + Imps!AD15+tech_production_food*Techs!W15 + O15/100*prestige_food_bonus</f>
        <v>0.1</v>
      </c>
      <c r="AJ15" s="264">
        <f ca="1">race_lumber_bonus+ IF(Magic!AO15&gt;0,gaias_blessing_lumber)+tech_fruits_of_labor1*Techs!AP15</f>
        <v>0</v>
      </c>
      <c r="AK15" s="264">
        <f ca="1">race_mana_bonus+tech_enchanted_lands_mana*Techs!AT15</f>
        <v>0</v>
      </c>
      <c r="AL15" s="264">
        <f ca="1">race_ore_bonus + IF(Magic!AL15&gt;0,miners_sight_bonus,IF(Magic!AH15&gt;0,mining_strength_bonus))+tech_fruits_of_labor1*Techs!AP15</f>
        <v>0</v>
      </c>
      <c r="AM15" s="194">
        <f ca="1">race_gem_bonus+MAX(tech_production_gems*Techs!X15,tech_fruits_of_labor_gems*Techs!AP15)</f>
        <v>0</v>
      </c>
      <c r="AO15" s="151">
        <f ca="1">I15*food_decay*IF(Magic!AZ15&gt;0,0.5,1)</f>
        <v>868.27</v>
      </c>
      <c r="AP15" s="13">
        <f ca="1">(1+race_food_consumption)*Population!F15*food_per_person</f>
        <v>2721.4662479057006</v>
      </c>
      <c r="AQ15" s="153">
        <f t="shared" ca="1" si="6"/>
        <v>3430.6800000000003</v>
      </c>
      <c r="AR15" s="158">
        <f t="shared" ca="1" si="7"/>
        <v>583</v>
      </c>
      <c r="AS15" s="153"/>
      <c r="AT15" s="151">
        <f ca="1">Explore!AH15+Construction!AP15+Military!AU15+Rezone!Y15+Imps!AQ15-BE15</f>
        <v>0</v>
      </c>
      <c r="AU15" s="153">
        <f>Construction!AQ15+Imps!AR15-BF15</f>
        <v>0</v>
      </c>
      <c r="AV15" s="153">
        <f>Magic!AD15</f>
        <v>0</v>
      </c>
      <c r="AW15" s="153">
        <f ca="1">Military!AV15+Imps!AS15-BG15</f>
        <v>0</v>
      </c>
      <c r="AX15" s="153">
        <f>Imps!AT15-BH15</f>
        <v>0</v>
      </c>
      <c r="AY15" s="153">
        <f ca="1">Military!AZ15</f>
        <v>0</v>
      </c>
      <c r="AZ15" s="158">
        <f ca="1">Military!BA15</f>
        <v>0</v>
      </c>
      <c r="BB15" s="151" t="b">
        <f>IF(BC15&lt;&gt;"",BC15,BB14)</f>
        <v>0</v>
      </c>
      <c r="BC15" s="330"/>
      <c r="BD15" s="975">
        <v>13</v>
      </c>
      <c r="BE15" s="330"/>
      <c r="BF15" s="410"/>
      <c r="BG15" s="410"/>
      <c r="BH15" s="741"/>
      <c r="BI15" s="1033">
        <f t="shared" si="8"/>
        <v>43768.124999999971</v>
      </c>
      <c r="BJ15" s="287" t="str">
        <f t="shared" si="20"/>
        <v/>
      </c>
      <c r="BK15" s="153">
        <f t="shared" ca="1" si="16"/>
        <v>4466640</v>
      </c>
      <c r="BL15" s="153">
        <f t="shared" ca="1" si="9"/>
        <v>86827</v>
      </c>
      <c r="BM15" s="153">
        <f t="shared" ca="1" si="10"/>
        <v>343068</v>
      </c>
      <c r="BN15" s="153">
        <f t="shared" ca="1" si="11"/>
        <v>29150</v>
      </c>
      <c r="BO15" s="158">
        <f t="shared" ca="1" si="12"/>
        <v>300000</v>
      </c>
    </row>
    <row r="16" spans="1:67" s="170" customFormat="1" x14ac:dyDescent="0.25">
      <c r="A16" s="981">
        <v>14</v>
      </c>
      <c r="B16" s="530">
        <f>Imps!L16</f>
        <v>43768.135416666635</v>
      </c>
      <c r="C16" s="329"/>
      <c r="D16" s="829"/>
      <c r="E16" s="152">
        <f>Construction!E16</f>
        <v>1000</v>
      </c>
      <c r="F16" s="164">
        <f ca="1">Population!$C16</f>
        <v>5311.3217420416631</v>
      </c>
      <c r="G16" s="164">
        <f ca="1">Military!EM16</f>
        <v>20900</v>
      </c>
      <c r="H16" s="26">
        <f ca="1">H15+S15 - AT16 + IF(AND(C15=1,ISNUMBER(MATCH(race,plat_db,0))),Population!C15*4)</f>
        <v>4476360</v>
      </c>
      <c r="I16" s="164">
        <f ca="1">I15+T15-AY16 +  IF(AND(C15=1,ISNUMBER(MATCH(race,food_db,0))),Population!C15*4)</f>
        <v>90277</v>
      </c>
      <c r="J16" s="164">
        <f t="shared" ca="1" si="17"/>
        <v>342137</v>
      </c>
      <c r="K16" s="164">
        <f ca="1">K15+V15 - AV16 + IF(AND(C15=1,ISNUMBER(MATCH(race,mana_db,0))),Population!C15*4)</f>
        <v>29817</v>
      </c>
      <c r="L16" s="164">
        <f ca="1">L15+W15 - AW16 + IF(AND(C15=1,ISNUMBER(MATCH(race,ore_db,0))),Population!C15*4)</f>
        <v>300000</v>
      </c>
      <c r="M16" s="164">
        <f t="shared" ca="1" si="14"/>
        <v>20000</v>
      </c>
      <c r="N16" s="164">
        <f t="shared" ca="1" si="18"/>
        <v>200</v>
      </c>
      <c r="O16" s="164">
        <f t="shared" si="19"/>
        <v>500</v>
      </c>
      <c r="P16" s="164">
        <f>ROUNDDOWN(P15+MAX(Construction!BO16/2,Construction!BO16*(1-Construction!BO16/(E16-Explore!S16*20)))-Q16*SUM(Techs!AY16:BY16),0)</f>
        <v>0</v>
      </c>
      <c r="Q16" s="166">
        <f>MAX(min_tech_cost,ROUNDDOWN(tech_cost_per_acre*Construction!E16,0))</f>
        <v>5000</v>
      </c>
      <c r="S16" s="152">
        <f t="shared" ca="1" si="21"/>
        <v>9720</v>
      </c>
      <c r="T16" s="164">
        <f t="shared" ca="1" si="22"/>
        <v>3486</v>
      </c>
      <c r="U16" s="164">
        <f t="shared" ca="1" si="23"/>
        <v>-921</v>
      </c>
      <c r="V16" s="164">
        <f t="shared" ca="1" si="24"/>
        <v>654</v>
      </c>
      <c r="W16" s="164">
        <f t="shared" ca="1" si="25"/>
        <v>0</v>
      </c>
      <c r="X16" s="164">
        <f t="shared" ca="1" si="26"/>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4">
        <f ca="1">race_food_bonus + IF(Magic!AO16&gt;0,gaias_blessing_food,IF(Magic!AG16&gt;0,gaias_watch_bonus)) + Imps!AD16+tech_production_food*Techs!W16 + O16/100*prestige_food_bonus</f>
        <v>0.1</v>
      </c>
      <c r="AJ16" s="267">
        <f ca="1">race_lumber_bonus+ IF(Magic!AO16&gt;0,gaias_blessing_lumber)+tech_fruits_of_labor1*Techs!AP16</f>
        <v>0</v>
      </c>
      <c r="AK16" s="267">
        <f ca="1">race_mana_bonus+tech_enchanted_lands_mana*Techs!AT16</f>
        <v>0</v>
      </c>
      <c r="AL16" s="267">
        <f ca="1">race_ore_bonus + IF(Magic!AL16&gt;0,miners_sight_bonus,IF(Magic!AH16&gt;0,mining_strength_bonus))+tech_fruits_of_labor1*Techs!AP16</f>
        <v>0</v>
      </c>
      <c r="AM16" s="193">
        <f ca="1">race_gem_bonus+MAX(tech_production_gems*Techs!X16,tech_fruits_of_labor_gems*Techs!AP16)</f>
        <v>0</v>
      </c>
      <c r="AO16" s="152">
        <f ca="1">I16*food_decay*IF(Magic!AZ16&gt;0,0.5,1)</f>
        <v>902.77</v>
      </c>
      <c r="AP16" s="26">
        <f ca="1">(1+race_food_consumption)*Population!F16*food_per_person</f>
        <v>2651.5804355104156</v>
      </c>
      <c r="AQ16" s="164">
        <f t="shared" ca="1" si="6"/>
        <v>3421.37</v>
      </c>
      <c r="AR16" s="166">
        <f t="shared" ca="1" si="7"/>
        <v>596.34</v>
      </c>
      <c r="AS16" s="164"/>
      <c r="AT16" s="152">
        <f ca="1">Explore!AH16+Construction!AP16+Military!AU16+Rezone!Y16+Imps!AQ16-BE16</f>
        <v>0</v>
      </c>
      <c r="AU16" s="164">
        <f>Construction!AQ16+Imps!AR16-BF16</f>
        <v>0</v>
      </c>
      <c r="AV16" s="164">
        <f>Magic!AD16</f>
        <v>0</v>
      </c>
      <c r="AW16" s="164">
        <f ca="1">Military!AV16+Imps!AS16-BG16</f>
        <v>0</v>
      </c>
      <c r="AX16" s="164">
        <f>Imps!AT16-BH16</f>
        <v>0</v>
      </c>
      <c r="AY16" s="164">
        <f ca="1">Military!AZ16</f>
        <v>0</v>
      </c>
      <c r="AZ16" s="166">
        <f ca="1">Military!BA16</f>
        <v>0</v>
      </c>
      <c r="BB16" s="152" t="b">
        <f t="shared" ref="BB16:BB79" si="27">IF(BC16&lt;&gt;"",BC16,BB15)</f>
        <v>0</v>
      </c>
      <c r="BC16" s="329"/>
      <c r="BD16" s="973">
        <v>14</v>
      </c>
      <c r="BE16" s="329"/>
      <c r="BF16" s="407"/>
      <c r="BG16" s="407"/>
      <c r="BH16" s="739"/>
      <c r="BI16" s="1031">
        <f t="shared" si="8"/>
        <v>43768.135416666635</v>
      </c>
      <c r="BJ16" s="159" t="str">
        <f t="shared" si="20"/>
        <v/>
      </c>
      <c r="BK16" s="26">
        <f t="shared" ca="1" si="16"/>
        <v>4476360</v>
      </c>
      <c r="BL16" s="164">
        <f t="shared" ca="1" si="9"/>
        <v>90277</v>
      </c>
      <c r="BM16" s="164">
        <f t="shared" ca="1" si="10"/>
        <v>342137</v>
      </c>
      <c r="BN16" s="164">
        <f t="shared" ca="1" si="11"/>
        <v>29817</v>
      </c>
      <c r="BO16" s="166">
        <f t="shared" ca="1" si="12"/>
        <v>300000</v>
      </c>
    </row>
    <row r="17" spans="1:67" s="170" customFormat="1" x14ac:dyDescent="0.25">
      <c r="A17" s="981">
        <v>15</v>
      </c>
      <c r="B17" s="812">
        <f>Imps!L17</f>
        <v>43768.145833333299</v>
      </c>
      <c r="C17" s="329"/>
      <c r="D17" s="829"/>
      <c r="E17" s="152">
        <f>Construction!E17</f>
        <v>1000</v>
      </c>
      <c r="F17" s="164">
        <f ca="1">Population!$C17</f>
        <v>5045.7556549395804</v>
      </c>
      <c r="G17" s="164">
        <f ca="1">Military!EM17</f>
        <v>20900</v>
      </c>
      <c r="H17" s="26">
        <f ca="1">H16+S16 - AT17 + IF(AND(C16=1,ISNUMBER(MATCH(race,plat_db,0))),Population!C16*4)</f>
        <v>4486080</v>
      </c>
      <c r="I17" s="164">
        <f ca="1">I16+T16-AY17 +  IF(AND(C16=1,ISNUMBER(MATCH(race,food_db,0))),Population!C16*4)</f>
        <v>93763</v>
      </c>
      <c r="J17" s="164">
        <f t="shared" ca="1" si="17"/>
        <v>341216</v>
      </c>
      <c r="K17" s="164">
        <f ca="1">K16+V16 - AV17 + IF(AND(C16=1,ISNUMBER(MATCH(race,mana_db,0))),Population!C16*4)</f>
        <v>30471</v>
      </c>
      <c r="L17" s="164">
        <f ca="1">L16+W16 - AW17 + IF(AND(C16=1,ISNUMBER(MATCH(race,ore_db,0))),Population!C16*4)</f>
        <v>300000</v>
      </c>
      <c r="M17" s="164">
        <f t="shared" ca="1" si="14"/>
        <v>20000</v>
      </c>
      <c r="N17" s="164">
        <f t="shared" ca="1" si="18"/>
        <v>200</v>
      </c>
      <c r="O17" s="164">
        <f t="shared" si="19"/>
        <v>500</v>
      </c>
      <c r="P17" s="164">
        <f>ROUNDDOWN(P16+MAX(Construction!BO17/2,Construction!BO17*(1-Construction!BO17/(E17-Explore!S17*20)))-Q17*SUM(Techs!AY17:BY17),0)</f>
        <v>0</v>
      </c>
      <c r="Q17" s="166">
        <f>MAX(min_tech_cost,ROUNDDOWN(tech_cost_per_acre*Construction!E17,0))</f>
        <v>5000</v>
      </c>
      <c r="S17" s="152">
        <f t="shared" ca="1" si="21"/>
        <v>9720</v>
      </c>
      <c r="T17" s="164">
        <f t="shared" ca="1" si="22"/>
        <v>3517</v>
      </c>
      <c r="U17" s="164">
        <f t="shared" ca="1" si="23"/>
        <v>-912</v>
      </c>
      <c r="V17" s="164">
        <f t="shared" ca="1" si="24"/>
        <v>641</v>
      </c>
      <c r="W17" s="164">
        <f t="shared" ca="1" si="25"/>
        <v>0</v>
      </c>
      <c r="X17" s="164">
        <f t="shared" ca="1" si="26"/>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4">
        <f ca="1">race_food_bonus + IF(Magic!AO17&gt;0,gaias_blessing_food,IF(Magic!AG17&gt;0,gaias_watch_bonus)) + Imps!AD17+tech_production_food*Techs!W17 + O17/100*prestige_food_bonus</f>
        <v>0.1</v>
      </c>
      <c r="AJ17" s="267">
        <f ca="1">race_lumber_bonus+ IF(Magic!AO17&gt;0,gaias_blessing_lumber)+tech_fruits_of_labor1*Techs!AP17</f>
        <v>0</v>
      </c>
      <c r="AK17" s="267">
        <f ca="1">race_mana_bonus+tech_enchanted_lands_mana*Techs!AT17</f>
        <v>0</v>
      </c>
      <c r="AL17" s="267">
        <f ca="1">race_ore_bonus + IF(Magic!AL17&gt;0,miners_sight_bonus,IF(Magic!AH17&gt;0,mining_strength_bonus))+tech_fruits_of_labor1*Techs!AP17</f>
        <v>0</v>
      </c>
      <c r="AM17" s="193">
        <f ca="1">race_gem_bonus+MAX(tech_production_gems*Techs!X17,tech_fruits_of_labor_gems*Techs!AP17)</f>
        <v>0</v>
      </c>
      <c r="AO17" s="152">
        <f ca="1">I17*food_decay*IF(Magic!AZ17&gt;0,0.5,1)</f>
        <v>937.63</v>
      </c>
      <c r="AP17" s="26">
        <f ca="1">(1+race_food_consumption)*Population!F17*food_per_person</f>
        <v>2585.1889137348953</v>
      </c>
      <c r="AQ17" s="164">
        <f t="shared" ca="1" si="6"/>
        <v>3412.16</v>
      </c>
      <c r="AR17" s="166">
        <f t="shared" ca="1" si="7"/>
        <v>609.41999999999996</v>
      </c>
      <c r="AS17" s="164"/>
      <c r="AT17" s="152">
        <f ca="1">Explore!AH17+Construction!AP17+Military!AU17+Rezone!Y17+Imps!AQ17-BE17</f>
        <v>0</v>
      </c>
      <c r="AU17" s="164">
        <f>Construction!AQ17+Imps!AR17-BF17</f>
        <v>0</v>
      </c>
      <c r="AV17" s="164">
        <f>Magic!AD17</f>
        <v>0</v>
      </c>
      <c r="AW17" s="164">
        <f ca="1">Military!AV17+Imps!AS17-BG17</f>
        <v>0</v>
      </c>
      <c r="AX17" s="164">
        <f>Imps!AT17-BH17</f>
        <v>0</v>
      </c>
      <c r="AY17" s="164">
        <f ca="1">Military!AZ17</f>
        <v>0</v>
      </c>
      <c r="AZ17" s="166">
        <f ca="1">Military!BA17</f>
        <v>0</v>
      </c>
      <c r="BB17" s="152" t="b">
        <f t="shared" si="27"/>
        <v>0</v>
      </c>
      <c r="BC17" s="329"/>
      <c r="BD17" s="973">
        <v>15</v>
      </c>
      <c r="BE17" s="329"/>
      <c r="BF17" s="407"/>
      <c r="BG17" s="407"/>
      <c r="BH17" s="739"/>
      <c r="BI17" s="1031">
        <f t="shared" si="8"/>
        <v>43768.145833333299</v>
      </c>
      <c r="BJ17" s="159" t="str">
        <f t="shared" si="20"/>
        <v/>
      </c>
      <c r="BK17" s="26">
        <f t="shared" ca="1" si="16"/>
        <v>4486080</v>
      </c>
      <c r="BL17" s="164">
        <f t="shared" ca="1" si="9"/>
        <v>93763</v>
      </c>
      <c r="BM17" s="164">
        <f t="shared" ca="1" si="10"/>
        <v>341216</v>
      </c>
      <c r="BN17" s="164">
        <f t="shared" ca="1" si="11"/>
        <v>30471</v>
      </c>
      <c r="BO17" s="166">
        <f t="shared" ca="1" si="12"/>
        <v>300000</v>
      </c>
    </row>
    <row r="18" spans="1:67" s="16" customFormat="1" x14ac:dyDescent="0.25">
      <c r="A18" s="982">
        <v>16</v>
      </c>
      <c r="B18" s="812">
        <f>Imps!L18</f>
        <v>43768.156249999964</v>
      </c>
      <c r="C18" s="332"/>
      <c r="D18" s="830"/>
      <c r="E18" s="56">
        <f>Construction!E18</f>
        <v>1000</v>
      </c>
      <c r="F18" s="26">
        <f ca="1">Population!$C18</f>
        <v>4793.4678721926011</v>
      </c>
      <c r="G18" s="26">
        <f ca="1">Military!EM18</f>
        <v>20900</v>
      </c>
      <c r="H18" s="26">
        <f ca="1">H17+S17 - AT18 + IF(AND(C17=1,ISNUMBER(MATCH(race,plat_db,0))),Population!C17*4)</f>
        <v>4495800</v>
      </c>
      <c r="I18" s="26">
        <f ca="1">I17+T17-AY18 +  IF(AND(C17=1,ISNUMBER(MATCH(race,food_db,0))),Population!C17*4)</f>
        <v>97280</v>
      </c>
      <c r="J18" s="26">
        <f t="shared" ca="1" si="17"/>
        <v>340304</v>
      </c>
      <c r="K18" s="26">
        <f ca="1">K17+V17 - AV18 + IF(AND(C17=1,ISNUMBER(MATCH(race,mana_db,0))),Population!C17*4)</f>
        <v>31112</v>
      </c>
      <c r="L18" s="26">
        <f ca="1">L17+W17 - AW18 + IF(AND(C17=1,ISNUMBER(MATCH(race,ore_db,0))),Population!C17*4)</f>
        <v>300000</v>
      </c>
      <c r="M18" s="26">
        <f t="shared" ca="1" si="14"/>
        <v>20000</v>
      </c>
      <c r="N18" s="26">
        <f t="shared" ca="1" si="18"/>
        <v>200</v>
      </c>
      <c r="O18" s="26">
        <f t="shared" si="19"/>
        <v>500</v>
      </c>
      <c r="P18" s="26">
        <f>ROUNDDOWN(P17+MAX(Construction!BO18/2,Construction!BO18*(1-Construction!BO18/(E18-Explore!S18*20)))-Q18*SUM(Techs!AY18:BY18),0)</f>
        <v>0</v>
      </c>
      <c r="Q18" s="166">
        <f>MAX(min_tech_cost,ROUNDDOWN(tech_cost_per_acre*Construction!E18,0))</f>
        <v>5000</v>
      </c>
      <c r="S18" s="152">
        <f t="shared" ca="1" si="21"/>
        <v>9720</v>
      </c>
      <c r="T18" s="164">
        <f t="shared" ca="1" si="22"/>
        <v>3545</v>
      </c>
      <c r="U18" s="164">
        <f t="shared" ca="1" si="23"/>
        <v>-903</v>
      </c>
      <c r="V18" s="164">
        <f t="shared" ca="1" si="24"/>
        <v>628</v>
      </c>
      <c r="W18" s="164">
        <f t="shared" ca="1" si="25"/>
        <v>0</v>
      </c>
      <c r="X18" s="164">
        <f t="shared" ca="1" si="26"/>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4">
        <f ca="1">race_food_bonus + IF(Magic!AO18&gt;0,gaias_blessing_food,IF(Magic!AG18&gt;0,gaias_watch_bonus)) + Imps!AD18+tech_production_food*Techs!W18 + O18/100*prestige_food_bonus</f>
        <v>0.1</v>
      </c>
      <c r="AJ18" s="267">
        <f ca="1">race_lumber_bonus+ IF(Magic!AO18&gt;0,gaias_blessing_lumber)+tech_fruits_of_labor1*Techs!AP18</f>
        <v>0</v>
      </c>
      <c r="AK18" s="267">
        <f ca="1">race_mana_bonus+tech_enchanted_lands_mana*Techs!AT18</f>
        <v>0</v>
      </c>
      <c r="AL18" s="267">
        <f ca="1">race_ore_bonus + IF(Magic!AL18&gt;0,miners_sight_bonus,IF(Magic!AH18&gt;0,mining_strength_bonus))+tech_fruits_of_labor1*Techs!AP18</f>
        <v>0</v>
      </c>
      <c r="AM18" s="193">
        <f ca="1">race_gem_bonus+MAX(tech_production_gems*Techs!X18,tech_fruits_of_labor_gems*Techs!AP18)</f>
        <v>0</v>
      </c>
      <c r="AO18" s="56">
        <f ca="1">I18*food_decay*IF(Magic!AZ18&gt;0,0.5,1)</f>
        <v>972.80000000000007</v>
      </c>
      <c r="AP18" s="26">
        <f ca="1">(1+race_food_consumption)*Population!F18*food_per_person</f>
        <v>2522.1169680481503</v>
      </c>
      <c r="AQ18" s="26">
        <f t="shared" ca="1" si="6"/>
        <v>3403.04</v>
      </c>
      <c r="AR18" s="57">
        <f t="shared" ca="1" si="7"/>
        <v>622.24</v>
      </c>
      <c r="AS18" s="26"/>
      <c r="AT18" s="56">
        <f ca="1">Explore!AH18+Construction!AP18+Military!AU18+Rezone!Y18+Imps!AQ18-BE18</f>
        <v>0</v>
      </c>
      <c r="AU18" s="26">
        <f>Construction!AQ18+Imps!AR18-BF18</f>
        <v>0</v>
      </c>
      <c r="AV18" s="26">
        <f>Magic!AD18</f>
        <v>0</v>
      </c>
      <c r="AW18" s="26">
        <f ca="1">Military!AV18+Imps!AS18-BG18</f>
        <v>0</v>
      </c>
      <c r="AX18" s="26">
        <f>Imps!AT18-BH18</f>
        <v>0</v>
      </c>
      <c r="AY18" s="26">
        <f ca="1">Military!AZ18</f>
        <v>0</v>
      </c>
      <c r="AZ18" s="57">
        <f ca="1">Military!BA18</f>
        <v>0</v>
      </c>
      <c r="BB18" s="56" t="b">
        <f t="shared" si="27"/>
        <v>0</v>
      </c>
      <c r="BC18" s="332"/>
      <c r="BD18" s="974">
        <v>16</v>
      </c>
      <c r="BE18" s="332"/>
      <c r="BF18" s="370"/>
      <c r="BG18" s="370"/>
      <c r="BH18" s="740"/>
      <c r="BI18" s="1031">
        <f t="shared" si="8"/>
        <v>43768.156249999964</v>
      </c>
      <c r="BJ18" s="159" t="str">
        <f t="shared" si="20"/>
        <v/>
      </c>
      <c r="BK18" s="26">
        <f t="shared" ca="1" si="16"/>
        <v>4495800</v>
      </c>
      <c r="BL18" s="26">
        <f t="shared" ca="1" si="9"/>
        <v>97280</v>
      </c>
      <c r="BM18" s="26">
        <f t="shared" ca="1" si="10"/>
        <v>340304</v>
      </c>
      <c r="BN18" s="26">
        <f t="shared" ca="1" si="11"/>
        <v>31112</v>
      </c>
      <c r="BO18" s="57">
        <f t="shared" ca="1" si="12"/>
        <v>300000</v>
      </c>
    </row>
    <row r="19" spans="1:67" s="163" customFormat="1" x14ac:dyDescent="0.25">
      <c r="A19" s="983">
        <v>17</v>
      </c>
      <c r="B19" s="674">
        <f>Imps!L19</f>
        <v>43768.166666666628</v>
      </c>
      <c r="C19" s="330"/>
      <c r="D19" s="831"/>
      <c r="E19" s="151">
        <f>Construction!E19</f>
        <v>1000</v>
      </c>
      <c r="F19" s="153">
        <f ca="1">Population!$C19</f>
        <v>4553.7944785829714</v>
      </c>
      <c r="G19" s="153">
        <f ca="1">Military!EM19</f>
        <v>20900</v>
      </c>
      <c r="H19" s="153">
        <f ca="1">H18+S18 - AT19 + IF(AND(C18=1,ISNUMBER(MATCH(race,plat_db,0))),Population!C18*4)</f>
        <v>4505520</v>
      </c>
      <c r="I19" s="153">
        <f ca="1">I18+T18-AY19 +  IF(AND(C18=1,ISNUMBER(MATCH(race,food_db,0))),Population!C18*4)</f>
        <v>100825</v>
      </c>
      <c r="J19" s="153">
        <f t="shared" ca="1" si="17"/>
        <v>339401</v>
      </c>
      <c r="K19" s="153">
        <f ca="1">K18+V18 - AV19 + IF(AND(C18=1,ISNUMBER(MATCH(race,mana_db,0))),Population!C18*4)</f>
        <v>31740</v>
      </c>
      <c r="L19" s="153">
        <f ca="1">L18+W18 - AW19 + IF(AND(C18=1,ISNUMBER(MATCH(race,ore_db,0))),Population!C18*4)</f>
        <v>300000</v>
      </c>
      <c r="M19" s="153">
        <f t="shared" ca="1" si="14"/>
        <v>20000</v>
      </c>
      <c r="N19" s="153">
        <f t="shared" ca="1" si="18"/>
        <v>200</v>
      </c>
      <c r="O19" s="153">
        <f t="shared" si="19"/>
        <v>500</v>
      </c>
      <c r="P19" s="153">
        <f>ROUNDDOWN(P18+MAX(Construction!BO19/2,Construction!BO19*(1-Construction!BO19/(E19-Explore!S19*20)))-Q19*SUM(Techs!AY19:BY19),0)</f>
        <v>0</v>
      </c>
      <c r="Q19" s="158">
        <f>MAX(min_tech_cost,ROUNDDOWN(tech_cost_per_acre*Construction!E19,0))</f>
        <v>5000</v>
      </c>
      <c r="S19" s="151">
        <f t="shared" ca="1" si="21"/>
        <v>9720</v>
      </c>
      <c r="T19" s="153">
        <f t="shared" ca="1" si="22"/>
        <v>3570</v>
      </c>
      <c r="U19" s="153">
        <f t="shared" ca="1" si="23"/>
        <v>-894</v>
      </c>
      <c r="V19" s="153">
        <f t="shared" ca="1" si="24"/>
        <v>615</v>
      </c>
      <c r="W19" s="153">
        <f t="shared" ca="1" si="25"/>
        <v>0</v>
      </c>
      <c r="X19" s="153">
        <f t="shared" ca="1" si="26"/>
        <v>0</v>
      </c>
      <c r="Y19" s="262">
        <f>Construction!BP20*dock_boats_hr</f>
        <v>0</v>
      </c>
      <c r="Z19" s="203"/>
      <c r="AA19" s="54">
        <f ca="1">Population!C19*tax*Population!I19 + (Construction!AY20+Construction!BW20)*(alch_plat+(Magic!AR19&gt;0)*alchemist_flame_bonus)</f>
        <v>9720.0000000000018</v>
      </c>
      <c r="AB19" s="153">
        <f>Construction!$AZ19*farm_food + Construction!$BP19*dock_food+IF(race="Growth",ROUNDDOWN(Military!G19*8,0),0)</f>
        <v>6400</v>
      </c>
      <c r="AC19" s="153">
        <f>Construction!$BC19*ly_lumber+IF(race="Ants",ROUNDDOWN(Military!F19/2,0),0)</f>
        <v>2500</v>
      </c>
      <c r="AD19" s="153">
        <f>Construction!$BK20*tower_mana+IF(race="Templars",ROUNDDOWN(Military!F19*0.02,0),0)+IF(race="Black Orc",Military!G19*5,0)+IF(race="Growth",ROUNDDOWN(Military!G19*0.1,0),0)+IF(race="Void",ROUNDDOWN(Military!F19*1.5,0),0)+IF(race="Void",ROUNDDOWN(Military!G19*4,0),0)</f>
        <v>1250</v>
      </c>
      <c r="AE19" s="153">
        <f>Construction!$BE20*om_ore+IF(race="Dwarf",ROUNDDOWN(Military!F19*2,0),0)</f>
        <v>0</v>
      </c>
      <c r="AF19" s="158">
        <f>Construction!$BN20*dm_gems+IF(race="Dwarf",ROUNDDOWN(Military!F19/2,0),0)</f>
        <v>0</v>
      </c>
      <c r="AH19" s="263">
        <f ca="1">MIN(race_platinum_bonus + IF(Magic!AJ19&gt;0,midas_bonus) + Imps!Y19 - BB19*0.02+MAX(tech_production_plat*Techs!Y19,tech_treasure_hunt_plat*Techs!AR19), 0.5)</f>
        <v>0</v>
      </c>
      <c r="AI19" s="446">
        <f ca="1">race_food_bonus + IF(Magic!AO19&gt;0,gaias_blessing_food,IF(Magic!AG19&gt;0,gaias_watch_bonus)) + Imps!AD19+tech_production_food*Techs!W19 + O19/100*prestige_food_bonus</f>
        <v>0.1</v>
      </c>
      <c r="AJ19" s="264">
        <f ca="1">race_lumber_bonus+ IF(Magic!AO19&gt;0,gaias_blessing_lumber)+tech_fruits_of_labor1*Techs!AP19</f>
        <v>0</v>
      </c>
      <c r="AK19" s="264">
        <f ca="1">race_mana_bonus+tech_enchanted_lands_mana*Techs!AT19</f>
        <v>0</v>
      </c>
      <c r="AL19" s="264">
        <f ca="1">race_ore_bonus + IF(Magic!AL19&gt;0,miners_sight_bonus,IF(Magic!AH19&gt;0,mining_strength_bonus))+tech_fruits_of_labor1*Techs!AP19</f>
        <v>0</v>
      </c>
      <c r="AM19" s="194">
        <f ca="1">race_gem_bonus+MAX(tech_production_gems*Techs!X19,tech_fruits_of_labor_gems*Techs!AP19)</f>
        <v>0</v>
      </c>
      <c r="AO19" s="151">
        <f ca="1">I19*food_decay*IF(Magic!AZ19&gt;0,0.5,1)</f>
        <v>1008.25</v>
      </c>
      <c r="AP19" s="13">
        <f ca="1">(1+race_food_consumption)*Population!F19*food_per_person</f>
        <v>2462.1986196457428</v>
      </c>
      <c r="AQ19" s="153">
        <f t="shared" ca="1" si="6"/>
        <v>3394.01</v>
      </c>
      <c r="AR19" s="158">
        <f t="shared" ca="1" si="7"/>
        <v>634.80000000000007</v>
      </c>
      <c r="AS19" s="153"/>
      <c r="AT19" s="151">
        <f ca="1">Explore!AH19+Construction!AP19+Military!AU19+Rezone!Y19+Imps!AQ19-BE19</f>
        <v>0</v>
      </c>
      <c r="AU19" s="153">
        <f>Construction!AQ19+Imps!AR19-BF19</f>
        <v>0</v>
      </c>
      <c r="AV19" s="153">
        <f>Magic!AD19</f>
        <v>0</v>
      </c>
      <c r="AW19" s="153">
        <f ca="1">Military!AV19+Imps!AS19-BG19</f>
        <v>0</v>
      </c>
      <c r="AX19" s="153">
        <f>Imps!AT19-BH19</f>
        <v>0</v>
      </c>
      <c r="AY19" s="153">
        <f ca="1">Military!AZ19</f>
        <v>0</v>
      </c>
      <c r="AZ19" s="158">
        <f ca="1">Military!BA19</f>
        <v>0</v>
      </c>
      <c r="BB19" s="151" t="b">
        <f t="shared" si="27"/>
        <v>0</v>
      </c>
      <c r="BC19" s="330"/>
      <c r="BD19" s="975">
        <v>17</v>
      </c>
      <c r="BE19" s="330"/>
      <c r="BF19" s="410"/>
      <c r="BG19" s="410"/>
      <c r="BH19" s="741"/>
      <c r="BI19" s="1033">
        <f t="shared" si="8"/>
        <v>43768.166666666628</v>
      </c>
      <c r="BJ19" s="287" t="str">
        <f t="shared" si="20"/>
        <v/>
      </c>
      <c r="BK19" s="153">
        <f t="shared" ca="1" si="16"/>
        <v>4505520</v>
      </c>
      <c r="BL19" s="153">
        <f t="shared" ca="1" si="9"/>
        <v>100825</v>
      </c>
      <c r="BM19" s="153">
        <f t="shared" ca="1" si="10"/>
        <v>339401</v>
      </c>
      <c r="BN19" s="153">
        <f t="shared" ca="1" si="11"/>
        <v>31740</v>
      </c>
      <c r="BO19" s="158">
        <f t="shared" ca="1" si="12"/>
        <v>300000</v>
      </c>
    </row>
    <row r="20" spans="1:67" s="16" customFormat="1" x14ac:dyDescent="0.25">
      <c r="A20" s="982">
        <v>18</v>
      </c>
      <c r="B20" s="812">
        <f>Imps!L20</f>
        <v>43768.177083333292</v>
      </c>
      <c r="C20" s="332"/>
      <c r="D20" s="830"/>
      <c r="E20" s="56">
        <f>Construction!E20</f>
        <v>1000</v>
      </c>
      <c r="F20" s="26">
        <f ca="1">Population!$C20</f>
        <v>4326.104754653823</v>
      </c>
      <c r="G20" s="26">
        <f ca="1">Military!EM20</f>
        <v>20900</v>
      </c>
      <c r="H20" s="26">
        <f ca="1">H19+S19 - AT20 + IF(AND(C19=1,ISNUMBER(MATCH(race,plat_db,0))),Population!C19*4)</f>
        <v>4515240</v>
      </c>
      <c r="I20" s="26">
        <f ca="1">I19+T19-AY20 +  IF(AND(C19=1,ISNUMBER(MATCH(race,food_db,0))),Population!C19*4)</f>
        <v>104395</v>
      </c>
      <c r="J20" s="26">
        <f t="shared" ca="1" si="17"/>
        <v>338507</v>
      </c>
      <c r="K20" s="26">
        <f ca="1">K19+V19 - AV20 + IF(AND(C19=1,ISNUMBER(MATCH(race,mana_db,0))),Population!C19*4)</f>
        <v>32355</v>
      </c>
      <c r="L20" s="26">
        <f ca="1">L19+W19 - AW20 + IF(AND(C19=1,ISNUMBER(MATCH(race,ore_db,0))),Population!C19*4)</f>
        <v>300000</v>
      </c>
      <c r="M20" s="26">
        <f t="shared" ca="1" si="14"/>
        <v>20000</v>
      </c>
      <c r="N20" s="26">
        <f t="shared" ca="1" si="18"/>
        <v>200</v>
      </c>
      <c r="O20" s="26">
        <f t="shared" si="19"/>
        <v>500</v>
      </c>
      <c r="P20" s="26">
        <f>ROUNDDOWN(P19+MAX(Construction!BO20/2,Construction!BO20*(1-Construction!BO20/(E20-Explore!S20*20)))-Q20*SUM(Techs!AY20:BY20),0)</f>
        <v>0</v>
      </c>
      <c r="Q20" s="166">
        <f>MAX(min_tech_cost,ROUNDDOWN(tech_cost_per_acre*Construction!E20,0))</f>
        <v>5000</v>
      </c>
      <c r="S20" s="152">
        <f t="shared" ca="1" si="21"/>
        <v>9720</v>
      </c>
      <c r="T20" s="164">
        <f t="shared" ca="1" si="22"/>
        <v>3591</v>
      </c>
      <c r="U20" s="164">
        <f t="shared" ca="1" si="23"/>
        <v>-885</v>
      </c>
      <c r="V20" s="164">
        <f t="shared" ca="1" si="24"/>
        <v>603</v>
      </c>
      <c r="W20" s="164">
        <f t="shared" ca="1" si="25"/>
        <v>0</v>
      </c>
      <c r="X20" s="164">
        <f t="shared" ca="1" si="26"/>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4">
        <f ca="1">race_food_bonus + IF(Magic!AO20&gt;0,gaias_blessing_food,IF(Magic!AG20&gt;0,gaias_watch_bonus)) + Imps!AD20+tech_production_food*Techs!W20 + O20/100*prestige_food_bonus</f>
        <v>0.1</v>
      </c>
      <c r="AJ20" s="267">
        <f ca="1">race_lumber_bonus+ IF(Magic!AO20&gt;0,gaias_blessing_lumber)+tech_fruits_of_labor1*Techs!AP20</f>
        <v>0</v>
      </c>
      <c r="AK20" s="267">
        <f ca="1">race_mana_bonus+tech_enchanted_lands_mana*Techs!AT20</f>
        <v>0</v>
      </c>
      <c r="AL20" s="267">
        <f ca="1">race_ore_bonus + IF(Magic!AL20&gt;0,miners_sight_bonus,IF(Magic!AH20&gt;0,mining_strength_bonus))+tech_fruits_of_labor1*Techs!AP20</f>
        <v>0</v>
      </c>
      <c r="AM20" s="193">
        <f ca="1">race_gem_bonus+MAX(tech_production_gems*Techs!X20,tech_fruits_of_labor_gems*Techs!AP20)</f>
        <v>0</v>
      </c>
      <c r="AO20" s="56">
        <f ca="1">I20*food_decay*IF(Magic!AZ20&gt;0,0.5,1)</f>
        <v>1043.95</v>
      </c>
      <c r="AP20" s="26">
        <f ca="1">(1+race_food_consumption)*Population!F20*food_per_person</f>
        <v>2405.2761886634557</v>
      </c>
      <c r="AQ20" s="26">
        <f t="shared" ca="1" si="6"/>
        <v>3385.07</v>
      </c>
      <c r="AR20" s="57">
        <f t="shared" ca="1" si="7"/>
        <v>647.1</v>
      </c>
      <c r="AS20" s="26"/>
      <c r="AT20" s="56">
        <f ca="1">Explore!AH20+Construction!AP20+Military!AU20+Rezone!Y20+Imps!AQ20-BE20</f>
        <v>0</v>
      </c>
      <c r="AU20" s="26">
        <f>Construction!AQ20+Imps!AR20-BF20</f>
        <v>0</v>
      </c>
      <c r="AV20" s="26">
        <f>Magic!AD20</f>
        <v>0</v>
      </c>
      <c r="AW20" s="26">
        <f ca="1">Military!AV20+Imps!AS20-BG20</f>
        <v>0</v>
      </c>
      <c r="AX20" s="26">
        <f>Imps!AT20-BH20</f>
        <v>0</v>
      </c>
      <c r="AY20" s="26">
        <f ca="1">Military!AZ20</f>
        <v>0</v>
      </c>
      <c r="AZ20" s="57">
        <f ca="1">Military!BA20</f>
        <v>0</v>
      </c>
      <c r="BB20" s="56" t="b">
        <f t="shared" si="27"/>
        <v>0</v>
      </c>
      <c r="BC20" s="332"/>
      <c r="BD20" s="974">
        <v>18</v>
      </c>
      <c r="BE20" s="332"/>
      <c r="BF20" s="370"/>
      <c r="BG20" s="370"/>
      <c r="BH20" s="740"/>
      <c r="BI20" s="1031">
        <f t="shared" si="8"/>
        <v>43768.177083333292</v>
      </c>
      <c r="BJ20" s="159" t="str">
        <f t="shared" si="20"/>
        <v/>
      </c>
      <c r="BK20" s="26">
        <f t="shared" ca="1" si="16"/>
        <v>4515240</v>
      </c>
      <c r="BL20" s="26">
        <f t="shared" ca="1" si="9"/>
        <v>104395</v>
      </c>
      <c r="BM20" s="26">
        <f t="shared" ca="1" si="10"/>
        <v>338507</v>
      </c>
      <c r="BN20" s="26">
        <f t="shared" ca="1" si="11"/>
        <v>32355</v>
      </c>
      <c r="BO20" s="57">
        <f t="shared" ca="1" si="12"/>
        <v>300000</v>
      </c>
    </row>
    <row r="21" spans="1:67" s="16" customFormat="1" x14ac:dyDescent="0.25">
      <c r="A21" s="982">
        <v>19</v>
      </c>
      <c r="B21" s="812">
        <f>Imps!L21</f>
        <v>43768.187499999956</v>
      </c>
      <c r="C21" s="332"/>
      <c r="D21" s="830"/>
      <c r="E21" s="56">
        <f>Construction!E21</f>
        <v>1000</v>
      </c>
      <c r="F21" s="26">
        <f ca="1">Population!$C21</f>
        <v>4109.7995169211317</v>
      </c>
      <c r="G21" s="26">
        <f ca="1">Military!EM21</f>
        <v>20900</v>
      </c>
      <c r="H21" s="26">
        <f ca="1">H20+S20 - AT21 + IF(AND(C20=1,ISNUMBER(MATCH(race,plat_db,0))),Population!C20*4)</f>
        <v>4524960</v>
      </c>
      <c r="I21" s="26">
        <f ca="1">I20+T20-AY21 +  IF(AND(C20=1,ISNUMBER(MATCH(race,food_db,0))),Population!C20*4)</f>
        <v>107986</v>
      </c>
      <c r="J21" s="26">
        <f t="shared" ca="1" si="17"/>
        <v>337622</v>
      </c>
      <c r="K21" s="26">
        <f ca="1">K20+V20 - AV21 + IF(AND(C20=1,ISNUMBER(MATCH(race,mana_db,0))),Population!C20*4)</f>
        <v>32958</v>
      </c>
      <c r="L21" s="26">
        <f ca="1">L20+W20 - AW21 + IF(AND(C20=1,ISNUMBER(MATCH(race,ore_db,0))),Population!C20*4)</f>
        <v>300000</v>
      </c>
      <c r="M21" s="26">
        <f t="shared" ca="1" si="14"/>
        <v>20000</v>
      </c>
      <c r="N21" s="26">
        <f t="shared" ca="1" si="18"/>
        <v>200</v>
      </c>
      <c r="O21" s="26">
        <f t="shared" si="19"/>
        <v>500</v>
      </c>
      <c r="P21" s="26">
        <f>ROUNDDOWN(P20+MAX(Construction!BO21/2,Construction!BO21*(1-Construction!BO21/(E21-Explore!S21*20)))-Q21*SUM(Techs!AY21:BY21),0)</f>
        <v>0</v>
      </c>
      <c r="Q21" s="166">
        <f>MAX(min_tech_cost,ROUNDDOWN(tech_cost_per_acre*Construction!E21,0))</f>
        <v>5000</v>
      </c>
      <c r="S21" s="152">
        <f t="shared" ca="1" si="21"/>
        <v>9720</v>
      </c>
      <c r="T21" s="164">
        <f t="shared" ca="1" si="22"/>
        <v>3609</v>
      </c>
      <c r="U21" s="164">
        <f t="shared" ca="1" si="23"/>
        <v>-876</v>
      </c>
      <c r="V21" s="164">
        <f t="shared" ca="1" si="24"/>
        <v>591</v>
      </c>
      <c r="W21" s="164">
        <f t="shared" ca="1" si="25"/>
        <v>0</v>
      </c>
      <c r="X21" s="164">
        <f t="shared" ca="1" si="26"/>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4">
        <f ca="1">race_food_bonus + IF(Magic!AO21&gt;0,gaias_blessing_food,IF(Magic!AG21&gt;0,gaias_watch_bonus)) + Imps!AD21+tech_production_food*Techs!W21 + O21/100*prestige_food_bonus</f>
        <v>0.1</v>
      </c>
      <c r="AJ21" s="267">
        <f ca="1">race_lumber_bonus+ IF(Magic!AO21&gt;0,gaias_blessing_lumber)+tech_fruits_of_labor1*Techs!AP21</f>
        <v>0</v>
      </c>
      <c r="AK21" s="267">
        <f ca="1">race_mana_bonus+tech_enchanted_lands_mana*Techs!AT21</f>
        <v>0</v>
      </c>
      <c r="AL21" s="267">
        <f ca="1">race_ore_bonus + IF(Magic!AL21&gt;0,miners_sight_bonus,IF(Magic!AH21&gt;0,mining_strength_bonus))+tech_fruits_of_labor1*Techs!AP21</f>
        <v>0</v>
      </c>
      <c r="AM21" s="193">
        <f ca="1">race_gem_bonus+MAX(tech_production_gems*Techs!X21,tech_fruits_of_labor_gems*Techs!AP21)</f>
        <v>0</v>
      </c>
      <c r="AO21" s="56">
        <f ca="1">I21*food_decay*IF(Magic!AZ21&gt;0,0.5,1)</f>
        <v>1079.8600000000001</v>
      </c>
      <c r="AP21" s="26">
        <f ca="1">(1+race_food_consumption)*Population!F21*food_per_person</f>
        <v>2351.1998792302829</v>
      </c>
      <c r="AQ21" s="26">
        <f t="shared" ca="1" si="6"/>
        <v>3376.2200000000003</v>
      </c>
      <c r="AR21" s="57">
        <f t="shared" ca="1" si="7"/>
        <v>659.16</v>
      </c>
      <c r="AS21" s="26"/>
      <c r="AT21" s="56">
        <f ca="1">Explore!AH21+Construction!AP21+Military!AU21+Rezone!Y21+Imps!AQ21-BE21</f>
        <v>0</v>
      </c>
      <c r="AU21" s="26">
        <f>Construction!AQ21+Imps!AR21-BF21</f>
        <v>0</v>
      </c>
      <c r="AV21" s="26">
        <f>Magic!AD21</f>
        <v>0</v>
      </c>
      <c r="AW21" s="26">
        <f ca="1">Military!AV21+Imps!AS21-BG21</f>
        <v>0</v>
      </c>
      <c r="AX21" s="26">
        <f>Imps!AT21-BH21</f>
        <v>0</v>
      </c>
      <c r="AY21" s="26">
        <f ca="1">Military!AZ21</f>
        <v>0</v>
      </c>
      <c r="AZ21" s="57">
        <f ca="1">Military!BA21</f>
        <v>0</v>
      </c>
      <c r="BB21" s="56" t="b">
        <f t="shared" si="27"/>
        <v>0</v>
      </c>
      <c r="BC21" s="332"/>
      <c r="BD21" s="974">
        <v>19</v>
      </c>
      <c r="BE21" s="332"/>
      <c r="BF21" s="370"/>
      <c r="BG21" s="370"/>
      <c r="BH21" s="740"/>
      <c r="BI21" s="1031">
        <f t="shared" si="8"/>
        <v>43768.187499999956</v>
      </c>
      <c r="BJ21" s="159" t="str">
        <f t="shared" si="20"/>
        <v/>
      </c>
      <c r="BK21" s="26">
        <f t="shared" ca="1" si="16"/>
        <v>4524960</v>
      </c>
      <c r="BL21" s="26">
        <f t="shared" ca="1" si="9"/>
        <v>107986</v>
      </c>
      <c r="BM21" s="26">
        <f t="shared" ca="1" si="10"/>
        <v>337622</v>
      </c>
      <c r="BN21" s="26">
        <f t="shared" ca="1" si="11"/>
        <v>32958</v>
      </c>
      <c r="BO21" s="57">
        <f t="shared" ca="1" si="12"/>
        <v>300000</v>
      </c>
    </row>
    <row r="22" spans="1:67" s="16" customFormat="1" x14ac:dyDescent="0.25">
      <c r="A22" s="982">
        <v>20</v>
      </c>
      <c r="B22" s="812">
        <f>Imps!L22</f>
        <v>43768.197916666621</v>
      </c>
      <c r="C22" s="332"/>
      <c r="D22" s="830"/>
      <c r="E22" s="56">
        <f>Construction!E22</f>
        <v>1000</v>
      </c>
      <c r="F22" s="26">
        <f ca="1">Population!$C22</f>
        <v>3904.3095410750752</v>
      </c>
      <c r="G22" s="26">
        <f ca="1">Military!EM22</f>
        <v>20900</v>
      </c>
      <c r="H22" s="26">
        <f ca="1">H21+S21 - AT22 + IF(AND(C21=1,ISNUMBER(MATCH(race,plat_db,0))),Population!C21*4)</f>
        <v>4534680</v>
      </c>
      <c r="I22" s="26">
        <f ca="1">I21+T21-AY22 +  IF(AND(C21=1,ISNUMBER(MATCH(race,food_db,0))),Population!C21*4)</f>
        <v>111595</v>
      </c>
      <c r="J22" s="26">
        <f t="shared" ca="1" si="17"/>
        <v>336746</v>
      </c>
      <c r="K22" s="26">
        <f ca="1">K21+V21 - AV22 + IF(AND(C21=1,ISNUMBER(MATCH(race,mana_db,0))),Population!C21*4)</f>
        <v>33549</v>
      </c>
      <c r="L22" s="26">
        <f ca="1">L21+W21 - AW22 + IF(AND(C21=1,ISNUMBER(MATCH(race,ore_db,0))),Population!C21*4)</f>
        <v>300000</v>
      </c>
      <c r="M22" s="26">
        <f t="shared" ca="1" si="14"/>
        <v>20000</v>
      </c>
      <c r="N22" s="26">
        <f t="shared" ca="1" si="18"/>
        <v>200</v>
      </c>
      <c r="O22" s="26">
        <f t="shared" si="19"/>
        <v>500</v>
      </c>
      <c r="P22" s="26">
        <f>ROUNDDOWN(P21+MAX(Construction!BO22/2,Construction!BO22*(1-Construction!BO22/(E22-Explore!S22*20)))-Q22*SUM(Techs!AY22:BY22),0)</f>
        <v>0</v>
      </c>
      <c r="Q22" s="166">
        <f>MAX(min_tech_cost,ROUNDDOWN(tech_cost_per_acre*Construction!E22,0))</f>
        <v>5000</v>
      </c>
      <c r="S22" s="152">
        <f t="shared" ca="1" si="21"/>
        <v>9720</v>
      </c>
      <c r="T22" s="164">
        <f t="shared" ca="1" si="22"/>
        <v>3624</v>
      </c>
      <c r="U22" s="164">
        <f t="shared" ca="1" si="23"/>
        <v>-867</v>
      </c>
      <c r="V22" s="164">
        <f t="shared" ca="1" si="24"/>
        <v>579</v>
      </c>
      <c r="W22" s="164">
        <f t="shared" ca="1" si="25"/>
        <v>0</v>
      </c>
      <c r="X22" s="164">
        <f t="shared" ca="1" si="26"/>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4">
        <f ca="1">race_food_bonus + IF(Magic!AO22&gt;0,gaias_blessing_food,IF(Magic!AG22&gt;0,gaias_watch_bonus)) + Imps!AD22+tech_production_food*Techs!W22 + O22/100*prestige_food_bonus</f>
        <v>0.1</v>
      </c>
      <c r="AJ22" s="267">
        <f ca="1">race_lumber_bonus+ IF(Magic!AO22&gt;0,gaias_blessing_lumber)+tech_fruits_of_labor1*Techs!AP22</f>
        <v>0</v>
      </c>
      <c r="AK22" s="267">
        <f ca="1">race_mana_bonus+tech_enchanted_lands_mana*Techs!AT22</f>
        <v>0</v>
      </c>
      <c r="AL22" s="267">
        <f ca="1">race_ore_bonus + IF(Magic!AL22&gt;0,miners_sight_bonus,IF(Magic!AH22&gt;0,mining_strength_bonus))+tech_fruits_of_labor1*Techs!AP22</f>
        <v>0</v>
      </c>
      <c r="AM22" s="193">
        <f ca="1">race_gem_bonus+MAX(tech_production_gems*Techs!X22,tech_fruits_of_labor_gems*Techs!AP22)</f>
        <v>0</v>
      </c>
      <c r="AO22" s="56">
        <f ca="1">I22*food_decay*IF(Magic!AZ22&gt;0,0.5,1)</f>
        <v>1115.95</v>
      </c>
      <c r="AP22" s="26">
        <f ca="1">(1+race_food_consumption)*Population!F22*food_per_person</f>
        <v>2299.8273852687689</v>
      </c>
      <c r="AQ22" s="26">
        <f t="shared" ca="1" si="6"/>
        <v>3367.46</v>
      </c>
      <c r="AR22" s="57">
        <f t="shared" ca="1" si="7"/>
        <v>670.98</v>
      </c>
      <c r="AS22" s="26"/>
      <c r="AT22" s="56">
        <f ca="1">Explore!AH22+Construction!AP22+Military!AU22+Rezone!Y22+Imps!AQ22-BE22</f>
        <v>0</v>
      </c>
      <c r="AU22" s="26">
        <f>Construction!AQ22+Imps!AR22-BF22</f>
        <v>0</v>
      </c>
      <c r="AV22" s="26">
        <f>Magic!AD22</f>
        <v>0</v>
      </c>
      <c r="AW22" s="26">
        <f ca="1">Military!AV22+Imps!AS22-BG22</f>
        <v>0</v>
      </c>
      <c r="AX22" s="26">
        <f>Imps!AT22-BH22</f>
        <v>0</v>
      </c>
      <c r="AY22" s="26">
        <f ca="1">Military!AZ22</f>
        <v>0</v>
      </c>
      <c r="AZ22" s="57">
        <f ca="1">Military!BA22</f>
        <v>0</v>
      </c>
      <c r="BB22" s="56" t="b">
        <f t="shared" si="27"/>
        <v>0</v>
      </c>
      <c r="BC22" s="332"/>
      <c r="BD22" s="974">
        <v>20</v>
      </c>
      <c r="BE22" s="332"/>
      <c r="BF22" s="370"/>
      <c r="BG22" s="370"/>
      <c r="BH22" s="740"/>
      <c r="BI22" s="1031">
        <f t="shared" si="8"/>
        <v>43768.197916666621</v>
      </c>
      <c r="BJ22" s="159" t="str">
        <f t="shared" si="20"/>
        <v/>
      </c>
      <c r="BK22" s="26">
        <f t="shared" ca="1" si="16"/>
        <v>4534680</v>
      </c>
      <c r="BL22" s="26">
        <f t="shared" ca="1" si="9"/>
        <v>111595</v>
      </c>
      <c r="BM22" s="26">
        <f t="shared" ca="1" si="10"/>
        <v>336746</v>
      </c>
      <c r="BN22" s="26">
        <f t="shared" ca="1" si="11"/>
        <v>33549</v>
      </c>
      <c r="BO22" s="57">
        <f t="shared" ca="1" si="12"/>
        <v>300000</v>
      </c>
    </row>
    <row r="23" spans="1:67" s="16" customFormat="1" x14ac:dyDescent="0.25">
      <c r="A23" s="982">
        <v>21</v>
      </c>
      <c r="B23" s="812">
        <f>Imps!L23</f>
        <v>43768.208333333285</v>
      </c>
      <c r="C23" s="332"/>
      <c r="D23" s="830"/>
      <c r="E23" s="56">
        <f>Construction!E23</f>
        <v>1000</v>
      </c>
      <c r="F23" s="26">
        <f ca="1">Population!$C23</f>
        <v>3709.0940640213216</v>
      </c>
      <c r="G23" s="26">
        <f ca="1">Military!EM23</f>
        <v>20900</v>
      </c>
      <c r="H23" s="26">
        <f ca="1">H22+S22 - AT23 + IF(AND(C22=1,ISNUMBER(MATCH(race,plat_db,0))),Population!C22*4)</f>
        <v>4544400</v>
      </c>
      <c r="I23" s="26">
        <f ca="1">I22+T22-AY23 +  IF(AND(C22=1,ISNUMBER(MATCH(race,food_db,0))),Population!C22*4)</f>
        <v>115219</v>
      </c>
      <c r="J23" s="26">
        <f t="shared" ca="1" si="17"/>
        <v>335879</v>
      </c>
      <c r="K23" s="26">
        <f ca="1">K22+V22 - AV23 + IF(AND(C22=1,ISNUMBER(MATCH(race,mana_db,0))),Population!C22*4)</f>
        <v>34128</v>
      </c>
      <c r="L23" s="26">
        <f ca="1">L22+W22 - AW23 + IF(AND(C22=1,ISNUMBER(MATCH(race,ore_db,0))),Population!C22*4)</f>
        <v>300000</v>
      </c>
      <c r="M23" s="26">
        <f t="shared" ca="1" si="14"/>
        <v>20000</v>
      </c>
      <c r="N23" s="26">
        <f t="shared" ca="1" si="18"/>
        <v>200</v>
      </c>
      <c r="O23" s="26">
        <f t="shared" si="19"/>
        <v>500</v>
      </c>
      <c r="P23" s="26">
        <f>ROUNDDOWN(P22+MAX(Construction!BO23/2,Construction!BO23*(1-Construction!BO23/(E23-Explore!S23*20)))-Q23*SUM(Techs!AY23:BY23),0)</f>
        <v>0</v>
      </c>
      <c r="Q23" s="166">
        <f>MAX(min_tech_cost,ROUNDDOWN(tech_cost_per_acre*Construction!E23,0))</f>
        <v>5000</v>
      </c>
      <c r="S23" s="152">
        <f t="shared" ca="1" si="21"/>
        <v>9720</v>
      </c>
      <c r="T23" s="164">
        <f t="shared" ca="1" si="22"/>
        <v>3637</v>
      </c>
      <c r="U23" s="164">
        <f t="shared" ca="1" si="23"/>
        <v>-859</v>
      </c>
      <c r="V23" s="164">
        <f t="shared" ca="1" si="24"/>
        <v>567</v>
      </c>
      <c r="W23" s="164">
        <f t="shared" ca="1" si="25"/>
        <v>0</v>
      </c>
      <c r="X23" s="164">
        <f t="shared" ca="1" si="26"/>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4">
        <f ca="1">race_food_bonus + IF(Magic!AO23&gt;0,gaias_blessing_food,IF(Magic!AG23&gt;0,gaias_watch_bonus)) + Imps!AD23+tech_production_food*Techs!W23 + O23/100*prestige_food_bonus</f>
        <v>0.1</v>
      </c>
      <c r="AJ23" s="267">
        <f ca="1">race_lumber_bonus+ IF(Magic!AO23&gt;0,gaias_blessing_lumber)+tech_fruits_of_labor1*Techs!AP23</f>
        <v>0</v>
      </c>
      <c r="AK23" s="267">
        <f ca="1">race_mana_bonus+tech_enchanted_lands_mana*Techs!AT23</f>
        <v>0</v>
      </c>
      <c r="AL23" s="267">
        <f ca="1">race_ore_bonus + IF(Magic!AL23&gt;0,miners_sight_bonus,IF(Magic!AH23&gt;0,mining_strength_bonus))+tech_fruits_of_labor1*Techs!AP23</f>
        <v>0</v>
      </c>
      <c r="AM23" s="193">
        <f ca="1">race_gem_bonus+MAX(tech_production_gems*Techs!X23,tech_fruits_of_labor_gems*Techs!AP23)</f>
        <v>0</v>
      </c>
      <c r="AO23" s="56">
        <f ca="1">I23*food_decay*IF(Magic!AZ23&gt;0,0.5,1)</f>
        <v>1152.19</v>
      </c>
      <c r="AP23" s="26">
        <f ca="1">(1+race_food_consumption)*Population!F23*food_per_person</f>
        <v>2251.0235160053303</v>
      </c>
      <c r="AQ23" s="26">
        <f t="shared" ca="1" si="6"/>
        <v>3358.79</v>
      </c>
      <c r="AR23" s="57">
        <f t="shared" ca="1" si="7"/>
        <v>682.56000000000006</v>
      </c>
      <c r="AS23" s="26"/>
      <c r="AT23" s="56">
        <f ca="1">Explore!AH23+Construction!AP23+Military!AU23+Rezone!Y23+Imps!AQ23-BE23</f>
        <v>0</v>
      </c>
      <c r="AU23" s="26">
        <f>Construction!AQ23+Imps!AR23-BF23</f>
        <v>0</v>
      </c>
      <c r="AV23" s="26">
        <f>Magic!AD23</f>
        <v>0</v>
      </c>
      <c r="AW23" s="26">
        <f ca="1">Military!AV23+Imps!AS23-BG23</f>
        <v>0</v>
      </c>
      <c r="AX23" s="26">
        <f>Imps!AT23-BH23</f>
        <v>0</v>
      </c>
      <c r="AY23" s="26">
        <f ca="1">Military!AZ23</f>
        <v>0</v>
      </c>
      <c r="AZ23" s="57">
        <f ca="1">Military!BA23</f>
        <v>0</v>
      </c>
      <c r="BB23" s="56" t="b">
        <f t="shared" si="27"/>
        <v>0</v>
      </c>
      <c r="BC23" s="332"/>
      <c r="BD23" s="974">
        <v>21</v>
      </c>
      <c r="BE23" s="332"/>
      <c r="BF23" s="370"/>
      <c r="BG23" s="370"/>
      <c r="BH23" s="740"/>
      <c r="BI23" s="1031">
        <f t="shared" si="8"/>
        <v>43768.208333333285</v>
      </c>
      <c r="BJ23" s="159" t="str">
        <f t="shared" si="20"/>
        <v/>
      </c>
      <c r="BK23" s="26">
        <f t="shared" ca="1" si="16"/>
        <v>4544400</v>
      </c>
      <c r="BL23" s="26">
        <f t="shared" ca="1" si="9"/>
        <v>115219</v>
      </c>
      <c r="BM23" s="26">
        <f t="shared" ca="1" si="10"/>
        <v>335879</v>
      </c>
      <c r="BN23" s="26">
        <f t="shared" ca="1" si="11"/>
        <v>34128</v>
      </c>
      <c r="BO23" s="57">
        <f t="shared" ca="1" si="12"/>
        <v>300000</v>
      </c>
    </row>
    <row r="24" spans="1:67" s="16" customFormat="1" x14ac:dyDescent="0.25">
      <c r="A24" s="982">
        <v>22</v>
      </c>
      <c r="B24" s="812">
        <f>Imps!L24</f>
        <v>43768.218749999949</v>
      </c>
      <c r="C24" s="332"/>
      <c r="D24" s="830"/>
      <c r="E24" s="56">
        <f>Construction!E24</f>
        <v>1000</v>
      </c>
      <c r="F24" s="26">
        <f ca="1">Population!$C24</f>
        <v>3523.6393608202557</v>
      </c>
      <c r="G24" s="26">
        <f ca="1">Military!EM24</f>
        <v>20900</v>
      </c>
      <c r="H24" s="26">
        <f ca="1">H23+S23 - AT24 + IF(AND(C23=1,ISNUMBER(MATCH(race,plat_db,0))),Population!C23*4)</f>
        <v>4554120</v>
      </c>
      <c r="I24" s="26">
        <f ca="1">I23+T23-AY24 +  IF(AND(C23=1,ISNUMBER(MATCH(race,food_db,0))),Population!C23*4)</f>
        <v>118856</v>
      </c>
      <c r="J24" s="26">
        <f t="shared" ca="1" si="17"/>
        <v>335020</v>
      </c>
      <c r="K24" s="26">
        <f ca="1">K23+V23 - AV24 + IF(AND(C23=1,ISNUMBER(MATCH(race,mana_db,0))),Population!C23*4)</f>
        <v>34695</v>
      </c>
      <c r="L24" s="26">
        <f ca="1">L23+W23 - AW24 + IF(AND(C23=1,ISNUMBER(MATCH(race,ore_db,0))),Population!C23*4)</f>
        <v>300000</v>
      </c>
      <c r="M24" s="26">
        <f t="shared" ca="1" si="14"/>
        <v>20000</v>
      </c>
      <c r="N24" s="26">
        <f t="shared" ca="1" si="18"/>
        <v>200</v>
      </c>
      <c r="O24" s="26">
        <f t="shared" si="19"/>
        <v>500</v>
      </c>
      <c r="P24" s="26">
        <f>ROUNDDOWN(P23+MAX(Construction!BO24/2,Construction!BO24*(1-Construction!BO24/(E24-Explore!S24*20)))-Q24*SUM(Techs!AY24:BY24),0)</f>
        <v>0</v>
      </c>
      <c r="Q24" s="166">
        <f>MAX(min_tech_cost,ROUNDDOWN(tech_cost_per_acre*Construction!E24,0))</f>
        <v>5000</v>
      </c>
      <c r="S24" s="152">
        <f t="shared" ca="1" si="21"/>
        <v>9513</v>
      </c>
      <c r="T24" s="164">
        <f t="shared" ca="1" si="22"/>
        <v>3647</v>
      </c>
      <c r="U24" s="164">
        <f t="shared" ca="1" si="23"/>
        <v>-850</v>
      </c>
      <c r="V24" s="164">
        <f t="shared" ca="1" si="24"/>
        <v>556</v>
      </c>
      <c r="W24" s="164">
        <f t="shared" ca="1" si="25"/>
        <v>0</v>
      </c>
      <c r="X24" s="164">
        <f t="shared" ca="1" si="26"/>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4">
        <f ca="1">race_food_bonus + IF(Magic!AO24&gt;0,gaias_blessing_food,IF(Magic!AG24&gt;0,gaias_watch_bonus)) + Imps!AD24+tech_production_food*Techs!W24 + O24/100*prestige_food_bonus</f>
        <v>0.1</v>
      </c>
      <c r="AJ24" s="267">
        <f ca="1">race_lumber_bonus+ IF(Magic!AO24&gt;0,gaias_blessing_lumber)+tech_fruits_of_labor1*Techs!AP24</f>
        <v>0</v>
      </c>
      <c r="AK24" s="267">
        <f ca="1">race_mana_bonus+tech_enchanted_lands_mana*Techs!AT24</f>
        <v>0</v>
      </c>
      <c r="AL24" s="267">
        <f ca="1">race_ore_bonus + IF(Magic!AL24&gt;0,miners_sight_bonus,IF(Magic!AH24&gt;0,mining_strength_bonus))+tech_fruits_of_labor1*Techs!AP24</f>
        <v>0</v>
      </c>
      <c r="AM24" s="193">
        <f ca="1">race_gem_bonus+MAX(tech_production_gems*Techs!X24,tech_fruits_of_labor_gems*Techs!AP24)</f>
        <v>0</v>
      </c>
      <c r="AO24" s="56">
        <f ca="1">I24*food_decay*IF(Magic!AZ24&gt;0,0.5,1)</f>
        <v>1188.56</v>
      </c>
      <c r="AP24" s="26">
        <f ca="1">(1+race_food_consumption)*Population!F24*food_per_person</f>
        <v>2204.659840205064</v>
      </c>
      <c r="AQ24" s="26">
        <f t="shared" ca="1" si="6"/>
        <v>3350.2000000000003</v>
      </c>
      <c r="AR24" s="57">
        <f t="shared" ca="1" si="7"/>
        <v>693.9</v>
      </c>
      <c r="AS24" s="26"/>
      <c r="AT24" s="56">
        <f ca="1">Explore!AH24+Construction!AP24+Military!AU24+Rezone!Y24+Imps!AQ24-BE24</f>
        <v>0</v>
      </c>
      <c r="AU24" s="26">
        <f>Construction!AQ24+Imps!AR24-BF24</f>
        <v>0</v>
      </c>
      <c r="AV24" s="26">
        <f>Magic!AD24</f>
        <v>0</v>
      </c>
      <c r="AW24" s="26">
        <f ca="1">Military!AV24+Imps!AS24-BG24</f>
        <v>0</v>
      </c>
      <c r="AX24" s="26">
        <f>Imps!AT24-BH24</f>
        <v>0</v>
      </c>
      <c r="AY24" s="26">
        <f ca="1">Military!AZ24</f>
        <v>0</v>
      </c>
      <c r="AZ24" s="57">
        <f ca="1">Military!BA24</f>
        <v>0</v>
      </c>
      <c r="BB24" s="56" t="b">
        <f t="shared" si="27"/>
        <v>0</v>
      </c>
      <c r="BC24" s="332"/>
      <c r="BD24" s="974">
        <v>22</v>
      </c>
      <c r="BE24" s="332"/>
      <c r="BF24" s="370"/>
      <c r="BG24" s="370"/>
      <c r="BH24" s="740"/>
      <c r="BI24" s="1031">
        <f t="shared" si="8"/>
        <v>43768.218749999949</v>
      </c>
      <c r="BJ24" s="159" t="str">
        <f t="shared" si="20"/>
        <v/>
      </c>
      <c r="BK24" s="26">
        <f t="shared" ca="1" si="16"/>
        <v>4554120</v>
      </c>
      <c r="BL24" s="26">
        <f t="shared" ca="1" si="9"/>
        <v>118856</v>
      </c>
      <c r="BM24" s="26">
        <f t="shared" ca="1" si="10"/>
        <v>335020</v>
      </c>
      <c r="BN24" s="26">
        <f t="shared" ca="1" si="11"/>
        <v>34695</v>
      </c>
      <c r="BO24" s="57">
        <f t="shared" ca="1" si="12"/>
        <v>300000</v>
      </c>
    </row>
    <row r="25" spans="1:67" s="16" customFormat="1" x14ac:dyDescent="0.25">
      <c r="A25" s="982">
        <v>23</v>
      </c>
      <c r="B25" s="812">
        <f>Imps!L25</f>
        <v>43768.229166666613</v>
      </c>
      <c r="C25" s="332"/>
      <c r="D25" s="830"/>
      <c r="E25" s="56">
        <f>Construction!E25</f>
        <v>1000</v>
      </c>
      <c r="F25" s="26">
        <f ca="1">Population!$C25</f>
        <v>3347.457392779243</v>
      </c>
      <c r="G25" s="26">
        <f ca="1">Military!EM25</f>
        <v>20900</v>
      </c>
      <c r="H25" s="26">
        <f ca="1">H24+S24 - AT25 + IF(AND(C24=1,ISNUMBER(MATCH(race,plat_db,0))),Population!C24*4)</f>
        <v>4563633</v>
      </c>
      <c r="I25" s="26">
        <f ca="1">I24+T24-AY25 +  IF(AND(C24=1,ISNUMBER(MATCH(race,food_db,0))),Population!C24*4)</f>
        <v>122503</v>
      </c>
      <c r="J25" s="26">
        <f t="shared" ca="1" si="17"/>
        <v>334170</v>
      </c>
      <c r="K25" s="26">
        <f ca="1">K24+V24 - AV25 + IF(AND(C24=1,ISNUMBER(MATCH(race,mana_db,0))),Population!C24*4)</f>
        <v>35251</v>
      </c>
      <c r="L25" s="26">
        <f ca="1">L24+W24 - AW25 + IF(AND(C24=1,ISNUMBER(MATCH(race,ore_db,0))),Population!C24*4)</f>
        <v>300000</v>
      </c>
      <c r="M25" s="26">
        <f t="shared" ca="1" si="14"/>
        <v>20000</v>
      </c>
      <c r="N25" s="26">
        <f t="shared" ca="1" si="18"/>
        <v>200</v>
      </c>
      <c r="O25" s="26">
        <f t="shared" si="19"/>
        <v>500</v>
      </c>
      <c r="P25" s="26">
        <f>ROUNDDOWN(P24+MAX(Construction!BO25/2,Construction!BO25*(1-Construction!BO25/(E25-Explore!S25*20)))-Q25*SUM(Techs!AY25:BY25),0)</f>
        <v>0</v>
      </c>
      <c r="Q25" s="166">
        <f>MAX(min_tech_cost,ROUNDDOWN(tech_cost_per_acre*Construction!E25,0))</f>
        <v>5000</v>
      </c>
      <c r="S25" s="152">
        <f t="shared" ca="1" si="21"/>
        <v>9038</v>
      </c>
      <c r="T25" s="164">
        <f t="shared" ca="1" si="22"/>
        <v>3654</v>
      </c>
      <c r="U25" s="164">
        <f t="shared" ca="1" si="23"/>
        <v>-842</v>
      </c>
      <c r="V25" s="164">
        <f t="shared" ca="1" si="24"/>
        <v>545</v>
      </c>
      <c r="W25" s="164">
        <f t="shared" ca="1" si="25"/>
        <v>0</v>
      </c>
      <c r="X25" s="164">
        <f t="shared" ca="1" si="26"/>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4">
        <f ca="1">race_food_bonus + IF(Magic!AO25&gt;0,gaias_blessing_food,IF(Magic!AG25&gt;0,gaias_watch_bonus)) + Imps!AD25+tech_production_food*Techs!W25 + O25/100*prestige_food_bonus</f>
        <v>0.1</v>
      </c>
      <c r="AJ25" s="267">
        <f ca="1">race_lumber_bonus+ IF(Magic!AO25&gt;0,gaias_blessing_lumber)+tech_fruits_of_labor1*Techs!AP25</f>
        <v>0</v>
      </c>
      <c r="AK25" s="267">
        <f ca="1">race_mana_bonus+tech_enchanted_lands_mana*Techs!AT25</f>
        <v>0</v>
      </c>
      <c r="AL25" s="267">
        <f ca="1">race_ore_bonus + IF(Magic!AL25&gt;0,miners_sight_bonus,IF(Magic!AH25&gt;0,mining_strength_bonus))+tech_fruits_of_labor1*Techs!AP25</f>
        <v>0</v>
      </c>
      <c r="AM25" s="193">
        <f ca="1">race_gem_bonus+MAX(tech_production_gems*Techs!X25,tech_fruits_of_labor_gems*Techs!AP25)</f>
        <v>0</v>
      </c>
      <c r="AO25" s="56">
        <f ca="1">I25*food_decay*IF(Magic!AZ25&gt;0,0.5,1)</f>
        <v>1225.03</v>
      </c>
      <c r="AP25" s="26">
        <f ca="1">(1+race_food_consumption)*Population!F25*food_per_person</f>
        <v>2160.6143481948106</v>
      </c>
      <c r="AQ25" s="26">
        <f t="shared" ca="1" si="6"/>
        <v>3341.7000000000003</v>
      </c>
      <c r="AR25" s="57">
        <f t="shared" ca="1" si="7"/>
        <v>705.02</v>
      </c>
      <c r="AS25" s="26"/>
      <c r="AT25" s="56">
        <f ca="1">Explore!AH25+Construction!AP25+Military!AU25+Rezone!Y25+Imps!AQ25-BE25</f>
        <v>0</v>
      </c>
      <c r="AU25" s="26">
        <f>Construction!AQ25+Imps!AR25-BF25</f>
        <v>0</v>
      </c>
      <c r="AV25" s="26">
        <f>Magic!AD25</f>
        <v>0</v>
      </c>
      <c r="AW25" s="26">
        <f ca="1">Military!AV25+Imps!AS25-BG25</f>
        <v>0</v>
      </c>
      <c r="AX25" s="26">
        <f>Imps!AT25-BH25</f>
        <v>0</v>
      </c>
      <c r="AY25" s="26">
        <f ca="1">Military!AZ25</f>
        <v>0</v>
      </c>
      <c r="AZ25" s="57">
        <f ca="1">Military!BA25</f>
        <v>0</v>
      </c>
      <c r="BB25" s="56" t="b">
        <f t="shared" si="27"/>
        <v>0</v>
      </c>
      <c r="BC25" s="332"/>
      <c r="BD25" s="974">
        <v>23</v>
      </c>
      <c r="BE25" s="332"/>
      <c r="BF25" s="370"/>
      <c r="BG25" s="370"/>
      <c r="BH25" s="740"/>
      <c r="BI25" s="1031">
        <f t="shared" si="8"/>
        <v>43768.229166666613</v>
      </c>
      <c r="BJ25" s="159" t="str">
        <f t="shared" si="20"/>
        <v/>
      </c>
      <c r="BK25" s="26">
        <f t="shared" ca="1" si="16"/>
        <v>4563633</v>
      </c>
      <c r="BL25" s="26">
        <f t="shared" ca="1" si="9"/>
        <v>122503</v>
      </c>
      <c r="BM25" s="26">
        <f t="shared" ca="1" si="10"/>
        <v>334170</v>
      </c>
      <c r="BN25" s="26">
        <f t="shared" ca="1" si="11"/>
        <v>35251</v>
      </c>
      <c r="BO25" s="57">
        <f t="shared" ca="1" si="12"/>
        <v>300000</v>
      </c>
    </row>
    <row r="26" spans="1:67" s="170" customFormat="1" x14ac:dyDescent="0.25">
      <c r="A26" s="981">
        <v>24</v>
      </c>
      <c r="B26" s="530">
        <f>Imps!L26</f>
        <v>43768.239583333278</v>
      </c>
      <c r="C26" s="329"/>
      <c r="D26" s="829"/>
      <c r="E26" s="152">
        <f>Construction!E26</f>
        <v>1000</v>
      </c>
      <c r="F26" s="164">
        <f ca="1">Population!$C26</f>
        <v>3180.0845231402809</v>
      </c>
      <c r="G26" s="164">
        <f ca="1">Military!EM26</f>
        <v>20900</v>
      </c>
      <c r="H26" s="164">
        <f ca="1">H25+S25 - AT26 + IF(AND(C25=1,ISNUMBER(MATCH(race,plat_db,0))),Population!C25*4)</f>
        <v>4572671</v>
      </c>
      <c r="I26" s="164">
        <f ca="1">I25+T25-AY26 +  IF(AND(C25=1,ISNUMBER(MATCH(race,food_db,0))),Population!C25*4)</f>
        <v>126157</v>
      </c>
      <c r="J26" s="164">
        <f t="shared" ca="1" si="17"/>
        <v>333328</v>
      </c>
      <c r="K26" s="164">
        <f ca="1">K25+V25 - AV26 + IF(AND(C25=1,ISNUMBER(MATCH(race,mana_db,0))),Population!C25*4)</f>
        <v>35796</v>
      </c>
      <c r="L26" s="164">
        <f ca="1">L25+W25 - AW26 + IF(AND(C25=1,ISNUMBER(MATCH(race,ore_db,0))),Population!C25*4)</f>
        <v>300000</v>
      </c>
      <c r="M26" s="164">
        <f t="shared" ca="1" si="14"/>
        <v>20000</v>
      </c>
      <c r="N26" s="164">
        <f t="shared" ca="1" si="18"/>
        <v>200</v>
      </c>
      <c r="O26" s="164">
        <f t="shared" si="19"/>
        <v>500</v>
      </c>
      <c r="P26" s="164">
        <f>ROUNDDOWN(P25+MAX(Construction!BO26/2,Construction!BO26*(1-Construction!BO26/(E26-Explore!S26*20)))-Q26*SUM(Techs!AY26:BY26),0)</f>
        <v>0</v>
      </c>
      <c r="Q26" s="166">
        <f>MAX(min_tech_cost,ROUNDDOWN(tech_cost_per_acre*Construction!E26,0))</f>
        <v>5000</v>
      </c>
      <c r="S26" s="152">
        <f t="shared" ca="1" si="21"/>
        <v>8586</v>
      </c>
      <c r="T26" s="164">
        <f t="shared" ca="1" si="22"/>
        <v>3660</v>
      </c>
      <c r="U26" s="164">
        <f t="shared" ca="1" si="23"/>
        <v>-833</v>
      </c>
      <c r="V26" s="164">
        <f t="shared" ca="1" si="24"/>
        <v>534</v>
      </c>
      <c r="W26" s="164">
        <f t="shared" ca="1" si="25"/>
        <v>0</v>
      </c>
      <c r="X26" s="164">
        <f t="shared" ca="1" si="26"/>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4">
        <f ca="1">race_food_bonus + IF(Magic!AO26&gt;0,gaias_blessing_food,IF(Magic!AG26&gt;0,gaias_watch_bonus)) + Imps!AD26+tech_production_food*Techs!W26 + O26/100*prestige_food_bonus</f>
        <v>0.1</v>
      </c>
      <c r="AJ26" s="267">
        <f ca="1">race_lumber_bonus+ IF(Magic!AO26&gt;0,gaias_blessing_lumber)+tech_fruits_of_labor1*Techs!AP26</f>
        <v>0</v>
      </c>
      <c r="AK26" s="267">
        <f ca="1">race_mana_bonus+tech_enchanted_lands_mana*Techs!AT26</f>
        <v>0</v>
      </c>
      <c r="AL26" s="267">
        <f ca="1">race_ore_bonus + IF(Magic!AL26&gt;0,miners_sight_bonus,IF(Magic!AH26&gt;0,mining_strength_bonus))+tech_fruits_of_labor1*Techs!AP26</f>
        <v>0</v>
      </c>
      <c r="AM26" s="193">
        <f ca="1">race_gem_bonus+MAX(tech_production_gems*Techs!X26,tech_fruits_of_labor_gems*Techs!AP26)</f>
        <v>0</v>
      </c>
      <c r="AO26" s="152">
        <f ca="1">I26*food_decay*IF(Magic!AZ26&gt;0,0.5,1)</f>
        <v>1261.57</v>
      </c>
      <c r="AP26" s="26">
        <f ca="1">(1+race_food_consumption)*Population!F26*food_per_person</f>
        <v>2118.7711307850705</v>
      </c>
      <c r="AQ26" s="164">
        <f t="shared" ca="1" si="6"/>
        <v>3333.28</v>
      </c>
      <c r="AR26" s="166">
        <f t="shared" ca="1" si="7"/>
        <v>715.92</v>
      </c>
      <c r="AS26" s="164"/>
      <c r="AT26" s="152">
        <f ca="1">Explore!AH26+Construction!AP26+Military!AU26+Rezone!Y26+Imps!AQ26-BE26</f>
        <v>0</v>
      </c>
      <c r="AU26" s="164">
        <f>Construction!AQ26+Imps!AR26-BF26</f>
        <v>0</v>
      </c>
      <c r="AV26" s="164">
        <f>Magic!AD26</f>
        <v>0</v>
      </c>
      <c r="AW26" s="164">
        <f ca="1">Military!AV26+Imps!AS26-BG26</f>
        <v>0</v>
      </c>
      <c r="AX26" s="164">
        <f>Imps!AT26-BH26</f>
        <v>0</v>
      </c>
      <c r="AY26" s="164">
        <f ca="1">Military!AZ26</f>
        <v>0</v>
      </c>
      <c r="AZ26" s="166">
        <f ca="1">Military!BA26</f>
        <v>0</v>
      </c>
      <c r="BB26" s="152" t="b">
        <f t="shared" si="27"/>
        <v>0</v>
      </c>
      <c r="BC26" s="329"/>
      <c r="BD26" s="973">
        <v>24</v>
      </c>
      <c r="BE26" s="329"/>
      <c r="BF26" s="407"/>
      <c r="BG26" s="407"/>
      <c r="BH26" s="739"/>
      <c r="BI26" s="1031">
        <f t="shared" si="8"/>
        <v>43768.239583333278</v>
      </c>
      <c r="BJ26" s="159" t="str">
        <f t="shared" si="20"/>
        <v/>
      </c>
      <c r="BK26" s="164">
        <f t="shared" ca="1" si="16"/>
        <v>4572671</v>
      </c>
      <c r="BL26" s="164">
        <f t="shared" ca="1" si="9"/>
        <v>126157</v>
      </c>
      <c r="BM26" s="164">
        <f t="shared" ca="1" si="10"/>
        <v>333328</v>
      </c>
      <c r="BN26" s="164">
        <f t="shared" ca="1" si="11"/>
        <v>35796</v>
      </c>
      <c r="BO26" s="166">
        <f t="shared" ca="1" si="12"/>
        <v>300000</v>
      </c>
    </row>
    <row r="27" spans="1:67" s="16" customFormat="1" x14ac:dyDescent="0.25">
      <c r="A27" s="982">
        <v>25</v>
      </c>
      <c r="B27" s="812">
        <f>Imps!L27</f>
        <v>43768.249999999942</v>
      </c>
      <c r="C27" s="332"/>
      <c r="D27" s="830"/>
      <c r="E27" s="56">
        <f>Construction!E27</f>
        <v>1000</v>
      </c>
      <c r="F27" s="26">
        <f ca="1">Population!$C27</f>
        <v>3021.0802969832666</v>
      </c>
      <c r="G27" s="26">
        <f ca="1">Military!EM27</f>
        <v>20900</v>
      </c>
      <c r="H27" s="26">
        <f ca="1">H26+S26 - AT27 + IF(AND(C26=1,ISNUMBER(MATCH(race,plat_db,0))),Population!C26*4)</f>
        <v>4581257</v>
      </c>
      <c r="I27" s="26">
        <f ca="1">I26+T26-AY27 +  IF(AND(C26=1,ISNUMBER(MATCH(race,food_db,0))),Population!C26*4)</f>
        <v>129817</v>
      </c>
      <c r="J27" s="26">
        <f t="shared" ca="1" si="17"/>
        <v>332495</v>
      </c>
      <c r="K27" s="26">
        <f ca="1">K26+V26 - AV27 + IF(AND(C26=1,ISNUMBER(MATCH(race,mana_db,0))),Population!C26*4)</f>
        <v>36330</v>
      </c>
      <c r="L27" s="26">
        <f ca="1">L26+W26 - AW27 + IF(AND(C26=1,ISNUMBER(MATCH(race,ore_db,0))),Population!C26*4)</f>
        <v>300000</v>
      </c>
      <c r="M27" s="26">
        <f t="shared" ca="1" si="14"/>
        <v>20000</v>
      </c>
      <c r="N27" s="26">
        <f t="shared" ca="1" si="18"/>
        <v>200</v>
      </c>
      <c r="O27" s="26">
        <f t="shared" si="19"/>
        <v>500</v>
      </c>
      <c r="P27" s="26">
        <f>ROUNDDOWN(P26+MAX(Construction!BO27/2,Construction!BO27*(1-Construction!BO27/(E27-Explore!S27*20)))-Q27*SUM(Techs!AY27:BY27),0)</f>
        <v>0</v>
      </c>
      <c r="Q27" s="166">
        <f>MAX(min_tech_cost,ROUNDDOWN(tech_cost_per_acre*Construction!E27,0))</f>
        <v>5000</v>
      </c>
      <c r="S27" s="152">
        <f t="shared" ca="1" si="21"/>
        <v>8156</v>
      </c>
      <c r="T27" s="164">
        <f t="shared" ca="1" si="22"/>
        <v>3663</v>
      </c>
      <c r="U27" s="164">
        <f t="shared" ca="1" si="23"/>
        <v>-825</v>
      </c>
      <c r="V27" s="164">
        <f t="shared" ca="1" si="24"/>
        <v>523</v>
      </c>
      <c r="W27" s="164">
        <f t="shared" ca="1" si="25"/>
        <v>0</v>
      </c>
      <c r="X27" s="164">
        <f t="shared" ca="1" si="26"/>
        <v>0</v>
      </c>
      <c r="Y27" s="265">
        <f>Construction!BP28*dock_boats_hr</f>
        <v>0</v>
      </c>
      <c r="Z27" s="164"/>
      <c r="AA27" s="152">
        <f ca="1">Population!C27*tax*Population!I27 + (Construction!AY28+Construction!BW28)*(alch_plat+(Magic!AR27&gt;0)*alchemist_flame_bonus)</f>
        <v>8156.9168018548207</v>
      </c>
      <c r="AB27" s="164">
        <f>Construction!$AZ27*farm_food + Construction!$BP27*dock_food+IF(race="Growth",ROUNDDOWN(Military!G27*8,0),0)</f>
        <v>6400</v>
      </c>
      <c r="AC27" s="164">
        <f>Construction!$BC27*ly_lumber+IF(race="Ants",ROUNDDOWN(Military!F27/2,0),0)</f>
        <v>2500</v>
      </c>
      <c r="AD27" s="26">
        <f>Construction!$BK28*tower_mana+IF(race="Templars",ROUNDDOWN(Military!F27*0.02,0),0)+IF(race="Black Orc",Military!G27*5,0)+IF(race="Growth",ROUNDDOWN(Military!G27*0.1,0),0)+IF(race="Void",ROUNDDOWN(Military!F27*1.5,0),0)+IF(race="Void",ROUNDDOWN(Military!G27*4,0),0)</f>
        <v>1250</v>
      </c>
      <c r="AE27" s="164">
        <f>Construction!$BE28*om_ore+IF(race="Dwarf",ROUNDDOWN(Military!F27*2,0),0)</f>
        <v>0</v>
      </c>
      <c r="AF27" s="57">
        <f>Construction!$BN28*dm_gems+IF(race="Dwarf",ROUNDDOWN(Military!F27/2,0),0)</f>
        <v>0</v>
      </c>
      <c r="AH27" s="266">
        <f ca="1">MIN(race_platinum_bonus + IF(Magic!AJ27&gt;0,midas_bonus) + Imps!Y27 - BB27*0.02+MAX(tech_production_plat*Techs!Y27,tech_treasure_hunt_plat*Techs!AR27), 0.5)</f>
        <v>0</v>
      </c>
      <c r="AI27" s="454">
        <f ca="1">race_food_bonus + IF(Magic!AO27&gt;0,gaias_blessing_food,IF(Magic!AG27&gt;0,gaias_watch_bonus)) + Imps!AD27+tech_production_food*Techs!W27 + O27/100*prestige_food_bonus</f>
        <v>0.1</v>
      </c>
      <c r="AJ27" s="267">
        <f ca="1">race_lumber_bonus+ IF(Magic!AO27&gt;0,gaias_blessing_lumber)+tech_fruits_of_labor1*Techs!AP27</f>
        <v>0</v>
      </c>
      <c r="AK27" s="267">
        <f ca="1">race_mana_bonus+tech_enchanted_lands_mana*Techs!AT27</f>
        <v>0</v>
      </c>
      <c r="AL27" s="267">
        <f ca="1">race_ore_bonus + IF(Magic!AL27&gt;0,miners_sight_bonus,IF(Magic!AH27&gt;0,mining_strength_bonus))+tech_fruits_of_labor1*Techs!AP27</f>
        <v>0</v>
      </c>
      <c r="AM27" s="193">
        <f ca="1">race_gem_bonus+MAX(tech_production_gems*Techs!X27,tech_fruits_of_labor_gems*Techs!AP27)</f>
        <v>0</v>
      </c>
      <c r="AO27" s="56">
        <f ca="1">I27*food_decay*IF(Magic!AZ27&gt;0,0.5,1)</f>
        <v>1298.17</v>
      </c>
      <c r="AP27" s="26">
        <f ca="1">(1+race_food_consumption)*Population!F27*food_per_person</f>
        <v>2079.0200742458164</v>
      </c>
      <c r="AQ27" s="26">
        <f t="shared" ca="1" si="6"/>
        <v>3324.9500000000003</v>
      </c>
      <c r="AR27" s="57">
        <f t="shared" ca="1" si="7"/>
        <v>726.6</v>
      </c>
      <c r="AS27" s="26"/>
      <c r="AT27" s="56">
        <f ca="1">Explore!AH27+Construction!AP27+Military!AU27+Rezone!Y27+Imps!AQ27-BE27</f>
        <v>0</v>
      </c>
      <c r="AU27" s="26">
        <f>Construction!AQ27+Imps!AR27-BF27</f>
        <v>0</v>
      </c>
      <c r="AV27" s="26">
        <f>Magic!AD27</f>
        <v>0</v>
      </c>
      <c r="AW27" s="26">
        <f ca="1">Military!AV27+Imps!AS27-BG27</f>
        <v>0</v>
      </c>
      <c r="AX27" s="26">
        <f>Imps!AT27-BH27</f>
        <v>0</v>
      </c>
      <c r="AY27" s="26">
        <f ca="1">Military!AZ27</f>
        <v>0</v>
      </c>
      <c r="AZ27" s="57">
        <f ca="1">Military!BA27</f>
        <v>0</v>
      </c>
      <c r="BB27" s="56" t="b">
        <f t="shared" si="27"/>
        <v>0</v>
      </c>
      <c r="BC27" s="332"/>
      <c r="BD27" s="974">
        <v>25</v>
      </c>
      <c r="BE27" s="332"/>
      <c r="BF27" s="370"/>
      <c r="BG27" s="370"/>
      <c r="BH27" s="740"/>
      <c r="BI27" s="1031">
        <f t="shared" si="8"/>
        <v>43768.249999999942</v>
      </c>
      <c r="BJ27" s="159" t="str">
        <f t="shared" si="20"/>
        <v/>
      </c>
      <c r="BK27" s="26">
        <f t="shared" ca="1" si="16"/>
        <v>4581257</v>
      </c>
      <c r="BL27" s="26">
        <f t="shared" ca="1" si="9"/>
        <v>129817</v>
      </c>
      <c r="BM27" s="26">
        <f t="shared" ca="1" si="10"/>
        <v>332495</v>
      </c>
      <c r="BN27" s="26">
        <f t="shared" ca="1" si="11"/>
        <v>36330</v>
      </c>
      <c r="BO27" s="57">
        <f t="shared" ca="1" si="12"/>
        <v>300000</v>
      </c>
    </row>
    <row r="28" spans="1:67" s="170" customFormat="1" x14ac:dyDescent="0.25">
      <c r="A28" s="981">
        <v>26</v>
      </c>
      <c r="B28" s="530">
        <f>Imps!L28</f>
        <v>43768.260416666606</v>
      </c>
      <c r="C28" s="329"/>
      <c r="D28" s="829"/>
      <c r="E28" s="152">
        <f>Construction!E28</f>
        <v>1000</v>
      </c>
      <c r="F28" s="164">
        <f ca="1">Population!$C28</f>
        <v>2870.0262821341034</v>
      </c>
      <c r="G28" s="164">
        <f ca="1">Military!EM28</f>
        <v>20900</v>
      </c>
      <c r="H28" s="164">
        <f ca="1">H27+S27 - AT28 + IF(AND(C27=1,ISNUMBER(MATCH(race,plat_db,0))),Population!C27*4)</f>
        <v>4589413</v>
      </c>
      <c r="I28" s="164">
        <f ca="1">I27+T27-AY28 +  IF(AND(C27=1,ISNUMBER(MATCH(race,food_db,0))),Population!C27*4)</f>
        <v>133480</v>
      </c>
      <c r="J28" s="164">
        <f t="shared" ca="1" si="17"/>
        <v>331670</v>
      </c>
      <c r="K28" s="164">
        <f ca="1">K27+V27 - AV28 + IF(AND(C27=1,ISNUMBER(MATCH(race,mana_db,0))),Population!C27*4)</f>
        <v>36853</v>
      </c>
      <c r="L28" s="164">
        <f ca="1">L27+W27 - AW28 + IF(AND(C27=1,ISNUMBER(MATCH(race,ore_db,0))),Population!C27*4)</f>
        <v>300000</v>
      </c>
      <c r="M28" s="164">
        <f t="shared" ca="1" si="14"/>
        <v>20000</v>
      </c>
      <c r="N28" s="164">
        <f t="shared" ca="1" si="18"/>
        <v>200</v>
      </c>
      <c r="O28" s="164">
        <f t="shared" si="19"/>
        <v>500</v>
      </c>
      <c r="P28" s="164">
        <f>ROUNDDOWN(P27+MAX(Construction!BO28/2,Construction!BO28*(1-Construction!BO28/(E28-Explore!S28*20)))-Q28*SUM(Techs!AY28:BY28),0)</f>
        <v>0</v>
      </c>
      <c r="Q28" s="166">
        <f>MAX(min_tech_cost,ROUNDDOWN(tech_cost_per_acre*Construction!E28,0))</f>
        <v>5000</v>
      </c>
      <c r="S28" s="152">
        <f t="shared" ca="1" si="21"/>
        <v>7749</v>
      </c>
      <c r="T28" s="164">
        <f t="shared" ca="1" si="22"/>
        <v>3664</v>
      </c>
      <c r="U28" s="164">
        <f t="shared" ca="1" si="23"/>
        <v>-817</v>
      </c>
      <c r="V28" s="164">
        <f t="shared" ca="1" si="24"/>
        <v>513</v>
      </c>
      <c r="W28" s="164">
        <f t="shared" ca="1" si="25"/>
        <v>0</v>
      </c>
      <c r="X28" s="164">
        <f t="shared" ca="1" si="26"/>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4">
        <f ca="1">race_food_bonus + IF(Magic!AO28&gt;0,gaias_blessing_food,IF(Magic!AG28&gt;0,gaias_watch_bonus)) + Imps!AD28+tech_production_food*Techs!W28 + O28/100*prestige_food_bonus</f>
        <v>0.1</v>
      </c>
      <c r="AJ28" s="267">
        <f ca="1">race_lumber_bonus+ IF(Magic!AO28&gt;0,gaias_blessing_lumber)+tech_fruits_of_labor1*Techs!AP28</f>
        <v>0</v>
      </c>
      <c r="AK28" s="267">
        <f ca="1">race_mana_bonus+tech_enchanted_lands_mana*Techs!AT28</f>
        <v>0</v>
      </c>
      <c r="AL28" s="267">
        <f ca="1">race_ore_bonus + IF(Magic!AL28&gt;0,miners_sight_bonus,IF(Magic!AH28&gt;0,mining_strength_bonus))+tech_fruits_of_labor1*Techs!AP28</f>
        <v>0</v>
      </c>
      <c r="AM28" s="193">
        <f ca="1">race_gem_bonus+MAX(tech_production_gems*Techs!X28,tech_fruits_of_labor_gems*Techs!AP28)</f>
        <v>0</v>
      </c>
      <c r="AO28" s="152">
        <f ca="1">I28*food_decay*IF(Magic!AZ28&gt;0,0.5,1)</f>
        <v>1334.8</v>
      </c>
      <c r="AP28" s="26">
        <f ca="1">(1+race_food_consumption)*Population!F28*food_per_person</f>
        <v>2041.256570533526</v>
      </c>
      <c r="AQ28" s="164">
        <f t="shared" ca="1" si="6"/>
        <v>3316.7000000000003</v>
      </c>
      <c r="AR28" s="166">
        <f t="shared" ca="1" si="7"/>
        <v>737.06000000000006</v>
      </c>
      <c r="AS28" s="164"/>
      <c r="AT28" s="152">
        <f ca="1">Explore!AH28+Construction!AP28+Military!AU28+Rezone!Y28+Imps!AQ28-BE28</f>
        <v>0</v>
      </c>
      <c r="AU28" s="164">
        <f>Construction!AQ28+Imps!AR28-BF28</f>
        <v>0</v>
      </c>
      <c r="AV28" s="164">
        <f>Magic!AD28</f>
        <v>0</v>
      </c>
      <c r="AW28" s="164">
        <f ca="1">Military!AV28+Imps!AS28-BG28</f>
        <v>0</v>
      </c>
      <c r="AX28" s="164">
        <f>Imps!AT28-BH28</f>
        <v>0</v>
      </c>
      <c r="AY28" s="164">
        <f ca="1">Military!AZ28</f>
        <v>0</v>
      </c>
      <c r="AZ28" s="166">
        <f ca="1">Military!BA28</f>
        <v>0</v>
      </c>
      <c r="BB28" s="152" t="b">
        <f t="shared" si="27"/>
        <v>0</v>
      </c>
      <c r="BC28" s="329"/>
      <c r="BD28" s="973">
        <v>26</v>
      </c>
      <c r="BE28" s="329"/>
      <c r="BF28" s="407"/>
      <c r="BG28" s="407"/>
      <c r="BH28" s="739"/>
      <c r="BI28" s="1031">
        <f t="shared" si="8"/>
        <v>43768.260416666606</v>
      </c>
      <c r="BJ28" s="159" t="str">
        <f t="shared" si="20"/>
        <v/>
      </c>
      <c r="BK28" s="164">
        <f t="shared" ca="1" si="16"/>
        <v>4589413</v>
      </c>
      <c r="BL28" s="164">
        <f t="shared" ca="1" si="9"/>
        <v>133480</v>
      </c>
      <c r="BM28" s="164">
        <f t="shared" ca="1" si="10"/>
        <v>331670</v>
      </c>
      <c r="BN28" s="164">
        <f t="shared" ca="1" si="11"/>
        <v>36853</v>
      </c>
      <c r="BO28" s="166">
        <f t="shared" ca="1" si="12"/>
        <v>300000</v>
      </c>
    </row>
    <row r="29" spans="1:67" s="170" customFormat="1" x14ac:dyDescent="0.25">
      <c r="A29" s="981">
        <v>27</v>
      </c>
      <c r="B29" s="812">
        <f>Imps!L29</f>
        <v>43768.27083333327</v>
      </c>
      <c r="C29" s="329"/>
      <c r="D29" s="829"/>
      <c r="E29" s="152">
        <f>Construction!E29</f>
        <v>1000</v>
      </c>
      <c r="F29" s="164">
        <f ca="1">Population!$C29</f>
        <v>2726.5249680273982</v>
      </c>
      <c r="G29" s="164">
        <f ca="1">Military!EM29</f>
        <v>20900</v>
      </c>
      <c r="H29" s="26">
        <f ca="1">H28+S28 - AT29 + IF(AND(C28=1,ISNUMBER(MATCH(race,plat_db,0))),Population!C28*4)</f>
        <v>4597162</v>
      </c>
      <c r="I29" s="164">
        <f ca="1">I28+T28-AY29 +  IF(AND(C28=1,ISNUMBER(MATCH(race,food_db,0))),Population!C28*4)</f>
        <v>137144</v>
      </c>
      <c r="J29" s="164">
        <f t="shared" ca="1" si="17"/>
        <v>330853</v>
      </c>
      <c r="K29" s="164">
        <f ca="1">K28+V28 - AV29 + IF(AND(C28=1,ISNUMBER(MATCH(race,mana_db,0))),Population!C28*4)</f>
        <v>37366</v>
      </c>
      <c r="L29" s="164">
        <f ca="1">L28+W28 - AW29 + IF(AND(C28=1,ISNUMBER(MATCH(race,ore_db,0))),Population!C28*4)</f>
        <v>300000</v>
      </c>
      <c r="M29" s="164">
        <f t="shared" ca="1" si="14"/>
        <v>20000</v>
      </c>
      <c r="N29" s="164">
        <f t="shared" ca="1" si="18"/>
        <v>200</v>
      </c>
      <c r="O29" s="164">
        <f t="shared" si="19"/>
        <v>500</v>
      </c>
      <c r="P29" s="164">
        <f>ROUNDDOWN(P28+MAX(Construction!BO29/2,Construction!BO29*(1-Construction!BO29/(E29-Explore!S29*20)))-Q29*SUM(Techs!AY29:BY29),0)</f>
        <v>0</v>
      </c>
      <c r="Q29" s="166">
        <f>MAX(min_tech_cost,ROUNDDOWN(tech_cost_per_acre*Construction!E29,0))</f>
        <v>5000</v>
      </c>
      <c r="S29" s="152">
        <f t="shared" ca="1" si="21"/>
        <v>7361</v>
      </c>
      <c r="T29" s="164">
        <f t="shared" ca="1" si="22"/>
        <v>3663</v>
      </c>
      <c r="U29" s="164">
        <f t="shared" ca="1" si="23"/>
        <v>-809</v>
      </c>
      <c r="V29" s="164">
        <f t="shared" ca="1" si="24"/>
        <v>503</v>
      </c>
      <c r="W29" s="164">
        <f t="shared" ca="1" si="25"/>
        <v>0</v>
      </c>
      <c r="X29" s="164">
        <f t="shared" ca="1" si="26"/>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4">
        <f ca="1">race_food_bonus + IF(Magic!AO29&gt;0,gaias_blessing_food,IF(Magic!AG29&gt;0,gaias_watch_bonus)) + Imps!AD29+tech_production_food*Techs!W29 + O29/100*prestige_food_bonus</f>
        <v>0.1</v>
      </c>
      <c r="AJ29" s="267">
        <f ca="1">race_lumber_bonus+ IF(Magic!AO29&gt;0,gaias_blessing_lumber)+tech_fruits_of_labor1*Techs!AP29</f>
        <v>0</v>
      </c>
      <c r="AK29" s="267">
        <f ca="1">race_mana_bonus+tech_enchanted_lands_mana*Techs!AT29</f>
        <v>0</v>
      </c>
      <c r="AL29" s="267">
        <f ca="1">race_ore_bonus + IF(Magic!AL29&gt;0,miners_sight_bonus,IF(Magic!AH29&gt;0,mining_strength_bonus))+tech_fruits_of_labor1*Techs!AP29</f>
        <v>0</v>
      </c>
      <c r="AM29" s="193">
        <f ca="1">race_gem_bonus+MAX(tech_production_gems*Techs!X29,tech_fruits_of_labor_gems*Techs!AP29)</f>
        <v>0</v>
      </c>
      <c r="AO29" s="152">
        <f ca="1">I29*food_decay*IF(Magic!AZ29&gt;0,0.5,1)</f>
        <v>1371.44</v>
      </c>
      <c r="AP29" s="26">
        <f ca="1">(1+race_food_consumption)*Population!F29*food_per_person</f>
        <v>2005.3812420068496</v>
      </c>
      <c r="AQ29" s="164">
        <f t="shared" ca="1" si="6"/>
        <v>3308.53</v>
      </c>
      <c r="AR29" s="166">
        <f t="shared" ca="1" si="7"/>
        <v>747.32</v>
      </c>
      <c r="AS29" s="164"/>
      <c r="AT29" s="152">
        <f ca="1">Explore!AH29+Construction!AP29+Military!AU29+Rezone!Y29+Imps!AQ29-BE29</f>
        <v>0</v>
      </c>
      <c r="AU29" s="164">
        <f>Construction!AQ29+Imps!AR29-BF29</f>
        <v>0</v>
      </c>
      <c r="AV29" s="164">
        <f>Magic!AD29</f>
        <v>0</v>
      </c>
      <c r="AW29" s="164">
        <f ca="1">Military!AV29+Imps!AS29-BG29</f>
        <v>0</v>
      </c>
      <c r="AX29" s="164">
        <f>Imps!AT29-BH29</f>
        <v>0</v>
      </c>
      <c r="AY29" s="164">
        <f ca="1">Military!AZ29</f>
        <v>0</v>
      </c>
      <c r="AZ29" s="166">
        <f ca="1">Military!BA29</f>
        <v>0</v>
      </c>
      <c r="BB29" s="152" t="b">
        <f t="shared" si="27"/>
        <v>0</v>
      </c>
      <c r="BC29" s="329"/>
      <c r="BD29" s="973">
        <v>27</v>
      </c>
      <c r="BE29" s="329"/>
      <c r="BF29" s="407"/>
      <c r="BG29" s="407"/>
      <c r="BH29" s="739"/>
      <c r="BI29" s="1031">
        <f t="shared" si="8"/>
        <v>43768.27083333327</v>
      </c>
      <c r="BJ29" s="159" t="str">
        <f t="shared" si="20"/>
        <v/>
      </c>
      <c r="BK29" s="26">
        <f t="shared" ca="1" si="16"/>
        <v>4597162</v>
      </c>
      <c r="BL29" s="164">
        <f t="shared" ca="1" si="9"/>
        <v>137144</v>
      </c>
      <c r="BM29" s="164">
        <f t="shared" ca="1" si="10"/>
        <v>330853</v>
      </c>
      <c r="BN29" s="164">
        <f t="shared" ca="1" si="11"/>
        <v>37366</v>
      </c>
      <c r="BO29" s="166">
        <f t="shared" ca="1" si="12"/>
        <v>300000</v>
      </c>
    </row>
    <row r="30" spans="1:67" s="16" customFormat="1" ht="13.8" thickBot="1" x14ac:dyDescent="0.3">
      <c r="A30" s="982">
        <v>28</v>
      </c>
      <c r="B30" s="812">
        <f>Imps!L30</f>
        <v>43768.281249999935</v>
      </c>
      <c r="C30" s="332"/>
      <c r="D30" s="830"/>
      <c r="E30" s="56">
        <f>Construction!E30</f>
        <v>1000</v>
      </c>
      <c r="F30" s="26">
        <f ca="1">Population!$C30</f>
        <v>2590.1987196260284</v>
      </c>
      <c r="G30" s="26">
        <f ca="1">Military!EM30</f>
        <v>20900</v>
      </c>
      <c r="H30" s="26">
        <f ca="1">H29+S29 - AT30 + IF(AND(C29=1,ISNUMBER(MATCH(race,plat_db,0))),Population!C29*4)</f>
        <v>4604523</v>
      </c>
      <c r="I30" s="26">
        <f ca="1">I29+T29-AY30 +  IF(AND(C29=1,ISNUMBER(MATCH(race,food_db,0))),Population!C29*4)</f>
        <v>140807</v>
      </c>
      <c r="J30" s="26">
        <f t="shared" ca="1" si="17"/>
        <v>330044</v>
      </c>
      <c r="K30" s="26">
        <f ca="1">K29+V29 - AV30 + IF(AND(C29=1,ISNUMBER(MATCH(race,mana_db,0))),Population!C29*4)</f>
        <v>37869</v>
      </c>
      <c r="L30" s="26">
        <f ca="1">L29+W29 - AW30 + IF(AND(C29=1,ISNUMBER(MATCH(race,ore_db,0))),Population!C29*4)</f>
        <v>300000</v>
      </c>
      <c r="M30" s="26">
        <f t="shared" ca="1" si="14"/>
        <v>20000</v>
      </c>
      <c r="N30" s="26">
        <f t="shared" ca="1" si="18"/>
        <v>200</v>
      </c>
      <c r="O30" s="26">
        <f t="shared" si="19"/>
        <v>500</v>
      </c>
      <c r="P30" s="26">
        <f>ROUNDDOWN(P29+MAX(Construction!BO30/2,Construction!BO30*(1-Construction!BO30/(E30-Explore!S30*20)))-Q30*SUM(Techs!AY30:BY30),0)</f>
        <v>0</v>
      </c>
      <c r="Q30" s="166">
        <f>MAX(min_tech_cost,ROUNDDOWN(tech_cost_per_acre*Construction!E30,0))</f>
        <v>5000</v>
      </c>
      <c r="S30" s="152">
        <f t="shared" ca="1" si="21"/>
        <v>6993</v>
      </c>
      <c r="T30" s="164">
        <f t="shared" ca="1" si="22"/>
        <v>3661</v>
      </c>
      <c r="U30" s="164">
        <f t="shared" ca="1" si="23"/>
        <v>-800</v>
      </c>
      <c r="V30" s="164">
        <f t="shared" ca="1" si="24"/>
        <v>493</v>
      </c>
      <c r="W30" s="164">
        <f t="shared" ca="1" si="25"/>
        <v>0</v>
      </c>
      <c r="X30" s="164">
        <f t="shared" ca="1" si="26"/>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4">
        <f ca="1">race_food_bonus + IF(Magic!AO30&gt;0,gaias_blessing_food,IF(Magic!AG30&gt;0,gaias_watch_bonus)) + Imps!AD30+tech_production_food*Techs!W30 + O30/100*prestige_food_bonus</f>
        <v>0.1</v>
      </c>
      <c r="AJ30" s="267">
        <f ca="1">race_lumber_bonus+ IF(Magic!AO30&gt;0,gaias_blessing_lumber)+tech_fruits_of_labor1*Techs!AP30</f>
        <v>0</v>
      </c>
      <c r="AK30" s="267">
        <f ca="1">race_mana_bonus+tech_enchanted_lands_mana*Techs!AT30</f>
        <v>0</v>
      </c>
      <c r="AL30" s="267">
        <f ca="1">race_ore_bonus + IF(Magic!AL30&gt;0,miners_sight_bonus,IF(Magic!AH30&gt;0,mining_strength_bonus))+tech_fruits_of_labor1*Techs!AP30</f>
        <v>0</v>
      </c>
      <c r="AM30" s="193">
        <f ca="1">race_gem_bonus+MAX(tech_production_gems*Techs!X30,tech_fruits_of_labor_gems*Techs!AP30)</f>
        <v>0</v>
      </c>
      <c r="AO30" s="56">
        <f ca="1">I30*food_decay*IF(Magic!AZ30&gt;0,0.5,1)</f>
        <v>1408.07</v>
      </c>
      <c r="AP30" s="26">
        <f ca="1">(1+race_food_consumption)*Population!F30*food_per_person</f>
        <v>1971.2996799065072</v>
      </c>
      <c r="AQ30" s="26">
        <f t="shared" ca="1" si="6"/>
        <v>3300.44</v>
      </c>
      <c r="AR30" s="57">
        <f t="shared" ca="1" si="7"/>
        <v>757.38</v>
      </c>
      <c r="AS30" s="26"/>
      <c r="AT30" s="56">
        <f ca="1">Explore!AH30+Construction!AP30+Military!AU30+Rezone!Y30+Imps!AQ30-BE30</f>
        <v>0</v>
      </c>
      <c r="AU30" s="26">
        <f>Construction!AQ30+Imps!AR30-BF30</f>
        <v>0</v>
      </c>
      <c r="AV30" s="26">
        <f>Magic!AD30</f>
        <v>0</v>
      </c>
      <c r="AW30" s="26">
        <f ca="1">Military!AV30+Imps!AS30-BG30</f>
        <v>0</v>
      </c>
      <c r="AX30" s="26">
        <f>Imps!AT30-BH30</f>
        <v>0</v>
      </c>
      <c r="AY30" s="26">
        <f ca="1">Military!AZ30</f>
        <v>0</v>
      </c>
      <c r="AZ30" s="57">
        <f ca="1">Military!BA30</f>
        <v>0</v>
      </c>
      <c r="BB30" s="56" t="b">
        <f t="shared" si="27"/>
        <v>0</v>
      </c>
      <c r="BC30" s="332"/>
      <c r="BD30" s="974">
        <v>28</v>
      </c>
      <c r="BE30" s="332"/>
      <c r="BF30" s="370"/>
      <c r="BG30" s="370"/>
      <c r="BH30" s="740"/>
      <c r="BI30" s="1031">
        <f t="shared" si="8"/>
        <v>43768.281249999935</v>
      </c>
      <c r="BJ30" s="159" t="str">
        <f t="shared" si="20"/>
        <v/>
      </c>
      <c r="BK30" s="26">
        <f t="shared" ca="1" si="16"/>
        <v>4604523</v>
      </c>
      <c r="BL30" s="26">
        <f t="shared" ca="1" si="9"/>
        <v>140807</v>
      </c>
      <c r="BM30" s="26">
        <f t="shared" ca="1" si="10"/>
        <v>330044</v>
      </c>
      <c r="BN30" s="26">
        <f t="shared" ca="1" si="11"/>
        <v>37869</v>
      </c>
      <c r="BO30" s="57">
        <f t="shared" ca="1" si="12"/>
        <v>300000</v>
      </c>
    </row>
    <row r="31" spans="1:67" s="1203" customFormat="1" ht="14.4" thickTop="1" thickBot="1" x14ac:dyDescent="0.3">
      <c r="A31" s="1190">
        <v>29</v>
      </c>
      <c r="B31" s="1204">
        <f>Imps!L31</f>
        <v>43768.291666666599</v>
      </c>
      <c r="C31" s="1205"/>
      <c r="D31" s="1205"/>
      <c r="E31" s="1192">
        <f>Construction!E31</f>
        <v>1000</v>
      </c>
      <c r="F31" s="1193">
        <f ca="1">Population!$C31</f>
        <v>2460.6887836447268</v>
      </c>
      <c r="G31" s="1193">
        <f ca="1">Military!EM31</f>
        <v>20900</v>
      </c>
      <c r="H31" s="1193">
        <f ca="1">H30+S30 - AT31 + IF(AND(C30=1,ISNUMBER(MATCH(race,plat_db,0))),Population!C30*4)</f>
        <v>4611516</v>
      </c>
      <c r="I31" s="1193">
        <f ca="1">I30+T30-AY31 +  IF(AND(C30=1,ISNUMBER(MATCH(race,food_db,0))),Population!C30*4)</f>
        <v>144468</v>
      </c>
      <c r="J31" s="1193">
        <f t="shared" ca="1" si="17"/>
        <v>329244</v>
      </c>
      <c r="K31" s="1193">
        <f ca="1">K30+V30 - AV31 + IF(AND(C30=1,ISNUMBER(MATCH(race,mana_db,0))),Population!C30*4)</f>
        <v>38362</v>
      </c>
      <c r="L31" s="1193">
        <f ca="1">L30+W30 - AW31 + IF(AND(C30=1,ISNUMBER(MATCH(race,ore_db,0))),Population!C30*4)</f>
        <v>300000</v>
      </c>
      <c r="M31" s="1193">
        <f t="shared" ca="1" si="14"/>
        <v>20000</v>
      </c>
      <c r="N31" s="1193">
        <f t="shared" ca="1" si="18"/>
        <v>200</v>
      </c>
      <c r="O31" s="1193">
        <f t="shared" si="19"/>
        <v>500</v>
      </c>
      <c r="P31" s="1193">
        <f>ROUNDDOWN(P30+MAX(Construction!BO31/2,Construction!BO31*(1-Construction!BO31/(E31-Explore!S31*20)))-Q31*SUM(Techs!AY31:BY31),0)</f>
        <v>0</v>
      </c>
      <c r="Q31" s="1198">
        <f>MAX(min_tech_cost,ROUNDDOWN(tech_cost_per_acre*Construction!E31,0))</f>
        <v>5000</v>
      </c>
      <c r="S31" s="1192">
        <f t="shared" ca="1" si="21"/>
        <v>6643</v>
      </c>
      <c r="T31" s="1193">
        <f t="shared" ca="1" si="22"/>
        <v>3656</v>
      </c>
      <c r="U31" s="1193">
        <f t="shared" ca="1" si="23"/>
        <v>-792</v>
      </c>
      <c r="V31" s="1193">
        <f t="shared" ca="1" si="24"/>
        <v>483</v>
      </c>
      <c r="W31" s="1193">
        <f t="shared" ca="1" si="25"/>
        <v>0</v>
      </c>
      <c r="X31" s="1193">
        <f t="shared" ca="1" si="26"/>
        <v>0</v>
      </c>
      <c r="Y31" s="1206">
        <f>Construction!BP32*dock_boats_hr</f>
        <v>0</v>
      </c>
      <c r="Z31" s="1193"/>
      <c r="AA31" s="1192">
        <f ca="1">Population!C31*tax*Population!I31 + (Construction!AY32+Construction!BW32)*(alch_plat+(Magic!AR31&gt;0)*alchemist_flame_bonus)</f>
        <v>6643.8597158407629</v>
      </c>
      <c r="AB31" s="1193">
        <f>Construction!$AZ31*farm_food + Construction!$BP31*dock_food+IF(race="Growth",ROUNDDOWN(Military!G31*8,0),0)</f>
        <v>6400</v>
      </c>
      <c r="AC31" s="1193">
        <f>Construction!$BC31*ly_lumber+IF(race="Ants",ROUNDDOWN(Military!F31/2,0),0)</f>
        <v>2500</v>
      </c>
      <c r="AD31" s="1193">
        <f>Construction!$BK32*tower_mana+IF(race="Templars",ROUNDDOWN(Military!F31*0.02,0),0)+IF(race="Black Orc",Military!G31*5,0)+IF(race="Growth",ROUNDDOWN(Military!G31*0.1,0),0)+IF(race="Void",ROUNDDOWN(Military!F31*1.5,0),0)+IF(race="Void",ROUNDDOWN(Military!G31*4,0),0)</f>
        <v>1250</v>
      </c>
      <c r="AE31" s="1193">
        <f>Construction!$BE32*om_ore+IF(race="Dwarf",ROUNDDOWN(Military!F31*2,0),0)</f>
        <v>0</v>
      </c>
      <c r="AF31" s="1198">
        <f>Construction!$BN32*dm_gems+IF(race="Dwarf",ROUNDDOWN(Military!F31/2,0),0)</f>
        <v>0</v>
      </c>
      <c r="AH31" s="1207">
        <f ca="1">MIN(race_platinum_bonus + IF(Magic!AJ31&gt;0,midas_bonus) + Imps!Y31 - BB31*0.02+MAX(tech_production_plat*Techs!Y31,tech_treasure_hunt_plat*Techs!AR31), 0.5)</f>
        <v>0</v>
      </c>
      <c r="AI31" s="1208">
        <f ca="1">race_food_bonus + IF(Magic!AO31&gt;0,gaias_blessing_food,IF(Magic!AG31&gt;0,gaias_watch_bonus)) + Imps!AD31+tech_production_food*Techs!W31 + O31/100*prestige_food_bonus</f>
        <v>0.1</v>
      </c>
      <c r="AJ31" s="1209">
        <f ca="1">race_lumber_bonus+ IF(Magic!AO31&gt;0,gaias_blessing_lumber)+tech_fruits_of_labor1*Techs!AP31</f>
        <v>0</v>
      </c>
      <c r="AK31" s="1209">
        <f ca="1">race_mana_bonus+tech_enchanted_lands_mana*Techs!AT31</f>
        <v>0</v>
      </c>
      <c r="AL31" s="1209">
        <f ca="1">race_ore_bonus + IF(Magic!AL31&gt;0,miners_sight_bonus,IF(Magic!AH31&gt;0,mining_strength_bonus))+tech_fruits_of_labor1*Techs!AP31</f>
        <v>0</v>
      </c>
      <c r="AM31" s="1210">
        <f ca="1">race_gem_bonus+MAX(tech_production_gems*Techs!X31,tech_fruits_of_labor_gems*Techs!AP31)</f>
        <v>0</v>
      </c>
      <c r="AO31" s="1192">
        <f ca="1">I31*food_decay*IF(Magic!AZ31&gt;0,0.5,1)</f>
        <v>1444.68</v>
      </c>
      <c r="AP31" s="1211">
        <f ca="1">(1+race_food_consumption)*Population!F31*food_per_person</f>
        <v>1938.9221959111817</v>
      </c>
      <c r="AQ31" s="1193">
        <f t="shared" ca="1" si="6"/>
        <v>3292.44</v>
      </c>
      <c r="AR31" s="1198">
        <f t="shared" ca="1" si="7"/>
        <v>767.24</v>
      </c>
      <c r="AS31" s="1193"/>
      <c r="AT31" s="1192">
        <f ca="1">Explore!AH31+Construction!AP31+Military!AU31+Rezone!Y31+Imps!AQ31-BE31</f>
        <v>0</v>
      </c>
      <c r="AU31" s="1193">
        <f>Construction!AQ31+Imps!AR31-BF31</f>
        <v>0</v>
      </c>
      <c r="AV31" s="1193">
        <f>Magic!AD31</f>
        <v>0</v>
      </c>
      <c r="AW31" s="1193">
        <f ca="1">Military!AV31+Imps!AS31-BG31</f>
        <v>0</v>
      </c>
      <c r="AX31" s="1193">
        <f>Imps!AT31-BH31</f>
        <v>0</v>
      </c>
      <c r="AY31" s="1193">
        <f ca="1">Military!AZ31</f>
        <v>0</v>
      </c>
      <c r="AZ31" s="1198">
        <f ca="1">Military!BA31</f>
        <v>0</v>
      </c>
      <c r="BB31" s="1192" t="b">
        <f t="shared" si="27"/>
        <v>0</v>
      </c>
      <c r="BC31" s="1205"/>
      <c r="BD31" s="1212">
        <v>29</v>
      </c>
      <c r="BE31" s="1205"/>
      <c r="BF31" s="1193"/>
      <c r="BG31" s="1193"/>
      <c r="BH31" s="1213"/>
      <c r="BI31" s="1214">
        <f t="shared" si="8"/>
        <v>43768.291666666599</v>
      </c>
      <c r="BJ31" s="1200" t="str">
        <f t="shared" si="20"/>
        <v/>
      </c>
      <c r="BK31" s="1193">
        <f t="shared" ca="1" si="16"/>
        <v>4611516</v>
      </c>
      <c r="BL31" s="1193">
        <f t="shared" ca="1" si="9"/>
        <v>144468</v>
      </c>
      <c r="BM31" s="1193">
        <f t="shared" ca="1" si="10"/>
        <v>329244</v>
      </c>
      <c r="BN31" s="1193">
        <f t="shared" ca="1" si="11"/>
        <v>38362</v>
      </c>
      <c r="BO31" s="1198">
        <f t="shared" ca="1" si="12"/>
        <v>300000</v>
      </c>
    </row>
    <row r="32" spans="1:67" s="16" customFormat="1" ht="13.8" thickTop="1" x14ac:dyDescent="0.25">
      <c r="A32" s="982">
        <v>30</v>
      </c>
      <c r="B32" s="812">
        <f>Imps!L32</f>
        <v>43768.302083333263</v>
      </c>
      <c r="C32" s="332"/>
      <c r="D32" s="830"/>
      <c r="E32" s="56">
        <f>Construction!E32</f>
        <v>1000</v>
      </c>
      <c r="F32" s="26">
        <f ca="1">Population!$C32</f>
        <v>2337.6543444624904</v>
      </c>
      <c r="G32" s="26">
        <f ca="1">Military!EM32</f>
        <v>20900</v>
      </c>
      <c r="H32" s="26">
        <f ca="1">H31+S31 - AT32 + IF(AND(C31=1,ISNUMBER(MATCH(race,plat_db,0))),Population!C31*4)</f>
        <v>4618159</v>
      </c>
      <c r="I32" s="26">
        <f ca="1">I31+T31-AY32 +  IF(AND(C31=1,ISNUMBER(MATCH(race,food_db,0))),Population!C31*4)</f>
        <v>148124</v>
      </c>
      <c r="J32" s="26">
        <f t="shared" ca="1" si="17"/>
        <v>328452</v>
      </c>
      <c r="K32" s="26">
        <f ca="1">K31+V31 - AV32 + IF(AND(C31=1,ISNUMBER(MATCH(race,mana_db,0))),Population!C31*4)</f>
        <v>38845</v>
      </c>
      <c r="L32" s="26">
        <f ca="1">L31+W31 - AW32 + IF(AND(C31=1,ISNUMBER(MATCH(race,ore_db,0))),Population!C31*4)</f>
        <v>300000</v>
      </c>
      <c r="M32" s="26">
        <f t="shared" ca="1" si="14"/>
        <v>20000</v>
      </c>
      <c r="N32" s="26">
        <f t="shared" ca="1" si="18"/>
        <v>200</v>
      </c>
      <c r="O32" s="26">
        <f t="shared" si="19"/>
        <v>500</v>
      </c>
      <c r="P32" s="26">
        <f>ROUNDDOWN(P31+MAX(Construction!BO32/2,Construction!BO32*(1-Construction!BO32/(E32-Explore!S32*20)))-Q32*SUM(Techs!AY32:BY32),0)</f>
        <v>0</v>
      </c>
      <c r="Q32" s="166">
        <f>MAX(min_tech_cost,ROUNDDOWN(tech_cost_per_acre*Construction!E32,0))</f>
        <v>5000</v>
      </c>
      <c r="S32" s="152">
        <f t="shared" ca="1" si="21"/>
        <v>6311</v>
      </c>
      <c r="T32" s="164">
        <f t="shared" ca="1" si="22"/>
        <v>3651</v>
      </c>
      <c r="U32" s="164">
        <f t="shared" ca="1" si="23"/>
        <v>-785</v>
      </c>
      <c r="V32" s="164">
        <f t="shared" ca="1" si="24"/>
        <v>473</v>
      </c>
      <c r="W32" s="164">
        <f t="shared" ca="1" si="25"/>
        <v>0</v>
      </c>
      <c r="X32" s="164">
        <f t="shared" ca="1" si="26"/>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4">
        <f ca="1">race_food_bonus + IF(Magic!AO32&gt;0,gaias_blessing_food,IF(Magic!AG32&gt;0,gaias_watch_bonus)) + Imps!AD32+tech_production_food*Techs!W32 + O32/100*prestige_food_bonus</f>
        <v>0.1</v>
      </c>
      <c r="AJ32" s="267">
        <f ca="1">race_lumber_bonus+ IF(Magic!AO32&gt;0,gaias_blessing_lumber)+tech_fruits_of_labor1*Techs!AP32</f>
        <v>0</v>
      </c>
      <c r="AK32" s="267">
        <f ca="1">race_mana_bonus+tech_enchanted_lands_mana*Techs!AT32</f>
        <v>0</v>
      </c>
      <c r="AL32" s="267">
        <f ca="1">race_ore_bonus + IF(Magic!AL32&gt;0,miners_sight_bonus,IF(Magic!AH32&gt;0,mining_strength_bonus))+tech_fruits_of_labor1*Techs!AP32</f>
        <v>0</v>
      </c>
      <c r="AM32" s="193">
        <f ca="1">race_gem_bonus+MAX(tech_production_gems*Techs!X32,tech_fruits_of_labor_gems*Techs!AP32)</f>
        <v>0</v>
      </c>
      <c r="AO32" s="56">
        <f ca="1">I32*food_decay*IF(Magic!AZ32&gt;0,0.5,1)</f>
        <v>1481.24</v>
      </c>
      <c r="AP32" s="26">
        <f ca="1">(1+race_food_consumption)*Population!F32*food_per_person</f>
        <v>1908.1635861156226</v>
      </c>
      <c r="AQ32" s="26">
        <f t="shared" ca="1" si="6"/>
        <v>3284.52</v>
      </c>
      <c r="AR32" s="57">
        <f t="shared" ca="1" si="7"/>
        <v>776.9</v>
      </c>
      <c r="AS32" s="26"/>
      <c r="AT32" s="56">
        <f ca="1">Explore!AH32+Construction!AP32+Military!AU32+Rezone!Y32+Imps!AQ32-BE32</f>
        <v>0</v>
      </c>
      <c r="AU32" s="26">
        <f>Construction!AQ32+Imps!AR32-BF32</f>
        <v>0</v>
      </c>
      <c r="AV32" s="26">
        <f>Magic!AD32</f>
        <v>0</v>
      </c>
      <c r="AW32" s="26">
        <f ca="1">Military!AV32+Imps!AS32-BG32</f>
        <v>0</v>
      </c>
      <c r="AX32" s="26">
        <f>Imps!AT32-BH32</f>
        <v>0</v>
      </c>
      <c r="AY32" s="26">
        <f ca="1">Military!AZ32</f>
        <v>0</v>
      </c>
      <c r="AZ32" s="57">
        <f ca="1">Military!BA32</f>
        <v>0</v>
      </c>
      <c r="BB32" s="56" t="b">
        <f t="shared" si="27"/>
        <v>0</v>
      </c>
      <c r="BC32" s="332"/>
      <c r="BD32" s="974">
        <v>30</v>
      </c>
      <c r="BE32" s="332"/>
      <c r="BF32" s="370"/>
      <c r="BG32" s="370"/>
      <c r="BH32" s="740"/>
      <c r="BI32" s="1031">
        <f t="shared" si="8"/>
        <v>43768.302083333263</v>
      </c>
      <c r="BJ32" s="159" t="str">
        <f t="shared" si="20"/>
        <v/>
      </c>
      <c r="BK32" s="26">
        <f t="shared" ca="1" si="16"/>
        <v>4618159</v>
      </c>
      <c r="BL32" s="26">
        <f t="shared" ca="1" si="9"/>
        <v>148124</v>
      </c>
      <c r="BM32" s="26">
        <f t="shared" ca="1" si="10"/>
        <v>328452</v>
      </c>
      <c r="BN32" s="26">
        <f t="shared" ca="1" si="11"/>
        <v>38845</v>
      </c>
      <c r="BO32" s="57">
        <f t="shared" ca="1" si="12"/>
        <v>300000</v>
      </c>
    </row>
    <row r="33" spans="1:67" s="16" customFormat="1" x14ac:dyDescent="0.25">
      <c r="A33" s="982">
        <v>31</v>
      </c>
      <c r="B33" s="812">
        <f>Imps!L33</f>
        <v>43768.312499999927</v>
      </c>
      <c r="C33" s="332"/>
      <c r="D33" s="830"/>
      <c r="E33" s="56">
        <f>Construction!E33</f>
        <v>1000</v>
      </c>
      <c r="F33" s="26">
        <f ca="1">Population!$C33</f>
        <v>2220.7716272393659</v>
      </c>
      <c r="G33" s="26">
        <f ca="1">Military!EM33</f>
        <v>20900</v>
      </c>
      <c r="H33" s="26">
        <f ca="1">H32+S32 - AT33 + IF(AND(C32=1,ISNUMBER(MATCH(race,plat_db,0))),Population!C32*4)</f>
        <v>4624470</v>
      </c>
      <c r="I33" s="26">
        <f ca="1">I32+T32-AY33 +  IF(AND(C32=1,ISNUMBER(MATCH(race,food_db,0))),Population!C32*4)</f>
        <v>151775</v>
      </c>
      <c r="J33" s="26">
        <f t="shared" ca="1" si="17"/>
        <v>327667</v>
      </c>
      <c r="K33" s="26">
        <f ca="1">K32+V32 - AV33 + IF(AND(C32=1,ISNUMBER(MATCH(race,mana_db,0))),Population!C32*4)</f>
        <v>39318</v>
      </c>
      <c r="L33" s="26">
        <f ca="1">L32+W32 - AW33 + IF(AND(C32=1,ISNUMBER(MATCH(race,ore_db,0))),Population!C32*4)</f>
        <v>300000</v>
      </c>
      <c r="M33" s="26">
        <f t="shared" ca="1" si="14"/>
        <v>20000</v>
      </c>
      <c r="N33" s="26">
        <f t="shared" ca="1" si="18"/>
        <v>200</v>
      </c>
      <c r="O33" s="26">
        <f t="shared" si="19"/>
        <v>500</v>
      </c>
      <c r="P33" s="26">
        <f>ROUNDDOWN(P32+MAX(Construction!BO33/2,Construction!BO33*(1-Construction!BO33/(E33-Explore!S33*20)))-Q33*SUM(Techs!AY33:BY33),0)</f>
        <v>0</v>
      </c>
      <c r="Q33" s="166">
        <f>MAX(min_tech_cost,ROUNDDOWN(tech_cost_per_acre*Construction!E33,0))</f>
        <v>5000</v>
      </c>
      <c r="S33" s="152">
        <f t="shared" ca="1" si="21"/>
        <v>5996</v>
      </c>
      <c r="T33" s="164">
        <f t="shared" ca="1" si="22"/>
        <v>3643</v>
      </c>
      <c r="U33" s="164">
        <f t="shared" ca="1" si="23"/>
        <v>-777</v>
      </c>
      <c r="V33" s="164">
        <f t="shared" ca="1" si="24"/>
        <v>464</v>
      </c>
      <c r="W33" s="164">
        <f t="shared" ca="1" si="25"/>
        <v>0</v>
      </c>
      <c r="X33" s="164">
        <f t="shared" ca="1" si="26"/>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4">
        <f ca="1">race_food_bonus + IF(Magic!AO33&gt;0,gaias_blessing_food,IF(Magic!AG33&gt;0,gaias_watch_bonus)) + Imps!AD33+tech_production_food*Techs!W33 + O33/100*prestige_food_bonus</f>
        <v>0.1</v>
      </c>
      <c r="AJ33" s="267">
        <f ca="1">race_lumber_bonus+ IF(Magic!AO33&gt;0,gaias_blessing_lumber)+tech_fruits_of_labor1*Techs!AP33</f>
        <v>0</v>
      </c>
      <c r="AK33" s="267">
        <f ca="1">race_mana_bonus+tech_enchanted_lands_mana*Techs!AT33</f>
        <v>0</v>
      </c>
      <c r="AL33" s="267">
        <f ca="1">race_ore_bonus + IF(Magic!AL33&gt;0,miners_sight_bonus,IF(Magic!AH33&gt;0,mining_strength_bonus))+tech_fruits_of_labor1*Techs!AP33</f>
        <v>0</v>
      </c>
      <c r="AM33" s="193">
        <f ca="1">race_gem_bonus+MAX(tech_production_gems*Techs!X33,tech_fruits_of_labor_gems*Techs!AP33)</f>
        <v>0</v>
      </c>
      <c r="AO33" s="56">
        <f ca="1">I33*food_decay*IF(Magic!AZ33&gt;0,0.5,1)</f>
        <v>1517.75</v>
      </c>
      <c r="AP33" s="26">
        <f ca="1">(1+race_food_consumption)*Population!F33*food_per_person</f>
        <v>1878.9429068098416</v>
      </c>
      <c r="AQ33" s="26">
        <f t="shared" ca="1" si="6"/>
        <v>3276.67</v>
      </c>
      <c r="AR33" s="57">
        <f t="shared" ca="1" si="7"/>
        <v>786.36</v>
      </c>
      <c r="AS33" s="26"/>
      <c r="AT33" s="56">
        <f ca="1">Explore!AH33+Construction!AP33+Military!AU33+Rezone!Y33+Imps!AQ33-BE33</f>
        <v>0</v>
      </c>
      <c r="AU33" s="26">
        <f>Construction!AQ33+Imps!AR33-BF33</f>
        <v>0</v>
      </c>
      <c r="AV33" s="26">
        <f>Magic!AD33</f>
        <v>0</v>
      </c>
      <c r="AW33" s="26">
        <f ca="1">Military!AV33+Imps!AS33-BG33</f>
        <v>0</v>
      </c>
      <c r="AX33" s="26">
        <f>Imps!AT33-BH33</f>
        <v>0</v>
      </c>
      <c r="AY33" s="26">
        <f ca="1">Military!AZ33</f>
        <v>0</v>
      </c>
      <c r="AZ33" s="57">
        <f ca="1">Military!BA33</f>
        <v>0</v>
      </c>
      <c r="BB33" s="56" t="b">
        <f t="shared" si="27"/>
        <v>0</v>
      </c>
      <c r="BC33" s="332"/>
      <c r="BD33" s="974">
        <v>31</v>
      </c>
      <c r="BE33" s="332"/>
      <c r="BF33" s="370"/>
      <c r="BG33" s="370"/>
      <c r="BH33" s="740"/>
      <c r="BI33" s="1031">
        <f t="shared" si="8"/>
        <v>43768.312499999927</v>
      </c>
      <c r="BJ33" s="159" t="str">
        <f t="shared" si="20"/>
        <v/>
      </c>
      <c r="BK33" s="26">
        <f t="shared" ca="1" si="16"/>
        <v>4624470</v>
      </c>
      <c r="BL33" s="26">
        <f t="shared" ca="1" si="9"/>
        <v>151775</v>
      </c>
      <c r="BM33" s="26">
        <f t="shared" ca="1" si="10"/>
        <v>327667</v>
      </c>
      <c r="BN33" s="26">
        <f t="shared" ca="1" si="11"/>
        <v>39318</v>
      </c>
      <c r="BO33" s="57">
        <f t="shared" ca="1" si="12"/>
        <v>300000</v>
      </c>
    </row>
    <row r="34" spans="1:67" s="16" customFormat="1" x14ac:dyDescent="0.25">
      <c r="A34" s="982">
        <v>32</v>
      </c>
      <c r="B34" s="812">
        <f>Imps!L34</f>
        <v>43768.322916666591</v>
      </c>
      <c r="C34" s="332"/>
      <c r="D34" s="830"/>
      <c r="E34" s="56">
        <f>Construction!E34</f>
        <v>1000</v>
      </c>
      <c r="F34" s="26">
        <f ca="1">Population!$C34</f>
        <v>2109.7330458773977</v>
      </c>
      <c r="G34" s="26">
        <f ca="1">Military!EM34</f>
        <v>20900</v>
      </c>
      <c r="H34" s="26">
        <f ca="1">H33+S33 - AT34 + IF(AND(C33=1,ISNUMBER(MATCH(race,plat_db,0))),Population!C33*4)</f>
        <v>4630466</v>
      </c>
      <c r="I34" s="26">
        <f ca="1">I33+T33-AY34 +  IF(AND(C33=1,ISNUMBER(MATCH(race,food_db,0))),Population!C33*4)</f>
        <v>155418</v>
      </c>
      <c r="J34" s="26">
        <f t="shared" ca="1" si="17"/>
        <v>326890</v>
      </c>
      <c r="K34" s="26">
        <f ca="1">K33+V33 - AV34 + IF(AND(C33=1,ISNUMBER(MATCH(race,mana_db,0))),Population!C33*4)</f>
        <v>39782</v>
      </c>
      <c r="L34" s="26">
        <f ca="1">L33+W33 - AW34 + IF(AND(C33=1,ISNUMBER(MATCH(race,ore_db,0))),Population!C33*4)</f>
        <v>300000</v>
      </c>
      <c r="M34" s="26">
        <f t="shared" ca="1" si="14"/>
        <v>20000</v>
      </c>
      <c r="N34" s="26">
        <f t="shared" ca="1" si="18"/>
        <v>200</v>
      </c>
      <c r="O34" s="26">
        <f t="shared" si="19"/>
        <v>500</v>
      </c>
      <c r="P34" s="26">
        <f>ROUNDDOWN(P33+MAX(Construction!BO34/2,Construction!BO34*(1-Construction!BO34/(E34-Explore!S34*20)))-Q34*SUM(Techs!AY34:BY34),0)</f>
        <v>0</v>
      </c>
      <c r="Q34" s="166">
        <f>MAX(min_tech_cost,ROUNDDOWN(tech_cost_per_acre*Construction!E34,0))</f>
        <v>5000</v>
      </c>
      <c r="S34" s="152">
        <f t="shared" ca="1" si="21"/>
        <v>5696</v>
      </c>
      <c r="T34" s="164">
        <f t="shared" ca="1" si="22"/>
        <v>3635</v>
      </c>
      <c r="U34" s="164">
        <f t="shared" ca="1" si="23"/>
        <v>-769</v>
      </c>
      <c r="V34" s="164">
        <f t="shared" ca="1" si="24"/>
        <v>454</v>
      </c>
      <c r="W34" s="164">
        <f t="shared" ca="1" si="25"/>
        <v>0</v>
      </c>
      <c r="X34" s="164">
        <f t="shared" ca="1" si="26"/>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4">
        <f ca="1">race_food_bonus + IF(Magic!AO34&gt;0,gaias_blessing_food,IF(Magic!AG34&gt;0,gaias_watch_bonus)) + Imps!AD34+tech_production_food*Techs!W34 + O34/100*prestige_food_bonus</f>
        <v>0.1</v>
      </c>
      <c r="AJ34" s="267">
        <f ca="1">race_lumber_bonus+ IF(Magic!AO34&gt;0,gaias_blessing_lumber)+tech_fruits_of_labor1*Techs!AP34</f>
        <v>0</v>
      </c>
      <c r="AK34" s="267">
        <f ca="1">race_mana_bonus+tech_enchanted_lands_mana*Techs!AT34</f>
        <v>0</v>
      </c>
      <c r="AL34" s="267">
        <f ca="1">race_ore_bonus + IF(Magic!AL34&gt;0,miners_sight_bonus,IF(Magic!AH34&gt;0,mining_strength_bonus))+tech_fruits_of_labor1*Techs!AP34</f>
        <v>0</v>
      </c>
      <c r="AM34" s="193">
        <f ca="1">race_gem_bonus+MAX(tech_production_gems*Techs!X34,tech_fruits_of_labor_gems*Techs!AP34)</f>
        <v>0</v>
      </c>
      <c r="AO34" s="56">
        <f ca="1">I34*food_decay*IF(Magic!AZ34&gt;0,0.5,1)</f>
        <v>1554.18</v>
      </c>
      <c r="AP34" s="26">
        <f ca="1">(1+race_food_consumption)*Population!F34*food_per_person</f>
        <v>1851.1832614693494</v>
      </c>
      <c r="AQ34" s="26">
        <f t="shared" ca="1" si="6"/>
        <v>3268.9</v>
      </c>
      <c r="AR34" s="57">
        <f t="shared" ca="1" si="7"/>
        <v>795.64</v>
      </c>
      <c r="AS34" s="26"/>
      <c r="AT34" s="56">
        <f ca="1">Explore!AH34+Construction!AP34+Military!AU34+Rezone!Y34+Imps!AQ34-BE34</f>
        <v>0</v>
      </c>
      <c r="AU34" s="26">
        <f>Construction!AQ34+Imps!AR34-BF34</f>
        <v>0</v>
      </c>
      <c r="AV34" s="26">
        <f>Magic!AD34</f>
        <v>0</v>
      </c>
      <c r="AW34" s="26">
        <f ca="1">Military!AV34+Imps!AS34-BG34</f>
        <v>0</v>
      </c>
      <c r="AX34" s="26">
        <f>Imps!AT34-BH34</f>
        <v>0</v>
      </c>
      <c r="AY34" s="26">
        <f ca="1">Military!AZ34</f>
        <v>0</v>
      </c>
      <c r="AZ34" s="57">
        <f ca="1">Military!BA34</f>
        <v>0</v>
      </c>
      <c r="BB34" s="56" t="b">
        <f t="shared" si="27"/>
        <v>0</v>
      </c>
      <c r="BC34" s="332"/>
      <c r="BD34" s="974">
        <v>32</v>
      </c>
      <c r="BE34" s="332"/>
      <c r="BF34" s="370"/>
      <c r="BG34" s="370"/>
      <c r="BH34" s="740"/>
      <c r="BI34" s="1031">
        <f t="shared" si="8"/>
        <v>43768.322916666591</v>
      </c>
      <c r="BJ34" s="159" t="str">
        <f t="shared" si="20"/>
        <v/>
      </c>
      <c r="BK34" s="26">
        <f t="shared" ca="1" si="16"/>
        <v>4630466</v>
      </c>
      <c r="BL34" s="26">
        <f t="shared" ca="1" si="9"/>
        <v>155418</v>
      </c>
      <c r="BM34" s="26">
        <f t="shared" ca="1" si="10"/>
        <v>326890</v>
      </c>
      <c r="BN34" s="26">
        <f t="shared" ca="1" si="11"/>
        <v>39782</v>
      </c>
      <c r="BO34" s="57">
        <f t="shared" ca="1" si="12"/>
        <v>300000</v>
      </c>
    </row>
    <row r="35" spans="1:67" s="16" customFormat="1" x14ac:dyDescent="0.25">
      <c r="A35" s="982">
        <v>33</v>
      </c>
      <c r="B35" s="812">
        <f>Imps!L35</f>
        <v>43768.333333333256</v>
      </c>
      <c r="C35" s="332"/>
      <c r="D35" s="830"/>
      <c r="E35" s="56">
        <f>Construction!E35</f>
        <v>1000</v>
      </c>
      <c r="F35" s="26">
        <f ca="1">Population!$C35</f>
        <v>2004.2463935835278</v>
      </c>
      <c r="G35" s="26">
        <f ca="1">Military!EM35</f>
        <v>20900</v>
      </c>
      <c r="H35" s="26">
        <f ca="1">H34+S34 - AT35 + IF(AND(C34=1,ISNUMBER(MATCH(race,plat_db,0))),Population!C34*4)</f>
        <v>4636162</v>
      </c>
      <c r="I35" s="26">
        <f ca="1">I34+T34-AY35 +  IF(AND(C34=1,ISNUMBER(MATCH(race,food_db,0))),Population!C34*4)</f>
        <v>159053</v>
      </c>
      <c r="J35" s="26">
        <f t="shared" ca="1" si="17"/>
        <v>326121</v>
      </c>
      <c r="K35" s="26">
        <f ca="1">K34+V34 - AV35 + IF(AND(C34=1,ISNUMBER(MATCH(race,mana_db,0))),Population!C34*4)</f>
        <v>40236</v>
      </c>
      <c r="L35" s="26">
        <f ca="1">L34+W34 - AW35 + IF(AND(C34=1,ISNUMBER(MATCH(race,ore_db,0))),Population!C34*4)</f>
        <v>300000</v>
      </c>
      <c r="M35" s="26">
        <f t="shared" ca="1" si="14"/>
        <v>20000</v>
      </c>
      <c r="N35" s="26">
        <f t="shared" ca="1" si="18"/>
        <v>200</v>
      </c>
      <c r="O35" s="26">
        <f t="shared" si="19"/>
        <v>500</v>
      </c>
      <c r="P35" s="26">
        <f>ROUNDDOWN(P34+MAX(Construction!BO35/2,Construction!BO35*(1-Construction!BO35/(E35-Explore!S35*20)))-Q35*SUM(Techs!AY35:BY35),0)</f>
        <v>0</v>
      </c>
      <c r="Q35" s="166">
        <f>MAX(min_tech_cost,ROUNDDOWN(tech_cost_per_acre*Construction!E35,0))</f>
        <v>5000</v>
      </c>
      <c r="S35" s="152">
        <f t="shared" ca="1" si="21"/>
        <v>5411</v>
      </c>
      <c r="T35" s="164">
        <f t="shared" ref="T35:T66" ca="1" si="28">ROUND(AB35*(1+AI35)-AO35-AP35,0)</f>
        <v>3625</v>
      </c>
      <c r="U35" s="164">
        <f t="shared" ref="U35:U66" ca="1" si="29">ROUND(AC35*(1+AJ35)-AQ35,0)</f>
        <v>-761</v>
      </c>
      <c r="V35" s="164">
        <f t="shared" ref="V35:V66" ca="1" si="30">ROUND(AD35*(1+AK35)-AR35,0)</f>
        <v>445</v>
      </c>
      <c r="W35" s="164">
        <f t="shared" ca="1" si="25"/>
        <v>0</v>
      </c>
      <c r="X35" s="164">
        <f t="shared" ca="1" si="26"/>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4">
        <f ca="1">race_food_bonus + IF(Magic!AO35&gt;0,gaias_blessing_food,IF(Magic!AG35&gt;0,gaias_watch_bonus)) + Imps!AD35+tech_production_food*Techs!W35 + O35/100*prestige_food_bonus</f>
        <v>0.1</v>
      </c>
      <c r="AJ35" s="267">
        <f ca="1">race_lumber_bonus+ IF(Magic!AO35&gt;0,gaias_blessing_lumber)+tech_fruits_of_labor1*Techs!AP35</f>
        <v>0</v>
      </c>
      <c r="AK35" s="267">
        <f ca="1">race_mana_bonus+tech_enchanted_lands_mana*Techs!AT35</f>
        <v>0</v>
      </c>
      <c r="AL35" s="267">
        <f ca="1">race_ore_bonus + IF(Magic!AL35&gt;0,miners_sight_bonus,IF(Magic!AH35&gt;0,mining_strength_bonus))+tech_fruits_of_labor1*Techs!AP35</f>
        <v>0</v>
      </c>
      <c r="AM35" s="193">
        <f ca="1">race_gem_bonus+MAX(tech_production_gems*Techs!X35,tech_fruits_of_labor_gems*Techs!AP35)</f>
        <v>0</v>
      </c>
      <c r="AO35" s="56">
        <f ca="1">I35*food_decay*IF(Magic!AZ35&gt;0,0.5,1)</f>
        <v>1590.53</v>
      </c>
      <c r="AP35" s="26">
        <f ca="1">(1+race_food_consumption)*Population!F35*food_per_person</f>
        <v>1824.8115983958819</v>
      </c>
      <c r="AQ35" s="26">
        <f t="shared" ref="AQ35:AQ66" ca="1" si="31">J35*lumber_rot</f>
        <v>3261.21</v>
      </c>
      <c r="AR35" s="57">
        <f t="shared" ref="AR35:AR66" ca="1" si="32">K35*mana_drain</f>
        <v>804.72</v>
      </c>
      <c r="AS35" s="26"/>
      <c r="AT35" s="56">
        <f ca="1">Explore!AH35+Construction!AP35+Military!AU35+Rezone!Y35+Imps!AQ35-BE35</f>
        <v>0</v>
      </c>
      <c r="AU35" s="26">
        <f>Construction!AQ35+Imps!AR35-BF35</f>
        <v>0</v>
      </c>
      <c r="AV35" s="26">
        <f>Magic!AD35</f>
        <v>0</v>
      </c>
      <c r="AW35" s="26">
        <f ca="1">Military!AV35+Imps!AS35-BG35</f>
        <v>0</v>
      </c>
      <c r="AX35" s="26">
        <f>Imps!AT35-BH35</f>
        <v>0</v>
      </c>
      <c r="AY35" s="26">
        <f ca="1">Military!AZ35</f>
        <v>0</v>
      </c>
      <c r="AZ35" s="57">
        <f ca="1">Military!BA35</f>
        <v>0</v>
      </c>
      <c r="BB35" s="56" t="b">
        <f t="shared" si="27"/>
        <v>0</v>
      </c>
      <c r="BC35" s="332"/>
      <c r="BD35" s="974">
        <v>33</v>
      </c>
      <c r="BE35" s="332"/>
      <c r="BF35" s="370"/>
      <c r="BG35" s="370"/>
      <c r="BH35" s="740"/>
      <c r="BI35" s="1031">
        <f t="shared" ref="BI35:BI66" si="33">B35</f>
        <v>43768.333333333256</v>
      </c>
      <c r="BJ35" s="159" t="str">
        <f t="shared" si="20"/>
        <v/>
      </c>
      <c r="BK35" s="26">
        <f t="shared" ca="1" si="16"/>
        <v>4636162</v>
      </c>
      <c r="BL35" s="26">
        <f t="shared" ca="1" si="9"/>
        <v>159053</v>
      </c>
      <c r="BM35" s="26">
        <f t="shared" ca="1" si="10"/>
        <v>326121</v>
      </c>
      <c r="BN35" s="26">
        <f t="shared" ca="1" si="11"/>
        <v>40236</v>
      </c>
      <c r="BO35" s="57">
        <f t="shared" ca="1" si="12"/>
        <v>300000</v>
      </c>
    </row>
    <row r="36" spans="1:67" s="16" customFormat="1" x14ac:dyDescent="0.25">
      <c r="A36" s="982">
        <v>34</v>
      </c>
      <c r="B36" s="812">
        <f>Imps!L36</f>
        <v>43768.34374999992</v>
      </c>
      <c r="C36" s="332"/>
      <c r="D36" s="830"/>
      <c r="E36" s="56">
        <f>Construction!E36</f>
        <v>1000</v>
      </c>
      <c r="F36" s="26">
        <f ca="1">Population!$C36</f>
        <v>1904.0340739043513</v>
      </c>
      <c r="G36" s="26">
        <f ca="1">Military!EM36</f>
        <v>20900</v>
      </c>
      <c r="H36" s="26">
        <f ca="1">H35+S35 - AT36 + IF(AND(C35=1,ISNUMBER(MATCH(race,plat_db,0))),Population!C35*4)</f>
        <v>4641573</v>
      </c>
      <c r="I36" s="26">
        <f ca="1">I35+T35-AY36 +  IF(AND(C35=1,ISNUMBER(MATCH(race,food_db,0))),Population!C35*4)</f>
        <v>162678</v>
      </c>
      <c r="J36" s="26">
        <f t="shared" ca="1" si="17"/>
        <v>325360</v>
      </c>
      <c r="K36" s="26">
        <f ca="1">K35+V35 - AV36 + IF(AND(C35=1,ISNUMBER(MATCH(race,mana_db,0))),Population!C35*4)</f>
        <v>40681</v>
      </c>
      <c r="L36" s="26">
        <f ca="1">L35+W35 - AW36 + IF(AND(C35=1,ISNUMBER(MATCH(race,ore_db,0))),Population!C35*4)</f>
        <v>300000</v>
      </c>
      <c r="M36" s="26">
        <f t="shared" ref="M36:M67" ca="1" si="34">M35+X35 - AX36</f>
        <v>20000</v>
      </c>
      <c r="N36" s="26">
        <f t="shared" ca="1" si="18"/>
        <v>200</v>
      </c>
      <c r="O36" s="26">
        <f t="shared" si="19"/>
        <v>500</v>
      </c>
      <c r="P36" s="26">
        <f>ROUNDDOWN(P35+MAX(Construction!BO36/2,Construction!BO36*(1-Construction!BO36/(E36-Explore!S36*20)))-Q36*SUM(Techs!AY36:BY36),0)</f>
        <v>0</v>
      </c>
      <c r="Q36" s="166">
        <f>MAX(min_tech_cost,ROUNDDOWN(tech_cost_per_acre*Construction!E36,0))</f>
        <v>5000</v>
      </c>
      <c r="S36" s="152">
        <f t="shared" ca="1" si="21"/>
        <v>5140</v>
      </c>
      <c r="T36" s="164">
        <f t="shared" ca="1" si="28"/>
        <v>3613</v>
      </c>
      <c r="U36" s="164">
        <f t="shared" ca="1" si="29"/>
        <v>-754</v>
      </c>
      <c r="V36" s="164">
        <f t="shared" ca="1" si="30"/>
        <v>436</v>
      </c>
      <c r="W36" s="164">
        <f t="shared" ca="1" si="25"/>
        <v>0</v>
      </c>
      <c r="X36" s="164">
        <f t="shared" ca="1" si="26"/>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4">
        <f ca="1">race_food_bonus + IF(Magic!AO36&gt;0,gaias_blessing_food,IF(Magic!AG36&gt;0,gaias_watch_bonus)) + Imps!AD36+tech_production_food*Techs!W36 + O36/100*prestige_food_bonus</f>
        <v>0.1</v>
      </c>
      <c r="AJ36" s="267">
        <f ca="1">race_lumber_bonus+ IF(Magic!AO36&gt;0,gaias_blessing_lumber)+tech_fruits_of_labor1*Techs!AP36</f>
        <v>0</v>
      </c>
      <c r="AK36" s="267">
        <f ca="1">race_mana_bonus+tech_enchanted_lands_mana*Techs!AT36</f>
        <v>0</v>
      </c>
      <c r="AL36" s="267">
        <f ca="1">race_ore_bonus + IF(Magic!AL36&gt;0,miners_sight_bonus,IF(Magic!AH36&gt;0,mining_strength_bonus))+tech_fruits_of_labor1*Techs!AP36</f>
        <v>0</v>
      </c>
      <c r="AM36" s="193">
        <f ca="1">race_gem_bonus+MAX(tech_production_gems*Techs!X36,tech_fruits_of_labor_gems*Techs!AP36)</f>
        <v>0</v>
      </c>
      <c r="AO36" s="56">
        <f ca="1">I36*food_decay*IF(Magic!AZ36&gt;0,0.5,1)</f>
        <v>1626.78</v>
      </c>
      <c r="AP36" s="26">
        <f ca="1">(1+race_food_consumption)*Population!F36*food_per_person</f>
        <v>1799.7585184760878</v>
      </c>
      <c r="AQ36" s="26">
        <f t="shared" ca="1" si="31"/>
        <v>3253.6</v>
      </c>
      <c r="AR36" s="57">
        <f t="shared" ca="1" si="32"/>
        <v>813.62</v>
      </c>
      <c r="AS36" s="26"/>
      <c r="AT36" s="56">
        <f ca="1">Explore!AH36+Construction!AP36+Military!AU36+Rezone!Y36+Imps!AQ36-BE36</f>
        <v>0</v>
      </c>
      <c r="AU36" s="26">
        <f>Construction!AQ36+Imps!AR36-BF36</f>
        <v>0</v>
      </c>
      <c r="AV36" s="26">
        <f>Magic!AD36</f>
        <v>0</v>
      </c>
      <c r="AW36" s="26">
        <f ca="1">Military!AV36+Imps!AS36-BG36</f>
        <v>0</v>
      </c>
      <c r="AX36" s="26">
        <f>Imps!AT36-BH36</f>
        <v>0</v>
      </c>
      <c r="AY36" s="26">
        <f ca="1">Military!AZ36</f>
        <v>0</v>
      </c>
      <c r="AZ36" s="57">
        <f ca="1">Military!BA36</f>
        <v>0</v>
      </c>
      <c r="BB36" s="56" t="b">
        <f t="shared" si="27"/>
        <v>0</v>
      </c>
      <c r="BC36" s="332"/>
      <c r="BD36" s="974">
        <v>34</v>
      </c>
      <c r="BE36" s="332"/>
      <c r="BF36" s="370"/>
      <c r="BG36" s="370"/>
      <c r="BH36" s="740"/>
      <c r="BI36" s="1031">
        <f t="shared" si="33"/>
        <v>43768.34374999992</v>
      </c>
      <c r="BJ36" s="159" t="str">
        <f t="shared" si="20"/>
        <v/>
      </c>
      <c r="BK36" s="26">
        <f t="shared" ca="1" si="16"/>
        <v>4641573</v>
      </c>
      <c r="BL36" s="26">
        <f t="shared" ca="1" si="9"/>
        <v>162678</v>
      </c>
      <c r="BM36" s="26">
        <f t="shared" ca="1" si="10"/>
        <v>325360</v>
      </c>
      <c r="BN36" s="26">
        <f t="shared" ca="1" si="11"/>
        <v>40681</v>
      </c>
      <c r="BO36" s="57">
        <f t="shared" ca="1" si="12"/>
        <v>300000</v>
      </c>
    </row>
    <row r="37" spans="1:67" s="16" customFormat="1" x14ac:dyDescent="0.25">
      <c r="A37" s="982">
        <v>35</v>
      </c>
      <c r="B37" s="812">
        <f>Imps!L37</f>
        <v>43768.354166666584</v>
      </c>
      <c r="C37" s="332"/>
      <c r="D37" s="830"/>
      <c r="E37" s="56">
        <f>Construction!E37</f>
        <v>1000</v>
      </c>
      <c r="F37" s="26">
        <f ca="1">Population!$C37</f>
        <v>1845</v>
      </c>
      <c r="G37" s="26">
        <f ca="1">Military!EM37</f>
        <v>20900</v>
      </c>
      <c r="H37" s="26">
        <f ca="1">H36+S36 - AT37 + IF(AND(C36=1,ISNUMBER(MATCH(race,plat_db,0))),Population!C36*4)</f>
        <v>4646713</v>
      </c>
      <c r="I37" s="26">
        <f ca="1">I36+T36-AY37 +  IF(AND(C36=1,ISNUMBER(MATCH(race,food_db,0))),Population!C36*4)</f>
        <v>166291</v>
      </c>
      <c r="J37" s="26">
        <f t="shared" ca="1" si="17"/>
        <v>324606</v>
      </c>
      <c r="K37" s="26">
        <f ca="1">K36+V36 - AV37 + IF(AND(C36=1,ISNUMBER(MATCH(race,mana_db,0))),Population!C36*4)</f>
        <v>41117</v>
      </c>
      <c r="L37" s="26">
        <f ca="1">L36+W36 - AW37 + IF(AND(C36=1,ISNUMBER(MATCH(race,ore_db,0))),Population!C36*4)</f>
        <v>300000</v>
      </c>
      <c r="M37" s="26">
        <f t="shared" ca="1" si="34"/>
        <v>20000</v>
      </c>
      <c r="N37" s="26">
        <f t="shared" ca="1" si="18"/>
        <v>200</v>
      </c>
      <c r="O37" s="26">
        <f t="shared" si="19"/>
        <v>500</v>
      </c>
      <c r="P37" s="26">
        <f>ROUNDDOWN(P36+MAX(Construction!BO37/2,Construction!BO37*(1-Construction!BO37/(E37-Explore!S37*20)))-Q37*SUM(Techs!AY37:BY37),0)</f>
        <v>0</v>
      </c>
      <c r="Q37" s="166">
        <f>MAX(min_tech_cost,ROUNDDOWN(tech_cost_per_acre*Construction!E37,0))</f>
        <v>5000</v>
      </c>
      <c r="S37" s="152">
        <f t="shared" ca="1" si="21"/>
        <v>4981</v>
      </c>
      <c r="T37" s="164">
        <f t="shared" ca="1" si="28"/>
        <v>3592</v>
      </c>
      <c r="U37" s="164">
        <f t="shared" ca="1" si="29"/>
        <v>-746</v>
      </c>
      <c r="V37" s="164">
        <f t="shared" ca="1" si="30"/>
        <v>428</v>
      </c>
      <c r="W37" s="164">
        <f t="shared" ca="1" si="25"/>
        <v>0</v>
      </c>
      <c r="X37" s="164">
        <f t="shared" ca="1" si="26"/>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4">
        <f ca="1">race_food_bonus + IF(Magic!AO37&gt;0,gaias_blessing_food,IF(Magic!AG37&gt;0,gaias_watch_bonus)) + Imps!AD37+tech_production_food*Techs!W37 + O37/100*prestige_food_bonus</f>
        <v>0.1</v>
      </c>
      <c r="AJ37" s="267">
        <f ca="1">race_lumber_bonus+ IF(Magic!AO37&gt;0,gaias_blessing_lumber)+tech_fruits_of_labor1*Techs!AP37</f>
        <v>0</v>
      </c>
      <c r="AK37" s="267">
        <f ca="1">race_mana_bonus+tech_enchanted_lands_mana*Techs!AT37</f>
        <v>0</v>
      </c>
      <c r="AL37" s="267">
        <f ca="1">race_ore_bonus + IF(Magic!AL37&gt;0,miners_sight_bonus,IF(Magic!AH37&gt;0,mining_strength_bonus))+tech_fruits_of_labor1*Techs!AP37</f>
        <v>0</v>
      </c>
      <c r="AM37" s="193">
        <f ca="1">race_gem_bonus+MAX(tech_production_gems*Techs!X37,tech_fruits_of_labor_gems*Techs!AP37)</f>
        <v>0</v>
      </c>
      <c r="AO37" s="56">
        <f ca="1">I37*food_decay*IF(Magic!AZ37&gt;0,0.5,1)</f>
        <v>1662.91</v>
      </c>
      <c r="AP37" s="26">
        <f ca="1">(1+race_food_consumption)*Population!F37*food_per_person</f>
        <v>1785</v>
      </c>
      <c r="AQ37" s="26">
        <f t="shared" ca="1" si="31"/>
        <v>3246.06</v>
      </c>
      <c r="AR37" s="57">
        <f t="shared" ca="1" si="32"/>
        <v>822.34</v>
      </c>
      <c r="AS37" s="26"/>
      <c r="AT37" s="56">
        <f ca="1">Explore!AH37+Construction!AP37+Military!AU37+Rezone!Y37+Imps!AQ37-BE37</f>
        <v>0</v>
      </c>
      <c r="AU37" s="26">
        <f>Construction!AQ37+Imps!AR37-BF37</f>
        <v>0</v>
      </c>
      <c r="AV37" s="26">
        <f>Magic!AD37</f>
        <v>0</v>
      </c>
      <c r="AW37" s="26">
        <f ca="1">Military!AV37+Imps!AS37-BG37</f>
        <v>0</v>
      </c>
      <c r="AX37" s="26">
        <f>Imps!AT37-BH37</f>
        <v>0</v>
      </c>
      <c r="AY37" s="26">
        <f ca="1">Military!AZ37</f>
        <v>0</v>
      </c>
      <c r="AZ37" s="57">
        <f ca="1">Military!BA37</f>
        <v>0</v>
      </c>
      <c r="BB37" s="56" t="b">
        <f t="shared" si="27"/>
        <v>0</v>
      </c>
      <c r="BC37" s="332"/>
      <c r="BD37" s="974">
        <v>35</v>
      </c>
      <c r="BE37" s="332"/>
      <c r="BF37" s="370"/>
      <c r="BG37" s="370"/>
      <c r="BH37" s="740"/>
      <c r="BI37" s="1031">
        <f t="shared" si="33"/>
        <v>43768.354166666584</v>
      </c>
      <c r="BJ37" s="159" t="str">
        <f t="shared" si="20"/>
        <v/>
      </c>
      <c r="BK37" s="26">
        <f t="shared" ca="1" si="16"/>
        <v>4646713</v>
      </c>
      <c r="BL37" s="26">
        <f t="shared" ca="1" si="9"/>
        <v>166291</v>
      </c>
      <c r="BM37" s="26">
        <f t="shared" ca="1" si="10"/>
        <v>324606</v>
      </c>
      <c r="BN37" s="26">
        <f t="shared" ca="1" si="11"/>
        <v>41117</v>
      </c>
      <c r="BO37" s="57">
        <f t="shared" ca="1" si="12"/>
        <v>300000</v>
      </c>
    </row>
    <row r="38" spans="1:67" s="16" customFormat="1" x14ac:dyDescent="0.25">
      <c r="A38" s="982">
        <v>36</v>
      </c>
      <c r="B38" s="530">
        <f>Imps!L38</f>
        <v>43768.364583333248</v>
      </c>
      <c r="C38" s="332"/>
      <c r="D38" s="830"/>
      <c r="E38" s="56">
        <f>Construction!E38</f>
        <v>1000</v>
      </c>
      <c r="F38" s="26">
        <f ca="1">Population!$C38</f>
        <v>1845</v>
      </c>
      <c r="G38" s="26">
        <f ca="1">Military!EM38</f>
        <v>20900</v>
      </c>
      <c r="H38" s="26">
        <f ca="1">H37+S37 - AT38 + IF(AND(C37=1,ISNUMBER(MATCH(race,plat_db,0))),Population!C37*4)</f>
        <v>4651694</v>
      </c>
      <c r="I38" s="26">
        <f ca="1">I37+T37-AY38 +  IF(AND(C37=1,ISNUMBER(MATCH(race,food_db,0))),Population!C37*4)</f>
        <v>169883</v>
      </c>
      <c r="J38" s="26">
        <f t="shared" ca="1" si="17"/>
        <v>323860</v>
      </c>
      <c r="K38" s="26">
        <f ca="1">K37+V37 - AV38 + IF(AND(C37=1,ISNUMBER(MATCH(race,mana_db,0))),Population!C37*4)</f>
        <v>41545</v>
      </c>
      <c r="L38" s="26">
        <f ca="1">L37+W37 - AW38 + IF(AND(C37=1,ISNUMBER(MATCH(race,ore_db,0))),Population!C37*4)</f>
        <v>300000</v>
      </c>
      <c r="M38" s="26">
        <f t="shared" ca="1" si="34"/>
        <v>20000</v>
      </c>
      <c r="N38" s="26">
        <f t="shared" ca="1" si="18"/>
        <v>200</v>
      </c>
      <c r="O38" s="26">
        <f t="shared" si="19"/>
        <v>500</v>
      </c>
      <c r="P38" s="26">
        <f>ROUNDDOWN(P37+MAX(Construction!BO38/2,Construction!BO38*(1-Construction!BO38/(E38-Explore!S38*20)))-Q38*SUM(Techs!AY38:BY38),0)</f>
        <v>0</v>
      </c>
      <c r="Q38" s="166">
        <f>MAX(min_tech_cost,ROUNDDOWN(tech_cost_per_acre*Construction!E38,0))</f>
        <v>5000</v>
      </c>
      <c r="S38" s="152">
        <f t="shared" ca="1" si="21"/>
        <v>4981</v>
      </c>
      <c r="T38" s="164">
        <f t="shared" ca="1" si="28"/>
        <v>3556</v>
      </c>
      <c r="U38" s="164">
        <f t="shared" ca="1" si="29"/>
        <v>-739</v>
      </c>
      <c r="V38" s="164">
        <f t="shared" ca="1" si="30"/>
        <v>419</v>
      </c>
      <c r="W38" s="164">
        <f t="shared" ca="1" si="25"/>
        <v>0</v>
      </c>
      <c r="X38" s="164">
        <f t="shared" ca="1" si="26"/>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4">
        <f ca="1">race_food_bonus + IF(Magic!AO38&gt;0,gaias_blessing_food,IF(Magic!AG38&gt;0,gaias_watch_bonus)) + Imps!AD38+tech_production_food*Techs!W38 + O38/100*prestige_food_bonus</f>
        <v>0.1</v>
      </c>
      <c r="AJ38" s="267">
        <f ca="1">race_lumber_bonus+ IF(Magic!AO38&gt;0,gaias_blessing_lumber)+tech_fruits_of_labor1*Techs!AP38</f>
        <v>0</v>
      </c>
      <c r="AK38" s="267">
        <f ca="1">race_mana_bonus+tech_enchanted_lands_mana*Techs!AT38</f>
        <v>0</v>
      </c>
      <c r="AL38" s="267">
        <f ca="1">race_ore_bonus + IF(Magic!AL38&gt;0,miners_sight_bonus,IF(Magic!AH38&gt;0,mining_strength_bonus))+tech_fruits_of_labor1*Techs!AP38</f>
        <v>0</v>
      </c>
      <c r="AM38" s="193">
        <f ca="1">race_gem_bonus+MAX(tech_production_gems*Techs!X38,tech_fruits_of_labor_gems*Techs!AP38)</f>
        <v>0</v>
      </c>
      <c r="AO38" s="56">
        <f ca="1">I38*food_decay*IF(Magic!AZ38&gt;0,0.5,1)</f>
        <v>1698.83</v>
      </c>
      <c r="AP38" s="26">
        <f ca="1">(1+race_food_consumption)*Population!F38*food_per_person</f>
        <v>1785</v>
      </c>
      <c r="AQ38" s="26">
        <f t="shared" ca="1" si="31"/>
        <v>3238.6</v>
      </c>
      <c r="AR38" s="57">
        <f t="shared" ca="1" si="32"/>
        <v>830.9</v>
      </c>
      <c r="AS38" s="26"/>
      <c r="AT38" s="56">
        <f ca="1">Explore!AH38+Construction!AP38+Military!AU38+Rezone!Y38+Imps!AQ38-BE38</f>
        <v>0</v>
      </c>
      <c r="AU38" s="26">
        <f>Construction!AQ38+Imps!AR38-BF38</f>
        <v>0</v>
      </c>
      <c r="AV38" s="26">
        <f>Magic!AD38</f>
        <v>0</v>
      </c>
      <c r="AW38" s="26">
        <f ca="1">Military!AV38+Imps!AS38-BG38</f>
        <v>0</v>
      </c>
      <c r="AX38" s="26">
        <f>Imps!AT38-BH38</f>
        <v>0</v>
      </c>
      <c r="AY38" s="26">
        <f ca="1">Military!AZ38</f>
        <v>0</v>
      </c>
      <c r="AZ38" s="57">
        <f ca="1">Military!BA38</f>
        <v>0</v>
      </c>
      <c r="BB38" s="56" t="b">
        <f t="shared" si="27"/>
        <v>0</v>
      </c>
      <c r="BC38" s="332"/>
      <c r="BD38" s="974">
        <v>36</v>
      </c>
      <c r="BE38" s="332"/>
      <c r="BF38" s="370"/>
      <c r="BG38" s="370"/>
      <c r="BH38" s="740"/>
      <c r="BI38" s="1031">
        <f t="shared" si="33"/>
        <v>43768.364583333248</v>
      </c>
      <c r="BJ38" s="159" t="str">
        <f t="shared" si="20"/>
        <v/>
      </c>
      <c r="BK38" s="26">
        <f t="shared" ca="1" si="16"/>
        <v>4651694</v>
      </c>
      <c r="BL38" s="26">
        <f t="shared" ca="1" si="9"/>
        <v>169883</v>
      </c>
      <c r="BM38" s="26">
        <f t="shared" ca="1" si="10"/>
        <v>323860</v>
      </c>
      <c r="BN38" s="26">
        <f t="shared" ca="1" si="11"/>
        <v>41545</v>
      </c>
      <c r="BO38" s="57">
        <f t="shared" ca="1" si="12"/>
        <v>300000</v>
      </c>
    </row>
    <row r="39" spans="1:67" s="12" customFormat="1" x14ac:dyDescent="0.25">
      <c r="A39" s="985">
        <v>37</v>
      </c>
      <c r="B39" s="674">
        <f>Imps!L39</f>
        <v>43768.374999999913</v>
      </c>
      <c r="C39" s="333"/>
      <c r="D39" s="833"/>
      <c r="E39" s="54">
        <f>Construction!E39</f>
        <v>1000</v>
      </c>
      <c r="F39" s="153">
        <f ca="1">Population!$C39</f>
        <v>1845</v>
      </c>
      <c r="G39" s="153">
        <f ca="1">Military!EM39</f>
        <v>20900</v>
      </c>
      <c r="H39" s="153">
        <f ca="1">H38+S38 - AT39 + IF(AND(C38=1,ISNUMBER(MATCH(race,plat_db,0))),Population!C38*4)</f>
        <v>4656675</v>
      </c>
      <c r="I39" s="13">
        <f ca="1">I38+T38-AY39 +  IF(AND(C38=1,ISNUMBER(MATCH(race,food_db,0))),Population!C38*4)</f>
        <v>173439</v>
      </c>
      <c r="J39" s="13">
        <f t="shared" ca="1" si="17"/>
        <v>323121</v>
      </c>
      <c r="K39" s="13">
        <f ca="1">K38+V38 - AV39 + IF(AND(C38=1,ISNUMBER(MATCH(race,mana_db,0))),Population!C38*4)</f>
        <v>41964</v>
      </c>
      <c r="L39" s="13">
        <f ca="1">L38+W38 - AW39 + IF(AND(C38=1,ISNUMBER(MATCH(race,ore_db,0))),Population!C38*4)</f>
        <v>300000</v>
      </c>
      <c r="M39" s="13">
        <f t="shared" ca="1" si="34"/>
        <v>20000</v>
      </c>
      <c r="N39" s="13">
        <f t="shared" ca="1" si="18"/>
        <v>200</v>
      </c>
      <c r="O39" s="13">
        <f t="shared" si="19"/>
        <v>500</v>
      </c>
      <c r="P39" s="13">
        <f>ROUNDDOWN(P38+MAX(Construction!BO39/2,Construction!BO39*(1-Construction!BO39/(E39-Explore!S39*20)))-Q39*SUM(Techs!AY39:BY39),0)</f>
        <v>0</v>
      </c>
      <c r="Q39" s="55">
        <f>MAX(min_tech_cost,ROUNDDOWN(tech_cost_per_acre*Construction!E39,0))</f>
        <v>5000</v>
      </c>
      <c r="S39" s="151">
        <f t="shared" ca="1" si="21"/>
        <v>4981</v>
      </c>
      <c r="T39" s="153">
        <f t="shared" ca="1" si="28"/>
        <v>3521</v>
      </c>
      <c r="U39" s="153">
        <f t="shared" ca="1" si="29"/>
        <v>-731</v>
      </c>
      <c r="V39" s="153">
        <f t="shared" ca="1" si="30"/>
        <v>411</v>
      </c>
      <c r="W39" s="153">
        <f t="shared" ca="1" si="25"/>
        <v>0</v>
      </c>
      <c r="X39" s="153">
        <f t="shared" ca="1" si="26"/>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6">
        <f ca="1">race_food_bonus + IF(Magic!AO39&gt;0,gaias_blessing_food,IF(Magic!AG39&gt;0,gaias_watch_bonus)) + Imps!AD39+tech_production_food*Techs!W39 + O39/100*prestige_food_bonus</f>
        <v>0.1</v>
      </c>
      <c r="AJ39" s="264">
        <f ca="1">race_lumber_bonus+ IF(Magic!AO39&gt;0,gaias_blessing_lumber)+tech_fruits_of_labor1*Techs!AP39</f>
        <v>0</v>
      </c>
      <c r="AK39" s="264">
        <f ca="1">race_mana_bonus+tech_enchanted_lands_mana*Techs!AT39</f>
        <v>0</v>
      </c>
      <c r="AL39" s="264">
        <f ca="1">race_ore_bonus + IF(Magic!AL39&gt;0,miners_sight_bonus,IF(Magic!AH39&gt;0,mining_strength_bonus))+tech_fruits_of_labor1*Techs!AP39</f>
        <v>0</v>
      </c>
      <c r="AM39" s="194">
        <f ca="1">race_gem_bonus+MAX(tech_production_gems*Techs!X39,tech_fruits_of_labor_gems*Techs!AP39)</f>
        <v>0</v>
      </c>
      <c r="AO39" s="54">
        <f ca="1">I39*food_decay*IF(Magic!AZ39&gt;0,0.5,1)</f>
        <v>1734.39</v>
      </c>
      <c r="AP39" s="13">
        <f ca="1">(1+race_food_consumption)*Population!F39*food_per_person</f>
        <v>1785</v>
      </c>
      <c r="AQ39" s="13">
        <f t="shared" ca="1" si="31"/>
        <v>3231.21</v>
      </c>
      <c r="AR39" s="55">
        <f t="shared" ca="1" si="32"/>
        <v>839.28</v>
      </c>
      <c r="AS39" s="13"/>
      <c r="AT39" s="54">
        <f ca="1">Explore!AH39+Construction!AP39+Military!AU39+Rezone!Y39+Imps!AQ39-BE39</f>
        <v>0</v>
      </c>
      <c r="AU39" s="13">
        <f>Construction!AQ39+Imps!AR39-BF39</f>
        <v>0</v>
      </c>
      <c r="AV39" s="13">
        <f>Magic!AD39</f>
        <v>0</v>
      </c>
      <c r="AW39" s="13">
        <f ca="1">Military!AV39+Imps!AS39-BG39</f>
        <v>0</v>
      </c>
      <c r="AX39" s="13">
        <f>Imps!AT39-BH39</f>
        <v>0</v>
      </c>
      <c r="AY39" s="13">
        <f ca="1">Military!AZ39</f>
        <v>0</v>
      </c>
      <c r="AZ39" s="55">
        <f ca="1">Military!BA39</f>
        <v>0</v>
      </c>
      <c r="BB39" s="54" t="b">
        <f t="shared" si="27"/>
        <v>0</v>
      </c>
      <c r="BC39" s="333"/>
      <c r="BD39" s="977">
        <v>37</v>
      </c>
      <c r="BE39" s="333"/>
      <c r="BF39" s="428"/>
      <c r="BG39" s="428"/>
      <c r="BH39" s="743"/>
      <c r="BI39" s="1033">
        <f t="shared" si="33"/>
        <v>43768.374999999913</v>
      </c>
      <c r="BJ39" s="287" t="str">
        <f t="shared" si="20"/>
        <v/>
      </c>
      <c r="BK39" s="153">
        <f t="shared" ca="1" si="16"/>
        <v>4656675</v>
      </c>
      <c r="BL39" s="13">
        <f t="shared" ca="1" si="9"/>
        <v>173439</v>
      </c>
      <c r="BM39" s="13">
        <f t="shared" ca="1" si="10"/>
        <v>323121</v>
      </c>
      <c r="BN39" s="13">
        <f t="shared" ca="1" si="11"/>
        <v>41964</v>
      </c>
      <c r="BO39" s="55">
        <f t="shared" ca="1" si="12"/>
        <v>300000</v>
      </c>
    </row>
    <row r="40" spans="1:67" s="16" customFormat="1" x14ac:dyDescent="0.25">
      <c r="A40" s="982">
        <v>38</v>
      </c>
      <c r="B40" s="530">
        <f>Imps!L40</f>
        <v>43768.385416666577</v>
      </c>
      <c r="C40" s="332"/>
      <c r="D40" s="830"/>
      <c r="E40" s="56">
        <f>Construction!E40</f>
        <v>1000</v>
      </c>
      <c r="F40" s="26">
        <f ca="1">Population!$C40</f>
        <v>1845</v>
      </c>
      <c r="G40" s="26">
        <f ca="1">Military!EM40</f>
        <v>20900</v>
      </c>
      <c r="H40" s="26">
        <f ca="1">H39+S39 - AT40 + IF(AND(C39=1,ISNUMBER(MATCH(race,plat_db,0))),Population!C39*4)</f>
        <v>4661656</v>
      </c>
      <c r="I40" s="26">
        <f ca="1">I39+T39-AY40 +  IF(AND(C39=1,ISNUMBER(MATCH(race,food_db,0))),Population!C39*4)</f>
        <v>176960</v>
      </c>
      <c r="J40" s="26">
        <f t="shared" ca="1" si="17"/>
        <v>322390</v>
      </c>
      <c r="K40" s="26">
        <f ca="1">K39+V39 - AV40 + IF(AND(C39=1,ISNUMBER(MATCH(race,mana_db,0))),Population!C39*4)</f>
        <v>42375</v>
      </c>
      <c r="L40" s="26">
        <f ca="1">L39+W39 - AW40 + IF(AND(C39=1,ISNUMBER(MATCH(race,ore_db,0))),Population!C39*4)</f>
        <v>300000</v>
      </c>
      <c r="M40" s="26">
        <f t="shared" ca="1" si="34"/>
        <v>20000</v>
      </c>
      <c r="N40" s="26">
        <f t="shared" ca="1" si="18"/>
        <v>200</v>
      </c>
      <c r="O40" s="26">
        <f t="shared" si="19"/>
        <v>500</v>
      </c>
      <c r="P40" s="26">
        <f>ROUNDDOWN(P39+MAX(Construction!BO40/2,Construction!BO40*(1-Construction!BO40/(E40-Explore!S40*20)))-Q40*SUM(Techs!AY40:BY40),0)</f>
        <v>0</v>
      </c>
      <c r="Q40" s="166">
        <f>MAX(min_tech_cost,ROUNDDOWN(tech_cost_per_acre*Construction!E40,0))</f>
        <v>5000</v>
      </c>
      <c r="S40" s="152">
        <f t="shared" ca="1" si="21"/>
        <v>4981</v>
      </c>
      <c r="T40" s="164">
        <f t="shared" ca="1" si="28"/>
        <v>3485</v>
      </c>
      <c r="U40" s="164">
        <f t="shared" ca="1" si="29"/>
        <v>-724</v>
      </c>
      <c r="V40" s="164">
        <f t="shared" ca="1" si="30"/>
        <v>403</v>
      </c>
      <c r="W40" s="164">
        <f t="shared" ca="1" si="25"/>
        <v>0</v>
      </c>
      <c r="X40" s="164">
        <f t="shared" ca="1" si="26"/>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4">
        <f ca="1">race_food_bonus + IF(Magic!AO40&gt;0,gaias_blessing_food,IF(Magic!AG40&gt;0,gaias_watch_bonus)) + Imps!AD40+tech_production_food*Techs!W40 + O40/100*prestige_food_bonus</f>
        <v>0.1</v>
      </c>
      <c r="AJ40" s="267">
        <f ca="1">race_lumber_bonus+ IF(Magic!AO40&gt;0,gaias_blessing_lumber)+tech_fruits_of_labor1*Techs!AP40</f>
        <v>0</v>
      </c>
      <c r="AK40" s="267">
        <f ca="1">race_mana_bonus+tech_enchanted_lands_mana*Techs!AT40</f>
        <v>0</v>
      </c>
      <c r="AL40" s="267">
        <f ca="1">race_ore_bonus + IF(Magic!AL40&gt;0,miners_sight_bonus,IF(Magic!AH40&gt;0,mining_strength_bonus))+tech_fruits_of_labor1*Techs!AP40</f>
        <v>0</v>
      </c>
      <c r="AM40" s="193">
        <f ca="1">race_gem_bonus+MAX(tech_production_gems*Techs!X40,tech_fruits_of_labor_gems*Techs!AP40)</f>
        <v>0</v>
      </c>
      <c r="AO40" s="56">
        <f ca="1">I40*food_decay*IF(Magic!AZ40&gt;0,0.5,1)</f>
        <v>1769.6000000000001</v>
      </c>
      <c r="AP40" s="26">
        <f ca="1">(1+race_food_consumption)*Population!F40*food_per_person</f>
        <v>1785</v>
      </c>
      <c r="AQ40" s="26">
        <f t="shared" ca="1" si="31"/>
        <v>3223.9</v>
      </c>
      <c r="AR40" s="57">
        <f t="shared" ca="1" si="32"/>
        <v>847.5</v>
      </c>
      <c r="AS40" s="26"/>
      <c r="AT40" s="56">
        <f ca="1">Explore!AH40+Construction!AP40+Military!AU40+Rezone!Y40+Imps!AQ40-BE40</f>
        <v>0</v>
      </c>
      <c r="AU40" s="26">
        <f>Construction!AQ40+Imps!AR40-BF40</f>
        <v>0</v>
      </c>
      <c r="AV40" s="26">
        <f>Magic!AD40</f>
        <v>0</v>
      </c>
      <c r="AW40" s="26">
        <f ca="1">Military!AV40+Imps!AS40-BG40</f>
        <v>0</v>
      </c>
      <c r="AX40" s="26">
        <f>Imps!AT40-BH40</f>
        <v>0</v>
      </c>
      <c r="AY40" s="26">
        <f ca="1">Military!AZ40</f>
        <v>0</v>
      </c>
      <c r="AZ40" s="57">
        <f ca="1">Military!BA40</f>
        <v>0</v>
      </c>
      <c r="BB40" s="56" t="b">
        <f t="shared" si="27"/>
        <v>0</v>
      </c>
      <c r="BC40" s="332"/>
      <c r="BD40" s="974">
        <v>38</v>
      </c>
      <c r="BE40" s="332"/>
      <c r="BF40" s="370"/>
      <c r="BG40" s="370"/>
      <c r="BH40" s="740"/>
      <c r="BI40" s="1031">
        <f t="shared" si="33"/>
        <v>43768.385416666577</v>
      </c>
      <c r="BJ40" s="159" t="str">
        <f t="shared" si="20"/>
        <v/>
      </c>
      <c r="BK40" s="26">
        <f t="shared" ca="1" si="16"/>
        <v>4661656</v>
      </c>
      <c r="BL40" s="26">
        <f t="shared" ca="1" si="9"/>
        <v>176960</v>
      </c>
      <c r="BM40" s="26">
        <f t="shared" ca="1" si="10"/>
        <v>322390</v>
      </c>
      <c r="BN40" s="26">
        <f t="shared" ca="1" si="11"/>
        <v>42375</v>
      </c>
      <c r="BO40" s="57">
        <f t="shared" ca="1" si="12"/>
        <v>300000</v>
      </c>
    </row>
    <row r="41" spans="1:67" s="16" customFormat="1" x14ac:dyDescent="0.25">
      <c r="A41" s="982">
        <v>39</v>
      </c>
      <c r="B41" s="812">
        <f>Imps!L41</f>
        <v>43768.395833333241</v>
      </c>
      <c r="C41" s="332"/>
      <c r="D41" s="830"/>
      <c r="E41" s="56">
        <f>Construction!E41</f>
        <v>1000</v>
      </c>
      <c r="F41" s="26">
        <f ca="1">Population!$C41</f>
        <v>1845</v>
      </c>
      <c r="G41" s="26">
        <f ca="1">Military!EM41</f>
        <v>20900</v>
      </c>
      <c r="H41" s="26">
        <f ca="1">H40+S40 - AT41 + IF(AND(C40=1,ISNUMBER(MATCH(race,plat_db,0))),Population!C40*4)</f>
        <v>4666637</v>
      </c>
      <c r="I41" s="26">
        <f ca="1">I40+T40-AY41 +  IF(AND(C40=1,ISNUMBER(MATCH(race,food_db,0))),Population!C40*4)</f>
        <v>180445</v>
      </c>
      <c r="J41" s="26">
        <f t="shared" ca="1" si="17"/>
        <v>321666</v>
      </c>
      <c r="K41" s="26">
        <f ca="1">K40+V40 - AV41 + IF(AND(C40=1,ISNUMBER(MATCH(race,mana_db,0))),Population!C40*4)</f>
        <v>42778</v>
      </c>
      <c r="L41" s="26">
        <f ca="1">L40+W40 - AW41 + IF(AND(C40=1,ISNUMBER(MATCH(race,ore_db,0))),Population!C40*4)</f>
        <v>300000</v>
      </c>
      <c r="M41" s="26">
        <f t="shared" ca="1" si="34"/>
        <v>20000</v>
      </c>
      <c r="N41" s="26">
        <f t="shared" ca="1" si="18"/>
        <v>200</v>
      </c>
      <c r="O41" s="26">
        <f t="shared" si="19"/>
        <v>500</v>
      </c>
      <c r="P41" s="26">
        <f>ROUNDDOWN(P40+MAX(Construction!BO41/2,Construction!BO41*(1-Construction!BO41/(E41-Explore!S41*20)))-Q41*SUM(Techs!AY41:BY41),0)</f>
        <v>0</v>
      </c>
      <c r="Q41" s="166">
        <f>MAX(min_tech_cost,ROUNDDOWN(tech_cost_per_acre*Construction!E41,0))</f>
        <v>5000</v>
      </c>
      <c r="S41" s="152">
        <f t="shared" ca="1" si="21"/>
        <v>4981</v>
      </c>
      <c r="T41" s="164">
        <f t="shared" ca="1" si="28"/>
        <v>3451</v>
      </c>
      <c r="U41" s="164">
        <f t="shared" ca="1" si="29"/>
        <v>-717</v>
      </c>
      <c r="V41" s="164">
        <f t="shared" ca="1" si="30"/>
        <v>394</v>
      </c>
      <c r="W41" s="164">
        <f t="shared" ca="1" si="25"/>
        <v>0</v>
      </c>
      <c r="X41" s="164">
        <f t="shared" ca="1" si="26"/>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4">
        <f ca="1">race_food_bonus + IF(Magic!AO41&gt;0,gaias_blessing_food,IF(Magic!AG41&gt;0,gaias_watch_bonus)) + Imps!AD41+tech_production_food*Techs!W41 + O41/100*prestige_food_bonus</f>
        <v>0.1</v>
      </c>
      <c r="AJ41" s="267">
        <f ca="1">race_lumber_bonus+ IF(Magic!AO41&gt;0,gaias_blessing_lumber)+tech_fruits_of_labor1*Techs!AP41</f>
        <v>0</v>
      </c>
      <c r="AK41" s="267">
        <f ca="1">race_mana_bonus+tech_enchanted_lands_mana*Techs!AT41</f>
        <v>0</v>
      </c>
      <c r="AL41" s="267">
        <f ca="1">race_ore_bonus + IF(Magic!AL41&gt;0,miners_sight_bonus,IF(Magic!AH41&gt;0,mining_strength_bonus))+tech_fruits_of_labor1*Techs!AP41</f>
        <v>0</v>
      </c>
      <c r="AM41" s="193">
        <f ca="1">race_gem_bonus+MAX(tech_production_gems*Techs!X41,tech_fruits_of_labor_gems*Techs!AP41)</f>
        <v>0</v>
      </c>
      <c r="AO41" s="56">
        <f ca="1">I41*food_decay*IF(Magic!AZ41&gt;0,0.5,1)</f>
        <v>1804.45</v>
      </c>
      <c r="AP41" s="26">
        <f ca="1">(1+race_food_consumption)*Population!F41*food_per_person</f>
        <v>1785</v>
      </c>
      <c r="AQ41" s="26">
        <f t="shared" ca="1" si="31"/>
        <v>3216.66</v>
      </c>
      <c r="AR41" s="57">
        <f t="shared" ca="1" si="32"/>
        <v>855.56000000000006</v>
      </c>
      <c r="AS41" s="26"/>
      <c r="AT41" s="56">
        <f ca="1">Explore!AH41+Construction!AP41+Military!AU41+Rezone!Y41+Imps!AQ41-BE41</f>
        <v>0</v>
      </c>
      <c r="AU41" s="26">
        <f>Construction!AQ41+Imps!AR41-BF41</f>
        <v>0</v>
      </c>
      <c r="AV41" s="26">
        <f>Magic!AD41</f>
        <v>0</v>
      </c>
      <c r="AW41" s="26">
        <f ca="1">Military!AV41+Imps!AS41-BG41</f>
        <v>0</v>
      </c>
      <c r="AX41" s="26">
        <f>Imps!AT41-BH41</f>
        <v>0</v>
      </c>
      <c r="AY41" s="26">
        <f ca="1">Military!AZ41</f>
        <v>0</v>
      </c>
      <c r="AZ41" s="57">
        <f ca="1">Military!BA41</f>
        <v>0</v>
      </c>
      <c r="BB41" s="56" t="b">
        <f t="shared" si="27"/>
        <v>0</v>
      </c>
      <c r="BC41" s="332"/>
      <c r="BD41" s="974">
        <v>39</v>
      </c>
      <c r="BE41" s="332"/>
      <c r="BF41" s="370"/>
      <c r="BG41" s="370"/>
      <c r="BH41" s="740"/>
      <c r="BI41" s="1031">
        <f t="shared" si="33"/>
        <v>43768.395833333241</v>
      </c>
      <c r="BJ41" s="159" t="str">
        <f t="shared" si="20"/>
        <v/>
      </c>
      <c r="BK41" s="26">
        <f t="shared" ca="1" si="16"/>
        <v>4666637</v>
      </c>
      <c r="BL41" s="26">
        <f t="shared" ca="1" si="9"/>
        <v>180445</v>
      </c>
      <c r="BM41" s="26">
        <f t="shared" ca="1" si="10"/>
        <v>321666</v>
      </c>
      <c r="BN41" s="26">
        <f t="shared" ca="1" si="11"/>
        <v>42778</v>
      </c>
      <c r="BO41" s="57">
        <f t="shared" ca="1" si="12"/>
        <v>300000</v>
      </c>
    </row>
    <row r="42" spans="1:67" s="16" customFormat="1" x14ac:dyDescent="0.25">
      <c r="A42" s="982">
        <v>40</v>
      </c>
      <c r="B42" s="812">
        <f>Imps!L42</f>
        <v>43768.406249999905</v>
      </c>
      <c r="C42" s="332"/>
      <c r="D42" s="830"/>
      <c r="E42" s="56">
        <f>Construction!E42</f>
        <v>1000</v>
      </c>
      <c r="F42" s="26">
        <f ca="1">Population!$C42</f>
        <v>1845</v>
      </c>
      <c r="G42" s="26">
        <f ca="1">Military!EM42</f>
        <v>20900</v>
      </c>
      <c r="H42" s="26">
        <f ca="1">H41+S41 - AT42 + IF(AND(C41=1,ISNUMBER(MATCH(race,plat_db,0))),Population!C41*4)</f>
        <v>4671618</v>
      </c>
      <c r="I42" s="26">
        <f ca="1">I41+T41-AY42 +  IF(AND(C41=1,ISNUMBER(MATCH(race,food_db,0))),Population!C41*4)</f>
        <v>183896</v>
      </c>
      <c r="J42" s="26">
        <f t="shared" ca="1" si="17"/>
        <v>320949</v>
      </c>
      <c r="K42" s="26">
        <f ca="1">K41+V41 - AV42 + IF(AND(C41=1,ISNUMBER(MATCH(race,mana_db,0))),Population!C41*4)</f>
        <v>43172</v>
      </c>
      <c r="L42" s="26">
        <f ca="1">L41+W41 - AW42 + IF(AND(C41=1,ISNUMBER(MATCH(race,ore_db,0))),Population!C41*4)</f>
        <v>300000</v>
      </c>
      <c r="M42" s="26">
        <f t="shared" ca="1" si="34"/>
        <v>20000</v>
      </c>
      <c r="N42" s="26">
        <f t="shared" ca="1" si="18"/>
        <v>200</v>
      </c>
      <c r="O42" s="26">
        <f t="shared" si="19"/>
        <v>500</v>
      </c>
      <c r="P42" s="26">
        <f>ROUNDDOWN(P41+MAX(Construction!BO42/2,Construction!BO42*(1-Construction!BO42/(E42-Explore!S42*20)))-Q42*SUM(Techs!AY42:BY42),0)</f>
        <v>0</v>
      </c>
      <c r="Q42" s="166">
        <f>MAX(min_tech_cost,ROUNDDOWN(tech_cost_per_acre*Construction!E42,0))</f>
        <v>5000</v>
      </c>
      <c r="S42" s="152">
        <f t="shared" ca="1" si="21"/>
        <v>4981</v>
      </c>
      <c r="T42" s="164">
        <f t="shared" ca="1" si="28"/>
        <v>3416</v>
      </c>
      <c r="U42" s="164">
        <f t="shared" ca="1" si="29"/>
        <v>-709</v>
      </c>
      <c r="V42" s="164">
        <f t="shared" ca="1" si="30"/>
        <v>387</v>
      </c>
      <c r="W42" s="164">
        <f t="shared" ca="1" si="25"/>
        <v>0</v>
      </c>
      <c r="X42" s="164">
        <f t="shared" ca="1" si="26"/>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4">
        <f ca="1">race_food_bonus + IF(Magic!AO42&gt;0,gaias_blessing_food,IF(Magic!AG42&gt;0,gaias_watch_bonus)) + Imps!AD42+tech_production_food*Techs!W42 + O42/100*prestige_food_bonus</f>
        <v>0.1</v>
      </c>
      <c r="AJ42" s="267">
        <f ca="1">race_lumber_bonus+ IF(Magic!AO42&gt;0,gaias_blessing_lumber)+tech_fruits_of_labor1*Techs!AP42</f>
        <v>0</v>
      </c>
      <c r="AK42" s="267">
        <f ca="1">race_mana_bonus+tech_enchanted_lands_mana*Techs!AT42</f>
        <v>0</v>
      </c>
      <c r="AL42" s="267">
        <f ca="1">race_ore_bonus + IF(Magic!AL42&gt;0,miners_sight_bonus,IF(Magic!AH42&gt;0,mining_strength_bonus))+tech_fruits_of_labor1*Techs!AP42</f>
        <v>0</v>
      </c>
      <c r="AM42" s="193">
        <f ca="1">race_gem_bonus+MAX(tech_production_gems*Techs!X42,tech_fruits_of_labor_gems*Techs!AP42)</f>
        <v>0</v>
      </c>
      <c r="AO42" s="56">
        <f ca="1">I42*food_decay*IF(Magic!AZ42&gt;0,0.5,1)</f>
        <v>1838.96</v>
      </c>
      <c r="AP42" s="26">
        <f ca="1">(1+race_food_consumption)*Population!F42*food_per_person</f>
        <v>1785</v>
      </c>
      <c r="AQ42" s="26">
        <f t="shared" ca="1" si="31"/>
        <v>3209.4900000000002</v>
      </c>
      <c r="AR42" s="57">
        <f t="shared" ca="1" si="32"/>
        <v>863.44</v>
      </c>
      <c r="AS42" s="26"/>
      <c r="AT42" s="56">
        <f ca="1">Explore!AH42+Construction!AP42+Military!AU42+Rezone!Y42+Imps!AQ42-BE42</f>
        <v>0</v>
      </c>
      <c r="AU42" s="26">
        <f>Construction!AQ42+Imps!AR42-BF42</f>
        <v>0</v>
      </c>
      <c r="AV42" s="26">
        <f>Magic!AD42</f>
        <v>0</v>
      </c>
      <c r="AW42" s="26">
        <f ca="1">Military!AV42+Imps!AS42-BG42</f>
        <v>0</v>
      </c>
      <c r="AX42" s="26">
        <f>Imps!AT42-BH42</f>
        <v>0</v>
      </c>
      <c r="AY42" s="26">
        <f ca="1">Military!AZ42</f>
        <v>0</v>
      </c>
      <c r="AZ42" s="57">
        <f ca="1">Military!BA42</f>
        <v>0</v>
      </c>
      <c r="BB42" s="56" t="b">
        <f t="shared" si="27"/>
        <v>0</v>
      </c>
      <c r="BC42" s="332"/>
      <c r="BD42" s="974">
        <v>40</v>
      </c>
      <c r="BE42" s="332"/>
      <c r="BF42" s="370"/>
      <c r="BG42" s="370"/>
      <c r="BH42" s="740"/>
      <c r="BI42" s="1031">
        <f t="shared" si="33"/>
        <v>43768.406249999905</v>
      </c>
      <c r="BJ42" s="159" t="str">
        <f t="shared" si="20"/>
        <v/>
      </c>
      <c r="BK42" s="26">
        <f t="shared" ca="1" si="16"/>
        <v>4671618</v>
      </c>
      <c r="BL42" s="26">
        <f t="shared" ca="1" si="9"/>
        <v>183896</v>
      </c>
      <c r="BM42" s="26">
        <f t="shared" ca="1" si="10"/>
        <v>320949</v>
      </c>
      <c r="BN42" s="26">
        <f t="shared" ca="1" si="11"/>
        <v>43172</v>
      </c>
      <c r="BO42" s="57">
        <f t="shared" ca="1" si="12"/>
        <v>300000</v>
      </c>
    </row>
    <row r="43" spans="1:67" s="16" customFormat="1" x14ac:dyDescent="0.25">
      <c r="A43" s="982">
        <v>41</v>
      </c>
      <c r="B43" s="812">
        <f>Imps!L43</f>
        <v>43768.41666666657</v>
      </c>
      <c r="C43" s="332"/>
      <c r="D43" s="830"/>
      <c r="E43" s="56">
        <f>Construction!E43</f>
        <v>1000</v>
      </c>
      <c r="F43" s="26">
        <f ca="1">Population!$C43</f>
        <v>1845</v>
      </c>
      <c r="G43" s="26">
        <f ca="1">Military!EM43</f>
        <v>20900</v>
      </c>
      <c r="H43" s="26">
        <f ca="1">H42+S42 - AT43 + IF(AND(C42=1,ISNUMBER(MATCH(race,plat_db,0))),Population!C42*4)</f>
        <v>4676599</v>
      </c>
      <c r="I43" s="26">
        <f ca="1">I42+T42-AY43 +  IF(AND(C42=1,ISNUMBER(MATCH(race,food_db,0))),Population!C42*4)</f>
        <v>187312</v>
      </c>
      <c r="J43" s="26">
        <f t="shared" ca="1" si="17"/>
        <v>320240</v>
      </c>
      <c r="K43" s="26">
        <f ca="1">K42+V42 - AV43 + IF(AND(C42=1,ISNUMBER(MATCH(race,mana_db,0))),Population!C42*4)</f>
        <v>43559</v>
      </c>
      <c r="L43" s="26">
        <f ca="1">L42+W42 - AW43 + IF(AND(C42=1,ISNUMBER(MATCH(race,ore_db,0))),Population!C42*4)</f>
        <v>300000</v>
      </c>
      <c r="M43" s="26">
        <f t="shared" ca="1" si="34"/>
        <v>20000</v>
      </c>
      <c r="N43" s="26">
        <f t="shared" ca="1" si="18"/>
        <v>200</v>
      </c>
      <c r="O43" s="26">
        <f t="shared" si="19"/>
        <v>500</v>
      </c>
      <c r="P43" s="26">
        <f>ROUNDDOWN(P42+MAX(Construction!BO43/2,Construction!BO43*(1-Construction!BO43/(E43-Explore!S43*20)))-Q43*SUM(Techs!AY43:BY43),0)</f>
        <v>0</v>
      </c>
      <c r="Q43" s="166">
        <f>MAX(min_tech_cost,ROUNDDOWN(tech_cost_per_acre*Construction!E43,0))</f>
        <v>5000</v>
      </c>
      <c r="S43" s="152">
        <f t="shared" ca="1" si="21"/>
        <v>4981</v>
      </c>
      <c r="T43" s="164">
        <f t="shared" ca="1" si="28"/>
        <v>3382</v>
      </c>
      <c r="U43" s="164">
        <f t="shared" ca="1" si="29"/>
        <v>-702</v>
      </c>
      <c r="V43" s="164">
        <f t="shared" ca="1" si="30"/>
        <v>379</v>
      </c>
      <c r="W43" s="164">
        <f t="shared" ca="1" si="25"/>
        <v>0</v>
      </c>
      <c r="X43" s="164">
        <f t="shared" ca="1" si="26"/>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4">
        <f ca="1">race_food_bonus + IF(Magic!AO43&gt;0,gaias_blessing_food,IF(Magic!AG43&gt;0,gaias_watch_bonus)) + Imps!AD43+tech_production_food*Techs!W43 + O43/100*prestige_food_bonus</f>
        <v>0.1</v>
      </c>
      <c r="AJ43" s="267">
        <f ca="1">race_lumber_bonus+ IF(Magic!AO43&gt;0,gaias_blessing_lumber)+tech_fruits_of_labor1*Techs!AP43</f>
        <v>0</v>
      </c>
      <c r="AK43" s="267">
        <f ca="1">race_mana_bonus+tech_enchanted_lands_mana*Techs!AT43</f>
        <v>0</v>
      </c>
      <c r="AL43" s="267">
        <f ca="1">race_ore_bonus + IF(Magic!AL43&gt;0,miners_sight_bonus,IF(Magic!AH43&gt;0,mining_strength_bonus))+tech_fruits_of_labor1*Techs!AP43</f>
        <v>0</v>
      </c>
      <c r="AM43" s="193">
        <f ca="1">race_gem_bonus+MAX(tech_production_gems*Techs!X43,tech_fruits_of_labor_gems*Techs!AP43)</f>
        <v>0</v>
      </c>
      <c r="AO43" s="56">
        <f ca="1">I43*food_decay*IF(Magic!AZ43&gt;0,0.5,1)</f>
        <v>1873.1200000000001</v>
      </c>
      <c r="AP43" s="26">
        <f ca="1">(1+race_food_consumption)*Population!F43*food_per_person</f>
        <v>1785</v>
      </c>
      <c r="AQ43" s="26">
        <f t="shared" ca="1" si="31"/>
        <v>3202.4</v>
      </c>
      <c r="AR43" s="57">
        <f t="shared" ca="1" si="32"/>
        <v>871.18000000000006</v>
      </c>
      <c r="AS43" s="26"/>
      <c r="AT43" s="56">
        <f ca="1">Explore!AH43+Construction!AP43+Military!AU43+Rezone!Y43+Imps!AQ43-BE43</f>
        <v>0</v>
      </c>
      <c r="AU43" s="26">
        <f>Construction!AQ43+Imps!AR43-BF43</f>
        <v>0</v>
      </c>
      <c r="AV43" s="26">
        <f>Magic!AD43</f>
        <v>0</v>
      </c>
      <c r="AW43" s="26">
        <f ca="1">Military!AV43+Imps!AS43-BG43</f>
        <v>0</v>
      </c>
      <c r="AX43" s="26">
        <f>Imps!AT43-BH43</f>
        <v>0</v>
      </c>
      <c r="AY43" s="26">
        <f ca="1">Military!AZ43</f>
        <v>0</v>
      </c>
      <c r="AZ43" s="57">
        <f ca="1">Military!BA43</f>
        <v>0</v>
      </c>
      <c r="BB43" s="56" t="b">
        <f t="shared" si="27"/>
        <v>0</v>
      </c>
      <c r="BC43" s="332"/>
      <c r="BD43" s="974">
        <v>41</v>
      </c>
      <c r="BE43" s="332"/>
      <c r="BF43" s="370"/>
      <c r="BG43" s="370"/>
      <c r="BH43" s="740"/>
      <c r="BI43" s="1031">
        <f t="shared" si="33"/>
        <v>43768.41666666657</v>
      </c>
      <c r="BJ43" s="159" t="str">
        <f t="shared" si="20"/>
        <v/>
      </c>
      <c r="BK43" s="26">
        <f t="shared" ca="1" si="16"/>
        <v>4676599</v>
      </c>
      <c r="BL43" s="26">
        <f t="shared" ca="1" si="9"/>
        <v>187312</v>
      </c>
      <c r="BM43" s="26">
        <f t="shared" ca="1" si="10"/>
        <v>320240</v>
      </c>
      <c r="BN43" s="26">
        <f t="shared" ca="1" si="11"/>
        <v>43559</v>
      </c>
      <c r="BO43" s="57">
        <f t="shared" ca="1" si="12"/>
        <v>300000</v>
      </c>
    </row>
    <row r="44" spans="1:67" s="16" customFormat="1" x14ac:dyDescent="0.25">
      <c r="A44" s="982">
        <v>42</v>
      </c>
      <c r="B44" s="812">
        <f>Imps!L44</f>
        <v>43768.427083333234</v>
      </c>
      <c r="C44" s="332"/>
      <c r="D44" s="830"/>
      <c r="E44" s="56">
        <f>Construction!E44</f>
        <v>1000</v>
      </c>
      <c r="F44" s="26">
        <f ca="1">Population!$C44</f>
        <v>1845</v>
      </c>
      <c r="G44" s="26">
        <f ca="1">Military!EM44</f>
        <v>20900</v>
      </c>
      <c r="H44" s="26">
        <f ca="1">H43+S43 - AT44 + IF(AND(C43=1,ISNUMBER(MATCH(race,plat_db,0))),Population!C43*4)</f>
        <v>4681580</v>
      </c>
      <c r="I44" s="26">
        <f ca="1">I43+T43-AY44 +  IF(AND(C43=1,ISNUMBER(MATCH(race,food_db,0))),Population!C43*4)</f>
        <v>190694</v>
      </c>
      <c r="J44" s="26">
        <f t="shared" ca="1" si="17"/>
        <v>319538</v>
      </c>
      <c r="K44" s="26">
        <f ca="1">K43+V43 - AV44 + IF(AND(C43=1,ISNUMBER(MATCH(race,mana_db,0))),Population!C43*4)</f>
        <v>43938</v>
      </c>
      <c r="L44" s="26">
        <f ca="1">L43+W43 - AW44 + IF(AND(C43=1,ISNUMBER(MATCH(race,ore_db,0))),Population!C43*4)</f>
        <v>300000</v>
      </c>
      <c r="M44" s="26">
        <f t="shared" ca="1" si="34"/>
        <v>20000</v>
      </c>
      <c r="N44" s="26">
        <f t="shared" ca="1" si="18"/>
        <v>200</v>
      </c>
      <c r="O44" s="26">
        <f t="shared" si="19"/>
        <v>500</v>
      </c>
      <c r="P44" s="26">
        <f>ROUNDDOWN(P43+MAX(Construction!BO44/2,Construction!BO44*(1-Construction!BO44/(E44-Explore!S44*20)))-Q44*SUM(Techs!AY44:BY44),0)</f>
        <v>0</v>
      </c>
      <c r="Q44" s="166">
        <f>MAX(min_tech_cost,ROUNDDOWN(tech_cost_per_acre*Construction!E44,0))</f>
        <v>5000</v>
      </c>
      <c r="S44" s="152">
        <f t="shared" ca="1" si="21"/>
        <v>4981</v>
      </c>
      <c r="T44" s="164">
        <f t="shared" ca="1" si="28"/>
        <v>3348</v>
      </c>
      <c r="U44" s="164">
        <f t="shared" ca="1" si="29"/>
        <v>-695</v>
      </c>
      <c r="V44" s="164">
        <f t="shared" ca="1" si="30"/>
        <v>371</v>
      </c>
      <c r="W44" s="164">
        <f t="shared" ca="1" si="25"/>
        <v>0</v>
      </c>
      <c r="X44" s="164">
        <f t="shared" ca="1" si="26"/>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4">
        <f ca="1">race_food_bonus + IF(Magic!AO44&gt;0,gaias_blessing_food,IF(Magic!AG44&gt;0,gaias_watch_bonus)) + Imps!AD44+tech_production_food*Techs!W44 + O44/100*prestige_food_bonus</f>
        <v>0.1</v>
      </c>
      <c r="AJ44" s="267">
        <f ca="1">race_lumber_bonus+ IF(Magic!AO44&gt;0,gaias_blessing_lumber)+tech_fruits_of_labor1*Techs!AP44</f>
        <v>0</v>
      </c>
      <c r="AK44" s="267">
        <f ca="1">race_mana_bonus+tech_enchanted_lands_mana*Techs!AT44</f>
        <v>0</v>
      </c>
      <c r="AL44" s="267">
        <f ca="1">race_ore_bonus + IF(Magic!AL44&gt;0,miners_sight_bonus,IF(Magic!AH44&gt;0,mining_strength_bonus))+tech_fruits_of_labor1*Techs!AP44</f>
        <v>0</v>
      </c>
      <c r="AM44" s="193">
        <f ca="1">race_gem_bonus+MAX(tech_production_gems*Techs!X44,tech_fruits_of_labor_gems*Techs!AP44)</f>
        <v>0</v>
      </c>
      <c r="AO44" s="56">
        <f ca="1">I44*food_decay*IF(Magic!AZ44&gt;0,0.5,1)</f>
        <v>1906.94</v>
      </c>
      <c r="AP44" s="26">
        <f ca="1">(1+race_food_consumption)*Population!F44*food_per_person</f>
        <v>1785</v>
      </c>
      <c r="AQ44" s="26">
        <f t="shared" ca="1" si="31"/>
        <v>3195.38</v>
      </c>
      <c r="AR44" s="57">
        <f t="shared" ca="1" si="32"/>
        <v>878.76</v>
      </c>
      <c r="AS44" s="26"/>
      <c r="AT44" s="56">
        <f ca="1">Explore!AH44+Construction!AP44+Military!AU44+Rezone!Y44+Imps!AQ44-BE44</f>
        <v>0</v>
      </c>
      <c r="AU44" s="26">
        <f>Construction!AQ44+Imps!AR44-BF44</f>
        <v>0</v>
      </c>
      <c r="AV44" s="26">
        <f>Magic!AD44</f>
        <v>0</v>
      </c>
      <c r="AW44" s="26">
        <f ca="1">Military!AV44+Imps!AS44-BG44</f>
        <v>0</v>
      </c>
      <c r="AX44" s="26">
        <f>Imps!AT44-BH44</f>
        <v>0</v>
      </c>
      <c r="AY44" s="26">
        <f ca="1">Military!AZ44</f>
        <v>0</v>
      </c>
      <c r="AZ44" s="57">
        <f ca="1">Military!BA44</f>
        <v>0</v>
      </c>
      <c r="BB44" s="56" t="b">
        <f t="shared" si="27"/>
        <v>0</v>
      </c>
      <c r="BC44" s="332"/>
      <c r="BD44" s="974">
        <v>42</v>
      </c>
      <c r="BE44" s="332"/>
      <c r="BF44" s="370"/>
      <c r="BG44" s="370"/>
      <c r="BH44" s="740"/>
      <c r="BI44" s="1031">
        <f t="shared" si="33"/>
        <v>43768.427083333234</v>
      </c>
      <c r="BJ44" s="159" t="str">
        <f t="shared" si="20"/>
        <v/>
      </c>
      <c r="BK44" s="26">
        <f t="shared" ca="1" si="16"/>
        <v>4681580</v>
      </c>
      <c r="BL44" s="26">
        <f t="shared" ca="1" si="9"/>
        <v>190694</v>
      </c>
      <c r="BM44" s="26">
        <f t="shared" ca="1" si="10"/>
        <v>319538</v>
      </c>
      <c r="BN44" s="26">
        <f t="shared" ca="1" si="11"/>
        <v>43938</v>
      </c>
      <c r="BO44" s="57">
        <f t="shared" ca="1" si="12"/>
        <v>300000</v>
      </c>
    </row>
    <row r="45" spans="1:67" s="16" customFormat="1" x14ac:dyDescent="0.25">
      <c r="A45" s="982">
        <v>43</v>
      </c>
      <c r="B45" s="812">
        <f>Imps!L45</f>
        <v>43768.437499999898</v>
      </c>
      <c r="C45" s="332"/>
      <c r="D45" s="830"/>
      <c r="E45" s="56">
        <f>Construction!E45</f>
        <v>1000</v>
      </c>
      <c r="F45" s="26">
        <f ca="1">Population!$C45</f>
        <v>1845</v>
      </c>
      <c r="G45" s="26">
        <f ca="1">Military!EM45</f>
        <v>20900</v>
      </c>
      <c r="H45" s="26">
        <f ca="1">H44+S44 - AT45 + IF(AND(C44=1,ISNUMBER(MATCH(race,plat_db,0))),Population!C44*4)</f>
        <v>4686561</v>
      </c>
      <c r="I45" s="26">
        <f ca="1">I44+T44-AY45 +  IF(AND(C44=1,ISNUMBER(MATCH(race,food_db,0))),Population!C44*4)</f>
        <v>194042</v>
      </c>
      <c r="J45" s="26">
        <f t="shared" ca="1" si="17"/>
        <v>318843</v>
      </c>
      <c r="K45" s="26">
        <f ca="1">K44+V44 - AV45 + IF(AND(C44=1,ISNUMBER(MATCH(race,mana_db,0))),Population!C44*4)</f>
        <v>44309</v>
      </c>
      <c r="L45" s="26">
        <f ca="1">L44+W44 - AW45 + IF(AND(C44=1,ISNUMBER(MATCH(race,ore_db,0))),Population!C44*4)</f>
        <v>300000</v>
      </c>
      <c r="M45" s="26">
        <f t="shared" ca="1" si="34"/>
        <v>20000</v>
      </c>
      <c r="N45" s="26">
        <f t="shared" ca="1" si="18"/>
        <v>200</v>
      </c>
      <c r="O45" s="26">
        <f t="shared" si="19"/>
        <v>500</v>
      </c>
      <c r="P45" s="26">
        <f>ROUNDDOWN(P44+MAX(Construction!BO45/2,Construction!BO45*(1-Construction!BO45/(E45-Explore!S45*20)))-Q45*SUM(Techs!AY45:BY45),0)</f>
        <v>0</v>
      </c>
      <c r="Q45" s="166">
        <f>MAX(min_tech_cost,ROUNDDOWN(tech_cost_per_acre*Construction!E45,0))</f>
        <v>5000</v>
      </c>
      <c r="S45" s="152">
        <f t="shared" ca="1" si="21"/>
        <v>4981</v>
      </c>
      <c r="T45" s="164">
        <f t="shared" ca="1" si="28"/>
        <v>3315</v>
      </c>
      <c r="U45" s="164">
        <f t="shared" ca="1" si="29"/>
        <v>-688</v>
      </c>
      <c r="V45" s="164">
        <f t="shared" ca="1" si="30"/>
        <v>364</v>
      </c>
      <c r="W45" s="164">
        <f t="shared" ca="1" si="25"/>
        <v>0</v>
      </c>
      <c r="X45" s="164">
        <f t="shared" ca="1" si="26"/>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4">
        <f ca="1">race_food_bonus + IF(Magic!AO45&gt;0,gaias_blessing_food,IF(Magic!AG45&gt;0,gaias_watch_bonus)) + Imps!AD45+tech_production_food*Techs!W45 + O45/100*prestige_food_bonus</f>
        <v>0.1</v>
      </c>
      <c r="AJ45" s="267">
        <f ca="1">race_lumber_bonus+ IF(Magic!AO45&gt;0,gaias_blessing_lumber)+tech_fruits_of_labor1*Techs!AP45</f>
        <v>0</v>
      </c>
      <c r="AK45" s="267">
        <f ca="1">race_mana_bonus+tech_enchanted_lands_mana*Techs!AT45</f>
        <v>0</v>
      </c>
      <c r="AL45" s="267">
        <f ca="1">race_ore_bonus + IF(Magic!AL45&gt;0,miners_sight_bonus,IF(Magic!AH45&gt;0,mining_strength_bonus))+tech_fruits_of_labor1*Techs!AP45</f>
        <v>0</v>
      </c>
      <c r="AM45" s="193">
        <f ca="1">race_gem_bonus+MAX(tech_production_gems*Techs!X45,tech_fruits_of_labor_gems*Techs!AP45)</f>
        <v>0</v>
      </c>
      <c r="AO45" s="56">
        <f ca="1">I45*food_decay*IF(Magic!AZ45&gt;0,0.5,1)</f>
        <v>1940.42</v>
      </c>
      <c r="AP45" s="26">
        <f ca="1">(1+race_food_consumption)*Population!F45*food_per_person</f>
        <v>1785</v>
      </c>
      <c r="AQ45" s="26">
        <f t="shared" ca="1" si="31"/>
        <v>3188.4300000000003</v>
      </c>
      <c r="AR45" s="57">
        <f t="shared" ca="1" si="32"/>
        <v>886.18000000000006</v>
      </c>
      <c r="AS45" s="26"/>
      <c r="AT45" s="56">
        <f ca="1">Explore!AH45+Construction!AP45+Military!AU45+Rezone!Y45+Imps!AQ45-BE45</f>
        <v>0</v>
      </c>
      <c r="AU45" s="26">
        <f>Construction!AQ45+Imps!AR45-BF45</f>
        <v>0</v>
      </c>
      <c r="AV45" s="26">
        <f>Magic!AD45</f>
        <v>0</v>
      </c>
      <c r="AW45" s="26">
        <f ca="1">Military!AV45+Imps!AS45-BG45</f>
        <v>0</v>
      </c>
      <c r="AX45" s="26">
        <f>Imps!AT45-BH45</f>
        <v>0</v>
      </c>
      <c r="AY45" s="26">
        <f ca="1">Military!AZ45</f>
        <v>0</v>
      </c>
      <c r="AZ45" s="57">
        <f ca="1">Military!BA45</f>
        <v>0</v>
      </c>
      <c r="BB45" s="56" t="b">
        <f t="shared" si="27"/>
        <v>0</v>
      </c>
      <c r="BC45" s="332"/>
      <c r="BD45" s="974">
        <v>43</v>
      </c>
      <c r="BE45" s="332"/>
      <c r="BF45" s="370"/>
      <c r="BG45" s="370"/>
      <c r="BH45" s="740"/>
      <c r="BI45" s="1031">
        <f t="shared" si="33"/>
        <v>43768.437499999898</v>
      </c>
      <c r="BJ45" s="159" t="str">
        <f t="shared" si="20"/>
        <v/>
      </c>
      <c r="BK45" s="26">
        <f t="shared" ca="1" si="16"/>
        <v>4686561</v>
      </c>
      <c r="BL45" s="26">
        <f t="shared" ca="1" si="9"/>
        <v>194042</v>
      </c>
      <c r="BM45" s="26">
        <f t="shared" ca="1" si="10"/>
        <v>318843</v>
      </c>
      <c r="BN45" s="26">
        <f t="shared" ca="1" si="11"/>
        <v>44309</v>
      </c>
      <c r="BO45" s="57">
        <f t="shared" ca="1" si="12"/>
        <v>300000</v>
      </c>
    </row>
    <row r="46" spans="1:67" s="16" customFormat="1" x14ac:dyDescent="0.25">
      <c r="A46" s="982">
        <v>44</v>
      </c>
      <c r="B46" s="812">
        <f>Imps!L46</f>
        <v>43768.447916666562</v>
      </c>
      <c r="C46" s="332"/>
      <c r="D46" s="830"/>
      <c r="E46" s="56">
        <f>Construction!E46</f>
        <v>1000</v>
      </c>
      <c r="F46" s="26">
        <f ca="1">Population!$C46</f>
        <v>1845</v>
      </c>
      <c r="G46" s="26">
        <f ca="1">Military!EM46</f>
        <v>20900</v>
      </c>
      <c r="H46" s="26">
        <f ca="1">H45+S45 - AT46 + IF(AND(C45=1,ISNUMBER(MATCH(race,plat_db,0))),Population!C45*4)</f>
        <v>4691542</v>
      </c>
      <c r="I46" s="26">
        <f ca="1">I45+T45-AY46 +  IF(AND(C45=1,ISNUMBER(MATCH(race,food_db,0))),Population!C45*4)</f>
        <v>197357</v>
      </c>
      <c r="J46" s="26">
        <f t="shared" ca="1" si="17"/>
        <v>318155</v>
      </c>
      <c r="K46" s="26">
        <f ca="1">K45+V45 - AV46 + IF(AND(C45=1,ISNUMBER(MATCH(race,mana_db,0))),Population!C45*4)</f>
        <v>44673</v>
      </c>
      <c r="L46" s="26">
        <f ca="1">L45+W45 - AW46 + IF(AND(C45=1,ISNUMBER(MATCH(race,ore_db,0))),Population!C45*4)</f>
        <v>300000</v>
      </c>
      <c r="M46" s="26">
        <f t="shared" ca="1" si="34"/>
        <v>20000</v>
      </c>
      <c r="N46" s="26">
        <f t="shared" ca="1" si="18"/>
        <v>200</v>
      </c>
      <c r="O46" s="26">
        <f t="shared" si="19"/>
        <v>500</v>
      </c>
      <c r="P46" s="26">
        <f>ROUNDDOWN(P45+MAX(Construction!BO46/2,Construction!BO46*(1-Construction!BO46/(E46-Explore!S46*20)))-Q46*SUM(Techs!AY46:BY46),0)</f>
        <v>0</v>
      </c>
      <c r="Q46" s="166">
        <f>MAX(min_tech_cost,ROUNDDOWN(tech_cost_per_acre*Construction!E46,0))</f>
        <v>5000</v>
      </c>
      <c r="S46" s="152">
        <f t="shared" ca="1" si="21"/>
        <v>4981</v>
      </c>
      <c r="T46" s="164">
        <f t="shared" ca="1" si="28"/>
        <v>3281</v>
      </c>
      <c r="U46" s="164">
        <f t="shared" ca="1" si="29"/>
        <v>-682</v>
      </c>
      <c r="V46" s="164">
        <f t="shared" ca="1" si="30"/>
        <v>357</v>
      </c>
      <c r="W46" s="164">
        <f t="shared" ca="1" si="25"/>
        <v>0</v>
      </c>
      <c r="X46" s="164">
        <f t="shared" ca="1" si="26"/>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4">
        <f ca="1">race_food_bonus + IF(Magic!AO46&gt;0,gaias_blessing_food,IF(Magic!AG46&gt;0,gaias_watch_bonus)) + Imps!AD46+tech_production_food*Techs!W46 + O46/100*prestige_food_bonus</f>
        <v>0.1</v>
      </c>
      <c r="AJ46" s="267">
        <f ca="1">race_lumber_bonus+ IF(Magic!AO46&gt;0,gaias_blessing_lumber)+tech_fruits_of_labor1*Techs!AP46</f>
        <v>0</v>
      </c>
      <c r="AK46" s="267">
        <f ca="1">race_mana_bonus+tech_enchanted_lands_mana*Techs!AT46</f>
        <v>0</v>
      </c>
      <c r="AL46" s="267">
        <f ca="1">race_ore_bonus + IF(Magic!AL46&gt;0,miners_sight_bonus,IF(Magic!AH46&gt;0,mining_strength_bonus))+tech_fruits_of_labor1*Techs!AP46</f>
        <v>0</v>
      </c>
      <c r="AM46" s="193">
        <f ca="1">race_gem_bonus+MAX(tech_production_gems*Techs!X46,tech_fruits_of_labor_gems*Techs!AP46)</f>
        <v>0</v>
      </c>
      <c r="AO46" s="56">
        <f ca="1">I46*food_decay*IF(Magic!AZ46&gt;0,0.5,1)</f>
        <v>1973.57</v>
      </c>
      <c r="AP46" s="26">
        <f ca="1">(1+race_food_consumption)*Population!F46*food_per_person</f>
        <v>1785</v>
      </c>
      <c r="AQ46" s="26">
        <f t="shared" ca="1" si="31"/>
        <v>3181.55</v>
      </c>
      <c r="AR46" s="57">
        <f t="shared" ca="1" si="32"/>
        <v>893.46</v>
      </c>
      <c r="AS46" s="26"/>
      <c r="AT46" s="56">
        <f ca="1">Explore!AH46+Construction!AP46+Military!AU46+Rezone!Y46+Imps!AQ46-BE46</f>
        <v>0</v>
      </c>
      <c r="AU46" s="26">
        <f>Construction!AQ46+Imps!AR46-BF46</f>
        <v>0</v>
      </c>
      <c r="AV46" s="26">
        <f>Magic!AD46</f>
        <v>0</v>
      </c>
      <c r="AW46" s="26">
        <f ca="1">Military!AV46+Imps!AS46-BG46</f>
        <v>0</v>
      </c>
      <c r="AX46" s="26">
        <f>Imps!AT46-BH46</f>
        <v>0</v>
      </c>
      <c r="AY46" s="26">
        <f ca="1">Military!AZ46</f>
        <v>0</v>
      </c>
      <c r="AZ46" s="57">
        <f ca="1">Military!BA46</f>
        <v>0</v>
      </c>
      <c r="BB46" s="56" t="b">
        <f t="shared" si="27"/>
        <v>0</v>
      </c>
      <c r="BC46" s="332"/>
      <c r="BD46" s="974">
        <v>44</v>
      </c>
      <c r="BE46" s="332"/>
      <c r="BF46" s="370"/>
      <c r="BG46" s="370"/>
      <c r="BH46" s="740"/>
      <c r="BI46" s="1031">
        <f t="shared" si="33"/>
        <v>43768.447916666562</v>
      </c>
      <c r="BJ46" s="159" t="str">
        <f t="shared" si="20"/>
        <v/>
      </c>
      <c r="BK46" s="26">
        <f t="shared" ca="1" si="16"/>
        <v>4691542</v>
      </c>
      <c r="BL46" s="26">
        <f t="shared" ca="1" si="9"/>
        <v>197357</v>
      </c>
      <c r="BM46" s="26">
        <f t="shared" ca="1" si="10"/>
        <v>318155</v>
      </c>
      <c r="BN46" s="26">
        <f t="shared" ca="1" si="11"/>
        <v>44673</v>
      </c>
      <c r="BO46" s="57">
        <f t="shared" ca="1" si="12"/>
        <v>300000</v>
      </c>
    </row>
    <row r="47" spans="1:67" s="16" customFormat="1" x14ac:dyDescent="0.25">
      <c r="A47" s="982">
        <v>45</v>
      </c>
      <c r="B47" s="812">
        <f>Imps!L47</f>
        <v>43768.458333333227</v>
      </c>
      <c r="C47" s="332"/>
      <c r="D47" s="830"/>
      <c r="E47" s="56">
        <f>Construction!E47</f>
        <v>1000</v>
      </c>
      <c r="F47" s="26">
        <f ca="1">Population!$C47</f>
        <v>1845</v>
      </c>
      <c r="G47" s="26">
        <f ca="1">Military!EM47</f>
        <v>20900</v>
      </c>
      <c r="H47" s="26">
        <f ca="1">H46+S46 - AT47 + IF(AND(C46=1,ISNUMBER(MATCH(race,plat_db,0))),Population!C46*4)</f>
        <v>4696523</v>
      </c>
      <c r="I47" s="26">
        <f ca="1">I46+T46-AY47 +  IF(AND(C46=1,ISNUMBER(MATCH(race,food_db,0))),Population!C46*4)</f>
        <v>200638</v>
      </c>
      <c r="J47" s="26">
        <f t="shared" ca="1" si="17"/>
        <v>317473</v>
      </c>
      <c r="K47" s="26">
        <f ca="1">K46+V46 - AV47 + IF(AND(C46=1,ISNUMBER(MATCH(race,mana_db,0))),Population!C46*4)</f>
        <v>45030</v>
      </c>
      <c r="L47" s="26">
        <f ca="1">L46+W46 - AW47 + IF(AND(C46=1,ISNUMBER(MATCH(race,ore_db,0))),Population!C46*4)</f>
        <v>300000</v>
      </c>
      <c r="M47" s="26">
        <f t="shared" ca="1" si="34"/>
        <v>20000</v>
      </c>
      <c r="N47" s="26">
        <f t="shared" ca="1" si="18"/>
        <v>200</v>
      </c>
      <c r="O47" s="26">
        <f t="shared" si="19"/>
        <v>500</v>
      </c>
      <c r="P47" s="26">
        <f>ROUNDDOWN(P46+MAX(Construction!BO47/2,Construction!BO47*(1-Construction!BO47/(E47-Explore!S47*20)))-Q47*SUM(Techs!AY47:BY47),0)</f>
        <v>0</v>
      </c>
      <c r="Q47" s="166">
        <f>MAX(min_tech_cost,ROUNDDOWN(tech_cost_per_acre*Construction!E47,0))</f>
        <v>5000</v>
      </c>
      <c r="S47" s="152">
        <f t="shared" ca="1" si="21"/>
        <v>4981</v>
      </c>
      <c r="T47" s="164">
        <f t="shared" ca="1" si="28"/>
        <v>3249</v>
      </c>
      <c r="U47" s="164">
        <f t="shared" ca="1" si="29"/>
        <v>-675</v>
      </c>
      <c r="V47" s="164">
        <f t="shared" ca="1" si="30"/>
        <v>349</v>
      </c>
      <c r="W47" s="164">
        <f t="shared" ca="1" si="25"/>
        <v>0</v>
      </c>
      <c r="X47" s="164">
        <f t="shared" ca="1" si="26"/>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4">
        <f ca="1">race_food_bonus + IF(Magic!AO47&gt;0,gaias_blessing_food,IF(Magic!AG47&gt;0,gaias_watch_bonus)) + Imps!AD47+tech_production_food*Techs!W47 + O47/100*prestige_food_bonus</f>
        <v>0.1</v>
      </c>
      <c r="AJ47" s="267">
        <f ca="1">race_lumber_bonus+ IF(Magic!AO47&gt;0,gaias_blessing_lumber)+tech_fruits_of_labor1*Techs!AP47</f>
        <v>0</v>
      </c>
      <c r="AK47" s="267">
        <f ca="1">race_mana_bonus+tech_enchanted_lands_mana*Techs!AT47</f>
        <v>0</v>
      </c>
      <c r="AL47" s="267">
        <f ca="1">race_ore_bonus + IF(Magic!AL47&gt;0,miners_sight_bonus,IF(Magic!AH47&gt;0,mining_strength_bonus))+tech_fruits_of_labor1*Techs!AP47</f>
        <v>0</v>
      </c>
      <c r="AM47" s="193">
        <f ca="1">race_gem_bonus+MAX(tech_production_gems*Techs!X47,tech_fruits_of_labor_gems*Techs!AP47)</f>
        <v>0</v>
      </c>
      <c r="AO47" s="56">
        <f ca="1">I47*food_decay*IF(Magic!AZ47&gt;0,0.5,1)</f>
        <v>2006.38</v>
      </c>
      <c r="AP47" s="26">
        <f ca="1">(1+race_food_consumption)*Population!F47*food_per_person</f>
        <v>1785</v>
      </c>
      <c r="AQ47" s="26">
        <f t="shared" ca="1" si="31"/>
        <v>3174.73</v>
      </c>
      <c r="AR47" s="57">
        <f t="shared" ca="1" si="32"/>
        <v>900.6</v>
      </c>
      <c r="AS47" s="26"/>
      <c r="AT47" s="56">
        <f ca="1">Explore!AH47+Construction!AP47+Military!AU47+Rezone!Y47+Imps!AQ47-BE47</f>
        <v>0</v>
      </c>
      <c r="AU47" s="26">
        <f>Construction!AQ47+Imps!AR47-BF47</f>
        <v>0</v>
      </c>
      <c r="AV47" s="26">
        <f>Magic!AD47</f>
        <v>0</v>
      </c>
      <c r="AW47" s="26">
        <f ca="1">Military!AV47+Imps!AS47-BG47</f>
        <v>0</v>
      </c>
      <c r="AX47" s="26">
        <f>Imps!AT47-BH47</f>
        <v>0</v>
      </c>
      <c r="AY47" s="26">
        <f ca="1">Military!AZ47</f>
        <v>0</v>
      </c>
      <c r="AZ47" s="57">
        <f ca="1">Military!BA47</f>
        <v>0</v>
      </c>
      <c r="BB47" s="56" t="b">
        <f t="shared" si="27"/>
        <v>0</v>
      </c>
      <c r="BC47" s="332"/>
      <c r="BD47" s="974">
        <v>45</v>
      </c>
      <c r="BE47" s="332"/>
      <c r="BF47" s="370"/>
      <c r="BG47" s="370"/>
      <c r="BH47" s="740"/>
      <c r="BI47" s="1031">
        <f t="shared" si="33"/>
        <v>43768.458333333227</v>
      </c>
      <c r="BJ47" s="159" t="str">
        <f t="shared" si="20"/>
        <v/>
      </c>
      <c r="BK47" s="26">
        <f t="shared" ca="1" si="16"/>
        <v>4696523</v>
      </c>
      <c r="BL47" s="26">
        <f t="shared" ca="1" si="9"/>
        <v>200638</v>
      </c>
      <c r="BM47" s="26">
        <f t="shared" ca="1" si="10"/>
        <v>317473</v>
      </c>
      <c r="BN47" s="26">
        <f t="shared" ca="1" si="11"/>
        <v>45030</v>
      </c>
      <c r="BO47" s="57">
        <f t="shared" ca="1" si="12"/>
        <v>300000</v>
      </c>
    </row>
    <row r="48" spans="1:67" s="16" customFormat="1" x14ac:dyDescent="0.25">
      <c r="A48" s="982">
        <v>46</v>
      </c>
      <c r="B48" s="812">
        <f>Imps!L48</f>
        <v>43768.468749999891</v>
      </c>
      <c r="C48" s="332"/>
      <c r="D48" s="830"/>
      <c r="E48" s="56">
        <f>Construction!E48</f>
        <v>1000</v>
      </c>
      <c r="F48" s="26">
        <f ca="1">Population!$C48</f>
        <v>1845</v>
      </c>
      <c r="G48" s="26">
        <f ca="1">Military!EM48</f>
        <v>20900</v>
      </c>
      <c r="H48" s="26">
        <f ca="1">H47+S47 - AT48 + IF(AND(C47=1,ISNUMBER(MATCH(race,plat_db,0))),Population!C47*4)</f>
        <v>4701504</v>
      </c>
      <c r="I48" s="26">
        <f ca="1">I47+T47-AY48 +  IF(AND(C47=1,ISNUMBER(MATCH(race,food_db,0))),Population!C47*4)</f>
        <v>203887</v>
      </c>
      <c r="J48" s="26">
        <f t="shared" ca="1" si="17"/>
        <v>316798</v>
      </c>
      <c r="K48" s="26">
        <f ca="1">K47+V47 - AV48 + IF(AND(C47=1,ISNUMBER(MATCH(race,mana_db,0))),Population!C47*4)</f>
        <v>45379</v>
      </c>
      <c r="L48" s="26">
        <f ca="1">L47+W47 - AW48 + IF(AND(C47=1,ISNUMBER(MATCH(race,ore_db,0))),Population!C47*4)</f>
        <v>300000</v>
      </c>
      <c r="M48" s="26">
        <f t="shared" ca="1" si="34"/>
        <v>20000</v>
      </c>
      <c r="N48" s="26">
        <f t="shared" ca="1" si="18"/>
        <v>200</v>
      </c>
      <c r="O48" s="26">
        <f t="shared" si="19"/>
        <v>500</v>
      </c>
      <c r="P48" s="26">
        <f>ROUNDDOWN(P47+MAX(Construction!BO48/2,Construction!BO48*(1-Construction!BO48/(E48-Explore!S48*20)))-Q48*SUM(Techs!AY48:BY48),0)</f>
        <v>0</v>
      </c>
      <c r="Q48" s="166">
        <f>MAX(min_tech_cost,ROUNDDOWN(tech_cost_per_acre*Construction!E48,0))</f>
        <v>5000</v>
      </c>
      <c r="S48" s="152">
        <f t="shared" ca="1" si="21"/>
        <v>4981</v>
      </c>
      <c r="T48" s="164">
        <f t="shared" ca="1" si="28"/>
        <v>3216</v>
      </c>
      <c r="U48" s="164">
        <f t="shared" ca="1" si="29"/>
        <v>-668</v>
      </c>
      <c r="V48" s="164">
        <f t="shared" ca="1" si="30"/>
        <v>342</v>
      </c>
      <c r="W48" s="164">
        <f t="shared" ca="1" si="25"/>
        <v>0</v>
      </c>
      <c r="X48" s="164">
        <f t="shared" ca="1" si="26"/>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4">
        <f ca="1">race_food_bonus + IF(Magic!AO48&gt;0,gaias_blessing_food,IF(Magic!AG48&gt;0,gaias_watch_bonus)) + Imps!AD48+tech_production_food*Techs!W48 + O48/100*prestige_food_bonus</f>
        <v>0.1</v>
      </c>
      <c r="AJ48" s="267">
        <f ca="1">race_lumber_bonus+ IF(Magic!AO48&gt;0,gaias_blessing_lumber)+tech_fruits_of_labor1*Techs!AP48</f>
        <v>0</v>
      </c>
      <c r="AK48" s="267">
        <f ca="1">race_mana_bonus+tech_enchanted_lands_mana*Techs!AT48</f>
        <v>0</v>
      </c>
      <c r="AL48" s="267">
        <f ca="1">race_ore_bonus + IF(Magic!AL48&gt;0,miners_sight_bonus,IF(Magic!AH48&gt;0,mining_strength_bonus))+tech_fruits_of_labor1*Techs!AP48</f>
        <v>0</v>
      </c>
      <c r="AM48" s="193">
        <f ca="1">race_gem_bonus+MAX(tech_production_gems*Techs!X48,tech_fruits_of_labor_gems*Techs!AP48)</f>
        <v>0</v>
      </c>
      <c r="AO48" s="56">
        <f ca="1">I48*food_decay*IF(Magic!AZ48&gt;0,0.5,1)</f>
        <v>2038.8700000000001</v>
      </c>
      <c r="AP48" s="26">
        <f ca="1">(1+race_food_consumption)*Population!F48*food_per_person</f>
        <v>1785</v>
      </c>
      <c r="AQ48" s="26">
        <f t="shared" ca="1" si="31"/>
        <v>3167.98</v>
      </c>
      <c r="AR48" s="57">
        <f t="shared" ca="1" si="32"/>
        <v>907.58</v>
      </c>
      <c r="AS48" s="26"/>
      <c r="AT48" s="56">
        <f ca="1">Explore!AH48+Construction!AP48+Military!AU48+Rezone!Y48+Imps!AQ48-BE48</f>
        <v>0</v>
      </c>
      <c r="AU48" s="26">
        <f>Construction!AQ48+Imps!AR48-BF48</f>
        <v>0</v>
      </c>
      <c r="AV48" s="26">
        <f>Magic!AD48</f>
        <v>0</v>
      </c>
      <c r="AW48" s="26">
        <f ca="1">Military!AV48+Imps!AS48-BG48</f>
        <v>0</v>
      </c>
      <c r="AX48" s="26">
        <f>Imps!AT48-BH48</f>
        <v>0</v>
      </c>
      <c r="AY48" s="26">
        <f ca="1">Military!AZ48</f>
        <v>0</v>
      </c>
      <c r="AZ48" s="57">
        <f ca="1">Military!BA48</f>
        <v>0</v>
      </c>
      <c r="BB48" s="56" t="b">
        <f t="shared" si="27"/>
        <v>0</v>
      </c>
      <c r="BC48" s="332"/>
      <c r="BD48" s="974">
        <v>46</v>
      </c>
      <c r="BE48" s="332"/>
      <c r="BF48" s="370"/>
      <c r="BG48" s="370"/>
      <c r="BH48" s="740"/>
      <c r="BI48" s="1031">
        <f t="shared" si="33"/>
        <v>43768.468749999891</v>
      </c>
      <c r="BJ48" s="159" t="str">
        <f t="shared" si="20"/>
        <v/>
      </c>
      <c r="BK48" s="26">
        <f t="shared" ca="1" si="16"/>
        <v>4701504</v>
      </c>
      <c r="BL48" s="26">
        <f t="shared" ca="1" si="9"/>
        <v>203887</v>
      </c>
      <c r="BM48" s="26">
        <f t="shared" ca="1" si="10"/>
        <v>316798</v>
      </c>
      <c r="BN48" s="26">
        <f t="shared" ca="1" si="11"/>
        <v>45379</v>
      </c>
      <c r="BO48" s="57">
        <f t="shared" ca="1" si="12"/>
        <v>300000</v>
      </c>
    </row>
    <row r="49" spans="1:67" s="16" customFormat="1" x14ac:dyDescent="0.25">
      <c r="A49" s="982">
        <v>47</v>
      </c>
      <c r="B49" s="812">
        <f>Imps!L49</f>
        <v>43768.479166666555</v>
      </c>
      <c r="C49" s="332"/>
      <c r="D49" s="830"/>
      <c r="E49" s="56">
        <f>Construction!E49</f>
        <v>1000</v>
      </c>
      <c r="F49" s="26">
        <f ca="1">Population!$C49</f>
        <v>1845</v>
      </c>
      <c r="G49" s="26">
        <f ca="1">Military!EM49</f>
        <v>20900</v>
      </c>
      <c r="H49" s="26">
        <f ca="1">H48+S48 - AT49 + IF(AND(C48=1,ISNUMBER(MATCH(race,plat_db,0))),Population!C48*4)</f>
        <v>4706485</v>
      </c>
      <c r="I49" s="26">
        <f ca="1">I48+T48-AY49 +  IF(AND(C48=1,ISNUMBER(MATCH(race,food_db,0))),Population!C48*4)</f>
        <v>207103</v>
      </c>
      <c r="J49" s="26">
        <f t="shared" ca="1" si="17"/>
        <v>316130</v>
      </c>
      <c r="K49" s="26">
        <f ca="1">K48+V48 - AV49 + IF(AND(C48=1,ISNUMBER(MATCH(race,mana_db,0))),Population!C48*4)</f>
        <v>45721</v>
      </c>
      <c r="L49" s="26">
        <f ca="1">L48+W48 - AW49 + IF(AND(C48=1,ISNUMBER(MATCH(race,ore_db,0))),Population!C48*4)</f>
        <v>300000</v>
      </c>
      <c r="M49" s="26">
        <f t="shared" ca="1" si="34"/>
        <v>20000</v>
      </c>
      <c r="N49" s="26">
        <f t="shared" ca="1" si="18"/>
        <v>200</v>
      </c>
      <c r="O49" s="26">
        <f t="shared" si="19"/>
        <v>500</v>
      </c>
      <c r="P49" s="26">
        <f>ROUNDDOWN(P48+MAX(Construction!BO49/2,Construction!BO49*(1-Construction!BO49/(E49-Explore!S49*20)))-Q49*SUM(Techs!AY49:BY49),0)</f>
        <v>0</v>
      </c>
      <c r="Q49" s="166">
        <f>MAX(min_tech_cost,ROUNDDOWN(tech_cost_per_acre*Construction!E49,0))</f>
        <v>5000</v>
      </c>
      <c r="S49" s="152">
        <f t="shared" ca="1" si="21"/>
        <v>4981</v>
      </c>
      <c r="T49" s="164">
        <f t="shared" ca="1" si="28"/>
        <v>3184</v>
      </c>
      <c r="U49" s="164">
        <f t="shared" ca="1" si="29"/>
        <v>-661</v>
      </c>
      <c r="V49" s="164">
        <f t="shared" ca="1" si="30"/>
        <v>336</v>
      </c>
      <c r="W49" s="164">
        <f t="shared" ca="1" si="25"/>
        <v>0</v>
      </c>
      <c r="X49" s="164">
        <f t="shared" ca="1" si="26"/>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4">
        <f ca="1">race_food_bonus + IF(Magic!AO49&gt;0,gaias_blessing_food,IF(Magic!AG49&gt;0,gaias_watch_bonus)) + Imps!AD49+tech_production_food*Techs!W49 + O49/100*prestige_food_bonus</f>
        <v>0.1</v>
      </c>
      <c r="AJ49" s="267">
        <f ca="1">race_lumber_bonus+ IF(Magic!AO49&gt;0,gaias_blessing_lumber)+tech_fruits_of_labor1*Techs!AP49</f>
        <v>0</v>
      </c>
      <c r="AK49" s="267">
        <f ca="1">race_mana_bonus+tech_enchanted_lands_mana*Techs!AT49</f>
        <v>0</v>
      </c>
      <c r="AL49" s="267">
        <f ca="1">race_ore_bonus + IF(Magic!AL49&gt;0,miners_sight_bonus,IF(Magic!AH49&gt;0,mining_strength_bonus))+tech_fruits_of_labor1*Techs!AP49</f>
        <v>0</v>
      </c>
      <c r="AM49" s="193">
        <f ca="1">race_gem_bonus+MAX(tech_production_gems*Techs!X49,tech_fruits_of_labor_gems*Techs!AP49)</f>
        <v>0</v>
      </c>
      <c r="AO49" s="56">
        <f ca="1">I49*food_decay*IF(Magic!AZ49&gt;0,0.5,1)</f>
        <v>2071.0300000000002</v>
      </c>
      <c r="AP49" s="26">
        <f ca="1">(1+race_food_consumption)*Population!F49*food_per_person</f>
        <v>1785</v>
      </c>
      <c r="AQ49" s="26">
        <f t="shared" ca="1" si="31"/>
        <v>3161.3</v>
      </c>
      <c r="AR49" s="57">
        <f t="shared" ca="1" si="32"/>
        <v>914.42000000000007</v>
      </c>
      <c r="AS49" s="26"/>
      <c r="AT49" s="56">
        <f ca="1">Explore!AH49+Construction!AP49+Military!AU49+Rezone!Y49+Imps!AQ49-BE49</f>
        <v>0</v>
      </c>
      <c r="AU49" s="26">
        <f>Construction!AQ49+Imps!AR49-BF49</f>
        <v>0</v>
      </c>
      <c r="AV49" s="26">
        <f>Magic!AD49</f>
        <v>0</v>
      </c>
      <c r="AW49" s="26">
        <f ca="1">Military!AV49+Imps!AS49-BG49</f>
        <v>0</v>
      </c>
      <c r="AX49" s="26">
        <f>Imps!AT49-BH49</f>
        <v>0</v>
      </c>
      <c r="AY49" s="26">
        <f ca="1">Military!AZ49</f>
        <v>0</v>
      </c>
      <c r="AZ49" s="57">
        <f ca="1">Military!BA49</f>
        <v>0</v>
      </c>
      <c r="BB49" s="56" t="b">
        <f t="shared" si="27"/>
        <v>0</v>
      </c>
      <c r="BC49" s="332"/>
      <c r="BD49" s="974">
        <v>47</v>
      </c>
      <c r="BE49" s="332"/>
      <c r="BF49" s="370"/>
      <c r="BG49" s="370"/>
      <c r="BH49" s="740"/>
      <c r="BI49" s="1031">
        <f t="shared" si="33"/>
        <v>43768.479166666555</v>
      </c>
      <c r="BJ49" s="159" t="str">
        <f t="shared" si="20"/>
        <v/>
      </c>
      <c r="BK49" s="26">
        <f t="shared" ca="1" si="16"/>
        <v>4706485</v>
      </c>
      <c r="BL49" s="26">
        <f t="shared" ca="1" si="9"/>
        <v>207103</v>
      </c>
      <c r="BM49" s="26">
        <f t="shared" ca="1" si="10"/>
        <v>316130</v>
      </c>
      <c r="BN49" s="26">
        <f t="shared" ca="1" si="11"/>
        <v>45721</v>
      </c>
      <c r="BO49" s="57">
        <f t="shared" ca="1" si="12"/>
        <v>300000</v>
      </c>
    </row>
    <row r="50" spans="1:67" s="16" customFormat="1" ht="13.8" thickBot="1" x14ac:dyDescent="0.3">
      <c r="A50" s="982">
        <v>48</v>
      </c>
      <c r="B50" s="530">
        <f>Imps!L50</f>
        <v>43768.489583333219</v>
      </c>
      <c r="C50" s="332"/>
      <c r="D50" s="830"/>
      <c r="E50" s="56">
        <f>Construction!E50</f>
        <v>1000</v>
      </c>
      <c r="F50" s="26">
        <f ca="1">Population!$C50</f>
        <v>1845</v>
      </c>
      <c r="G50" s="26">
        <f ca="1">Military!EM50</f>
        <v>20900</v>
      </c>
      <c r="H50" s="26">
        <f ca="1">H49+S49 - AT50 + IF(AND(C49=1,ISNUMBER(MATCH(race,plat_db,0))),Population!C49*4)</f>
        <v>4711466</v>
      </c>
      <c r="I50" s="26">
        <f ca="1">I49+T49-AY50 +  IF(AND(C49=1,ISNUMBER(MATCH(race,food_db,0))),Population!C49*4)</f>
        <v>210287</v>
      </c>
      <c r="J50" s="26">
        <f t="shared" ca="1" si="17"/>
        <v>315469</v>
      </c>
      <c r="K50" s="26">
        <f ca="1">K49+V49 - AV50 + IF(AND(C49=1,ISNUMBER(MATCH(race,mana_db,0))),Population!C49*4)</f>
        <v>46057</v>
      </c>
      <c r="L50" s="26">
        <f ca="1">L49+W49 - AW50 + IF(AND(C49=1,ISNUMBER(MATCH(race,ore_db,0))),Population!C49*4)</f>
        <v>300000</v>
      </c>
      <c r="M50" s="26">
        <f t="shared" ca="1" si="34"/>
        <v>20000</v>
      </c>
      <c r="N50" s="26">
        <f t="shared" ca="1" si="18"/>
        <v>200</v>
      </c>
      <c r="O50" s="26">
        <f t="shared" si="19"/>
        <v>500</v>
      </c>
      <c r="P50" s="26">
        <f>ROUNDDOWN(P49+MAX(Construction!BO50/2,Construction!BO50*(1-Construction!BO50/(E50-Explore!S50*20)))-Q50*SUM(Techs!AY50:BY50),0)</f>
        <v>0</v>
      </c>
      <c r="Q50" s="166">
        <f>MAX(min_tech_cost,ROUNDDOWN(tech_cost_per_acre*Construction!E50,0))</f>
        <v>5000</v>
      </c>
      <c r="S50" s="152">
        <f t="shared" ca="1" si="21"/>
        <v>4981</v>
      </c>
      <c r="T50" s="164">
        <f t="shared" ca="1" si="28"/>
        <v>3152</v>
      </c>
      <c r="U50" s="164">
        <f t="shared" ca="1" si="29"/>
        <v>-655</v>
      </c>
      <c r="V50" s="164">
        <f t="shared" ca="1" si="30"/>
        <v>329</v>
      </c>
      <c r="W50" s="164">
        <f t="shared" ca="1" si="25"/>
        <v>0</v>
      </c>
      <c r="X50" s="164">
        <f t="shared" ca="1" si="26"/>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4">
        <f ca="1">race_food_bonus + IF(Magic!AO50&gt;0,gaias_blessing_food,IF(Magic!AG50&gt;0,gaias_watch_bonus)) + Imps!AD50+tech_production_food*Techs!W50 + O50/100*prestige_food_bonus</f>
        <v>0.1</v>
      </c>
      <c r="AJ50" s="267">
        <f ca="1">race_lumber_bonus+ IF(Magic!AO50&gt;0,gaias_blessing_lumber)+tech_fruits_of_labor1*Techs!AP50</f>
        <v>0</v>
      </c>
      <c r="AK50" s="267">
        <f ca="1">race_mana_bonus+tech_enchanted_lands_mana*Techs!AT50</f>
        <v>0</v>
      </c>
      <c r="AL50" s="267">
        <f ca="1">race_ore_bonus + IF(Magic!AL50&gt;0,miners_sight_bonus,IF(Magic!AH50&gt;0,mining_strength_bonus))+tech_fruits_of_labor1*Techs!AP50</f>
        <v>0</v>
      </c>
      <c r="AM50" s="193">
        <f ca="1">race_gem_bonus+MAX(tech_production_gems*Techs!X50,tech_fruits_of_labor_gems*Techs!AP50)</f>
        <v>0</v>
      </c>
      <c r="AO50" s="56">
        <f ca="1">I50*food_decay*IF(Magic!AZ50&gt;0,0.5,1)</f>
        <v>2102.87</v>
      </c>
      <c r="AP50" s="26">
        <f ca="1">(1+race_food_consumption)*Population!F50*food_per_person</f>
        <v>1785</v>
      </c>
      <c r="AQ50" s="26">
        <f t="shared" ca="1" si="31"/>
        <v>3154.69</v>
      </c>
      <c r="AR50" s="57">
        <f t="shared" ca="1" si="32"/>
        <v>921.14</v>
      </c>
      <c r="AS50" s="26"/>
      <c r="AT50" s="56">
        <f ca="1">Explore!AH50+Construction!AP50+Military!AU50+Rezone!Y50+Imps!AQ50-BE50</f>
        <v>0</v>
      </c>
      <c r="AU50" s="26">
        <f>Construction!AQ50+Imps!AR50-BF50</f>
        <v>0</v>
      </c>
      <c r="AV50" s="26">
        <f>Magic!AD50</f>
        <v>0</v>
      </c>
      <c r="AW50" s="26">
        <f ca="1">Military!AV50+Imps!AS50-BG50</f>
        <v>0</v>
      </c>
      <c r="AX50" s="26">
        <f>Imps!AT50-BH50</f>
        <v>0</v>
      </c>
      <c r="AY50" s="26">
        <f ca="1">Military!AZ50</f>
        <v>0</v>
      </c>
      <c r="AZ50" s="57">
        <f ca="1">Military!BA50</f>
        <v>0</v>
      </c>
      <c r="BB50" s="56" t="b">
        <f t="shared" si="27"/>
        <v>0</v>
      </c>
      <c r="BC50" s="332"/>
      <c r="BD50" s="974">
        <v>48</v>
      </c>
      <c r="BE50" s="332"/>
      <c r="BF50" s="370"/>
      <c r="BG50" s="370"/>
      <c r="BH50" s="740"/>
      <c r="BI50" s="1031">
        <f t="shared" si="33"/>
        <v>43768.489583333219</v>
      </c>
      <c r="BJ50" s="159" t="str">
        <f t="shared" si="20"/>
        <v/>
      </c>
      <c r="BK50" s="26">
        <f t="shared" ca="1" si="16"/>
        <v>4711466</v>
      </c>
      <c r="BL50" s="26">
        <f t="shared" ca="1" si="9"/>
        <v>210287</v>
      </c>
      <c r="BM50" s="26">
        <f t="shared" ca="1" si="10"/>
        <v>315469</v>
      </c>
      <c r="BN50" s="26">
        <f t="shared" ca="1" si="11"/>
        <v>46057</v>
      </c>
      <c r="BO50" s="57">
        <f t="shared" ca="1" si="12"/>
        <v>300000</v>
      </c>
    </row>
    <row r="51" spans="1:67" s="111" customFormat="1" ht="14.4" thickTop="1" thickBot="1" x14ac:dyDescent="0.3">
      <c r="A51" s="986">
        <v>49</v>
      </c>
      <c r="B51" s="778">
        <f>Imps!L51</f>
        <v>43768.499999999884</v>
      </c>
      <c r="C51" s="334"/>
      <c r="D51" s="834"/>
      <c r="E51" s="110">
        <f>Construction!E51</f>
        <v>1000</v>
      </c>
      <c r="F51" s="108">
        <f ca="1">Population!$C51</f>
        <v>1845</v>
      </c>
      <c r="G51" s="108">
        <f ca="1">Military!EM51</f>
        <v>20900</v>
      </c>
      <c r="H51" s="108">
        <f ca="1">H50+S50 - AT51 + IF(AND(C50=1,ISNUMBER(MATCH(race,plat_db,0))),Population!C50*4)</f>
        <v>4716447</v>
      </c>
      <c r="I51" s="108">
        <f ca="1">I50+T50-AY51 +  IF(AND(C50=1,ISNUMBER(MATCH(race,food_db,0))),Population!C50*4)</f>
        <v>213439</v>
      </c>
      <c r="J51" s="108">
        <f t="shared" ca="1" si="17"/>
        <v>314814</v>
      </c>
      <c r="K51" s="108">
        <f ca="1">K50+V50 - AV51 + IF(AND(C50=1,ISNUMBER(MATCH(race,mana_db,0))),Population!C50*4)</f>
        <v>46386</v>
      </c>
      <c r="L51" s="108">
        <f ca="1">L50+W50 - AW51 + IF(AND(C50=1,ISNUMBER(MATCH(race,ore_db,0))),Population!C50*4)</f>
        <v>300000</v>
      </c>
      <c r="M51" s="108">
        <f t="shared" ca="1" si="34"/>
        <v>20000</v>
      </c>
      <c r="N51" s="108">
        <f t="shared" ca="1" si="18"/>
        <v>200</v>
      </c>
      <c r="O51" s="108">
        <f t="shared" si="19"/>
        <v>500</v>
      </c>
      <c r="P51" s="108">
        <f>ROUNDDOWN(P50+MAX(Construction!BO51/2,Construction!BO51*(1-Construction!BO51/(E51-Explore!S51*20)))-Q51*SUM(Techs!AY51:BY51),0)</f>
        <v>0</v>
      </c>
      <c r="Q51" s="109">
        <f>MAX(min_tech_cost,ROUNDDOWN(tech_cost_per_acre*Construction!E51,0))</f>
        <v>5000</v>
      </c>
      <c r="S51" s="273">
        <f t="shared" ca="1" si="21"/>
        <v>4981</v>
      </c>
      <c r="T51" s="277">
        <f t="shared" ca="1" si="28"/>
        <v>3121</v>
      </c>
      <c r="U51" s="277">
        <f t="shared" ca="1" si="29"/>
        <v>-648</v>
      </c>
      <c r="V51" s="277">
        <f t="shared" ca="1" si="30"/>
        <v>322</v>
      </c>
      <c r="W51" s="277">
        <f t="shared" ca="1" si="25"/>
        <v>0</v>
      </c>
      <c r="X51" s="277">
        <f t="shared" ca="1" si="26"/>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57">
        <f ca="1">MIN(race_platinum_bonus + IF(Magic!AJ51&gt;0,midas_bonus) + Imps!Y51 - BB51*0.02+MAX(tech_production_plat*Techs!Y51,tech_treasure_hunt_plat*Techs!AR51), 0.5)</f>
        <v>0</v>
      </c>
      <c r="AI51" s="1158">
        <f ca="1">race_food_bonus + IF(Magic!AO51&gt;0,gaias_blessing_food,IF(Magic!AG51&gt;0,gaias_watch_bonus)) + Imps!AD51+tech_production_food*Techs!W51 + O51/100*prestige_food_bonus</f>
        <v>0.1</v>
      </c>
      <c r="AJ51" s="291">
        <f ca="1">race_lumber_bonus+ IF(Magic!AO51&gt;0,gaias_blessing_lumber)+tech_fruits_of_labor1*Techs!AP51</f>
        <v>0</v>
      </c>
      <c r="AK51" s="291">
        <f ca="1">race_mana_bonus+tech_enchanted_lands_mana*Techs!AT51</f>
        <v>0</v>
      </c>
      <c r="AL51" s="291">
        <f ca="1">race_ore_bonus + IF(Magic!AL51&gt;0,miners_sight_bonus,IF(Magic!AH51&gt;0,mining_strength_bonus))+tech_fruits_of_labor1*Techs!AP51</f>
        <v>0</v>
      </c>
      <c r="AM51" s="1159">
        <f ca="1">race_gem_bonus+MAX(tech_production_gems*Techs!X51,tech_fruits_of_labor_gems*Techs!AP51)</f>
        <v>0</v>
      </c>
      <c r="AO51" s="110">
        <f ca="1">I51*food_decay*IF(Magic!AZ51&gt;0,0.5,1)</f>
        <v>2134.39</v>
      </c>
      <c r="AP51" s="108">
        <f ca="1">(1+race_food_consumption)*Population!F51*food_per_person</f>
        <v>1785</v>
      </c>
      <c r="AQ51" s="108">
        <f t="shared" ca="1" si="31"/>
        <v>3148.14</v>
      </c>
      <c r="AR51" s="109">
        <f t="shared" ca="1" si="32"/>
        <v>927.72</v>
      </c>
      <c r="AS51" s="108"/>
      <c r="AT51" s="110">
        <f ca="1">Explore!AH51+Construction!AP51+Military!AU51+Rezone!Y51+Imps!AQ51-BE51</f>
        <v>0</v>
      </c>
      <c r="AU51" s="108">
        <f>Construction!AQ51+Imps!AR51-BF51</f>
        <v>0</v>
      </c>
      <c r="AV51" s="108">
        <f>Magic!AD51</f>
        <v>0</v>
      </c>
      <c r="AW51" s="108">
        <f ca="1">Military!AV51+Imps!AS51-BG51</f>
        <v>0</v>
      </c>
      <c r="AX51" s="108">
        <f>Imps!AT51-BH51</f>
        <v>0</v>
      </c>
      <c r="AY51" s="108">
        <f ca="1">Military!AZ51</f>
        <v>0</v>
      </c>
      <c r="AZ51" s="109">
        <f ca="1">Military!BA51</f>
        <v>0</v>
      </c>
      <c r="BB51" s="110" t="b">
        <f t="shared" si="27"/>
        <v>0</v>
      </c>
      <c r="BC51" s="334"/>
      <c r="BD51" s="978">
        <v>49</v>
      </c>
      <c r="BE51" s="334"/>
      <c r="BF51" s="432"/>
      <c r="BG51" s="432"/>
      <c r="BH51" s="744"/>
      <c r="BI51" s="1035">
        <f t="shared" si="33"/>
        <v>43768.499999999884</v>
      </c>
      <c r="BJ51" s="290" t="str">
        <f t="shared" si="20"/>
        <v/>
      </c>
      <c r="BK51" s="108">
        <f t="shared" ca="1" si="16"/>
        <v>4716447</v>
      </c>
      <c r="BL51" s="108">
        <f t="shared" ca="1" si="9"/>
        <v>213439</v>
      </c>
      <c r="BM51" s="108">
        <f t="shared" ca="1" si="10"/>
        <v>314814</v>
      </c>
      <c r="BN51" s="108">
        <f t="shared" ca="1" si="11"/>
        <v>46386</v>
      </c>
      <c r="BO51" s="109">
        <f t="shared" ca="1" si="12"/>
        <v>300000</v>
      </c>
    </row>
    <row r="52" spans="1:67" s="16" customFormat="1" ht="13.8" thickTop="1" x14ac:dyDescent="0.25">
      <c r="A52" s="982">
        <v>50</v>
      </c>
      <c r="B52" s="530">
        <f>Imps!L52</f>
        <v>43768.510416666548</v>
      </c>
      <c r="C52" s="332"/>
      <c r="D52" s="830"/>
      <c r="E52" s="56">
        <f>Construction!E52</f>
        <v>1000</v>
      </c>
      <c r="F52" s="26">
        <f ca="1">Population!$C52</f>
        <v>1845</v>
      </c>
      <c r="G52" s="26">
        <f ca="1">Military!EM52</f>
        <v>20900</v>
      </c>
      <c r="H52" s="26">
        <f ca="1">H51+S51 - AT52 + IF(AND(C51=1,ISNUMBER(MATCH(race,plat_db,0))),Population!C51*4)</f>
        <v>4721428</v>
      </c>
      <c r="I52" s="26">
        <f ca="1">I51+T51-AY52 +  IF(AND(C51=1,ISNUMBER(MATCH(race,food_db,0))),Population!C51*4)</f>
        <v>216560</v>
      </c>
      <c r="J52" s="26">
        <f t="shared" ca="1" si="17"/>
        <v>314166</v>
      </c>
      <c r="K52" s="26">
        <f ca="1">K51+V51 - AV52 + IF(AND(C51=1,ISNUMBER(MATCH(race,mana_db,0))),Population!C51*4)</f>
        <v>46708</v>
      </c>
      <c r="L52" s="26">
        <f ca="1">L51+W51 - AW52 + IF(AND(C51=1,ISNUMBER(MATCH(race,ore_db,0))),Population!C51*4)</f>
        <v>300000</v>
      </c>
      <c r="M52" s="26">
        <f t="shared" ca="1" si="34"/>
        <v>20000</v>
      </c>
      <c r="N52" s="26">
        <f t="shared" ca="1" si="18"/>
        <v>200</v>
      </c>
      <c r="O52" s="26">
        <f t="shared" si="19"/>
        <v>500</v>
      </c>
      <c r="P52" s="26">
        <f>ROUNDDOWN(P51+MAX(Construction!BO52/2,Construction!BO52*(1-Construction!BO52/(E52-Explore!S52*20)))-Q52*SUM(Techs!AY52:BY52),0)</f>
        <v>0</v>
      </c>
      <c r="Q52" s="166">
        <f>MAX(min_tech_cost,ROUNDDOWN(tech_cost_per_acre*Construction!E52,0))</f>
        <v>5000</v>
      </c>
      <c r="S52" s="152">
        <f t="shared" ca="1" si="21"/>
        <v>4981</v>
      </c>
      <c r="T52" s="164">
        <f t="shared" ca="1" si="28"/>
        <v>3089</v>
      </c>
      <c r="U52" s="164">
        <f t="shared" ca="1" si="29"/>
        <v>-642</v>
      </c>
      <c r="V52" s="164">
        <f t="shared" ca="1" si="30"/>
        <v>316</v>
      </c>
      <c r="W52" s="164">
        <f t="shared" ca="1" si="25"/>
        <v>0</v>
      </c>
      <c r="X52" s="164">
        <f t="shared" ca="1" si="26"/>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4">
        <f ca="1">race_food_bonus + IF(Magic!AO52&gt;0,gaias_blessing_food,IF(Magic!AG52&gt;0,gaias_watch_bonus)) + Imps!AD52+tech_production_food*Techs!W52 + O52/100*prestige_food_bonus</f>
        <v>0.1</v>
      </c>
      <c r="AJ52" s="267">
        <f ca="1">race_lumber_bonus+ IF(Magic!AO52&gt;0,gaias_blessing_lumber)+tech_fruits_of_labor1*Techs!AP52</f>
        <v>0</v>
      </c>
      <c r="AK52" s="267">
        <f ca="1">race_mana_bonus+tech_enchanted_lands_mana*Techs!AT52</f>
        <v>0</v>
      </c>
      <c r="AL52" s="267">
        <f ca="1">race_ore_bonus + IF(Magic!AL52&gt;0,miners_sight_bonus,IF(Magic!AH52&gt;0,mining_strength_bonus))+tech_fruits_of_labor1*Techs!AP52</f>
        <v>0</v>
      </c>
      <c r="AM52" s="193">
        <f ca="1">race_gem_bonus+MAX(tech_production_gems*Techs!X52,tech_fruits_of_labor_gems*Techs!AP52)</f>
        <v>0</v>
      </c>
      <c r="AO52" s="56">
        <f ca="1">I52*food_decay*IF(Magic!AZ52&gt;0,0.5,1)</f>
        <v>2165.6</v>
      </c>
      <c r="AP52" s="26">
        <f ca="1">(1+race_food_consumption)*Population!F52*food_per_person</f>
        <v>1785</v>
      </c>
      <c r="AQ52" s="26">
        <f t="shared" ca="1" si="31"/>
        <v>3141.66</v>
      </c>
      <c r="AR52" s="57">
        <f t="shared" ca="1" si="32"/>
        <v>934.16</v>
      </c>
      <c r="AS52" s="26"/>
      <c r="AT52" s="56">
        <f ca="1">Explore!AH52+Construction!AP52+Military!AU52+Rezone!Y52+Imps!AQ52-BE52</f>
        <v>0</v>
      </c>
      <c r="AU52" s="26">
        <f>Construction!AQ52+Imps!AR52-BF52</f>
        <v>0</v>
      </c>
      <c r="AV52" s="26">
        <f>Magic!AD52</f>
        <v>0</v>
      </c>
      <c r="AW52" s="26">
        <f ca="1">Military!AV52+Imps!AS52-BG52</f>
        <v>0</v>
      </c>
      <c r="AX52" s="26">
        <f>Imps!AT52-BH52</f>
        <v>0</v>
      </c>
      <c r="AY52" s="26">
        <f ca="1">Military!AZ52</f>
        <v>0</v>
      </c>
      <c r="AZ52" s="57">
        <f ca="1">Military!BA52</f>
        <v>0</v>
      </c>
      <c r="BB52" s="56" t="b">
        <f t="shared" si="27"/>
        <v>0</v>
      </c>
      <c r="BC52" s="332"/>
      <c r="BD52" s="974">
        <v>50</v>
      </c>
      <c r="BE52" s="332"/>
      <c r="BF52" s="370"/>
      <c r="BG52" s="370"/>
      <c r="BH52" s="740"/>
      <c r="BI52" s="1031">
        <f t="shared" si="33"/>
        <v>43768.510416666548</v>
      </c>
      <c r="BJ52" s="159" t="str">
        <f t="shared" si="20"/>
        <v/>
      </c>
      <c r="BK52" s="26">
        <f t="shared" ca="1" si="16"/>
        <v>4721428</v>
      </c>
      <c r="BL52" s="26">
        <f t="shared" ca="1" si="9"/>
        <v>216560</v>
      </c>
      <c r="BM52" s="26">
        <f t="shared" ca="1" si="10"/>
        <v>314166</v>
      </c>
      <c r="BN52" s="26">
        <f t="shared" ca="1" si="11"/>
        <v>46708</v>
      </c>
      <c r="BO52" s="57">
        <f t="shared" ca="1" si="12"/>
        <v>300000</v>
      </c>
    </row>
    <row r="53" spans="1:67" s="16" customFormat="1" x14ac:dyDescent="0.25">
      <c r="A53" s="982">
        <v>51</v>
      </c>
      <c r="B53" s="812">
        <f>Imps!L53</f>
        <v>43768.520833333212</v>
      </c>
      <c r="C53" s="332"/>
      <c r="D53" s="830"/>
      <c r="E53" s="56">
        <f>Construction!E53</f>
        <v>1000</v>
      </c>
      <c r="F53" s="26">
        <f ca="1">Population!$C53</f>
        <v>1845</v>
      </c>
      <c r="G53" s="26">
        <f ca="1">Military!EM53</f>
        <v>20900</v>
      </c>
      <c r="H53" s="26">
        <f ca="1">H52+S52 - AT53 + IF(AND(C52=1,ISNUMBER(MATCH(race,plat_db,0))),Population!C52*4)</f>
        <v>4726409</v>
      </c>
      <c r="I53" s="26">
        <f ca="1">I52+T52-AY53 +  IF(AND(C52=1,ISNUMBER(MATCH(race,food_db,0))),Population!C52*4)</f>
        <v>219649</v>
      </c>
      <c r="J53" s="26">
        <f t="shared" ca="1" si="17"/>
        <v>313524</v>
      </c>
      <c r="K53" s="26">
        <f ca="1">K52+V52 - AV53 + IF(AND(C52=1,ISNUMBER(MATCH(race,mana_db,0))),Population!C52*4)</f>
        <v>47024</v>
      </c>
      <c r="L53" s="26">
        <f ca="1">L52+W52 - AW53 + IF(AND(C52=1,ISNUMBER(MATCH(race,ore_db,0))),Population!C52*4)</f>
        <v>300000</v>
      </c>
      <c r="M53" s="26">
        <f t="shared" ca="1" si="34"/>
        <v>20000</v>
      </c>
      <c r="N53" s="26">
        <f t="shared" ca="1" si="18"/>
        <v>200</v>
      </c>
      <c r="O53" s="26">
        <f t="shared" si="19"/>
        <v>500</v>
      </c>
      <c r="P53" s="26">
        <f>ROUNDDOWN(P52+MAX(Construction!BO53/2,Construction!BO53*(1-Construction!BO53/(E53-Explore!S53*20)))-Q53*SUM(Techs!AY53:BY53),0)</f>
        <v>0</v>
      </c>
      <c r="Q53" s="166">
        <f>MAX(min_tech_cost,ROUNDDOWN(tech_cost_per_acre*Construction!E53,0))</f>
        <v>5000</v>
      </c>
      <c r="S53" s="152">
        <f t="shared" ca="1" si="21"/>
        <v>4981</v>
      </c>
      <c r="T53" s="164">
        <f t="shared" ca="1" si="28"/>
        <v>3059</v>
      </c>
      <c r="U53" s="164">
        <f t="shared" ca="1" si="29"/>
        <v>-635</v>
      </c>
      <c r="V53" s="164">
        <f t="shared" ca="1" si="30"/>
        <v>310</v>
      </c>
      <c r="W53" s="164">
        <f t="shared" ca="1" si="25"/>
        <v>0</v>
      </c>
      <c r="X53" s="164">
        <f t="shared" ca="1" si="26"/>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4">
        <f ca="1">race_food_bonus + IF(Magic!AO53&gt;0,gaias_blessing_food,IF(Magic!AG53&gt;0,gaias_watch_bonus)) + Imps!AD53+tech_production_food*Techs!W53 + O53/100*prestige_food_bonus</f>
        <v>0.1</v>
      </c>
      <c r="AJ53" s="267">
        <f ca="1">race_lumber_bonus+ IF(Magic!AO53&gt;0,gaias_blessing_lumber)+tech_fruits_of_labor1*Techs!AP53</f>
        <v>0</v>
      </c>
      <c r="AK53" s="267">
        <f ca="1">race_mana_bonus+tech_enchanted_lands_mana*Techs!AT53</f>
        <v>0</v>
      </c>
      <c r="AL53" s="267">
        <f ca="1">race_ore_bonus + IF(Magic!AL53&gt;0,miners_sight_bonus,IF(Magic!AH53&gt;0,mining_strength_bonus))+tech_fruits_of_labor1*Techs!AP53</f>
        <v>0</v>
      </c>
      <c r="AM53" s="193">
        <f ca="1">race_gem_bonus+MAX(tech_production_gems*Techs!X53,tech_fruits_of_labor_gems*Techs!AP53)</f>
        <v>0</v>
      </c>
      <c r="AO53" s="56">
        <f ca="1">I53*food_decay*IF(Magic!AZ53&gt;0,0.5,1)</f>
        <v>2196.4900000000002</v>
      </c>
      <c r="AP53" s="26">
        <f ca="1">(1+race_food_consumption)*Population!F53*food_per_person</f>
        <v>1785</v>
      </c>
      <c r="AQ53" s="26">
        <f t="shared" ca="1" si="31"/>
        <v>3135.2400000000002</v>
      </c>
      <c r="AR53" s="57">
        <f t="shared" ca="1" si="32"/>
        <v>940.48</v>
      </c>
      <c r="AS53" s="26"/>
      <c r="AT53" s="56">
        <f ca="1">Explore!AH53+Construction!AP53+Military!AU53+Rezone!Y53+Imps!AQ53-BE53</f>
        <v>0</v>
      </c>
      <c r="AU53" s="26">
        <f>Construction!AQ53+Imps!AR53-BF53</f>
        <v>0</v>
      </c>
      <c r="AV53" s="26">
        <f>Magic!AD53</f>
        <v>0</v>
      </c>
      <c r="AW53" s="26">
        <f ca="1">Military!AV53+Imps!AS53-BG53</f>
        <v>0</v>
      </c>
      <c r="AX53" s="26">
        <f>Imps!AT53-BH53</f>
        <v>0</v>
      </c>
      <c r="AY53" s="26">
        <f ca="1">Military!AZ53</f>
        <v>0</v>
      </c>
      <c r="AZ53" s="57">
        <f ca="1">Military!BA53</f>
        <v>0</v>
      </c>
      <c r="BB53" s="56" t="b">
        <f t="shared" si="27"/>
        <v>0</v>
      </c>
      <c r="BC53" s="332"/>
      <c r="BD53" s="974">
        <v>51</v>
      </c>
      <c r="BE53" s="332"/>
      <c r="BF53" s="370"/>
      <c r="BG53" s="370"/>
      <c r="BH53" s="740"/>
      <c r="BI53" s="1031">
        <f t="shared" si="33"/>
        <v>43768.520833333212</v>
      </c>
      <c r="BJ53" s="159" t="str">
        <f t="shared" si="20"/>
        <v/>
      </c>
      <c r="BK53" s="26">
        <f t="shared" ca="1" si="16"/>
        <v>4726409</v>
      </c>
      <c r="BL53" s="26">
        <f t="shared" ca="1" si="9"/>
        <v>219649</v>
      </c>
      <c r="BM53" s="26">
        <f t="shared" ca="1" si="10"/>
        <v>313524</v>
      </c>
      <c r="BN53" s="26">
        <f t="shared" ca="1" si="11"/>
        <v>47024</v>
      </c>
      <c r="BO53" s="57">
        <f t="shared" ca="1" si="12"/>
        <v>300000</v>
      </c>
    </row>
    <row r="54" spans="1:67" s="16" customFormat="1" x14ac:dyDescent="0.25">
      <c r="A54" s="982">
        <v>52</v>
      </c>
      <c r="B54" s="812">
        <f>Imps!L54</f>
        <v>43768.531249999876</v>
      </c>
      <c r="C54" s="332"/>
      <c r="D54" s="830"/>
      <c r="E54" s="56">
        <f>Construction!E54</f>
        <v>1000</v>
      </c>
      <c r="F54" s="26">
        <f ca="1">Population!$C54</f>
        <v>1845</v>
      </c>
      <c r="G54" s="26">
        <f ca="1">Military!EM54</f>
        <v>20900</v>
      </c>
      <c r="H54" s="26">
        <f ca="1">H53+S53 - AT54 + IF(AND(C53=1,ISNUMBER(MATCH(race,plat_db,0))),Population!C53*4)</f>
        <v>4731390</v>
      </c>
      <c r="I54" s="26">
        <f ca="1">I53+T53-AY54 +  IF(AND(C53=1,ISNUMBER(MATCH(race,food_db,0))),Population!C53*4)</f>
        <v>222708</v>
      </c>
      <c r="J54" s="26">
        <f t="shared" ca="1" si="17"/>
        <v>312889</v>
      </c>
      <c r="K54" s="26">
        <f ca="1">K53+V53 - AV54 + IF(AND(C53=1,ISNUMBER(MATCH(race,mana_db,0))),Population!C53*4)</f>
        <v>47334</v>
      </c>
      <c r="L54" s="26">
        <f ca="1">L53+W53 - AW54 + IF(AND(C53=1,ISNUMBER(MATCH(race,ore_db,0))),Population!C53*4)</f>
        <v>300000</v>
      </c>
      <c r="M54" s="26">
        <f t="shared" ca="1" si="34"/>
        <v>20000</v>
      </c>
      <c r="N54" s="26">
        <f t="shared" ca="1" si="18"/>
        <v>200</v>
      </c>
      <c r="O54" s="26">
        <f t="shared" si="19"/>
        <v>500</v>
      </c>
      <c r="P54" s="26">
        <f>ROUNDDOWN(P53+MAX(Construction!BO54/2,Construction!BO54*(1-Construction!BO54/(E54-Explore!S54*20)))-Q54*SUM(Techs!AY54:BY54),0)</f>
        <v>0</v>
      </c>
      <c r="Q54" s="166">
        <f>MAX(min_tech_cost,ROUNDDOWN(tech_cost_per_acre*Construction!E54,0))</f>
        <v>5000</v>
      </c>
      <c r="S54" s="152">
        <f t="shared" ca="1" si="21"/>
        <v>4981</v>
      </c>
      <c r="T54" s="164">
        <f t="shared" ca="1" si="28"/>
        <v>3028</v>
      </c>
      <c r="U54" s="164">
        <f t="shared" ca="1" si="29"/>
        <v>-629</v>
      </c>
      <c r="V54" s="164">
        <f t="shared" ca="1" si="30"/>
        <v>303</v>
      </c>
      <c r="W54" s="164">
        <f t="shared" ca="1" si="25"/>
        <v>0</v>
      </c>
      <c r="X54" s="164">
        <f t="shared" ca="1" si="26"/>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4">
        <f ca="1">race_food_bonus + IF(Magic!AO54&gt;0,gaias_blessing_food,IF(Magic!AG54&gt;0,gaias_watch_bonus)) + Imps!AD54+tech_production_food*Techs!W54 + O54/100*prestige_food_bonus</f>
        <v>0.1</v>
      </c>
      <c r="AJ54" s="267">
        <f ca="1">race_lumber_bonus+ IF(Magic!AO54&gt;0,gaias_blessing_lumber)+tech_fruits_of_labor1*Techs!AP54</f>
        <v>0</v>
      </c>
      <c r="AK54" s="267">
        <f ca="1">race_mana_bonus+tech_enchanted_lands_mana*Techs!AT54</f>
        <v>0</v>
      </c>
      <c r="AL54" s="267">
        <f ca="1">race_ore_bonus + IF(Magic!AL54&gt;0,miners_sight_bonus,IF(Magic!AH54&gt;0,mining_strength_bonus))+tech_fruits_of_labor1*Techs!AP54</f>
        <v>0</v>
      </c>
      <c r="AM54" s="193">
        <f ca="1">race_gem_bonus+MAX(tech_production_gems*Techs!X54,tech_fruits_of_labor_gems*Techs!AP54)</f>
        <v>0</v>
      </c>
      <c r="AO54" s="56">
        <f ca="1">I54*food_decay*IF(Magic!AZ54&gt;0,0.5,1)</f>
        <v>2227.08</v>
      </c>
      <c r="AP54" s="26">
        <f ca="1">(1+race_food_consumption)*Population!F54*food_per_person</f>
        <v>1785</v>
      </c>
      <c r="AQ54" s="26">
        <f t="shared" ca="1" si="31"/>
        <v>3128.89</v>
      </c>
      <c r="AR54" s="57">
        <f t="shared" ca="1" si="32"/>
        <v>946.68000000000006</v>
      </c>
      <c r="AS54" s="26"/>
      <c r="AT54" s="56">
        <f ca="1">Explore!AH54+Construction!AP54+Military!AU54+Rezone!Y54+Imps!AQ54-BE54</f>
        <v>0</v>
      </c>
      <c r="AU54" s="26">
        <f>Construction!AQ54+Imps!AR54-BF54</f>
        <v>0</v>
      </c>
      <c r="AV54" s="26">
        <f>Magic!AD54</f>
        <v>0</v>
      </c>
      <c r="AW54" s="26">
        <f ca="1">Military!AV54+Imps!AS54-BG54</f>
        <v>0</v>
      </c>
      <c r="AX54" s="26">
        <f>Imps!AT54-BH54</f>
        <v>0</v>
      </c>
      <c r="AY54" s="26">
        <f ca="1">Military!AZ54</f>
        <v>0</v>
      </c>
      <c r="AZ54" s="57">
        <f ca="1">Military!BA54</f>
        <v>0</v>
      </c>
      <c r="BB54" s="56" t="b">
        <f t="shared" si="27"/>
        <v>0</v>
      </c>
      <c r="BC54" s="332"/>
      <c r="BD54" s="974">
        <v>52</v>
      </c>
      <c r="BE54" s="332"/>
      <c r="BF54" s="370"/>
      <c r="BG54" s="370"/>
      <c r="BH54" s="740"/>
      <c r="BI54" s="1031">
        <f t="shared" si="33"/>
        <v>43768.531249999876</v>
      </c>
      <c r="BJ54" s="159" t="str">
        <f t="shared" si="20"/>
        <v/>
      </c>
      <c r="BK54" s="26">
        <f t="shared" ca="1" si="16"/>
        <v>4731390</v>
      </c>
      <c r="BL54" s="26">
        <f t="shared" ca="1" si="9"/>
        <v>222708</v>
      </c>
      <c r="BM54" s="26">
        <f t="shared" ca="1" si="10"/>
        <v>312889</v>
      </c>
      <c r="BN54" s="26">
        <f t="shared" ca="1" si="11"/>
        <v>47334</v>
      </c>
      <c r="BO54" s="57">
        <f t="shared" ca="1" si="12"/>
        <v>300000</v>
      </c>
    </row>
    <row r="55" spans="1:67" s="16" customFormat="1" x14ac:dyDescent="0.25">
      <c r="A55" s="982">
        <v>53</v>
      </c>
      <c r="B55" s="812">
        <f>Imps!L55</f>
        <v>43768.541666666541</v>
      </c>
      <c r="C55" s="332"/>
      <c r="D55" s="830"/>
      <c r="E55" s="56">
        <f>Construction!E55</f>
        <v>1000</v>
      </c>
      <c r="F55" s="26">
        <f ca="1">Population!$C55</f>
        <v>1845</v>
      </c>
      <c r="G55" s="26">
        <f ca="1">Military!EM55</f>
        <v>20900</v>
      </c>
      <c r="H55" s="26">
        <f ca="1">H54+S54 - AT55 + IF(AND(C54=1,ISNUMBER(MATCH(race,plat_db,0))),Population!C54*4)</f>
        <v>4736371</v>
      </c>
      <c r="I55" s="26">
        <f ca="1">I54+T54-AY55 +  IF(AND(C54=1,ISNUMBER(MATCH(race,food_db,0))),Population!C54*4)</f>
        <v>225736</v>
      </c>
      <c r="J55" s="26">
        <f t="shared" ca="1" si="17"/>
        <v>312260</v>
      </c>
      <c r="K55" s="26">
        <f ca="1">K54+V54 - AV55 + IF(AND(C54=1,ISNUMBER(MATCH(race,mana_db,0))),Population!C54*4)</f>
        <v>47637</v>
      </c>
      <c r="L55" s="26">
        <f ca="1">L54+W54 - AW55 + IF(AND(C54=1,ISNUMBER(MATCH(race,ore_db,0))),Population!C54*4)</f>
        <v>300000</v>
      </c>
      <c r="M55" s="26">
        <f t="shared" ca="1" si="34"/>
        <v>20000</v>
      </c>
      <c r="N55" s="26">
        <f t="shared" ca="1" si="18"/>
        <v>200</v>
      </c>
      <c r="O55" s="26">
        <f t="shared" si="19"/>
        <v>500</v>
      </c>
      <c r="P55" s="26">
        <f>ROUNDDOWN(P54+MAX(Construction!BO55/2,Construction!BO55*(1-Construction!BO55/(E55-Explore!S55*20)))-Q55*SUM(Techs!AY55:BY55),0)</f>
        <v>0</v>
      </c>
      <c r="Q55" s="166">
        <f>MAX(min_tech_cost,ROUNDDOWN(tech_cost_per_acre*Construction!E55,0))</f>
        <v>5000</v>
      </c>
      <c r="S55" s="152">
        <f t="shared" ca="1" si="21"/>
        <v>4981</v>
      </c>
      <c r="T55" s="164">
        <f t="shared" ca="1" si="28"/>
        <v>2998</v>
      </c>
      <c r="U55" s="164">
        <f t="shared" ca="1" si="29"/>
        <v>-623</v>
      </c>
      <c r="V55" s="164">
        <f t="shared" ca="1" si="30"/>
        <v>297</v>
      </c>
      <c r="W55" s="164">
        <f t="shared" ca="1" si="25"/>
        <v>0</v>
      </c>
      <c r="X55" s="164">
        <f t="shared" ca="1" si="26"/>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4">
        <f ca="1">race_food_bonus + IF(Magic!AO55&gt;0,gaias_blessing_food,IF(Magic!AG55&gt;0,gaias_watch_bonus)) + Imps!AD55+tech_production_food*Techs!W55 + O55/100*prestige_food_bonus</f>
        <v>0.1</v>
      </c>
      <c r="AJ55" s="267">
        <f ca="1">race_lumber_bonus+ IF(Magic!AO55&gt;0,gaias_blessing_lumber)+tech_fruits_of_labor1*Techs!AP55</f>
        <v>0</v>
      </c>
      <c r="AK55" s="267">
        <f ca="1">race_mana_bonus+tech_enchanted_lands_mana*Techs!AT55</f>
        <v>0</v>
      </c>
      <c r="AL55" s="267">
        <f ca="1">race_ore_bonus + IF(Magic!AL55&gt;0,miners_sight_bonus,IF(Magic!AH55&gt;0,mining_strength_bonus))+tech_fruits_of_labor1*Techs!AP55</f>
        <v>0</v>
      </c>
      <c r="AM55" s="193">
        <f ca="1">race_gem_bonus+MAX(tech_production_gems*Techs!X55,tech_fruits_of_labor_gems*Techs!AP55)</f>
        <v>0</v>
      </c>
      <c r="AO55" s="56">
        <f ca="1">I55*food_decay*IF(Magic!AZ55&gt;0,0.5,1)</f>
        <v>2257.36</v>
      </c>
      <c r="AP55" s="26">
        <f ca="1">(1+race_food_consumption)*Population!F55*food_per_person</f>
        <v>1785</v>
      </c>
      <c r="AQ55" s="26">
        <f t="shared" ca="1" si="31"/>
        <v>3122.6</v>
      </c>
      <c r="AR55" s="57">
        <f t="shared" ca="1" si="32"/>
        <v>952.74</v>
      </c>
      <c r="AS55" s="26"/>
      <c r="AT55" s="56">
        <f ca="1">Explore!AH55+Construction!AP55+Military!AU55+Rezone!Y55+Imps!AQ55-BE55</f>
        <v>0</v>
      </c>
      <c r="AU55" s="26">
        <f>Construction!AQ55+Imps!AR55-BF55</f>
        <v>0</v>
      </c>
      <c r="AV55" s="26">
        <f>Magic!AD55</f>
        <v>0</v>
      </c>
      <c r="AW55" s="26">
        <f ca="1">Military!AV55+Imps!AS55-BG55</f>
        <v>0</v>
      </c>
      <c r="AX55" s="26">
        <f>Imps!AT55-BH55</f>
        <v>0</v>
      </c>
      <c r="AY55" s="26">
        <f ca="1">Military!AZ55</f>
        <v>0</v>
      </c>
      <c r="AZ55" s="57">
        <f ca="1">Military!BA55</f>
        <v>0</v>
      </c>
      <c r="BB55" s="56" t="b">
        <f t="shared" si="27"/>
        <v>0</v>
      </c>
      <c r="BC55" s="332"/>
      <c r="BD55" s="974">
        <v>53</v>
      </c>
      <c r="BE55" s="332"/>
      <c r="BF55" s="370"/>
      <c r="BG55" s="370"/>
      <c r="BH55" s="740"/>
      <c r="BI55" s="1031">
        <f t="shared" si="33"/>
        <v>43768.541666666541</v>
      </c>
      <c r="BJ55" s="159" t="str">
        <f t="shared" si="20"/>
        <v/>
      </c>
      <c r="BK55" s="26">
        <f t="shared" ca="1" si="16"/>
        <v>4736371</v>
      </c>
      <c r="BL55" s="26">
        <f t="shared" ca="1" si="9"/>
        <v>225736</v>
      </c>
      <c r="BM55" s="26">
        <f t="shared" ca="1" si="10"/>
        <v>312260</v>
      </c>
      <c r="BN55" s="26">
        <f t="shared" ca="1" si="11"/>
        <v>47637</v>
      </c>
      <c r="BO55" s="57">
        <f t="shared" ca="1" si="12"/>
        <v>300000</v>
      </c>
    </row>
    <row r="56" spans="1:67" s="16" customFormat="1" x14ac:dyDescent="0.25">
      <c r="A56" s="982">
        <v>54</v>
      </c>
      <c r="B56" s="812">
        <f>Imps!L56</f>
        <v>43768.552083333205</v>
      </c>
      <c r="C56" s="332"/>
      <c r="D56" s="830"/>
      <c r="E56" s="56">
        <f>Construction!E56</f>
        <v>1000</v>
      </c>
      <c r="F56" s="26">
        <f ca="1">Population!$C56</f>
        <v>1845</v>
      </c>
      <c r="G56" s="26">
        <f ca="1">Military!EM56</f>
        <v>20900</v>
      </c>
      <c r="H56" s="26">
        <f ca="1">H55+S55 - AT56 + IF(AND(C55=1,ISNUMBER(MATCH(race,plat_db,0))),Population!C55*4)</f>
        <v>4741352</v>
      </c>
      <c r="I56" s="26">
        <f ca="1">I55+T55-AY56 +  IF(AND(C55=1,ISNUMBER(MATCH(race,food_db,0))),Population!C55*4)</f>
        <v>228734</v>
      </c>
      <c r="J56" s="26">
        <f t="shared" ca="1" si="17"/>
        <v>311637</v>
      </c>
      <c r="K56" s="26">
        <f ca="1">K55+V55 - AV56 + IF(AND(C55=1,ISNUMBER(MATCH(race,mana_db,0))),Population!C55*4)</f>
        <v>47934</v>
      </c>
      <c r="L56" s="26">
        <f ca="1">L55+W55 - AW56 + IF(AND(C55=1,ISNUMBER(MATCH(race,ore_db,0))),Population!C55*4)</f>
        <v>300000</v>
      </c>
      <c r="M56" s="26">
        <f t="shared" ca="1" si="34"/>
        <v>20000</v>
      </c>
      <c r="N56" s="26">
        <f t="shared" ca="1" si="18"/>
        <v>200</v>
      </c>
      <c r="O56" s="26">
        <f t="shared" si="19"/>
        <v>500</v>
      </c>
      <c r="P56" s="26">
        <f>ROUNDDOWN(P55+MAX(Construction!BO56/2,Construction!BO56*(1-Construction!BO56/(E56-Explore!S56*20)))-Q56*SUM(Techs!AY56:BY56),0)</f>
        <v>0</v>
      </c>
      <c r="Q56" s="166">
        <f>MAX(min_tech_cost,ROUNDDOWN(tech_cost_per_acre*Construction!E56,0))</f>
        <v>5000</v>
      </c>
      <c r="S56" s="152">
        <f t="shared" ca="1" si="21"/>
        <v>4981</v>
      </c>
      <c r="T56" s="164">
        <f t="shared" ca="1" si="28"/>
        <v>2968</v>
      </c>
      <c r="U56" s="164">
        <f t="shared" ca="1" si="29"/>
        <v>-616</v>
      </c>
      <c r="V56" s="164">
        <f t="shared" ca="1" si="30"/>
        <v>291</v>
      </c>
      <c r="W56" s="164">
        <f t="shared" ca="1" si="25"/>
        <v>0</v>
      </c>
      <c r="X56" s="164">
        <f t="shared" ca="1" si="26"/>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4">
        <f ca="1">race_food_bonus + IF(Magic!AO56&gt;0,gaias_blessing_food,IF(Magic!AG56&gt;0,gaias_watch_bonus)) + Imps!AD56+tech_production_food*Techs!W56 + O56/100*prestige_food_bonus</f>
        <v>0.1</v>
      </c>
      <c r="AJ56" s="267">
        <f ca="1">race_lumber_bonus+ IF(Magic!AO56&gt;0,gaias_blessing_lumber)+tech_fruits_of_labor1*Techs!AP56</f>
        <v>0</v>
      </c>
      <c r="AK56" s="267">
        <f ca="1">race_mana_bonus+tech_enchanted_lands_mana*Techs!AT56</f>
        <v>0</v>
      </c>
      <c r="AL56" s="267">
        <f ca="1">race_ore_bonus + IF(Magic!AL56&gt;0,miners_sight_bonus,IF(Magic!AH56&gt;0,mining_strength_bonus))+tech_fruits_of_labor1*Techs!AP56</f>
        <v>0</v>
      </c>
      <c r="AM56" s="193">
        <f ca="1">race_gem_bonus+MAX(tech_production_gems*Techs!X56,tech_fruits_of_labor_gems*Techs!AP56)</f>
        <v>0</v>
      </c>
      <c r="AO56" s="56">
        <f ca="1">I56*food_decay*IF(Magic!AZ56&gt;0,0.5,1)</f>
        <v>2287.34</v>
      </c>
      <c r="AP56" s="26">
        <f ca="1">(1+race_food_consumption)*Population!F56*food_per_person</f>
        <v>1785</v>
      </c>
      <c r="AQ56" s="26">
        <f t="shared" ca="1" si="31"/>
        <v>3116.37</v>
      </c>
      <c r="AR56" s="57">
        <f t="shared" ca="1" si="32"/>
        <v>958.68000000000006</v>
      </c>
      <c r="AS56" s="26"/>
      <c r="AT56" s="56">
        <f ca="1">Explore!AH56+Construction!AP56+Military!AU56+Rezone!Y56+Imps!AQ56-BE56</f>
        <v>0</v>
      </c>
      <c r="AU56" s="26">
        <f>Construction!AQ56+Imps!AR56-BF56</f>
        <v>0</v>
      </c>
      <c r="AV56" s="26">
        <f>Magic!AD56</f>
        <v>0</v>
      </c>
      <c r="AW56" s="26">
        <f ca="1">Military!AV56+Imps!AS56-BG56</f>
        <v>0</v>
      </c>
      <c r="AX56" s="26">
        <f>Imps!AT56-BH56</f>
        <v>0</v>
      </c>
      <c r="AY56" s="26">
        <f ca="1">Military!AZ56</f>
        <v>0</v>
      </c>
      <c r="AZ56" s="57">
        <f ca="1">Military!BA56</f>
        <v>0</v>
      </c>
      <c r="BB56" s="56" t="b">
        <f t="shared" si="27"/>
        <v>0</v>
      </c>
      <c r="BC56" s="332"/>
      <c r="BD56" s="974">
        <v>54</v>
      </c>
      <c r="BE56" s="332"/>
      <c r="BF56" s="370"/>
      <c r="BG56" s="370"/>
      <c r="BH56" s="740"/>
      <c r="BI56" s="1031">
        <f t="shared" si="33"/>
        <v>43768.552083333205</v>
      </c>
      <c r="BJ56" s="159" t="str">
        <f t="shared" si="20"/>
        <v/>
      </c>
      <c r="BK56" s="26">
        <f t="shared" ca="1" si="16"/>
        <v>4741352</v>
      </c>
      <c r="BL56" s="26">
        <f t="shared" ca="1" si="9"/>
        <v>228734</v>
      </c>
      <c r="BM56" s="26">
        <f t="shared" ca="1" si="10"/>
        <v>311637</v>
      </c>
      <c r="BN56" s="26">
        <f t="shared" ca="1" si="11"/>
        <v>47934</v>
      </c>
      <c r="BO56" s="57">
        <f t="shared" ca="1" si="12"/>
        <v>300000</v>
      </c>
    </row>
    <row r="57" spans="1:67" s="16" customFormat="1" x14ac:dyDescent="0.25">
      <c r="A57" s="982">
        <v>55</v>
      </c>
      <c r="B57" s="812">
        <f>Imps!L57</f>
        <v>43768.562499999869</v>
      </c>
      <c r="C57" s="332"/>
      <c r="D57" s="830"/>
      <c r="E57" s="56">
        <f>Construction!E57</f>
        <v>1000</v>
      </c>
      <c r="F57" s="26">
        <f ca="1">Population!$C57</f>
        <v>1845</v>
      </c>
      <c r="G57" s="26">
        <f ca="1">Military!EM57</f>
        <v>20900</v>
      </c>
      <c r="H57" s="26">
        <f ca="1">H56+S56 - AT57 + IF(AND(C56=1,ISNUMBER(MATCH(race,plat_db,0))),Population!C56*4)</f>
        <v>4746333</v>
      </c>
      <c r="I57" s="26">
        <f ca="1">I56+T56-AY57 +  IF(AND(C56=1,ISNUMBER(MATCH(race,food_db,0))),Population!C56*4)</f>
        <v>231702</v>
      </c>
      <c r="J57" s="26">
        <f t="shared" ca="1" si="17"/>
        <v>311021</v>
      </c>
      <c r="K57" s="26">
        <f ca="1">K56+V56 - AV57 + IF(AND(C56=1,ISNUMBER(MATCH(race,mana_db,0))),Population!C56*4)</f>
        <v>48225</v>
      </c>
      <c r="L57" s="26">
        <f ca="1">L56+W56 - AW57 + IF(AND(C56=1,ISNUMBER(MATCH(race,ore_db,0))),Population!C56*4)</f>
        <v>300000</v>
      </c>
      <c r="M57" s="26">
        <f t="shared" ca="1" si="34"/>
        <v>20000</v>
      </c>
      <c r="N57" s="26">
        <f t="shared" ca="1" si="18"/>
        <v>200</v>
      </c>
      <c r="O57" s="26">
        <f t="shared" si="19"/>
        <v>500</v>
      </c>
      <c r="P57" s="26">
        <f>ROUNDDOWN(P56+MAX(Construction!BO57/2,Construction!BO57*(1-Construction!BO57/(E57-Explore!S57*20)))-Q57*SUM(Techs!AY57:BY57),0)</f>
        <v>0</v>
      </c>
      <c r="Q57" s="166">
        <f>MAX(min_tech_cost,ROUNDDOWN(tech_cost_per_acre*Construction!E57,0))</f>
        <v>5000</v>
      </c>
      <c r="S57" s="152">
        <f t="shared" ca="1" si="21"/>
        <v>4981</v>
      </c>
      <c r="T57" s="164">
        <f t="shared" ca="1" si="28"/>
        <v>2938</v>
      </c>
      <c r="U57" s="164">
        <f t="shared" ca="1" si="29"/>
        <v>-610</v>
      </c>
      <c r="V57" s="164">
        <f t="shared" ca="1" si="30"/>
        <v>286</v>
      </c>
      <c r="W57" s="164">
        <f t="shared" ca="1" si="25"/>
        <v>0</v>
      </c>
      <c r="X57" s="164">
        <f t="shared" ca="1" si="26"/>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4">
        <f ca="1">race_food_bonus + IF(Magic!AO57&gt;0,gaias_blessing_food,IF(Magic!AG57&gt;0,gaias_watch_bonus)) + Imps!AD57+tech_production_food*Techs!W57 + O57/100*prestige_food_bonus</f>
        <v>0.1</v>
      </c>
      <c r="AJ57" s="267">
        <f ca="1">race_lumber_bonus+ IF(Magic!AO57&gt;0,gaias_blessing_lumber)+tech_fruits_of_labor1*Techs!AP57</f>
        <v>0</v>
      </c>
      <c r="AK57" s="267">
        <f ca="1">race_mana_bonus+tech_enchanted_lands_mana*Techs!AT57</f>
        <v>0</v>
      </c>
      <c r="AL57" s="267">
        <f ca="1">race_ore_bonus + IF(Magic!AL57&gt;0,miners_sight_bonus,IF(Magic!AH57&gt;0,mining_strength_bonus))+tech_fruits_of_labor1*Techs!AP57</f>
        <v>0</v>
      </c>
      <c r="AM57" s="193">
        <f ca="1">race_gem_bonus+MAX(tech_production_gems*Techs!X57,tech_fruits_of_labor_gems*Techs!AP57)</f>
        <v>0</v>
      </c>
      <c r="AO57" s="56">
        <f ca="1">I57*food_decay*IF(Magic!AZ57&gt;0,0.5,1)</f>
        <v>2317.02</v>
      </c>
      <c r="AP57" s="26">
        <f ca="1">(1+race_food_consumption)*Population!F57*food_per_person</f>
        <v>1785</v>
      </c>
      <c r="AQ57" s="26">
        <f t="shared" ca="1" si="31"/>
        <v>3110.21</v>
      </c>
      <c r="AR57" s="57">
        <f t="shared" ca="1" si="32"/>
        <v>964.5</v>
      </c>
      <c r="AS57" s="26"/>
      <c r="AT57" s="56">
        <f ca="1">Explore!AH57+Construction!AP57+Military!AU57+Rezone!Y57+Imps!AQ57-BE57</f>
        <v>0</v>
      </c>
      <c r="AU57" s="26">
        <f>Construction!AQ57+Imps!AR57-BF57</f>
        <v>0</v>
      </c>
      <c r="AV57" s="26">
        <f>Magic!AD57</f>
        <v>0</v>
      </c>
      <c r="AW57" s="26">
        <f ca="1">Military!AV57+Imps!AS57-BG57</f>
        <v>0</v>
      </c>
      <c r="AX57" s="26">
        <f>Imps!AT57-BH57</f>
        <v>0</v>
      </c>
      <c r="AY57" s="26">
        <f ca="1">Military!AZ57</f>
        <v>0</v>
      </c>
      <c r="AZ57" s="57">
        <f ca="1">Military!BA57</f>
        <v>0</v>
      </c>
      <c r="BB57" s="56" t="b">
        <f t="shared" si="27"/>
        <v>0</v>
      </c>
      <c r="BC57" s="332"/>
      <c r="BD57" s="974">
        <v>55</v>
      </c>
      <c r="BE57" s="332"/>
      <c r="BF57" s="370"/>
      <c r="BG57" s="370"/>
      <c r="BH57" s="740"/>
      <c r="BI57" s="1031">
        <f t="shared" si="33"/>
        <v>43768.562499999869</v>
      </c>
      <c r="BJ57" s="159" t="str">
        <f t="shared" si="20"/>
        <v/>
      </c>
      <c r="BK57" s="26">
        <f t="shared" ca="1" si="16"/>
        <v>4746333</v>
      </c>
      <c r="BL57" s="26">
        <f t="shared" ca="1" si="9"/>
        <v>231702</v>
      </c>
      <c r="BM57" s="26">
        <f t="shared" ca="1" si="10"/>
        <v>311021</v>
      </c>
      <c r="BN57" s="26">
        <f t="shared" ca="1" si="11"/>
        <v>48225</v>
      </c>
      <c r="BO57" s="57">
        <f t="shared" ca="1" si="12"/>
        <v>300000</v>
      </c>
    </row>
    <row r="58" spans="1:67" s="16" customFormat="1" x14ac:dyDescent="0.25">
      <c r="A58" s="982">
        <v>56</v>
      </c>
      <c r="B58" s="812">
        <f>Imps!L58</f>
        <v>43768.572916666533</v>
      </c>
      <c r="C58" s="332"/>
      <c r="D58" s="830"/>
      <c r="E58" s="56">
        <f>Construction!E58</f>
        <v>1000</v>
      </c>
      <c r="F58" s="26">
        <f ca="1">Population!$C58</f>
        <v>1845</v>
      </c>
      <c r="G58" s="26">
        <f ca="1">Military!EM58</f>
        <v>20900</v>
      </c>
      <c r="H58" s="26">
        <f ca="1">H57+S57 - AT58 + IF(AND(C57=1,ISNUMBER(MATCH(race,plat_db,0))),Population!C57*4)</f>
        <v>4751314</v>
      </c>
      <c r="I58" s="26">
        <f ca="1">I57+T57-AY58 +  IF(AND(C57=1,ISNUMBER(MATCH(race,food_db,0))),Population!C57*4)</f>
        <v>234640</v>
      </c>
      <c r="J58" s="26">
        <f t="shared" ca="1" si="17"/>
        <v>310411</v>
      </c>
      <c r="K58" s="26">
        <f ca="1">K57+V57 - AV58 + IF(AND(C57=1,ISNUMBER(MATCH(race,mana_db,0))),Population!C57*4)</f>
        <v>48511</v>
      </c>
      <c r="L58" s="26">
        <f ca="1">L57+W57 - AW58 + IF(AND(C57=1,ISNUMBER(MATCH(race,ore_db,0))),Population!C57*4)</f>
        <v>300000</v>
      </c>
      <c r="M58" s="26">
        <f t="shared" ca="1" si="34"/>
        <v>20000</v>
      </c>
      <c r="N58" s="26">
        <f t="shared" ca="1" si="18"/>
        <v>200</v>
      </c>
      <c r="O58" s="26">
        <f t="shared" si="19"/>
        <v>500</v>
      </c>
      <c r="P58" s="26">
        <f>ROUNDDOWN(P57+MAX(Construction!BO58/2,Construction!BO58*(1-Construction!BO58/(E58-Explore!S58*20)))-Q58*SUM(Techs!AY58:BY58),0)</f>
        <v>0</v>
      </c>
      <c r="Q58" s="166">
        <f>MAX(min_tech_cost,ROUNDDOWN(tech_cost_per_acre*Construction!E58,0))</f>
        <v>5000</v>
      </c>
      <c r="S58" s="152">
        <f t="shared" ca="1" si="21"/>
        <v>4981</v>
      </c>
      <c r="T58" s="164">
        <f t="shared" ca="1" si="28"/>
        <v>2909</v>
      </c>
      <c r="U58" s="164">
        <f t="shared" ca="1" si="29"/>
        <v>-604</v>
      </c>
      <c r="V58" s="164">
        <f t="shared" ca="1" si="30"/>
        <v>280</v>
      </c>
      <c r="W58" s="164">
        <f t="shared" ca="1" si="25"/>
        <v>0</v>
      </c>
      <c r="X58" s="164">
        <f t="shared" ca="1" si="26"/>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4">
        <f ca="1">race_food_bonus + IF(Magic!AO58&gt;0,gaias_blessing_food,IF(Magic!AG58&gt;0,gaias_watch_bonus)) + Imps!AD58+tech_production_food*Techs!W58 + O58/100*prestige_food_bonus</f>
        <v>0.1</v>
      </c>
      <c r="AJ58" s="267">
        <f ca="1">race_lumber_bonus+ IF(Magic!AO58&gt;0,gaias_blessing_lumber)+tech_fruits_of_labor1*Techs!AP58</f>
        <v>0</v>
      </c>
      <c r="AK58" s="267">
        <f ca="1">race_mana_bonus+tech_enchanted_lands_mana*Techs!AT58</f>
        <v>0</v>
      </c>
      <c r="AL58" s="267">
        <f ca="1">race_ore_bonus + IF(Magic!AL58&gt;0,miners_sight_bonus,IF(Magic!AH58&gt;0,mining_strength_bonus))+tech_fruits_of_labor1*Techs!AP58</f>
        <v>0</v>
      </c>
      <c r="AM58" s="193">
        <f ca="1">race_gem_bonus+MAX(tech_production_gems*Techs!X58,tech_fruits_of_labor_gems*Techs!AP58)</f>
        <v>0</v>
      </c>
      <c r="AO58" s="56">
        <f ca="1">I58*food_decay*IF(Magic!AZ58&gt;0,0.5,1)</f>
        <v>2346.4</v>
      </c>
      <c r="AP58" s="26">
        <f ca="1">(1+race_food_consumption)*Population!F58*food_per_person</f>
        <v>1785</v>
      </c>
      <c r="AQ58" s="26">
        <f t="shared" ca="1" si="31"/>
        <v>3104.11</v>
      </c>
      <c r="AR58" s="57">
        <f t="shared" ca="1" si="32"/>
        <v>970.22</v>
      </c>
      <c r="AS58" s="26"/>
      <c r="AT58" s="56">
        <f ca="1">Explore!AH58+Construction!AP58+Military!AU58+Rezone!Y58+Imps!AQ58-BE58</f>
        <v>0</v>
      </c>
      <c r="AU58" s="26">
        <f>Construction!AQ58+Imps!AR58-BF58</f>
        <v>0</v>
      </c>
      <c r="AV58" s="26">
        <f>Magic!AD58</f>
        <v>0</v>
      </c>
      <c r="AW58" s="26">
        <f ca="1">Military!AV58+Imps!AS58-BG58</f>
        <v>0</v>
      </c>
      <c r="AX58" s="26">
        <f>Imps!AT58-BH58</f>
        <v>0</v>
      </c>
      <c r="AY58" s="26">
        <f ca="1">Military!AZ58</f>
        <v>0</v>
      </c>
      <c r="AZ58" s="57">
        <f ca="1">Military!BA58</f>
        <v>0</v>
      </c>
      <c r="BB58" s="56" t="b">
        <f t="shared" si="27"/>
        <v>0</v>
      </c>
      <c r="BC58" s="332"/>
      <c r="BD58" s="974">
        <v>56</v>
      </c>
      <c r="BE58" s="332"/>
      <c r="BF58" s="370"/>
      <c r="BG58" s="370"/>
      <c r="BH58" s="740"/>
      <c r="BI58" s="1031">
        <f t="shared" si="33"/>
        <v>43768.572916666533</v>
      </c>
      <c r="BJ58" s="159" t="str">
        <f t="shared" si="20"/>
        <v/>
      </c>
      <c r="BK58" s="26">
        <f t="shared" ca="1" si="16"/>
        <v>4751314</v>
      </c>
      <c r="BL58" s="26">
        <f t="shared" ca="1" si="9"/>
        <v>234640</v>
      </c>
      <c r="BM58" s="26">
        <f t="shared" ca="1" si="10"/>
        <v>310411</v>
      </c>
      <c r="BN58" s="26">
        <f t="shared" ca="1" si="11"/>
        <v>48511</v>
      </c>
      <c r="BO58" s="57">
        <f t="shared" ca="1" si="12"/>
        <v>300000</v>
      </c>
    </row>
    <row r="59" spans="1:67" s="16" customFormat="1" x14ac:dyDescent="0.25">
      <c r="A59" s="982">
        <v>57</v>
      </c>
      <c r="B59" s="812">
        <f>Imps!L59</f>
        <v>43768.583333333198</v>
      </c>
      <c r="C59" s="332"/>
      <c r="D59" s="830"/>
      <c r="E59" s="56">
        <f>Construction!E59</f>
        <v>1000</v>
      </c>
      <c r="F59" s="26">
        <f ca="1">Population!$C59</f>
        <v>1845</v>
      </c>
      <c r="G59" s="26">
        <f ca="1">Military!EM59</f>
        <v>20900</v>
      </c>
      <c r="H59" s="26">
        <f ca="1">H58+S58 - AT59 + IF(AND(C58=1,ISNUMBER(MATCH(race,plat_db,0))),Population!C58*4)</f>
        <v>4756295</v>
      </c>
      <c r="I59" s="26">
        <f ca="1">I58+T58-AY59 +  IF(AND(C58=1,ISNUMBER(MATCH(race,food_db,0))),Population!C58*4)</f>
        <v>237549</v>
      </c>
      <c r="J59" s="26">
        <f t="shared" ca="1" si="17"/>
        <v>309807</v>
      </c>
      <c r="K59" s="26">
        <f ca="1">K58+V58 - AV59 + IF(AND(C58=1,ISNUMBER(MATCH(race,mana_db,0))),Population!C58*4)</f>
        <v>48791</v>
      </c>
      <c r="L59" s="26">
        <f ca="1">L58+W58 - AW59 + IF(AND(C58=1,ISNUMBER(MATCH(race,ore_db,0))),Population!C58*4)</f>
        <v>300000</v>
      </c>
      <c r="M59" s="26">
        <f t="shared" ca="1" si="34"/>
        <v>20000</v>
      </c>
      <c r="N59" s="26">
        <f t="shared" ca="1" si="18"/>
        <v>200</v>
      </c>
      <c r="O59" s="26">
        <f t="shared" si="19"/>
        <v>500</v>
      </c>
      <c r="P59" s="26">
        <f>ROUNDDOWN(P58+MAX(Construction!BO59/2,Construction!BO59*(1-Construction!BO59/(E59-Explore!S59*20)))-Q59*SUM(Techs!AY59:BY59),0)</f>
        <v>0</v>
      </c>
      <c r="Q59" s="166">
        <f>MAX(min_tech_cost,ROUNDDOWN(tech_cost_per_acre*Construction!E59,0))</f>
        <v>5000</v>
      </c>
      <c r="S59" s="152">
        <f t="shared" ca="1" si="21"/>
        <v>4981</v>
      </c>
      <c r="T59" s="164">
        <f t="shared" ca="1" si="28"/>
        <v>2880</v>
      </c>
      <c r="U59" s="164">
        <f t="shared" ca="1" si="29"/>
        <v>-598</v>
      </c>
      <c r="V59" s="164">
        <f t="shared" ca="1" si="30"/>
        <v>274</v>
      </c>
      <c r="W59" s="164">
        <f t="shared" ca="1" si="25"/>
        <v>0</v>
      </c>
      <c r="X59" s="164">
        <f t="shared" ca="1" si="26"/>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4">
        <f ca="1">race_food_bonus + IF(Magic!AO59&gt;0,gaias_blessing_food,IF(Magic!AG59&gt;0,gaias_watch_bonus)) + Imps!AD59+tech_production_food*Techs!W59 + O59/100*prestige_food_bonus</f>
        <v>0.1</v>
      </c>
      <c r="AJ59" s="267">
        <f ca="1">race_lumber_bonus+ IF(Magic!AO59&gt;0,gaias_blessing_lumber)+tech_fruits_of_labor1*Techs!AP59</f>
        <v>0</v>
      </c>
      <c r="AK59" s="267">
        <f ca="1">race_mana_bonus+tech_enchanted_lands_mana*Techs!AT59</f>
        <v>0</v>
      </c>
      <c r="AL59" s="267">
        <f ca="1">race_ore_bonus + IF(Magic!AL59&gt;0,miners_sight_bonus,IF(Magic!AH59&gt;0,mining_strength_bonus))+tech_fruits_of_labor1*Techs!AP59</f>
        <v>0</v>
      </c>
      <c r="AM59" s="193">
        <f ca="1">race_gem_bonus+MAX(tech_production_gems*Techs!X59,tech_fruits_of_labor_gems*Techs!AP59)</f>
        <v>0</v>
      </c>
      <c r="AO59" s="56">
        <f ca="1">I59*food_decay*IF(Magic!AZ59&gt;0,0.5,1)</f>
        <v>2375.4900000000002</v>
      </c>
      <c r="AP59" s="26">
        <f ca="1">(1+race_food_consumption)*Population!F59*food_per_person</f>
        <v>1785</v>
      </c>
      <c r="AQ59" s="26">
        <f t="shared" ca="1" si="31"/>
        <v>3098.07</v>
      </c>
      <c r="AR59" s="57">
        <f t="shared" ca="1" si="32"/>
        <v>975.82</v>
      </c>
      <c r="AS59" s="26"/>
      <c r="AT59" s="56">
        <f ca="1">Explore!AH59+Construction!AP59+Military!AU59+Rezone!Y59+Imps!AQ59-BE59</f>
        <v>0</v>
      </c>
      <c r="AU59" s="26">
        <f>Construction!AQ59+Imps!AR59-BF59</f>
        <v>0</v>
      </c>
      <c r="AV59" s="26">
        <f>Magic!AD59</f>
        <v>0</v>
      </c>
      <c r="AW59" s="26">
        <f ca="1">Military!AV59+Imps!AS59-BG59</f>
        <v>0</v>
      </c>
      <c r="AX59" s="26">
        <f>Imps!AT59-BH59</f>
        <v>0</v>
      </c>
      <c r="AY59" s="26">
        <f ca="1">Military!AZ59</f>
        <v>0</v>
      </c>
      <c r="AZ59" s="57">
        <f ca="1">Military!BA59</f>
        <v>0</v>
      </c>
      <c r="BB59" s="56" t="b">
        <f t="shared" si="27"/>
        <v>0</v>
      </c>
      <c r="BC59" s="332"/>
      <c r="BD59" s="974">
        <v>57</v>
      </c>
      <c r="BE59" s="332"/>
      <c r="BF59" s="370"/>
      <c r="BG59" s="370"/>
      <c r="BH59" s="740"/>
      <c r="BI59" s="1031">
        <f t="shared" si="33"/>
        <v>43768.583333333198</v>
      </c>
      <c r="BJ59" s="159" t="str">
        <f t="shared" si="20"/>
        <v/>
      </c>
      <c r="BK59" s="26">
        <f t="shared" ca="1" si="16"/>
        <v>4756295</v>
      </c>
      <c r="BL59" s="26">
        <f t="shared" ca="1" si="9"/>
        <v>237549</v>
      </c>
      <c r="BM59" s="26">
        <f t="shared" ca="1" si="10"/>
        <v>309807</v>
      </c>
      <c r="BN59" s="26">
        <f t="shared" ca="1" si="11"/>
        <v>48791</v>
      </c>
      <c r="BO59" s="57">
        <f t="shared" ca="1" si="12"/>
        <v>300000</v>
      </c>
    </row>
    <row r="60" spans="1:67" s="16" customFormat="1" x14ac:dyDescent="0.25">
      <c r="A60" s="982">
        <v>58</v>
      </c>
      <c r="B60" s="812">
        <f>Imps!L60</f>
        <v>43768.593749999862</v>
      </c>
      <c r="C60" s="332"/>
      <c r="D60" s="830"/>
      <c r="E60" s="56">
        <f>Construction!E60</f>
        <v>1000</v>
      </c>
      <c r="F60" s="26">
        <f ca="1">Population!$C60</f>
        <v>1845</v>
      </c>
      <c r="G60" s="26">
        <f ca="1">Military!EM60</f>
        <v>20900</v>
      </c>
      <c r="H60" s="26">
        <f ca="1">H59+S59 - AT60 + IF(AND(C59=1,ISNUMBER(MATCH(race,plat_db,0))),Population!C59*4)</f>
        <v>4761276</v>
      </c>
      <c r="I60" s="26">
        <f ca="1">I59+T59-AY60 +  IF(AND(C59=1,ISNUMBER(MATCH(race,food_db,0))),Population!C59*4)</f>
        <v>240429</v>
      </c>
      <c r="J60" s="26">
        <f t="shared" ca="1" si="17"/>
        <v>309209</v>
      </c>
      <c r="K60" s="26">
        <f ca="1">K59+V59 - AV60 + IF(AND(C59=1,ISNUMBER(MATCH(race,mana_db,0))),Population!C59*4)</f>
        <v>49065</v>
      </c>
      <c r="L60" s="26">
        <f ca="1">L59+W59 - AW60 + IF(AND(C59=1,ISNUMBER(MATCH(race,ore_db,0))),Population!C59*4)</f>
        <v>300000</v>
      </c>
      <c r="M60" s="26">
        <f t="shared" ca="1" si="34"/>
        <v>20000</v>
      </c>
      <c r="N60" s="26">
        <f t="shared" ca="1" si="18"/>
        <v>200</v>
      </c>
      <c r="O60" s="26">
        <f t="shared" si="19"/>
        <v>500</v>
      </c>
      <c r="P60" s="26">
        <f>ROUNDDOWN(P59+MAX(Construction!BO60/2,Construction!BO60*(1-Construction!BO60/(E60-Explore!S60*20)))-Q60*SUM(Techs!AY60:BY60),0)</f>
        <v>0</v>
      </c>
      <c r="Q60" s="166">
        <f>MAX(min_tech_cost,ROUNDDOWN(tech_cost_per_acre*Construction!E60,0))</f>
        <v>5000</v>
      </c>
      <c r="S60" s="152">
        <f t="shared" ca="1" si="21"/>
        <v>4981</v>
      </c>
      <c r="T60" s="164">
        <f t="shared" ca="1" si="28"/>
        <v>2851</v>
      </c>
      <c r="U60" s="164">
        <f t="shared" ca="1" si="29"/>
        <v>-592</v>
      </c>
      <c r="V60" s="164">
        <f t="shared" ca="1" si="30"/>
        <v>269</v>
      </c>
      <c r="W60" s="164">
        <f t="shared" ca="1" si="25"/>
        <v>0</v>
      </c>
      <c r="X60" s="164">
        <f t="shared" ca="1" si="26"/>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4">
        <f ca="1">race_food_bonus + IF(Magic!AO60&gt;0,gaias_blessing_food,IF(Magic!AG60&gt;0,gaias_watch_bonus)) + Imps!AD60+tech_production_food*Techs!W60 + O60/100*prestige_food_bonus</f>
        <v>0.1</v>
      </c>
      <c r="AJ60" s="267">
        <f ca="1">race_lumber_bonus+ IF(Magic!AO60&gt;0,gaias_blessing_lumber)+tech_fruits_of_labor1*Techs!AP60</f>
        <v>0</v>
      </c>
      <c r="AK60" s="267">
        <f ca="1">race_mana_bonus+tech_enchanted_lands_mana*Techs!AT60</f>
        <v>0</v>
      </c>
      <c r="AL60" s="267">
        <f ca="1">race_ore_bonus + IF(Magic!AL60&gt;0,miners_sight_bonus,IF(Magic!AH60&gt;0,mining_strength_bonus))+tech_fruits_of_labor1*Techs!AP60</f>
        <v>0</v>
      </c>
      <c r="AM60" s="193">
        <f ca="1">race_gem_bonus+MAX(tech_production_gems*Techs!X60,tech_fruits_of_labor_gems*Techs!AP60)</f>
        <v>0</v>
      </c>
      <c r="AO60" s="56">
        <f ca="1">I60*food_decay*IF(Magic!AZ60&gt;0,0.5,1)</f>
        <v>2404.29</v>
      </c>
      <c r="AP60" s="26">
        <f ca="1">(1+race_food_consumption)*Population!F60*food_per_person</f>
        <v>1785</v>
      </c>
      <c r="AQ60" s="26">
        <f t="shared" ca="1" si="31"/>
        <v>3092.09</v>
      </c>
      <c r="AR60" s="57">
        <f t="shared" ca="1" si="32"/>
        <v>981.30000000000007</v>
      </c>
      <c r="AS60" s="26"/>
      <c r="AT60" s="56">
        <f ca="1">Explore!AH60+Construction!AP60+Military!AU60+Rezone!Y60+Imps!AQ60-BE60</f>
        <v>0</v>
      </c>
      <c r="AU60" s="26">
        <f>Construction!AQ60+Imps!AR60-BF60</f>
        <v>0</v>
      </c>
      <c r="AV60" s="26">
        <f>Magic!AD60</f>
        <v>0</v>
      </c>
      <c r="AW60" s="26">
        <f ca="1">Military!AV60+Imps!AS60-BG60</f>
        <v>0</v>
      </c>
      <c r="AX60" s="26">
        <f>Imps!AT60-BH60</f>
        <v>0</v>
      </c>
      <c r="AY60" s="26">
        <f ca="1">Military!AZ60</f>
        <v>0</v>
      </c>
      <c r="AZ60" s="57">
        <f ca="1">Military!BA60</f>
        <v>0</v>
      </c>
      <c r="BB60" s="56" t="b">
        <f t="shared" si="27"/>
        <v>0</v>
      </c>
      <c r="BC60" s="332"/>
      <c r="BD60" s="974">
        <v>58</v>
      </c>
      <c r="BE60" s="332"/>
      <c r="BF60" s="370"/>
      <c r="BG60" s="370"/>
      <c r="BH60" s="740"/>
      <c r="BI60" s="1031">
        <f t="shared" si="33"/>
        <v>43768.593749999862</v>
      </c>
      <c r="BJ60" s="159" t="str">
        <f t="shared" si="20"/>
        <v/>
      </c>
      <c r="BK60" s="26">
        <f t="shared" ca="1" si="16"/>
        <v>4761276</v>
      </c>
      <c r="BL60" s="26">
        <f t="shared" ca="1" si="9"/>
        <v>240429</v>
      </c>
      <c r="BM60" s="26">
        <f t="shared" ca="1" si="10"/>
        <v>309209</v>
      </c>
      <c r="BN60" s="26">
        <f t="shared" ca="1" si="11"/>
        <v>49065</v>
      </c>
      <c r="BO60" s="57">
        <f t="shared" ca="1" si="12"/>
        <v>300000</v>
      </c>
    </row>
    <row r="61" spans="1:67" s="16" customFormat="1" x14ac:dyDescent="0.25">
      <c r="A61" s="982">
        <v>59</v>
      </c>
      <c r="B61" s="812">
        <f>Imps!L61</f>
        <v>43768.604166666526</v>
      </c>
      <c r="C61" s="332"/>
      <c r="D61" s="830"/>
      <c r="E61" s="56">
        <f>Construction!E61</f>
        <v>1000</v>
      </c>
      <c r="F61" s="26">
        <f ca="1">Population!$C61</f>
        <v>1845</v>
      </c>
      <c r="G61" s="26">
        <f ca="1">Military!EM61</f>
        <v>20900</v>
      </c>
      <c r="H61" s="26">
        <f ca="1">H60+S60 - AT61 + IF(AND(C60=1,ISNUMBER(MATCH(race,plat_db,0))),Population!C60*4)</f>
        <v>4766257</v>
      </c>
      <c r="I61" s="26">
        <f ca="1">I60+T60-AY61 +  IF(AND(C60=1,ISNUMBER(MATCH(race,food_db,0))),Population!C60*4)</f>
        <v>243280</v>
      </c>
      <c r="J61" s="26">
        <f t="shared" ca="1" si="17"/>
        <v>308617</v>
      </c>
      <c r="K61" s="26">
        <f ca="1">K60+V60 - AV61 + IF(AND(C60=1,ISNUMBER(MATCH(race,mana_db,0))),Population!C60*4)</f>
        <v>49334</v>
      </c>
      <c r="L61" s="26">
        <f ca="1">L60+W60 - AW61 + IF(AND(C60=1,ISNUMBER(MATCH(race,ore_db,0))),Population!C60*4)</f>
        <v>300000</v>
      </c>
      <c r="M61" s="26">
        <f t="shared" ca="1" si="34"/>
        <v>20000</v>
      </c>
      <c r="N61" s="26">
        <f t="shared" ca="1" si="18"/>
        <v>200</v>
      </c>
      <c r="O61" s="26">
        <f t="shared" si="19"/>
        <v>500</v>
      </c>
      <c r="P61" s="26">
        <f>ROUNDDOWN(P60+MAX(Construction!BO61/2,Construction!BO61*(1-Construction!BO61/(E61-Explore!S61*20)))-Q61*SUM(Techs!AY61:BY61),0)</f>
        <v>0</v>
      </c>
      <c r="Q61" s="166">
        <f>MAX(min_tech_cost,ROUNDDOWN(tech_cost_per_acre*Construction!E61,0))</f>
        <v>5000</v>
      </c>
      <c r="S61" s="152">
        <f t="shared" ca="1" si="21"/>
        <v>4981</v>
      </c>
      <c r="T61" s="164">
        <f t="shared" ca="1" si="28"/>
        <v>2822</v>
      </c>
      <c r="U61" s="164">
        <f t="shared" ca="1" si="29"/>
        <v>-586</v>
      </c>
      <c r="V61" s="164">
        <f t="shared" ca="1" si="30"/>
        <v>263</v>
      </c>
      <c r="W61" s="164">
        <f t="shared" ca="1" si="25"/>
        <v>0</v>
      </c>
      <c r="X61" s="164">
        <f t="shared" ca="1" si="26"/>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4">
        <f ca="1">race_food_bonus + IF(Magic!AO61&gt;0,gaias_blessing_food,IF(Magic!AG61&gt;0,gaias_watch_bonus)) + Imps!AD61+tech_production_food*Techs!W61 + O61/100*prestige_food_bonus</f>
        <v>0.1</v>
      </c>
      <c r="AJ61" s="267">
        <f ca="1">race_lumber_bonus+ IF(Magic!AO61&gt;0,gaias_blessing_lumber)+tech_fruits_of_labor1*Techs!AP61</f>
        <v>0</v>
      </c>
      <c r="AK61" s="267">
        <f ca="1">race_mana_bonus+tech_enchanted_lands_mana*Techs!AT61</f>
        <v>0</v>
      </c>
      <c r="AL61" s="267">
        <f ca="1">race_ore_bonus + IF(Magic!AL61&gt;0,miners_sight_bonus,IF(Magic!AH61&gt;0,mining_strength_bonus))+tech_fruits_of_labor1*Techs!AP61</f>
        <v>0</v>
      </c>
      <c r="AM61" s="193">
        <f ca="1">race_gem_bonus+MAX(tech_production_gems*Techs!X61,tech_fruits_of_labor_gems*Techs!AP61)</f>
        <v>0</v>
      </c>
      <c r="AO61" s="56">
        <f ca="1">I61*food_decay*IF(Magic!AZ61&gt;0,0.5,1)</f>
        <v>2432.8000000000002</v>
      </c>
      <c r="AP61" s="26">
        <f ca="1">(1+race_food_consumption)*Population!F61*food_per_person</f>
        <v>1785</v>
      </c>
      <c r="AQ61" s="26">
        <f t="shared" ca="1" si="31"/>
        <v>3086.17</v>
      </c>
      <c r="AR61" s="57">
        <f t="shared" ca="1" si="32"/>
        <v>986.68000000000006</v>
      </c>
      <c r="AS61" s="26"/>
      <c r="AT61" s="56">
        <f ca="1">Explore!AH61+Construction!AP61+Military!AU61+Rezone!Y61+Imps!AQ61-BE61</f>
        <v>0</v>
      </c>
      <c r="AU61" s="26">
        <f>Construction!AQ61+Imps!AR61-BF61</f>
        <v>0</v>
      </c>
      <c r="AV61" s="26">
        <f>Magic!AD61</f>
        <v>0</v>
      </c>
      <c r="AW61" s="26">
        <f ca="1">Military!AV61+Imps!AS61-BG61</f>
        <v>0</v>
      </c>
      <c r="AX61" s="26">
        <f>Imps!AT61-BH61</f>
        <v>0</v>
      </c>
      <c r="AY61" s="26">
        <f ca="1">Military!AZ61</f>
        <v>0</v>
      </c>
      <c r="AZ61" s="57">
        <f ca="1">Military!BA61</f>
        <v>0</v>
      </c>
      <c r="BB61" s="56" t="b">
        <f t="shared" si="27"/>
        <v>0</v>
      </c>
      <c r="BC61" s="332"/>
      <c r="BD61" s="974">
        <v>59</v>
      </c>
      <c r="BE61" s="332"/>
      <c r="BF61" s="370"/>
      <c r="BG61" s="370"/>
      <c r="BH61" s="740"/>
      <c r="BI61" s="1031">
        <f t="shared" si="33"/>
        <v>43768.604166666526</v>
      </c>
      <c r="BJ61" s="159" t="str">
        <f t="shared" si="20"/>
        <v/>
      </c>
      <c r="BK61" s="26">
        <f t="shared" ca="1" si="16"/>
        <v>4766257</v>
      </c>
      <c r="BL61" s="26">
        <f t="shared" ca="1" si="9"/>
        <v>243280</v>
      </c>
      <c r="BM61" s="26">
        <f t="shared" ca="1" si="10"/>
        <v>308617</v>
      </c>
      <c r="BN61" s="26">
        <f t="shared" ca="1" si="11"/>
        <v>49334</v>
      </c>
      <c r="BO61" s="57">
        <f t="shared" ca="1" si="12"/>
        <v>300000</v>
      </c>
    </row>
    <row r="62" spans="1:67" s="16" customFormat="1" x14ac:dyDescent="0.25">
      <c r="A62" s="982">
        <v>60</v>
      </c>
      <c r="B62" s="530">
        <f>Imps!L62</f>
        <v>43768.61458333319</v>
      </c>
      <c r="C62" s="332"/>
      <c r="D62" s="830"/>
      <c r="E62" s="56">
        <f>Construction!E62</f>
        <v>1000</v>
      </c>
      <c r="F62" s="26">
        <f ca="1">Population!$C62</f>
        <v>1845</v>
      </c>
      <c r="G62" s="26">
        <f ca="1">Military!EM62</f>
        <v>20900</v>
      </c>
      <c r="H62" s="26">
        <f ca="1">H61+S61 - AT62 + IF(AND(C61=1,ISNUMBER(MATCH(race,plat_db,0))),Population!C61*4)</f>
        <v>4771238</v>
      </c>
      <c r="I62" s="26">
        <f ca="1">I61+T61-AY62 +  IF(AND(C61=1,ISNUMBER(MATCH(race,food_db,0))),Population!C61*4)</f>
        <v>246102</v>
      </c>
      <c r="J62" s="26">
        <f t="shared" ca="1" si="17"/>
        <v>308031</v>
      </c>
      <c r="K62" s="26">
        <f ca="1">K61+V61 - AV62 + IF(AND(C61=1,ISNUMBER(MATCH(race,mana_db,0))),Population!C61*4)</f>
        <v>49597</v>
      </c>
      <c r="L62" s="26">
        <f ca="1">L61+W61 - AW62 + IF(AND(C61=1,ISNUMBER(MATCH(race,ore_db,0))),Population!C61*4)</f>
        <v>300000</v>
      </c>
      <c r="M62" s="26">
        <f t="shared" ca="1" si="34"/>
        <v>20000</v>
      </c>
      <c r="N62" s="26">
        <f t="shared" ca="1" si="18"/>
        <v>200</v>
      </c>
      <c r="O62" s="26">
        <f t="shared" si="19"/>
        <v>500</v>
      </c>
      <c r="P62" s="26">
        <f>ROUNDDOWN(P61+MAX(Construction!BO62/2,Construction!BO62*(1-Construction!BO62/(E62-Explore!S62*20)))-Q62*SUM(Techs!AY62:BY62),0)</f>
        <v>0</v>
      </c>
      <c r="Q62" s="166">
        <f>MAX(min_tech_cost,ROUNDDOWN(tech_cost_per_acre*Construction!E62,0))</f>
        <v>5000</v>
      </c>
      <c r="S62" s="152">
        <f t="shared" ca="1" si="21"/>
        <v>4981</v>
      </c>
      <c r="T62" s="164">
        <f t="shared" ca="1" si="28"/>
        <v>2794</v>
      </c>
      <c r="U62" s="164">
        <f t="shared" ca="1" si="29"/>
        <v>-580</v>
      </c>
      <c r="V62" s="164">
        <f t="shared" ca="1" si="30"/>
        <v>258</v>
      </c>
      <c r="W62" s="164">
        <f t="shared" ca="1" si="25"/>
        <v>0</v>
      </c>
      <c r="X62" s="164">
        <f t="shared" ca="1" si="26"/>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4">
        <f ca="1">race_food_bonus + IF(Magic!AO62&gt;0,gaias_blessing_food,IF(Magic!AG62&gt;0,gaias_watch_bonus)) + Imps!AD62+tech_production_food*Techs!W62 + O62/100*prestige_food_bonus</f>
        <v>0.1</v>
      </c>
      <c r="AJ62" s="267">
        <f ca="1">race_lumber_bonus+ IF(Magic!AO62&gt;0,gaias_blessing_lumber)+tech_fruits_of_labor1*Techs!AP62</f>
        <v>0</v>
      </c>
      <c r="AK62" s="267">
        <f ca="1">race_mana_bonus+tech_enchanted_lands_mana*Techs!AT62</f>
        <v>0</v>
      </c>
      <c r="AL62" s="267">
        <f ca="1">race_ore_bonus + IF(Magic!AL62&gt;0,miners_sight_bonus,IF(Magic!AH62&gt;0,mining_strength_bonus))+tech_fruits_of_labor1*Techs!AP62</f>
        <v>0</v>
      </c>
      <c r="AM62" s="193">
        <f ca="1">race_gem_bonus+MAX(tech_production_gems*Techs!X62,tech_fruits_of_labor_gems*Techs!AP62)</f>
        <v>0</v>
      </c>
      <c r="AO62" s="56">
        <f ca="1">I62*food_decay*IF(Magic!AZ62&gt;0,0.5,1)</f>
        <v>2461.02</v>
      </c>
      <c r="AP62" s="26">
        <f ca="1">(1+race_food_consumption)*Population!F62*food_per_person</f>
        <v>1785</v>
      </c>
      <c r="AQ62" s="26">
        <f t="shared" ca="1" si="31"/>
        <v>3080.31</v>
      </c>
      <c r="AR62" s="57">
        <f t="shared" ca="1" si="32"/>
        <v>991.94</v>
      </c>
      <c r="AS62" s="26"/>
      <c r="AT62" s="56">
        <f ca="1">Explore!AH62+Construction!AP62+Military!AU62+Rezone!Y62+Imps!AQ62-BE62</f>
        <v>0</v>
      </c>
      <c r="AU62" s="26">
        <f>Construction!AQ62+Imps!AR62-BF62</f>
        <v>0</v>
      </c>
      <c r="AV62" s="26">
        <f>Magic!AD62</f>
        <v>0</v>
      </c>
      <c r="AW62" s="26">
        <f ca="1">Military!AV62+Imps!AS62-BG62</f>
        <v>0</v>
      </c>
      <c r="AX62" s="26">
        <f>Imps!AT62-BH62</f>
        <v>0</v>
      </c>
      <c r="AY62" s="26">
        <f ca="1">Military!AZ62</f>
        <v>0</v>
      </c>
      <c r="AZ62" s="57">
        <f ca="1">Military!BA62</f>
        <v>0</v>
      </c>
      <c r="BB62" s="56" t="b">
        <f t="shared" si="27"/>
        <v>0</v>
      </c>
      <c r="BC62" s="332"/>
      <c r="BD62" s="974">
        <v>60</v>
      </c>
      <c r="BE62" s="332"/>
      <c r="BF62" s="370"/>
      <c r="BG62" s="370"/>
      <c r="BH62" s="740"/>
      <c r="BI62" s="1031">
        <f t="shared" si="33"/>
        <v>43768.61458333319</v>
      </c>
      <c r="BJ62" s="159" t="str">
        <f t="shared" si="20"/>
        <v/>
      </c>
      <c r="BK62" s="26">
        <f t="shared" ca="1" si="16"/>
        <v>4771238</v>
      </c>
      <c r="BL62" s="26">
        <f t="shared" ca="1" si="9"/>
        <v>246102</v>
      </c>
      <c r="BM62" s="26">
        <f t="shared" ca="1" si="10"/>
        <v>308031</v>
      </c>
      <c r="BN62" s="26">
        <f t="shared" ca="1" si="11"/>
        <v>49597</v>
      </c>
      <c r="BO62" s="57">
        <f t="shared" ca="1" si="12"/>
        <v>300000</v>
      </c>
    </row>
    <row r="63" spans="1:67" s="12" customFormat="1" x14ac:dyDescent="0.25">
      <c r="A63" s="985">
        <v>61</v>
      </c>
      <c r="B63" s="674">
        <f>Imps!L63</f>
        <v>43768.624999999854</v>
      </c>
      <c r="C63" s="333"/>
      <c r="D63" s="833"/>
      <c r="E63" s="54">
        <f>Construction!E63</f>
        <v>1000</v>
      </c>
      <c r="F63" s="153">
        <f ca="1">Population!$C63</f>
        <v>1845</v>
      </c>
      <c r="G63" s="153">
        <f ca="1">Military!EM63</f>
        <v>20900</v>
      </c>
      <c r="H63" s="13">
        <f ca="1">H62+S62 - AT63 + IF(AND(C62=1,ISNUMBER(MATCH(race,plat_db,0))),Population!C62*4)</f>
        <v>4776219</v>
      </c>
      <c r="I63" s="13">
        <f ca="1">I62+T62-AY63 +  IF(AND(C62=1,ISNUMBER(MATCH(race,food_db,0))),Population!C62*4)</f>
        <v>248896</v>
      </c>
      <c r="J63" s="13">
        <f t="shared" ca="1" si="17"/>
        <v>307451</v>
      </c>
      <c r="K63" s="13">
        <f ca="1">K62+V62 - AV63 + IF(AND(C62=1,ISNUMBER(MATCH(race,mana_db,0))),Population!C62*4)</f>
        <v>49855</v>
      </c>
      <c r="L63" s="13">
        <f ca="1">L62+W62 - AW63 + IF(AND(C62=1,ISNUMBER(MATCH(race,ore_db,0))),Population!C62*4)</f>
        <v>300000</v>
      </c>
      <c r="M63" s="13">
        <f t="shared" ca="1" si="34"/>
        <v>20000</v>
      </c>
      <c r="N63" s="13">
        <f t="shared" ca="1" si="18"/>
        <v>200</v>
      </c>
      <c r="O63" s="13">
        <f t="shared" si="19"/>
        <v>500</v>
      </c>
      <c r="P63" s="13">
        <f>ROUNDDOWN(P62+MAX(Construction!BO63/2,Construction!BO63*(1-Construction!BO63/(E63-Explore!S63*20)))-Q63*SUM(Techs!AY63:BY63),0)</f>
        <v>0</v>
      </c>
      <c r="Q63" s="55">
        <f>MAX(min_tech_cost,ROUNDDOWN(tech_cost_per_acre*Construction!E63,0))</f>
        <v>5000</v>
      </c>
      <c r="S63" s="151">
        <f t="shared" ca="1" si="21"/>
        <v>4981</v>
      </c>
      <c r="T63" s="153">
        <f t="shared" ca="1" si="28"/>
        <v>2766</v>
      </c>
      <c r="U63" s="153">
        <f t="shared" ca="1" si="29"/>
        <v>-575</v>
      </c>
      <c r="V63" s="153">
        <f t="shared" ca="1" si="30"/>
        <v>253</v>
      </c>
      <c r="W63" s="153">
        <f t="shared" ca="1" si="25"/>
        <v>0</v>
      </c>
      <c r="X63" s="153">
        <f t="shared" ca="1" si="26"/>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6">
        <f ca="1">race_food_bonus + IF(Magic!AO63&gt;0,gaias_blessing_food,IF(Magic!AG63&gt;0,gaias_watch_bonus)) + Imps!AD63+tech_production_food*Techs!W63 + O63/100*prestige_food_bonus</f>
        <v>0.1</v>
      </c>
      <c r="AJ63" s="264">
        <f ca="1">race_lumber_bonus+ IF(Magic!AO63&gt;0,gaias_blessing_lumber)+tech_fruits_of_labor1*Techs!AP63</f>
        <v>0</v>
      </c>
      <c r="AK63" s="264">
        <f ca="1">race_mana_bonus+tech_enchanted_lands_mana*Techs!AT63</f>
        <v>0</v>
      </c>
      <c r="AL63" s="264">
        <f ca="1">race_ore_bonus + IF(Magic!AL63&gt;0,miners_sight_bonus,IF(Magic!AH63&gt;0,mining_strength_bonus))+tech_fruits_of_labor1*Techs!AP63</f>
        <v>0</v>
      </c>
      <c r="AM63" s="194">
        <f ca="1">race_gem_bonus+MAX(tech_production_gems*Techs!X63,tech_fruits_of_labor_gems*Techs!AP63)</f>
        <v>0</v>
      </c>
      <c r="AO63" s="54">
        <f ca="1">I63*food_decay*IF(Magic!AZ63&gt;0,0.5,1)</f>
        <v>2488.96</v>
      </c>
      <c r="AP63" s="13">
        <f ca="1">(1+race_food_consumption)*Population!F63*food_per_person</f>
        <v>1785</v>
      </c>
      <c r="AQ63" s="13">
        <f t="shared" ca="1" si="31"/>
        <v>3074.51</v>
      </c>
      <c r="AR63" s="55">
        <f t="shared" ca="1" si="32"/>
        <v>997.1</v>
      </c>
      <c r="AS63" s="13"/>
      <c r="AT63" s="54">
        <f ca="1">Explore!AH63+Construction!AP63+Military!AU63+Rezone!Y63+Imps!AQ63-BE63</f>
        <v>0</v>
      </c>
      <c r="AU63" s="13">
        <f>Construction!AQ63+Imps!AR63-BF63</f>
        <v>0</v>
      </c>
      <c r="AV63" s="13">
        <f>Magic!AD63</f>
        <v>0</v>
      </c>
      <c r="AW63" s="13">
        <f ca="1">Military!AV63+Imps!AS63-BG63</f>
        <v>0</v>
      </c>
      <c r="AX63" s="13">
        <f>Imps!AT63-BH63</f>
        <v>0</v>
      </c>
      <c r="AY63" s="13">
        <f ca="1">Military!AZ63</f>
        <v>0</v>
      </c>
      <c r="AZ63" s="55">
        <f ca="1">Military!BA63</f>
        <v>0</v>
      </c>
      <c r="BB63" s="54" t="b">
        <f t="shared" si="27"/>
        <v>0</v>
      </c>
      <c r="BC63" s="333"/>
      <c r="BD63" s="977">
        <v>61</v>
      </c>
      <c r="BE63" s="333"/>
      <c r="BF63" s="428"/>
      <c r="BG63" s="428"/>
      <c r="BH63" s="743"/>
      <c r="BI63" s="1033">
        <f t="shared" si="33"/>
        <v>43768.624999999854</v>
      </c>
      <c r="BJ63" s="287" t="str">
        <f t="shared" si="20"/>
        <v/>
      </c>
      <c r="BK63" s="13">
        <f t="shared" ca="1" si="16"/>
        <v>4776219</v>
      </c>
      <c r="BL63" s="13">
        <f t="shared" ca="1" si="9"/>
        <v>248896</v>
      </c>
      <c r="BM63" s="13">
        <f t="shared" ca="1" si="10"/>
        <v>307451</v>
      </c>
      <c r="BN63" s="13">
        <f t="shared" ca="1" si="11"/>
        <v>49855</v>
      </c>
      <c r="BO63" s="55">
        <f t="shared" ca="1" si="12"/>
        <v>300000</v>
      </c>
    </row>
    <row r="64" spans="1:67" s="16" customFormat="1" x14ac:dyDescent="0.25">
      <c r="A64" s="982">
        <v>62</v>
      </c>
      <c r="B64" s="530">
        <f>Imps!L64</f>
        <v>43768.635416666519</v>
      </c>
      <c r="C64" s="332"/>
      <c r="D64" s="830"/>
      <c r="E64" s="56">
        <f>Construction!E64</f>
        <v>1000</v>
      </c>
      <c r="F64" s="26">
        <f ca="1">Population!$C64</f>
        <v>1845</v>
      </c>
      <c r="G64" s="26">
        <f ca="1">Military!EM64</f>
        <v>20900</v>
      </c>
      <c r="H64" s="26">
        <f ca="1">H63+S63 - AT64 + IF(AND(C63=1,ISNUMBER(MATCH(race,plat_db,0))),Population!C63*4)</f>
        <v>4781200</v>
      </c>
      <c r="I64" s="26">
        <f ca="1">I63+T63-AY64 +  IF(AND(C63=1,ISNUMBER(MATCH(race,food_db,0))),Population!C63*4)</f>
        <v>251662</v>
      </c>
      <c r="J64" s="26">
        <f t="shared" ca="1" si="17"/>
        <v>306876</v>
      </c>
      <c r="K64" s="26">
        <f ca="1">K63+V63 - AV64 + IF(AND(C63=1,ISNUMBER(MATCH(race,mana_db,0))),Population!C63*4)</f>
        <v>50108</v>
      </c>
      <c r="L64" s="26">
        <f ca="1">L63+W63 - AW64 + IF(AND(C63=1,ISNUMBER(MATCH(race,ore_db,0))),Population!C63*4)</f>
        <v>300000</v>
      </c>
      <c r="M64" s="26">
        <f t="shared" ca="1" si="34"/>
        <v>20000</v>
      </c>
      <c r="N64" s="26">
        <f t="shared" ca="1" si="18"/>
        <v>200</v>
      </c>
      <c r="O64" s="26">
        <f t="shared" si="19"/>
        <v>500</v>
      </c>
      <c r="P64" s="26">
        <f>ROUNDDOWN(P63+MAX(Construction!BO64/2,Construction!BO64*(1-Construction!BO64/(E64-Explore!S64*20)))-Q64*SUM(Techs!AY64:BY64),0)</f>
        <v>0</v>
      </c>
      <c r="Q64" s="166">
        <f>MAX(min_tech_cost,ROUNDDOWN(tech_cost_per_acre*Construction!E64,0))</f>
        <v>5000</v>
      </c>
      <c r="S64" s="152">
        <f t="shared" ca="1" si="21"/>
        <v>4981</v>
      </c>
      <c r="T64" s="164">
        <f t="shared" ca="1" si="28"/>
        <v>2738</v>
      </c>
      <c r="U64" s="164">
        <f t="shared" ca="1" si="29"/>
        <v>-569</v>
      </c>
      <c r="V64" s="164">
        <f t="shared" ca="1" si="30"/>
        <v>248</v>
      </c>
      <c r="W64" s="164">
        <f t="shared" ca="1" si="25"/>
        <v>0</v>
      </c>
      <c r="X64" s="164">
        <f t="shared" ca="1" si="26"/>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4">
        <f ca="1">race_food_bonus + IF(Magic!AO64&gt;0,gaias_blessing_food,IF(Magic!AG64&gt;0,gaias_watch_bonus)) + Imps!AD64+tech_production_food*Techs!W64 + O64/100*prestige_food_bonus</f>
        <v>0.1</v>
      </c>
      <c r="AJ64" s="267">
        <f ca="1">race_lumber_bonus+ IF(Magic!AO64&gt;0,gaias_blessing_lumber)+tech_fruits_of_labor1*Techs!AP64</f>
        <v>0</v>
      </c>
      <c r="AK64" s="267">
        <f ca="1">race_mana_bonus+tech_enchanted_lands_mana*Techs!AT64</f>
        <v>0</v>
      </c>
      <c r="AL64" s="267">
        <f ca="1">race_ore_bonus + IF(Magic!AL64&gt;0,miners_sight_bonus,IF(Magic!AH64&gt;0,mining_strength_bonus))+tech_fruits_of_labor1*Techs!AP64</f>
        <v>0</v>
      </c>
      <c r="AM64" s="193">
        <f ca="1">race_gem_bonus+MAX(tech_production_gems*Techs!X64,tech_fruits_of_labor_gems*Techs!AP64)</f>
        <v>0</v>
      </c>
      <c r="AO64" s="56">
        <f ca="1">I64*food_decay*IF(Magic!AZ64&gt;0,0.5,1)</f>
        <v>2516.62</v>
      </c>
      <c r="AP64" s="26">
        <f ca="1">(1+race_food_consumption)*Population!F64*food_per_person</f>
        <v>1785</v>
      </c>
      <c r="AQ64" s="26">
        <f t="shared" ca="1" si="31"/>
        <v>3068.76</v>
      </c>
      <c r="AR64" s="57">
        <f t="shared" ca="1" si="32"/>
        <v>1002.16</v>
      </c>
      <c r="AS64" s="26"/>
      <c r="AT64" s="56">
        <f ca="1">Explore!AH64+Construction!AP64+Military!AU64+Rezone!Y64+Imps!AQ64-BE64</f>
        <v>0</v>
      </c>
      <c r="AU64" s="26">
        <f>Construction!AQ64+Imps!AR64-BF64</f>
        <v>0</v>
      </c>
      <c r="AV64" s="26">
        <f>Magic!AD64</f>
        <v>0</v>
      </c>
      <c r="AW64" s="26">
        <f ca="1">Military!AV64+Imps!AS64-BG64</f>
        <v>0</v>
      </c>
      <c r="AX64" s="26">
        <f>Imps!AT64-BH64</f>
        <v>0</v>
      </c>
      <c r="AY64" s="26">
        <f ca="1">Military!AZ64</f>
        <v>0</v>
      </c>
      <c r="AZ64" s="57">
        <f ca="1">Military!BA64</f>
        <v>0</v>
      </c>
      <c r="BB64" s="56" t="b">
        <f t="shared" si="27"/>
        <v>0</v>
      </c>
      <c r="BC64" s="332"/>
      <c r="BD64" s="974">
        <v>62</v>
      </c>
      <c r="BE64" s="332"/>
      <c r="BF64" s="370"/>
      <c r="BG64" s="370"/>
      <c r="BH64" s="740"/>
      <c r="BI64" s="1031">
        <f t="shared" si="33"/>
        <v>43768.635416666519</v>
      </c>
      <c r="BJ64" s="159" t="str">
        <f t="shared" si="20"/>
        <v/>
      </c>
      <c r="BK64" s="26">
        <f t="shared" ca="1" si="16"/>
        <v>4781200</v>
      </c>
      <c r="BL64" s="26">
        <f t="shared" ca="1" si="9"/>
        <v>251662</v>
      </c>
      <c r="BM64" s="26">
        <f t="shared" ca="1" si="10"/>
        <v>306876</v>
      </c>
      <c r="BN64" s="26">
        <f t="shared" ca="1" si="11"/>
        <v>50108</v>
      </c>
      <c r="BO64" s="57">
        <f t="shared" ca="1" si="12"/>
        <v>300000</v>
      </c>
    </row>
    <row r="65" spans="1:67" s="16" customFormat="1" x14ac:dyDescent="0.25">
      <c r="A65" s="982">
        <v>63</v>
      </c>
      <c r="B65" s="812">
        <f>Imps!L65</f>
        <v>43768.645833333183</v>
      </c>
      <c r="C65" s="332"/>
      <c r="D65" s="830"/>
      <c r="E65" s="56">
        <f>Construction!E65</f>
        <v>1000</v>
      </c>
      <c r="F65" s="26">
        <f ca="1">Population!$C65</f>
        <v>1845</v>
      </c>
      <c r="G65" s="26">
        <f ca="1">Military!EM65</f>
        <v>20900</v>
      </c>
      <c r="H65" s="26">
        <f ca="1">H64+S64 - AT65 + IF(AND(C64=1,ISNUMBER(MATCH(race,plat_db,0))),Population!C64*4)</f>
        <v>4786181</v>
      </c>
      <c r="I65" s="26">
        <f ca="1">I64+T64-AY65 +  IF(AND(C64=1,ISNUMBER(MATCH(race,food_db,0))),Population!C64*4)</f>
        <v>254400</v>
      </c>
      <c r="J65" s="26">
        <f t="shared" ca="1" si="17"/>
        <v>306307</v>
      </c>
      <c r="K65" s="26">
        <f ca="1">K64+V64 - AV65 + IF(AND(C64=1,ISNUMBER(MATCH(race,mana_db,0))),Population!C64*4)</f>
        <v>50356</v>
      </c>
      <c r="L65" s="26">
        <f ca="1">L64+W64 - AW65 + IF(AND(C64=1,ISNUMBER(MATCH(race,ore_db,0))),Population!C64*4)</f>
        <v>300000</v>
      </c>
      <c r="M65" s="26">
        <f t="shared" ca="1" si="34"/>
        <v>20000</v>
      </c>
      <c r="N65" s="26">
        <f t="shared" ca="1" si="18"/>
        <v>200</v>
      </c>
      <c r="O65" s="26">
        <f t="shared" si="19"/>
        <v>500</v>
      </c>
      <c r="P65" s="26">
        <f>ROUNDDOWN(P64+MAX(Construction!BO65/2,Construction!BO65*(1-Construction!BO65/(E65-Explore!S65*20)))-Q65*SUM(Techs!AY65:BY65),0)</f>
        <v>0</v>
      </c>
      <c r="Q65" s="166">
        <f>MAX(min_tech_cost,ROUNDDOWN(tech_cost_per_acre*Construction!E65,0))</f>
        <v>5000</v>
      </c>
      <c r="S65" s="152">
        <f t="shared" ca="1" si="21"/>
        <v>4981</v>
      </c>
      <c r="T65" s="164">
        <f t="shared" ca="1" si="28"/>
        <v>2711</v>
      </c>
      <c r="U65" s="164">
        <f t="shared" ca="1" si="29"/>
        <v>-563</v>
      </c>
      <c r="V65" s="164">
        <f t="shared" ca="1" si="30"/>
        <v>243</v>
      </c>
      <c r="W65" s="164">
        <f t="shared" ca="1" si="25"/>
        <v>0</v>
      </c>
      <c r="X65" s="164">
        <f t="shared" ca="1" si="26"/>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4">
        <f ca="1">race_food_bonus + IF(Magic!AO65&gt;0,gaias_blessing_food,IF(Magic!AG65&gt;0,gaias_watch_bonus)) + Imps!AD65+tech_production_food*Techs!W65 + O65/100*prestige_food_bonus</f>
        <v>0.1</v>
      </c>
      <c r="AJ65" s="267">
        <f ca="1">race_lumber_bonus+ IF(Magic!AO65&gt;0,gaias_blessing_lumber)+tech_fruits_of_labor1*Techs!AP65</f>
        <v>0</v>
      </c>
      <c r="AK65" s="267">
        <f ca="1">race_mana_bonus+tech_enchanted_lands_mana*Techs!AT65</f>
        <v>0</v>
      </c>
      <c r="AL65" s="267">
        <f ca="1">race_ore_bonus + IF(Magic!AL65&gt;0,miners_sight_bonus,IF(Magic!AH65&gt;0,mining_strength_bonus))+tech_fruits_of_labor1*Techs!AP65</f>
        <v>0</v>
      </c>
      <c r="AM65" s="193">
        <f ca="1">race_gem_bonus+MAX(tech_production_gems*Techs!X65,tech_fruits_of_labor_gems*Techs!AP65)</f>
        <v>0</v>
      </c>
      <c r="AO65" s="56">
        <f ca="1">I65*food_decay*IF(Magic!AZ65&gt;0,0.5,1)</f>
        <v>2544</v>
      </c>
      <c r="AP65" s="26">
        <f ca="1">(1+race_food_consumption)*Population!F65*food_per_person</f>
        <v>1785</v>
      </c>
      <c r="AQ65" s="26">
        <f t="shared" ca="1" si="31"/>
        <v>3063.07</v>
      </c>
      <c r="AR65" s="57">
        <f t="shared" ca="1" si="32"/>
        <v>1007.12</v>
      </c>
      <c r="AS65" s="26"/>
      <c r="AT65" s="56">
        <f ca="1">Explore!AH65+Construction!AP65+Military!AU65+Rezone!Y65+Imps!AQ65-BE65</f>
        <v>0</v>
      </c>
      <c r="AU65" s="26">
        <f>Construction!AQ65+Imps!AR65-BF65</f>
        <v>0</v>
      </c>
      <c r="AV65" s="26">
        <f>Magic!AD65</f>
        <v>0</v>
      </c>
      <c r="AW65" s="26">
        <f ca="1">Military!AV65+Imps!AS65-BG65</f>
        <v>0</v>
      </c>
      <c r="AX65" s="26">
        <f>Imps!AT65-BH65</f>
        <v>0</v>
      </c>
      <c r="AY65" s="26">
        <f ca="1">Military!AZ65</f>
        <v>0</v>
      </c>
      <c r="AZ65" s="57">
        <f ca="1">Military!BA65</f>
        <v>0</v>
      </c>
      <c r="BB65" s="56" t="b">
        <f t="shared" si="27"/>
        <v>0</v>
      </c>
      <c r="BC65" s="332"/>
      <c r="BD65" s="974">
        <v>63</v>
      </c>
      <c r="BE65" s="332"/>
      <c r="BF65" s="370"/>
      <c r="BG65" s="370"/>
      <c r="BH65" s="740"/>
      <c r="BI65" s="1031">
        <f t="shared" si="33"/>
        <v>43768.645833333183</v>
      </c>
      <c r="BJ65" s="159" t="str">
        <f t="shared" si="20"/>
        <v/>
      </c>
      <c r="BK65" s="26">
        <f t="shared" ca="1" si="16"/>
        <v>4786181</v>
      </c>
      <c r="BL65" s="26">
        <f t="shared" ca="1" si="9"/>
        <v>254400</v>
      </c>
      <c r="BM65" s="26">
        <f t="shared" ca="1" si="10"/>
        <v>306307</v>
      </c>
      <c r="BN65" s="26">
        <f t="shared" ca="1" si="11"/>
        <v>50356</v>
      </c>
      <c r="BO65" s="57">
        <f t="shared" ca="1" si="12"/>
        <v>300000</v>
      </c>
    </row>
    <row r="66" spans="1:67" s="16" customFormat="1" x14ac:dyDescent="0.25">
      <c r="A66" s="982">
        <v>64</v>
      </c>
      <c r="B66" s="812">
        <f>Imps!L66</f>
        <v>43768.656249999847</v>
      </c>
      <c r="C66" s="332"/>
      <c r="D66" s="830"/>
      <c r="E66" s="56">
        <f>Construction!E66</f>
        <v>1000</v>
      </c>
      <c r="F66" s="26">
        <f ca="1">Population!$C66</f>
        <v>1845</v>
      </c>
      <c r="G66" s="26">
        <f ca="1">Military!EM66</f>
        <v>20900</v>
      </c>
      <c r="H66" s="26">
        <f ca="1">H65+S65 - AT66 + IF(AND(C65=1,ISNUMBER(MATCH(race,plat_db,0))),Population!C65*4)</f>
        <v>4791162</v>
      </c>
      <c r="I66" s="26">
        <f ca="1">I65+T65-AY66 +  IF(AND(C65=1,ISNUMBER(MATCH(race,food_db,0))),Population!C65*4)</f>
        <v>257111</v>
      </c>
      <c r="J66" s="26">
        <f t="shared" ca="1" si="17"/>
        <v>305744</v>
      </c>
      <c r="K66" s="26">
        <f ca="1">K65+V65 - AV66 + IF(AND(C65=1,ISNUMBER(MATCH(race,mana_db,0))),Population!C65*4)</f>
        <v>50599</v>
      </c>
      <c r="L66" s="26">
        <f ca="1">L65+W65 - AW66 + IF(AND(C65=1,ISNUMBER(MATCH(race,ore_db,0))),Population!C65*4)</f>
        <v>300000</v>
      </c>
      <c r="M66" s="26">
        <f t="shared" ca="1" si="34"/>
        <v>20000</v>
      </c>
      <c r="N66" s="26">
        <f t="shared" ca="1" si="18"/>
        <v>200</v>
      </c>
      <c r="O66" s="26">
        <f t="shared" si="19"/>
        <v>500</v>
      </c>
      <c r="P66" s="26">
        <f>ROUNDDOWN(P65+MAX(Construction!BO66/2,Construction!BO66*(1-Construction!BO66/(E66-Explore!S66*20)))-Q66*SUM(Techs!AY66:BY66),0)</f>
        <v>0</v>
      </c>
      <c r="Q66" s="166">
        <f>MAX(min_tech_cost,ROUNDDOWN(tech_cost_per_acre*Construction!E66,0))</f>
        <v>5000</v>
      </c>
      <c r="S66" s="152">
        <f t="shared" ca="1" si="21"/>
        <v>4981</v>
      </c>
      <c r="T66" s="164">
        <f t="shared" ca="1" si="28"/>
        <v>2684</v>
      </c>
      <c r="U66" s="164">
        <f t="shared" ca="1" si="29"/>
        <v>-557</v>
      </c>
      <c r="V66" s="164">
        <f t="shared" ca="1" si="30"/>
        <v>238</v>
      </c>
      <c r="W66" s="164">
        <f t="shared" ca="1" si="25"/>
        <v>0</v>
      </c>
      <c r="X66" s="164">
        <f t="shared" ca="1" si="26"/>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4">
        <f ca="1">race_food_bonus + IF(Magic!AO66&gt;0,gaias_blessing_food,IF(Magic!AG66&gt;0,gaias_watch_bonus)) + Imps!AD66+tech_production_food*Techs!W66 + O66/100*prestige_food_bonus</f>
        <v>0.1</v>
      </c>
      <c r="AJ66" s="267">
        <f ca="1">race_lumber_bonus+ IF(Magic!AO66&gt;0,gaias_blessing_lumber)+tech_fruits_of_labor1*Techs!AP66</f>
        <v>0</v>
      </c>
      <c r="AK66" s="267">
        <f ca="1">race_mana_bonus+tech_enchanted_lands_mana*Techs!AT66</f>
        <v>0</v>
      </c>
      <c r="AL66" s="267">
        <f ca="1">race_ore_bonus + IF(Magic!AL66&gt;0,miners_sight_bonus,IF(Magic!AH66&gt;0,mining_strength_bonus))+tech_fruits_of_labor1*Techs!AP66</f>
        <v>0</v>
      </c>
      <c r="AM66" s="193">
        <f ca="1">race_gem_bonus+MAX(tech_production_gems*Techs!X66,tech_fruits_of_labor_gems*Techs!AP66)</f>
        <v>0</v>
      </c>
      <c r="AO66" s="56">
        <f ca="1">I66*food_decay*IF(Magic!AZ66&gt;0,0.5,1)</f>
        <v>2571.11</v>
      </c>
      <c r="AP66" s="26">
        <f ca="1">(1+race_food_consumption)*Population!F66*food_per_person</f>
        <v>1785</v>
      </c>
      <c r="AQ66" s="26">
        <f t="shared" ca="1" si="31"/>
        <v>3057.44</v>
      </c>
      <c r="AR66" s="57">
        <f t="shared" ca="1" si="32"/>
        <v>1011.98</v>
      </c>
      <c r="AS66" s="26"/>
      <c r="AT66" s="56">
        <f ca="1">Explore!AH66+Construction!AP66+Military!AU66+Rezone!Y66+Imps!AQ66-BE66</f>
        <v>0</v>
      </c>
      <c r="AU66" s="26">
        <f>Construction!AQ66+Imps!AR66-BF66</f>
        <v>0</v>
      </c>
      <c r="AV66" s="26">
        <f>Magic!AD66</f>
        <v>0</v>
      </c>
      <c r="AW66" s="26">
        <f ca="1">Military!AV66+Imps!AS66-BG66</f>
        <v>0</v>
      </c>
      <c r="AX66" s="26">
        <f>Imps!AT66-BH66</f>
        <v>0</v>
      </c>
      <c r="AY66" s="26">
        <f ca="1">Military!AZ66</f>
        <v>0</v>
      </c>
      <c r="AZ66" s="57">
        <f ca="1">Military!BA66</f>
        <v>0</v>
      </c>
      <c r="BB66" s="56" t="b">
        <f t="shared" si="27"/>
        <v>0</v>
      </c>
      <c r="BC66" s="332"/>
      <c r="BD66" s="974">
        <v>64</v>
      </c>
      <c r="BE66" s="332"/>
      <c r="BF66" s="370"/>
      <c r="BG66" s="370"/>
      <c r="BH66" s="740"/>
      <c r="BI66" s="1031">
        <f t="shared" si="33"/>
        <v>43768.656249999847</v>
      </c>
      <c r="BJ66" s="159" t="str">
        <f t="shared" si="20"/>
        <v/>
      </c>
      <c r="BK66" s="26">
        <f t="shared" ca="1" si="16"/>
        <v>4791162</v>
      </c>
      <c r="BL66" s="26">
        <f t="shared" ca="1" si="9"/>
        <v>257111</v>
      </c>
      <c r="BM66" s="26">
        <f t="shared" ca="1" si="10"/>
        <v>305744</v>
      </c>
      <c r="BN66" s="26">
        <f t="shared" ca="1" si="11"/>
        <v>50599</v>
      </c>
      <c r="BO66" s="57">
        <f t="shared" ca="1" si="12"/>
        <v>300000</v>
      </c>
    </row>
    <row r="67" spans="1:67" s="16" customFormat="1" x14ac:dyDescent="0.25">
      <c r="A67" s="982">
        <v>65</v>
      </c>
      <c r="B67" s="812">
        <f>Imps!L67</f>
        <v>43768.666666666511</v>
      </c>
      <c r="C67" s="332"/>
      <c r="D67" s="830"/>
      <c r="E67" s="56">
        <f>Construction!E67</f>
        <v>1000</v>
      </c>
      <c r="F67" s="26">
        <f ca="1">Population!$C67</f>
        <v>1845</v>
      </c>
      <c r="G67" s="26">
        <f ca="1">Military!EM67</f>
        <v>20900</v>
      </c>
      <c r="H67" s="26">
        <f ca="1">H66+S66 - AT67 + IF(AND(C66=1,ISNUMBER(MATCH(race,plat_db,0))),Population!C66*4)</f>
        <v>4796143</v>
      </c>
      <c r="I67" s="26">
        <f ca="1">I66+T66-AY67 +  IF(AND(C66=1,ISNUMBER(MATCH(race,food_db,0))),Population!C66*4)</f>
        <v>259795</v>
      </c>
      <c r="J67" s="26">
        <f t="shared" ca="1" si="17"/>
        <v>305187</v>
      </c>
      <c r="K67" s="26">
        <f ca="1">K66+V66 - AV67 + IF(AND(C66=1,ISNUMBER(MATCH(race,mana_db,0))),Population!C66*4)</f>
        <v>50837</v>
      </c>
      <c r="L67" s="26">
        <f ca="1">L66+W66 - AW67 + IF(AND(C66=1,ISNUMBER(MATCH(race,ore_db,0))),Population!C66*4)</f>
        <v>300000</v>
      </c>
      <c r="M67" s="26">
        <f t="shared" ca="1" si="34"/>
        <v>20000</v>
      </c>
      <c r="N67" s="26">
        <f t="shared" ca="1" si="18"/>
        <v>200</v>
      </c>
      <c r="O67" s="26">
        <f t="shared" si="19"/>
        <v>500</v>
      </c>
      <c r="P67" s="26">
        <f>ROUNDDOWN(P66+MAX(Construction!BO67/2,Construction!BO67*(1-Construction!BO67/(E67-Explore!S67*20)))-Q67*SUM(Techs!AY67:BY67),0)</f>
        <v>0</v>
      </c>
      <c r="Q67" s="166">
        <f>MAX(min_tech_cost,ROUNDDOWN(tech_cost_per_acre*Construction!E67,0))</f>
        <v>5000</v>
      </c>
      <c r="S67" s="152">
        <f t="shared" ca="1" si="21"/>
        <v>4981</v>
      </c>
      <c r="T67" s="164">
        <f t="shared" ref="T67:T130" ca="1" si="35">ROUND(AB67*(1+AI67)-AO67-AP67,0)</f>
        <v>2657</v>
      </c>
      <c r="U67" s="164">
        <f t="shared" ref="U67:U130" ca="1" si="36">ROUND(AC67*(1+AJ67)-AQ67,0)</f>
        <v>-552</v>
      </c>
      <c r="V67" s="164">
        <f t="shared" ref="V67:V130" ca="1" si="37">ROUND(AD67*(1+AK67)-AR67,0)</f>
        <v>233</v>
      </c>
      <c r="W67" s="164">
        <f t="shared" ca="1" si="25"/>
        <v>0</v>
      </c>
      <c r="X67" s="164">
        <f t="shared" ca="1" si="26"/>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4">
        <f ca="1">race_food_bonus + IF(Magic!AO67&gt;0,gaias_blessing_food,IF(Magic!AG67&gt;0,gaias_watch_bonus)) + Imps!AD67+tech_production_food*Techs!W67 + O67/100*prestige_food_bonus</f>
        <v>0.1</v>
      </c>
      <c r="AJ67" s="267">
        <f ca="1">race_lumber_bonus+ IF(Magic!AO67&gt;0,gaias_blessing_lumber)+tech_fruits_of_labor1*Techs!AP67</f>
        <v>0</v>
      </c>
      <c r="AK67" s="267">
        <f ca="1">race_mana_bonus+tech_enchanted_lands_mana*Techs!AT67</f>
        <v>0</v>
      </c>
      <c r="AL67" s="267">
        <f ca="1">race_ore_bonus + IF(Magic!AL67&gt;0,miners_sight_bonus,IF(Magic!AH67&gt;0,mining_strength_bonus))+tech_fruits_of_labor1*Techs!AP67</f>
        <v>0</v>
      </c>
      <c r="AM67" s="193">
        <f ca="1">race_gem_bonus+MAX(tech_production_gems*Techs!X67,tech_fruits_of_labor_gems*Techs!AP67)</f>
        <v>0</v>
      </c>
      <c r="AO67" s="56">
        <f ca="1">I67*food_decay*IF(Magic!AZ67&gt;0,0.5,1)</f>
        <v>2597.9500000000003</v>
      </c>
      <c r="AP67" s="26">
        <f ca="1">(1+race_food_consumption)*Population!F67*food_per_person</f>
        <v>1785</v>
      </c>
      <c r="AQ67" s="26">
        <f t="shared" ref="AQ67:AQ98" ca="1" si="38">J67*lumber_rot</f>
        <v>3051.87</v>
      </c>
      <c r="AR67" s="57">
        <f t="shared" ref="AR67:AR98" ca="1" si="39">K67*mana_drain</f>
        <v>1016.74</v>
      </c>
      <c r="AS67" s="26"/>
      <c r="AT67" s="56">
        <f ca="1">Explore!AH67+Construction!AP67+Military!AU67+Rezone!Y67+Imps!AQ67-BE67</f>
        <v>0</v>
      </c>
      <c r="AU67" s="26">
        <f>Construction!AQ67+Imps!AR67-BF67</f>
        <v>0</v>
      </c>
      <c r="AV67" s="26">
        <f>Magic!AD67</f>
        <v>0</v>
      </c>
      <c r="AW67" s="26">
        <f ca="1">Military!AV67+Imps!AS67-BG67</f>
        <v>0</v>
      </c>
      <c r="AX67" s="26">
        <f>Imps!AT67-BH67</f>
        <v>0</v>
      </c>
      <c r="AY67" s="26">
        <f ca="1">Military!AZ67</f>
        <v>0</v>
      </c>
      <c r="AZ67" s="57">
        <f ca="1">Military!BA67</f>
        <v>0</v>
      </c>
      <c r="BB67" s="56" t="b">
        <f t="shared" si="27"/>
        <v>0</v>
      </c>
      <c r="BC67" s="332"/>
      <c r="BD67" s="974">
        <v>65</v>
      </c>
      <c r="BE67" s="332"/>
      <c r="BF67" s="370"/>
      <c r="BG67" s="370"/>
      <c r="BH67" s="740"/>
      <c r="BI67" s="1031">
        <f t="shared" ref="BI67:BI130" si="40">B67</f>
        <v>43768.666666666511</v>
      </c>
      <c r="BJ67" s="159" t="str">
        <f t="shared" si="20"/>
        <v/>
      </c>
      <c r="BK67" s="26">
        <f t="shared" ca="1" si="16"/>
        <v>4796143</v>
      </c>
      <c r="BL67" s="26">
        <f t="shared" ref="BL67:BL130" ca="1" si="41">I67</f>
        <v>259795</v>
      </c>
      <c r="BM67" s="26">
        <f t="shared" ref="BM67:BM130" ca="1" si="42">J67</f>
        <v>305187</v>
      </c>
      <c r="BN67" s="26">
        <f t="shared" ref="BN67:BN130" ca="1" si="43">K67</f>
        <v>50837</v>
      </c>
      <c r="BO67" s="57">
        <f t="shared" ref="BO67:BO130" ca="1" si="44">L67</f>
        <v>300000</v>
      </c>
    </row>
    <row r="68" spans="1:67" s="16" customFormat="1" x14ac:dyDescent="0.25">
      <c r="A68" s="982">
        <v>66</v>
      </c>
      <c r="B68" s="812">
        <f>Imps!L68</f>
        <v>43768.677083333176</v>
      </c>
      <c r="C68" s="332"/>
      <c r="D68" s="830"/>
      <c r="E68" s="56">
        <f>Construction!E68</f>
        <v>1000</v>
      </c>
      <c r="F68" s="26">
        <f ca="1">Population!$C68</f>
        <v>1845</v>
      </c>
      <c r="G68" s="26">
        <f ca="1">Military!EM68</f>
        <v>20900</v>
      </c>
      <c r="H68" s="26">
        <f ca="1">H67+S67 - AT68 + IF(AND(C67=1,ISNUMBER(MATCH(race,plat_db,0))),Population!C67*4)</f>
        <v>4801124</v>
      </c>
      <c r="I68" s="26">
        <f ca="1">I67+T67-AY68 +  IF(AND(C67=1,ISNUMBER(MATCH(race,food_db,0))),Population!C67*4)</f>
        <v>262452</v>
      </c>
      <c r="J68" s="26">
        <f t="shared" ca="1" si="17"/>
        <v>304635</v>
      </c>
      <c r="K68" s="26">
        <f ca="1">K67+V67 - AV68 + IF(AND(C67=1,ISNUMBER(MATCH(race,mana_db,0))),Population!C67*4)</f>
        <v>51070</v>
      </c>
      <c r="L68" s="26">
        <f ca="1">L67+W67 - AW68 + IF(AND(C67=1,ISNUMBER(MATCH(race,ore_db,0))),Population!C67*4)</f>
        <v>300000</v>
      </c>
      <c r="M68" s="26">
        <f t="shared" ref="M68:M99" ca="1" si="45">M67+X67 - AX68</f>
        <v>20000</v>
      </c>
      <c r="N68" s="26">
        <f t="shared" ca="1" si="18"/>
        <v>200</v>
      </c>
      <c r="O68" s="26">
        <f t="shared" si="19"/>
        <v>500</v>
      </c>
      <c r="P68" s="26">
        <f>ROUNDDOWN(P67+MAX(Construction!BO68/2,Construction!BO68*(1-Construction!BO68/(E68-Explore!S68*20)))-Q68*SUM(Techs!AY68:BY68),0)</f>
        <v>0</v>
      </c>
      <c r="Q68" s="166">
        <f>MAX(min_tech_cost,ROUNDDOWN(tech_cost_per_acre*Construction!E68,0))</f>
        <v>5000</v>
      </c>
      <c r="S68" s="152">
        <f t="shared" ref="S68:S131" ca="1" si="46">ROUNDDOWN(AA68*(1+AH68),0)</f>
        <v>4981</v>
      </c>
      <c r="T68" s="164">
        <f t="shared" ca="1" si="35"/>
        <v>2630</v>
      </c>
      <c r="U68" s="164">
        <f t="shared" ca="1" si="36"/>
        <v>-546</v>
      </c>
      <c r="V68" s="164">
        <f t="shared" ca="1" si="37"/>
        <v>229</v>
      </c>
      <c r="W68" s="164">
        <f t="shared" ref="W68:W131" ca="1" si="47">ROUNDDOWN(AE68*(1+AL68),0)</f>
        <v>0</v>
      </c>
      <c r="X68" s="164">
        <f t="shared" ref="X68:X131" ca="1" si="48">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4">
        <f ca="1">race_food_bonus + IF(Magic!AO68&gt;0,gaias_blessing_food,IF(Magic!AG68&gt;0,gaias_watch_bonus)) + Imps!AD68+tech_production_food*Techs!W68 + O68/100*prestige_food_bonus</f>
        <v>0.1</v>
      </c>
      <c r="AJ68" s="267">
        <f ca="1">race_lumber_bonus+ IF(Magic!AO68&gt;0,gaias_blessing_lumber)+tech_fruits_of_labor1*Techs!AP68</f>
        <v>0</v>
      </c>
      <c r="AK68" s="267">
        <f ca="1">race_mana_bonus+tech_enchanted_lands_mana*Techs!AT68</f>
        <v>0</v>
      </c>
      <c r="AL68" s="267">
        <f ca="1">race_ore_bonus + IF(Magic!AL68&gt;0,miners_sight_bonus,IF(Magic!AH68&gt;0,mining_strength_bonus))+tech_fruits_of_labor1*Techs!AP68</f>
        <v>0</v>
      </c>
      <c r="AM68" s="193">
        <f ca="1">race_gem_bonus+MAX(tech_production_gems*Techs!X68,tech_fruits_of_labor_gems*Techs!AP68)</f>
        <v>0</v>
      </c>
      <c r="AO68" s="56">
        <f ca="1">I68*food_decay*IF(Magic!AZ68&gt;0,0.5,1)</f>
        <v>2624.52</v>
      </c>
      <c r="AP68" s="26">
        <f ca="1">(1+race_food_consumption)*Population!F68*food_per_person</f>
        <v>1785</v>
      </c>
      <c r="AQ68" s="26">
        <f t="shared" ca="1" si="38"/>
        <v>3046.35</v>
      </c>
      <c r="AR68" s="57">
        <f t="shared" ca="1" si="39"/>
        <v>1021.4</v>
      </c>
      <c r="AS68" s="26"/>
      <c r="AT68" s="56">
        <f ca="1">Explore!AH68+Construction!AP68+Military!AU68+Rezone!Y68+Imps!AQ68-BE68</f>
        <v>0</v>
      </c>
      <c r="AU68" s="26">
        <f>Construction!AQ68+Imps!AR68-BF68</f>
        <v>0</v>
      </c>
      <c r="AV68" s="26">
        <f>Magic!AD68</f>
        <v>0</v>
      </c>
      <c r="AW68" s="26">
        <f ca="1">Military!AV68+Imps!AS68-BG68</f>
        <v>0</v>
      </c>
      <c r="AX68" s="26">
        <f>Imps!AT68-BH68</f>
        <v>0</v>
      </c>
      <c r="AY68" s="26">
        <f ca="1">Military!AZ68</f>
        <v>0</v>
      </c>
      <c r="AZ68" s="57">
        <f ca="1">Military!BA68</f>
        <v>0</v>
      </c>
      <c r="BB68" s="56" t="b">
        <f t="shared" si="27"/>
        <v>0</v>
      </c>
      <c r="BC68" s="332"/>
      <c r="BD68" s="974">
        <v>66</v>
      </c>
      <c r="BE68" s="332"/>
      <c r="BF68" s="370"/>
      <c r="BG68" s="370"/>
      <c r="BH68" s="740"/>
      <c r="BI68" s="1031">
        <f t="shared" si="40"/>
        <v>43768.677083333176</v>
      </c>
      <c r="BJ68" s="159" t="str">
        <f t="shared" si="20"/>
        <v/>
      </c>
      <c r="BK68" s="26">
        <f t="shared" ref="BK68:BK131" ca="1" si="49">H68</f>
        <v>4801124</v>
      </c>
      <c r="BL68" s="26">
        <f t="shared" ca="1" si="41"/>
        <v>262452</v>
      </c>
      <c r="BM68" s="26">
        <f t="shared" ca="1" si="42"/>
        <v>304635</v>
      </c>
      <c r="BN68" s="26">
        <f t="shared" ca="1" si="43"/>
        <v>51070</v>
      </c>
      <c r="BO68" s="57">
        <f t="shared" ca="1" si="44"/>
        <v>300000</v>
      </c>
    </row>
    <row r="69" spans="1:67" s="16" customFormat="1" x14ac:dyDescent="0.25">
      <c r="A69" s="982">
        <v>67</v>
      </c>
      <c r="B69" s="812">
        <f>Imps!L69</f>
        <v>43768.68749999984</v>
      </c>
      <c r="C69" s="332"/>
      <c r="D69" s="830"/>
      <c r="E69" s="56">
        <f>Construction!E69</f>
        <v>1000</v>
      </c>
      <c r="F69" s="26">
        <f ca="1">Population!$C69</f>
        <v>1845</v>
      </c>
      <c r="G69" s="26">
        <f ca="1">Military!EM69</f>
        <v>20900</v>
      </c>
      <c r="H69" s="26">
        <f ca="1">H68+S68 - AT69 + IF(AND(C68=1,ISNUMBER(MATCH(race,plat_db,0))),Population!C68*4)</f>
        <v>4806105</v>
      </c>
      <c r="I69" s="26">
        <f ca="1">I68+T68-AY69 +  IF(AND(C68=1,ISNUMBER(MATCH(race,food_db,0))),Population!C68*4)</f>
        <v>265082</v>
      </c>
      <c r="J69" s="26">
        <f t="shared" ref="J69:J132" ca="1" si="50">J68+U68 - AU69</f>
        <v>304089</v>
      </c>
      <c r="K69" s="26">
        <f ca="1">K68+V68 - AV69 + IF(AND(C68=1,ISNUMBER(MATCH(race,mana_db,0))),Population!C68*4)</f>
        <v>51299</v>
      </c>
      <c r="L69" s="26">
        <f ca="1">L68+W68 - AW69 + IF(AND(C68=1,ISNUMBER(MATCH(race,ore_db,0))),Population!C68*4)</f>
        <v>300000</v>
      </c>
      <c r="M69" s="26">
        <f t="shared" ca="1" si="45"/>
        <v>20000</v>
      </c>
      <c r="N69" s="26">
        <f t="shared" ref="N69:N132" ca="1" si="51">N68+Y68-AZ69</f>
        <v>200</v>
      </c>
      <c r="O69" s="26">
        <f t="shared" ref="O69:O76" si="52">O68</f>
        <v>500</v>
      </c>
      <c r="P69" s="26">
        <f>ROUNDDOWN(P68+MAX(Construction!BO69/2,Construction!BO69*(1-Construction!BO69/(E69-Explore!S69*20)))-Q69*SUM(Techs!AY69:BY69),0)</f>
        <v>0</v>
      </c>
      <c r="Q69" s="166">
        <f>MAX(min_tech_cost,ROUNDDOWN(tech_cost_per_acre*Construction!E69,0))</f>
        <v>5000</v>
      </c>
      <c r="S69" s="152">
        <f t="shared" ca="1" si="46"/>
        <v>4981</v>
      </c>
      <c r="T69" s="164">
        <f t="shared" ca="1" si="35"/>
        <v>2604</v>
      </c>
      <c r="U69" s="164">
        <f t="shared" ca="1" si="36"/>
        <v>-541</v>
      </c>
      <c r="V69" s="164">
        <f t="shared" ca="1" si="37"/>
        <v>224</v>
      </c>
      <c r="W69" s="164">
        <f t="shared" ca="1" si="47"/>
        <v>0</v>
      </c>
      <c r="X69" s="164">
        <f t="shared" ca="1" si="48"/>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4">
        <f ca="1">race_food_bonus + IF(Magic!AO69&gt;0,gaias_blessing_food,IF(Magic!AG69&gt;0,gaias_watch_bonus)) + Imps!AD69+tech_production_food*Techs!W69 + O69/100*prestige_food_bonus</f>
        <v>0.1</v>
      </c>
      <c r="AJ69" s="267">
        <f ca="1">race_lumber_bonus+ IF(Magic!AO69&gt;0,gaias_blessing_lumber)+tech_fruits_of_labor1*Techs!AP69</f>
        <v>0</v>
      </c>
      <c r="AK69" s="267">
        <f ca="1">race_mana_bonus+tech_enchanted_lands_mana*Techs!AT69</f>
        <v>0</v>
      </c>
      <c r="AL69" s="267">
        <f ca="1">race_ore_bonus + IF(Magic!AL69&gt;0,miners_sight_bonus,IF(Magic!AH69&gt;0,mining_strength_bonus))+tech_fruits_of_labor1*Techs!AP69</f>
        <v>0</v>
      </c>
      <c r="AM69" s="193">
        <f ca="1">race_gem_bonus+MAX(tech_production_gems*Techs!X69,tech_fruits_of_labor_gems*Techs!AP69)</f>
        <v>0</v>
      </c>
      <c r="AO69" s="56">
        <f ca="1">I69*food_decay*IF(Magic!AZ69&gt;0,0.5,1)</f>
        <v>2650.82</v>
      </c>
      <c r="AP69" s="26">
        <f ca="1">(1+race_food_consumption)*Population!F69*food_per_person</f>
        <v>1785</v>
      </c>
      <c r="AQ69" s="26">
        <f t="shared" ca="1" si="38"/>
        <v>3040.89</v>
      </c>
      <c r="AR69" s="57">
        <f t="shared" ca="1" si="39"/>
        <v>1025.98</v>
      </c>
      <c r="AS69" s="26"/>
      <c r="AT69" s="56">
        <f ca="1">Explore!AH69+Construction!AP69+Military!AU69+Rezone!Y69+Imps!AQ69-BE69</f>
        <v>0</v>
      </c>
      <c r="AU69" s="26">
        <f>Construction!AQ69+Imps!AR69-BF69</f>
        <v>0</v>
      </c>
      <c r="AV69" s="26">
        <f>Magic!AD69</f>
        <v>0</v>
      </c>
      <c r="AW69" s="26">
        <f ca="1">Military!AV69+Imps!AS69-BG69</f>
        <v>0</v>
      </c>
      <c r="AX69" s="26">
        <f>Imps!AT69-BH69</f>
        <v>0</v>
      </c>
      <c r="AY69" s="26">
        <f ca="1">Military!AZ69</f>
        <v>0</v>
      </c>
      <c r="AZ69" s="57">
        <f ca="1">Military!BA69</f>
        <v>0</v>
      </c>
      <c r="BB69" s="56" t="b">
        <f t="shared" si="27"/>
        <v>0</v>
      </c>
      <c r="BC69" s="332"/>
      <c r="BD69" s="974">
        <v>67</v>
      </c>
      <c r="BE69" s="332"/>
      <c r="BF69" s="370"/>
      <c r="BG69" s="370"/>
      <c r="BH69" s="740"/>
      <c r="BI69" s="1031">
        <f t="shared" si="40"/>
        <v>43768.68749999984</v>
      </c>
      <c r="BJ69" s="159" t="str">
        <f t="shared" si="20"/>
        <v/>
      </c>
      <c r="BK69" s="26">
        <f t="shared" ca="1" si="49"/>
        <v>4806105</v>
      </c>
      <c r="BL69" s="26">
        <f t="shared" ca="1" si="41"/>
        <v>265082</v>
      </c>
      <c r="BM69" s="26">
        <f t="shared" ca="1" si="42"/>
        <v>304089</v>
      </c>
      <c r="BN69" s="26">
        <f t="shared" ca="1" si="43"/>
        <v>51299</v>
      </c>
      <c r="BO69" s="57">
        <f t="shared" ca="1" si="44"/>
        <v>300000</v>
      </c>
    </row>
    <row r="70" spans="1:67" s="16" customFormat="1" x14ac:dyDescent="0.25">
      <c r="A70" s="982">
        <v>68</v>
      </c>
      <c r="B70" s="812">
        <f>Imps!L70</f>
        <v>43768.697916666504</v>
      </c>
      <c r="C70" s="332"/>
      <c r="D70" s="830"/>
      <c r="E70" s="56">
        <f>Construction!E70</f>
        <v>1000</v>
      </c>
      <c r="F70" s="26">
        <f ca="1">Population!$C70</f>
        <v>1845</v>
      </c>
      <c r="G70" s="26">
        <f ca="1">Military!EM70</f>
        <v>20900</v>
      </c>
      <c r="H70" s="26">
        <f ca="1">H69+S69 - AT70 + IF(AND(C69=1,ISNUMBER(MATCH(race,plat_db,0))),Population!C69*4)</f>
        <v>4811086</v>
      </c>
      <c r="I70" s="26">
        <f ca="1">I69+T69-AY70 +  IF(AND(C69=1,ISNUMBER(MATCH(race,food_db,0))),Population!C69*4)</f>
        <v>267686</v>
      </c>
      <c r="J70" s="26">
        <f t="shared" ca="1" si="50"/>
        <v>303548</v>
      </c>
      <c r="K70" s="26">
        <f ca="1">K69+V69 - AV70 + IF(AND(C69=1,ISNUMBER(MATCH(race,mana_db,0))),Population!C69*4)</f>
        <v>51523</v>
      </c>
      <c r="L70" s="26">
        <f ca="1">L69+W69 - AW70 + IF(AND(C69=1,ISNUMBER(MATCH(race,ore_db,0))),Population!C69*4)</f>
        <v>300000</v>
      </c>
      <c r="M70" s="26">
        <f t="shared" ca="1" si="45"/>
        <v>20000</v>
      </c>
      <c r="N70" s="26">
        <f t="shared" ca="1" si="51"/>
        <v>200</v>
      </c>
      <c r="O70" s="26">
        <f t="shared" si="52"/>
        <v>500</v>
      </c>
      <c r="P70" s="26">
        <f>ROUNDDOWN(P69+MAX(Construction!BO70/2,Construction!BO70*(1-Construction!BO70/(E70-Explore!S70*20)))-Q70*SUM(Techs!AY70:BY70),0)</f>
        <v>0</v>
      </c>
      <c r="Q70" s="166">
        <f>MAX(min_tech_cost,ROUNDDOWN(tech_cost_per_acre*Construction!E70,0))</f>
        <v>5000</v>
      </c>
      <c r="S70" s="152">
        <f t="shared" ca="1" si="46"/>
        <v>4981</v>
      </c>
      <c r="T70" s="164">
        <f t="shared" ca="1" si="35"/>
        <v>2578</v>
      </c>
      <c r="U70" s="164">
        <f t="shared" ca="1" si="36"/>
        <v>-535</v>
      </c>
      <c r="V70" s="164">
        <f t="shared" ca="1" si="37"/>
        <v>220</v>
      </c>
      <c r="W70" s="164">
        <f t="shared" ca="1" si="47"/>
        <v>0</v>
      </c>
      <c r="X70" s="164">
        <f t="shared" ca="1" si="48"/>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4">
        <f ca="1">race_food_bonus + IF(Magic!AO70&gt;0,gaias_blessing_food,IF(Magic!AG70&gt;0,gaias_watch_bonus)) + Imps!AD70+tech_production_food*Techs!W70 + O70/100*prestige_food_bonus</f>
        <v>0.1</v>
      </c>
      <c r="AJ70" s="267">
        <f ca="1">race_lumber_bonus+ IF(Magic!AO70&gt;0,gaias_blessing_lumber)+tech_fruits_of_labor1*Techs!AP70</f>
        <v>0</v>
      </c>
      <c r="AK70" s="267">
        <f ca="1">race_mana_bonus+tech_enchanted_lands_mana*Techs!AT70</f>
        <v>0</v>
      </c>
      <c r="AL70" s="267">
        <f ca="1">race_ore_bonus + IF(Magic!AL70&gt;0,miners_sight_bonus,IF(Magic!AH70&gt;0,mining_strength_bonus))+tech_fruits_of_labor1*Techs!AP70</f>
        <v>0</v>
      </c>
      <c r="AM70" s="193">
        <f ca="1">race_gem_bonus+MAX(tech_production_gems*Techs!X70,tech_fruits_of_labor_gems*Techs!AP70)</f>
        <v>0</v>
      </c>
      <c r="AO70" s="56">
        <f ca="1">I70*food_decay*IF(Magic!AZ70&gt;0,0.5,1)</f>
        <v>2676.86</v>
      </c>
      <c r="AP70" s="26">
        <f ca="1">(1+race_food_consumption)*Population!F70*food_per_person</f>
        <v>1785</v>
      </c>
      <c r="AQ70" s="26">
        <f t="shared" ca="1" si="38"/>
        <v>3035.48</v>
      </c>
      <c r="AR70" s="57">
        <f t="shared" ca="1" si="39"/>
        <v>1030.46</v>
      </c>
      <c r="AS70" s="26"/>
      <c r="AT70" s="56">
        <f ca="1">Explore!AH70+Construction!AP70+Military!AU70+Rezone!Y70+Imps!AQ70-BE70</f>
        <v>0</v>
      </c>
      <c r="AU70" s="26">
        <f>Construction!AQ70+Imps!AR70-BF70</f>
        <v>0</v>
      </c>
      <c r="AV70" s="26">
        <f>Magic!AD70</f>
        <v>0</v>
      </c>
      <c r="AW70" s="26">
        <f ca="1">Military!AV70+Imps!AS70-BG70</f>
        <v>0</v>
      </c>
      <c r="AX70" s="26">
        <f>Imps!AT70-BH70</f>
        <v>0</v>
      </c>
      <c r="AY70" s="26">
        <f ca="1">Military!AZ70</f>
        <v>0</v>
      </c>
      <c r="AZ70" s="57">
        <f ca="1">Military!BA70</f>
        <v>0</v>
      </c>
      <c r="BB70" s="56" t="b">
        <f t="shared" si="27"/>
        <v>0</v>
      </c>
      <c r="BC70" s="332"/>
      <c r="BD70" s="974">
        <v>68</v>
      </c>
      <c r="BE70" s="332"/>
      <c r="BF70" s="370"/>
      <c r="BG70" s="370"/>
      <c r="BH70" s="740"/>
      <c r="BI70" s="1031">
        <f t="shared" si="40"/>
        <v>43768.697916666504</v>
      </c>
      <c r="BJ70" s="159" t="str">
        <f t="shared" ref="BJ70:BJ133" si="53">IF(AND(BE70=0,BF70=0,BG70=0,BH70=0),"",IF(BE70&gt;0,IF((BF70+BG70)/2+BH70*2+BE70=0,"Ok","Nope"),IF(BF70&gt;0,IF((BE70+BG70)/2+BH70*2+BF70=0,"Ok","Nope"),IF(BG70&gt;0,IF((BE70+BF70)/2+BH70*2+BG70=0,"Ok","Nope")))))</f>
        <v/>
      </c>
      <c r="BK70" s="26">
        <f t="shared" ca="1" si="49"/>
        <v>4811086</v>
      </c>
      <c r="BL70" s="26">
        <f t="shared" ca="1" si="41"/>
        <v>267686</v>
      </c>
      <c r="BM70" s="26">
        <f t="shared" ca="1" si="42"/>
        <v>303548</v>
      </c>
      <c r="BN70" s="26">
        <f t="shared" ca="1" si="43"/>
        <v>51523</v>
      </c>
      <c r="BO70" s="57">
        <f t="shared" ca="1" si="44"/>
        <v>300000</v>
      </c>
    </row>
    <row r="71" spans="1:67" s="16" customFormat="1" x14ac:dyDescent="0.25">
      <c r="A71" s="982">
        <v>69</v>
      </c>
      <c r="B71" s="812">
        <f>Imps!L71</f>
        <v>43768.708333333168</v>
      </c>
      <c r="C71" s="332"/>
      <c r="D71" s="830"/>
      <c r="E71" s="56">
        <f>Construction!E71</f>
        <v>1000</v>
      </c>
      <c r="F71" s="26">
        <f ca="1">Population!$C71</f>
        <v>1845</v>
      </c>
      <c r="G71" s="26">
        <f ca="1">Military!EM71</f>
        <v>20900</v>
      </c>
      <c r="H71" s="26">
        <f ca="1">H70+S70 - AT71 + IF(AND(C70=1,ISNUMBER(MATCH(race,plat_db,0))),Population!C70*4)</f>
        <v>4816067</v>
      </c>
      <c r="I71" s="26">
        <f ca="1">I70+T70-AY71 +  IF(AND(C70=1,ISNUMBER(MATCH(race,food_db,0))),Population!C70*4)</f>
        <v>270264</v>
      </c>
      <c r="J71" s="26">
        <f t="shared" ca="1" si="50"/>
        <v>303013</v>
      </c>
      <c r="K71" s="26">
        <f ca="1">K70+V70 - AV71 + IF(AND(C70=1,ISNUMBER(MATCH(race,mana_db,0))),Population!C70*4)</f>
        <v>51743</v>
      </c>
      <c r="L71" s="26">
        <f ca="1">L70+W70 - AW71 + IF(AND(C70=1,ISNUMBER(MATCH(race,ore_db,0))),Population!C70*4)</f>
        <v>300000</v>
      </c>
      <c r="M71" s="26">
        <f t="shared" ca="1" si="45"/>
        <v>20000</v>
      </c>
      <c r="N71" s="26">
        <f t="shared" ca="1" si="51"/>
        <v>200</v>
      </c>
      <c r="O71" s="26">
        <f t="shared" si="52"/>
        <v>500</v>
      </c>
      <c r="P71" s="26">
        <f>ROUNDDOWN(P70+MAX(Construction!BO71/2,Construction!BO71*(1-Construction!BO71/(E71-Explore!S71*20)))-Q71*SUM(Techs!AY71:BY71),0)</f>
        <v>0</v>
      </c>
      <c r="Q71" s="166">
        <f>MAX(min_tech_cost,ROUNDDOWN(tech_cost_per_acre*Construction!E71,0))</f>
        <v>5000</v>
      </c>
      <c r="S71" s="152">
        <f t="shared" ca="1" si="46"/>
        <v>4981</v>
      </c>
      <c r="T71" s="164">
        <f t="shared" ca="1" si="35"/>
        <v>2552</v>
      </c>
      <c r="U71" s="164">
        <f t="shared" ca="1" si="36"/>
        <v>-530</v>
      </c>
      <c r="V71" s="164">
        <f t="shared" ca="1" si="37"/>
        <v>215</v>
      </c>
      <c r="W71" s="164">
        <f t="shared" ca="1" si="47"/>
        <v>0</v>
      </c>
      <c r="X71" s="164">
        <f t="shared" ca="1" si="48"/>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4">
        <f ca="1">race_food_bonus + IF(Magic!AO71&gt;0,gaias_blessing_food,IF(Magic!AG71&gt;0,gaias_watch_bonus)) + Imps!AD71+tech_production_food*Techs!W71 + O71/100*prestige_food_bonus</f>
        <v>0.1</v>
      </c>
      <c r="AJ71" s="267">
        <f ca="1">race_lumber_bonus+ IF(Magic!AO71&gt;0,gaias_blessing_lumber)+tech_fruits_of_labor1*Techs!AP71</f>
        <v>0</v>
      </c>
      <c r="AK71" s="267">
        <f ca="1">race_mana_bonus+tech_enchanted_lands_mana*Techs!AT71</f>
        <v>0</v>
      </c>
      <c r="AL71" s="267">
        <f ca="1">race_ore_bonus + IF(Magic!AL71&gt;0,miners_sight_bonus,IF(Magic!AH71&gt;0,mining_strength_bonus))+tech_fruits_of_labor1*Techs!AP71</f>
        <v>0</v>
      </c>
      <c r="AM71" s="193">
        <f ca="1">race_gem_bonus+MAX(tech_production_gems*Techs!X71,tech_fruits_of_labor_gems*Techs!AP71)</f>
        <v>0</v>
      </c>
      <c r="AO71" s="56">
        <f ca="1">I71*food_decay*IF(Magic!AZ71&gt;0,0.5,1)</f>
        <v>2702.64</v>
      </c>
      <c r="AP71" s="26">
        <f ca="1">(1+race_food_consumption)*Population!F71*food_per_person</f>
        <v>1785</v>
      </c>
      <c r="AQ71" s="26">
        <f t="shared" ca="1" si="38"/>
        <v>3030.13</v>
      </c>
      <c r="AR71" s="57">
        <f t="shared" ca="1" si="39"/>
        <v>1034.8600000000001</v>
      </c>
      <c r="AS71" s="26"/>
      <c r="AT71" s="56">
        <f ca="1">Explore!AH71+Construction!AP71+Military!AU71+Rezone!Y71+Imps!AQ71-BE71</f>
        <v>0</v>
      </c>
      <c r="AU71" s="26">
        <f>Construction!AQ71+Imps!AR71-BF71</f>
        <v>0</v>
      </c>
      <c r="AV71" s="26">
        <f>Magic!AD71</f>
        <v>0</v>
      </c>
      <c r="AW71" s="26">
        <f ca="1">Military!AV71+Imps!AS71-BG71</f>
        <v>0</v>
      </c>
      <c r="AX71" s="26">
        <f>Imps!AT71-BH71</f>
        <v>0</v>
      </c>
      <c r="AY71" s="26">
        <f ca="1">Military!AZ71</f>
        <v>0</v>
      </c>
      <c r="AZ71" s="57">
        <f ca="1">Military!BA71</f>
        <v>0</v>
      </c>
      <c r="BB71" s="56" t="b">
        <f t="shared" si="27"/>
        <v>0</v>
      </c>
      <c r="BC71" s="332"/>
      <c r="BD71" s="974">
        <v>69</v>
      </c>
      <c r="BE71" s="332"/>
      <c r="BF71" s="370"/>
      <c r="BG71" s="370"/>
      <c r="BH71" s="740"/>
      <c r="BI71" s="1031">
        <f t="shared" si="40"/>
        <v>43768.708333333168</v>
      </c>
      <c r="BJ71" s="159" t="str">
        <f t="shared" si="53"/>
        <v/>
      </c>
      <c r="BK71" s="26">
        <f t="shared" ca="1" si="49"/>
        <v>4816067</v>
      </c>
      <c r="BL71" s="26">
        <f t="shared" ca="1" si="41"/>
        <v>270264</v>
      </c>
      <c r="BM71" s="26">
        <f t="shared" ca="1" si="42"/>
        <v>303013</v>
      </c>
      <c r="BN71" s="26">
        <f t="shared" ca="1" si="43"/>
        <v>51743</v>
      </c>
      <c r="BO71" s="57">
        <f t="shared" ca="1" si="44"/>
        <v>300000</v>
      </c>
    </row>
    <row r="72" spans="1:67" s="16" customFormat="1" x14ac:dyDescent="0.25">
      <c r="A72" s="982">
        <v>70</v>
      </c>
      <c r="B72" s="812">
        <f>Imps!L72</f>
        <v>43768.718749999833</v>
      </c>
      <c r="C72" s="332"/>
      <c r="D72" s="830"/>
      <c r="E72" s="56">
        <f>Construction!E72</f>
        <v>1000</v>
      </c>
      <c r="F72" s="26">
        <f ca="1">Population!$C72</f>
        <v>1845</v>
      </c>
      <c r="G72" s="26">
        <f ca="1">Military!EM72</f>
        <v>20900</v>
      </c>
      <c r="H72" s="26">
        <f ca="1">H71+S71 - AT72 + IF(AND(C71=1,ISNUMBER(MATCH(race,plat_db,0))),Population!C71*4)</f>
        <v>4821048</v>
      </c>
      <c r="I72" s="26">
        <f ca="1">I71+T71-AY72 +  IF(AND(C71=1,ISNUMBER(MATCH(race,food_db,0))),Population!C71*4)</f>
        <v>272816</v>
      </c>
      <c r="J72" s="26">
        <f t="shared" ca="1" si="50"/>
        <v>302483</v>
      </c>
      <c r="K72" s="26">
        <f ca="1">K71+V71 - AV72 + IF(AND(C71=1,ISNUMBER(MATCH(race,mana_db,0))),Population!C71*4)</f>
        <v>51958</v>
      </c>
      <c r="L72" s="26">
        <f ca="1">L71+W71 - AW72 + IF(AND(C71=1,ISNUMBER(MATCH(race,ore_db,0))),Population!C71*4)</f>
        <v>300000</v>
      </c>
      <c r="M72" s="26">
        <f t="shared" ca="1" si="45"/>
        <v>20000</v>
      </c>
      <c r="N72" s="26">
        <f t="shared" ca="1" si="51"/>
        <v>200</v>
      </c>
      <c r="O72" s="26">
        <f t="shared" si="52"/>
        <v>500</v>
      </c>
      <c r="P72" s="26">
        <f>ROUNDDOWN(P71+MAX(Construction!BO72/2,Construction!BO72*(1-Construction!BO72/(E72-Explore!S72*20)))-Q72*SUM(Techs!AY72:BY72),0)</f>
        <v>0</v>
      </c>
      <c r="Q72" s="166">
        <f>MAX(min_tech_cost,ROUNDDOWN(tech_cost_per_acre*Construction!E72,0))</f>
        <v>5000</v>
      </c>
      <c r="S72" s="152">
        <f t="shared" ca="1" si="46"/>
        <v>4981</v>
      </c>
      <c r="T72" s="164">
        <f t="shared" ca="1" si="35"/>
        <v>2527</v>
      </c>
      <c r="U72" s="164">
        <f t="shared" ca="1" si="36"/>
        <v>-525</v>
      </c>
      <c r="V72" s="164">
        <f t="shared" ca="1" si="37"/>
        <v>211</v>
      </c>
      <c r="W72" s="164">
        <f t="shared" ca="1" si="47"/>
        <v>0</v>
      </c>
      <c r="X72" s="164">
        <f t="shared" ca="1" si="48"/>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4">
        <f ca="1">race_food_bonus + IF(Magic!AO72&gt;0,gaias_blessing_food,IF(Magic!AG72&gt;0,gaias_watch_bonus)) + Imps!AD72+tech_production_food*Techs!W72 + O72/100*prestige_food_bonus</f>
        <v>0.1</v>
      </c>
      <c r="AJ72" s="267">
        <f ca="1">race_lumber_bonus+ IF(Magic!AO72&gt;0,gaias_blessing_lumber)+tech_fruits_of_labor1*Techs!AP72</f>
        <v>0</v>
      </c>
      <c r="AK72" s="267">
        <f ca="1">race_mana_bonus+tech_enchanted_lands_mana*Techs!AT72</f>
        <v>0</v>
      </c>
      <c r="AL72" s="267">
        <f ca="1">race_ore_bonus + IF(Magic!AL72&gt;0,miners_sight_bonus,IF(Magic!AH72&gt;0,mining_strength_bonus))+tech_fruits_of_labor1*Techs!AP72</f>
        <v>0</v>
      </c>
      <c r="AM72" s="193">
        <f ca="1">race_gem_bonus+MAX(tech_production_gems*Techs!X72,tech_fruits_of_labor_gems*Techs!AP72)</f>
        <v>0</v>
      </c>
      <c r="AO72" s="56">
        <f ca="1">I72*food_decay*IF(Magic!AZ72&gt;0,0.5,1)</f>
        <v>2728.16</v>
      </c>
      <c r="AP72" s="26">
        <f ca="1">(1+race_food_consumption)*Population!F72*food_per_person</f>
        <v>1785</v>
      </c>
      <c r="AQ72" s="26">
        <f t="shared" ca="1" si="38"/>
        <v>3024.83</v>
      </c>
      <c r="AR72" s="57">
        <f t="shared" ca="1" si="39"/>
        <v>1039.1600000000001</v>
      </c>
      <c r="AS72" s="26"/>
      <c r="AT72" s="56">
        <f ca="1">Explore!AH72+Construction!AP72+Military!AU72+Rezone!Y72+Imps!AQ72-BE72</f>
        <v>0</v>
      </c>
      <c r="AU72" s="26">
        <f>Construction!AQ72+Imps!AR72-BF72</f>
        <v>0</v>
      </c>
      <c r="AV72" s="26">
        <f>Magic!AD72</f>
        <v>0</v>
      </c>
      <c r="AW72" s="26">
        <f ca="1">Military!AV72+Imps!AS72-BG72</f>
        <v>0</v>
      </c>
      <c r="AX72" s="26">
        <f>Imps!AT72-BH72</f>
        <v>0</v>
      </c>
      <c r="AY72" s="26">
        <f ca="1">Military!AZ72</f>
        <v>0</v>
      </c>
      <c r="AZ72" s="57">
        <f ca="1">Military!BA72</f>
        <v>0</v>
      </c>
      <c r="BB72" s="56" t="b">
        <f t="shared" si="27"/>
        <v>0</v>
      </c>
      <c r="BC72" s="332"/>
      <c r="BD72" s="974">
        <v>70</v>
      </c>
      <c r="BE72" s="332"/>
      <c r="BF72" s="370"/>
      <c r="BG72" s="370"/>
      <c r="BH72" s="740"/>
      <c r="BI72" s="1031">
        <f t="shared" si="40"/>
        <v>43768.718749999833</v>
      </c>
      <c r="BJ72" s="159" t="str">
        <f t="shared" si="53"/>
        <v/>
      </c>
      <c r="BK72" s="26">
        <f t="shared" ca="1" si="49"/>
        <v>4821048</v>
      </c>
      <c r="BL72" s="26">
        <f t="shared" ca="1" si="41"/>
        <v>272816</v>
      </c>
      <c r="BM72" s="26">
        <f t="shared" ca="1" si="42"/>
        <v>302483</v>
      </c>
      <c r="BN72" s="26">
        <f t="shared" ca="1" si="43"/>
        <v>51958</v>
      </c>
      <c r="BO72" s="57">
        <f t="shared" ca="1" si="44"/>
        <v>300000</v>
      </c>
    </row>
    <row r="73" spans="1:67" s="16" customFormat="1" x14ac:dyDescent="0.25">
      <c r="A73" s="982">
        <v>71</v>
      </c>
      <c r="B73" s="812">
        <f>Imps!L73</f>
        <v>43768.729166666497</v>
      </c>
      <c r="C73" s="332"/>
      <c r="D73" s="830"/>
      <c r="E73" s="56">
        <f>Construction!E73</f>
        <v>1000</v>
      </c>
      <c r="F73" s="26">
        <f ca="1">Population!$C73</f>
        <v>1845</v>
      </c>
      <c r="G73" s="26">
        <f ca="1">Military!EM73</f>
        <v>20900</v>
      </c>
      <c r="H73" s="26">
        <f ca="1">H72+S72 - AT73 + IF(AND(C72=1,ISNUMBER(MATCH(race,plat_db,0))),Population!C72*4)</f>
        <v>4826029</v>
      </c>
      <c r="I73" s="26">
        <f ca="1">I72+T72-AY73 +  IF(AND(C72=1,ISNUMBER(MATCH(race,food_db,0))),Population!C72*4)</f>
        <v>275343</v>
      </c>
      <c r="J73" s="26">
        <f t="shared" ca="1" si="50"/>
        <v>301958</v>
      </c>
      <c r="K73" s="26">
        <f ca="1">K72+V72 - AV73 + IF(AND(C72=1,ISNUMBER(MATCH(race,mana_db,0))),Population!C72*4)</f>
        <v>52169</v>
      </c>
      <c r="L73" s="26">
        <f ca="1">L72+W72 - AW73 + IF(AND(C72=1,ISNUMBER(MATCH(race,ore_db,0))),Population!C72*4)</f>
        <v>300000</v>
      </c>
      <c r="M73" s="26">
        <f t="shared" ca="1" si="45"/>
        <v>20000</v>
      </c>
      <c r="N73" s="26">
        <f t="shared" ca="1" si="51"/>
        <v>200</v>
      </c>
      <c r="O73" s="26">
        <f t="shared" si="52"/>
        <v>500</v>
      </c>
      <c r="P73" s="26">
        <f>ROUNDDOWN(P72+MAX(Construction!BO73/2,Construction!BO73*(1-Construction!BO73/(E73-Explore!S73*20)))-Q73*SUM(Techs!AY73:BY73),0)</f>
        <v>0</v>
      </c>
      <c r="Q73" s="166">
        <f>MAX(min_tech_cost,ROUNDDOWN(tech_cost_per_acre*Construction!E73,0))</f>
        <v>5000</v>
      </c>
      <c r="S73" s="152">
        <f t="shared" ca="1" si="46"/>
        <v>4981</v>
      </c>
      <c r="T73" s="164">
        <f t="shared" ca="1" si="35"/>
        <v>2502</v>
      </c>
      <c r="U73" s="164">
        <f t="shared" ca="1" si="36"/>
        <v>-520</v>
      </c>
      <c r="V73" s="164">
        <f t="shared" ca="1" si="37"/>
        <v>207</v>
      </c>
      <c r="W73" s="164">
        <f t="shared" ca="1" si="47"/>
        <v>0</v>
      </c>
      <c r="X73" s="164">
        <f t="shared" ca="1" si="48"/>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4">
        <f ca="1">race_food_bonus + IF(Magic!AO73&gt;0,gaias_blessing_food,IF(Magic!AG73&gt;0,gaias_watch_bonus)) + Imps!AD73+tech_production_food*Techs!W73 + O73/100*prestige_food_bonus</f>
        <v>0.1</v>
      </c>
      <c r="AJ73" s="267">
        <f ca="1">race_lumber_bonus+ IF(Magic!AO73&gt;0,gaias_blessing_lumber)+tech_fruits_of_labor1*Techs!AP73</f>
        <v>0</v>
      </c>
      <c r="AK73" s="267">
        <f ca="1">race_mana_bonus+tech_enchanted_lands_mana*Techs!AT73</f>
        <v>0</v>
      </c>
      <c r="AL73" s="267">
        <f ca="1">race_ore_bonus + IF(Magic!AL73&gt;0,miners_sight_bonus,IF(Magic!AH73&gt;0,mining_strength_bonus))+tech_fruits_of_labor1*Techs!AP73</f>
        <v>0</v>
      </c>
      <c r="AM73" s="193">
        <f ca="1">race_gem_bonus+MAX(tech_production_gems*Techs!X73,tech_fruits_of_labor_gems*Techs!AP73)</f>
        <v>0</v>
      </c>
      <c r="AO73" s="56">
        <f ca="1">I73*food_decay*IF(Magic!AZ73&gt;0,0.5,1)</f>
        <v>2753.43</v>
      </c>
      <c r="AP73" s="26">
        <f ca="1">(1+race_food_consumption)*Population!F73*food_per_person</f>
        <v>1785</v>
      </c>
      <c r="AQ73" s="26">
        <f t="shared" ca="1" si="38"/>
        <v>3019.58</v>
      </c>
      <c r="AR73" s="57">
        <f t="shared" ca="1" si="39"/>
        <v>1043.3800000000001</v>
      </c>
      <c r="AS73" s="26"/>
      <c r="AT73" s="56">
        <f ca="1">Explore!AH73+Construction!AP73+Military!AU73+Rezone!Y73+Imps!AQ73-BE73</f>
        <v>0</v>
      </c>
      <c r="AU73" s="26">
        <f>Construction!AQ73+Imps!AR73-BF73</f>
        <v>0</v>
      </c>
      <c r="AV73" s="26">
        <f>Magic!AD73</f>
        <v>0</v>
      </c>
      <c r="AW73" s="26">
        <f ca="1">Military!AV73+Imps!AS73-BG73</f>
        <v>0</v>
      </c>
      <c r="AX73" s="26">
        <f>Imps!AT73-BH73</f>
        <v>0</v>
      </c>
      <c r="AY73" s="26">
        <f ca="1">Military!AZ73</f>
        <v>0</v>
      </c>
      <c r="AZ73" s="57">
        <f ca="1">Military!BA73</f>
        <v>0</v>
      </c>
      <c r="BB73" s="56" t="b">
        <f t="shared" si="27"/>
        <v>0</v>
      </c>
      <c r="BC73" s="332"/>
      <c r="BD73" s="974">
        <v>71</v>
      </c>
      <c r="BE73" s="332"/>
      <c r="BF73" s="370"/>
      <c r="BG73" s="370"/>
      <c r="BH73" s="740"/>
      <c r="BI73" s="1031">
        <f t="shared" si="40"/>
        <v>43768.729166666497</v>
      </c>
      <c r="BJ73" s="159" t="str">
        <f t="shared" si="53"/>
        <v/>
      </c>
      <c r="BK73" s="26">
        <f t="shared" ca="1" si="49"/>
        <v>4826029</v>
      </c>
      <c r="BL73" s="26">
        <f t="shared" ca="1" si="41"/>
        <v>275343</v>
      </c>
      <c r="BM73" s="26">
        <f t="shared" ca="1" si="42"/>
        <v>301958</v>
      </c>
      <c r="BN73" s="26">
        <f t="shared" ca="1" si="43"/>
        <v>52169</v>
      </c>
      <c r="BO73" s="57">
        <f t="shared" ca="1" si="44"/>
        <v>300000</v>
      </c>
    </row>
    <row r="74" spans="1:67" s="16" customFormat="1" ht="13.8" thickBot="1" x14ac:dyDescent="0.3">
      <c r="A74" s="982">
        <v>72</v>
      </c>
      <c r="B74" s="530">
        <f>Imps!L74</f>
        <v>43768.739583333161</v>
      </c>
      <c r="C74" s="332"/>
      <c r="D74" s="835"/>
      <c r="E74" s="56">
        <f>Construction!E74</f>
        <v>1000</v>
      </c>
      <c r="F74" s="26">
        <f ca="1">Population!$C74</f>
        <v>1845</v>
      </c>
      <c r="G74" s="26">
        <f ca="1">Military!EM74</f>
        <v>20900</v>
      </c>
      <c r="H74" s="26">
        <f ca="1">H73+S73 - AT74 + IF(AND(C73=1,ISNUMBER(MATCH(race,plat_db,0))),Population!C73*4)</f>
        <v>4831010</v>
      </c>
      <c r="I74" s="26">
        <f ca="1">I73+T73-AY74 +  IF(AND(C73=1,ISNUMBER(MATCH(race,food_db,0))),Population!C73*4)</f>
        <v>277845</v>
      </c>
      <c r="J74" s="26">
        <f t="shared" ca="1" si="50"/>
        <v>301438</v>
      </c>
      <c r="K74" s="26">
        <f ca="1">K73+V73 - AV74 + IF(AND(C73=1,ISNUMBER(MATCH(race,mana_db,0))),Population!C73*4)</f>
        <v>52376</v>
      </c>
      <c r="L74" s="26">
        <f ca="1">L73+W73 - AW74 + IF(AND(C73=1,ISNUMBER(MATCH(race,ore_db,0))),Population!C73*4)</f>
        <v>300000</v>
      </c>
      <c r="M74" s="26">
        <f t="shared" ca="1" si="45"/>
        <v>20000</v>
      </c>
      <c r="N74" s="26">
        <f t="shared" ca="1" si="51"/>
        <v>200</v>
      </c>
      <c r="O74" s="26">
        <f t="shared" si="52"/>
        <v>500</v>
      </c>
      <c r="P74" s="26">
        <f>ROUNDDOWN(P73+MAX(Construction!BO74/2,Construction!BO74*(1-Construction!BO74/(E74-Explore!S74*20)))-Q74*SUM(Techs!AY74:BY74),0)</f>
        <v>0</v>
      </c>
      <c r="Q74" s="166">
        <f>MAX(min_tech_cost,ROUNDDOWN(tech_cost_per_acre*Construction!E74,0))</f>
        <v>5000</v>
      </c>
      <c r="S74" s="152">
        <f t="shared" ca="1" si="46"/>
        <v>4981</v>
      </c>
      <c r="T74" s="164">
        <f t="shared" ca="1" si="35"/>
        <v>2477</v>
      </c>
      <c r="U74" s="164">
        <f t="shared" ca="1" si="36"/>
        <v>-514</v>
      </c>
      <c r="V74" s="164">
        <f t="shared" ca="1" si="37"/>
        <v>202</v>
      </c>
      <c r="W74" s="164">
        <f t="shared" ca="1" si="47"/>
        <v>0</v>
      </c>
      <c r="X74" s="164">
        <f t="shared" ca="1" si="48"/>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4">
        <f ca="1">race_food_bonus + IF(Magic!AO74&gt;0,gaias_blessing_food,IF(Magic!AG74&gt;0,gaias_watch_bonus)) + Imps!AD74+tech_production_food*Techs!W74 + O74/100*prestige_food_bonus</f>
        <v>0.1</v>
      </c>
      <c r="AJ74" s="267">
        <f ca="1">race_lumber_bonus+ IF(Magic!AO74&gt;0,gaias_blessing_lumber)+tech_fruits_of_labor1*Techs!AP74</f>
        <v>0</v>
      </c>
      <c r="AK74" s="267">
        <f ca="1">race_mana_bonus+tech_enchanted_lands_mana*Techs!AT74</f>
        <v>0</v>
      </c>
      <c r="AL74" s="267">
        <f ca="1">race_ore_bonus + IF(Magic!AL74&gt;0,miners_sight_bonus,IF(Magic!AH74&gt;0,mining_strength_bonus))+tech_fruits_of_labor1*Techs!AP74</f>
        <v>0</v>
      </c>
      <c r="AM74" s="193">
        <f ca="1">race_gem_bonus+MAX(tech_production_gems*Techs!X74,tech_fruits_of_labor_gems*Techs!AP74)</f>
        <v>0</v>
      </c>
      <c r="AO74" s="56">
        <f ca="1">I74*food_decay*IF(Magic!AZ74&gt;0,0.5,1)</f>
        <v>2778.4500000000003</v>
      </c>
      <c r="AP74" s="26">
        <f ca="1">(1+race_food_consumption)*Population!F74*food_per_person</f>
        <v>1785</v>
      </c>
      <c r="AQ74" s="26">
        <f t="shared" ca="1" si="38"/>
        <v>3014.38</v>
      </c>
      <c r="AR74" s="57">
        <f t="shared" ca="1" si="39"/>
        <v>1047.52</v>
      </c>
      <c r="AS74" s="26"/>
      <c r="AT74" s="139">
        <f ca="1">Explore!AH74+Construction!AP74+Military!AU74+Rezone!Y74+Imps!AQ74-BE74</f>
        <v>0</v>
      </c>
      <c r="AU74" s="140">
        <f>Construction!AQ74+Imps!AR74-BF74</f>
        <v>0</v>
      </c>
      <c r="AV74" s="140">
        <f>Magic!AD74</f>
        <v>0</v>
      </c>
      <c r="AW74" s="140">
        <f ca="1">Military!AV74+Imps!AS74-BG74</f>
        <v>0</v>
      </c>
      <c r="AX74" s="140">
        <f>Imps!AT74-BH74</f>
        <v>0</v>
      </c>
      <c r="AY74" s="26">
        <f ca="1">Military!AZ74</f>
        <v>0</v>
      </c>
      <c r="AZ74" s="57">
        <f ca="1">Military!BA74</f>
        <v>0</v>
      </c>
      <c r="BB74" s="139" t="b">
        <f t="shared" si="27"/>
        <v>0</v>
      </c>
      <c r="BC74" s="332"/>
      <c r="BD74" s="974">
        <v>72</v>
      </c>
      <c r="BE74" s="332"/>
      <c r="BF74" s="370"/>
      <c r="BG74" s="745"/>
      <c r="BH74" s="746"/>
      <c r="BI74" s="1031">
        <f t="shared" si="40"/>
        <v>43768.739583333161</v>
      </c>
      <c r="BJ74" s="159" t="str">
        <f t="shared" si="53"/>
        <v/>
      </c>
      <c r="BK74" s="26">
        <f t="shared" ca="1" si="49"/>
        <v>4831010</v>
      </c>
      <c r="BL74" s="26">
        <f t="shared" ca="1" si="41"/>
        <v>277845</v>
      </c>
      <c r="BM74" s="26">
        <f t="shared" ca="1" si="42"/>
        <v>301438</v>
      </c>
      <c r="BN74" s="26">
        <f t="shared" ca="1" si="43"/>
        <v>52376</v>
      </c>
      <c r="BO74" s="57">
        <f t="shared" ca="1" si="44"/>
        <v>300000</v>
      </c>
    </row>
    <row r="75" spans="1:67" s="599" customFormat="1" ht="14.4" thickTop="1" thickBot="1" x14ac:dyDescent="0.3">
      <c r="A75" s="987" t="s">
        <v>241</v>
      </c>
      <c r="B75" s="793">
        <f>Imps!L75</f>
        <v>43768.749999999825</v>
      </c>
      <c r="C75" s="776"/>
      <c r="D75" s="836"/>
      <c r="E75" s="597">
        <f>Construction!E75</f>
        <v>1000</v>
      </c>
      <c r="F75" s="598">
        <f ca="1">Population!$C75</f>
        <v>1845</v>
      </c>
      <c r="G75" s="598">
        <f ca="1">Military!EM75</f>
        <v>20900</v>
      </c>
      <c r="H75" s="598">
        <f ca="1">H74+S74 - AT75 + IF(AND(C74=1,ISNUMBER(MATCH(race,plat_db,0))),Population!C74*4)</f>
        <v>4835991</v>
      </c>
      <c r="I75" s="598">
        <f ca="1">I74+T74-AY75 +  IF(AND(C74=1,ISNUMBER(MATCH(race,food_db,0))),Population!C74*4)</f>
        <v>280322</v>
      </c>
      <c r="J75" s="598">
        <f t="shared" ca="1" si="50"/>
        <v>300924</v>
      </c>
      <c r="K75" s="598">
        <f ca="1">K74+V74 - AV75 + IF(AND(C74=1,ISNUMBER(MATCH(race,mana_db,0))),Population!C74*4)</f>
        <v>52578</v>
      </c>
      <c r="L75" s="598">
        <f ca="1">L74+W74 - AW75 + IF(AND(C74=1,ISNUMBER(MATCH(race,ore_db,0))),Population!C74*4)</f>
        <v>300000</v>
      </c>
      <c r="M75" s="598">
        <f t="shared" ca="1" si="45"/>
        <v>20000</v>
      </c>
      <c r="N75" s="598">
        <f t="shared" ca="1" si="51"/>
        <v>200</v>
      </c>
      <c r="O75" s="598">
        <f t="shared" si="52"/>
        <v>500</v>
      </c>
      <c r="P75" s="598">
        <f>ROUNDDOWN(P74+MAX(Construction!BO75/2,Construction!BO75*(1-Construction!BO75/(E75-Explore!S75*20)))-Q75*SUM(Techs!AY75:BY75),0)</f>
        <v>0</v>
      </c>
      <c r="Q75" s="596">
        <f>MAX(min_tech_cost,ROUNDDOWN(tech_cost_per_acre*Construction!E75,0))</f>
        <v>5000</v>
      </c>
      <c r="S75" s="597">
        <f t="shared" ca="1" si="46"/>
        <v>4981</v>
      </c>
      <c r="T75" s="598">
        <f t="shared" ca="1" si="35"/>
        <v>2452</v>
      </c>
      <c r="U75" s="598">
        <f t="shared" ca="1" si="36"/>
        <v>-509</v>
      </c>
      <c r="V75" s="598">
        <f t="shared" ca="1" si="37"/>
        <v>198</v>
      </c>
      <c r="W75" s="598">
        <f t="shared" ca="1" si="47"/>
        <v>0</v>
      </c>
      <c r="X75" s="598">
        <f t="shared" ca="1" si="48"/>
        <v>0</v>
      </c>
      <c r="Y75" s="600">
        <f>Construction!BP76*dock_boats_hr</f>
        <v>0</v>
      </c>
      <c r="Z75" s="598"/>
      <c r="AA75" s="597">
        <f ca="1">Population!C75*tax*Population!I75 + (Construction!AY76+Construction!BW76)*(alch_plat+(Magic!AR75&gt;0)*alchemist_flame_bonus)</f>
        <v>4981.5</v>
      </c>
      <c r="AB75" s="598">
        <f>Construction!$AZ75*farm_food + Construction!$BP75*dock_food+IF(race="Growth",ROUNDDOWN(Military!G75*8,0),0)</f>
        <v>6400</v>
      </c>
      <c r="AC75" s="598">
        <f>Construction!$BC75*ly_lumber+IF(race="Ants",ROUNDDOWN(Military!F75/2,0),0)</f>
        <v>2500</v>
      </c>
      <c r="AD75" s="598">
        <f>Construction!$BK76*tower_mana+IF(race="Templars",ROUNDDOWN(Military!F75*0.02,0),0)+IF(race="Black Orc",Military!G75*5,0)+IF(race="Growth",ROUNDDOWN(Military!G75*0.1,0),0)+IF(race="Void",ROUNDDOWN(Military!F75*1.5,0),0)+IF(race="Void",ROUNDDOWN(Military!G75*4,0),0)</f>
        <v>1250</v>
      </c>
      <c r="AE75" s="598">
        <f>Construction!$BE76*om_ore+IF(race="Dwarf",ROUNDDOWN(Military!F75*2,0),0)</f>
        <v>0</v>
      </c>
      <c r="AF75" s="596">
        <f>Construction!$BN76*dm_gems+IF(race="Dwarf",ROUNDDOWN(Military!F75/2,0),0)</f>
        <v>0</v>
      </c>
      <c r="AH75" s="601">
        <f ca="1">MIN(race_platinum_bonus + IF(Magic!AJ75&gt;0,midas_bonus) + Imps!Y75 - BB75*0.02+MAX(tech_production_plat*Techs!Y75,tech_treasure_hunt_plat*Techs!AR75), 0.5)</f>
        <v>0</v>
      </c>
      <c r="AI75" s="606">
        <f ca="1">race_food_bonus + IF(Magic!AO75&gt;0,gaias_blessing_food,IF(Magic!AG75&gt;0,gaias_watch_bonus)) + Imps!AD75+tech_production_food*Techs!W75 + O75/100*prestige_food_bonus</f>
        <v>0.1</v>
      </c>
      <c r="AJ75" s="602">
        <f ca="1">race_lumber_bonus+ IF(Magic!AO75&gt;0,gaias_blessing_lumber)+tech_fruits_of_labor1*Techs!AP75</f>
        <v>0</v>
      </c>
      <c r="AK75" s="602">
        <f ca="1">race_mana_bonus+tech_enchanted_lands_mana*Techs!AT75</f>
        <v>0</v>
      </c>
      <c r="AL75" s="602">
        <f ca="1">race_ore_bonus + IF(Magic!AL75&gt;0,miners_sight_bonus,IF(Magic!AH75&gt;0,mining_strength_bonus))+tech_fruits_of_labor1*Techs!AP75</f>
        <v>0</v>
      </c>
      <c r="AM75" s="603">
        <f ca="1">race_gem_bonus+MAX(tech_production_gems*Techs!X75,tech_fruits_of_labor_gems*Techs!AP75)</f>
        <v>0</v>
      </c>
      <c r="AO75" s="597">
        <f ca="1">I75*food_decay*IF(Magic!AZ75&gt;0,0.5,1)</f>
        <v>2803.2200000000003</v>
      </c>
      <c r="AP75" s="598">
        <f ca="1">(1+race_food_consumption)*Population!F75*food_per_person</f>
        <v>1785</v>
      </c>
      <c r="AQ75" s="598">
        <f t="shared" ca="1" si="38"/>
        <v>3009.2400000000002</v>
      </c>
      <c r="AR75" s="596">
        <f t="shared" ca="1" si="39"/>
        <v>1051.56</v>
      </c>
      <c r="AS75" s="598"/>
      <c r="AT75" s="597">
        <f ca="1">Explore!AH75+Construction!AP75+Military!AU75+Rezone!Y75+Imps!AQ75-BE75</f>
        <v>0</v>
      </c>
      <c r="AU75" s="598">
        <f>Construction!AQ75+Imps!AR75-BF75</f>
        <v>0</v>
      </c>
      <c r="AV75" s="598">
        <f>Magic!AD75</f>
        <v>0</v>
      </c>
      <c r="AW75" s="598">
        <f ca="1">Military!AV75+Imps!AS75-BG75</f>
        <v>0</v>
      </c>
      <c r="AX75" s="598">
        <f>Imps!AT75-BH75</f>
        <v>0</v>
      </c>
      <c r="AY75" s="598">
        <f ca="1">Military!AZ75</f>
        <v>0</v>
      </c>
      <c r="AZ75" s="596">
        <f ca="1">Military!BA75</f>
        <v>0</v>
      </c>
      <c r="BB75" s="597" t="b">
        <f t="shared" si="27"/>
        <v>0</v>
      </c>
      <c r="BC75" s="776"/>
      <c r="BD75" s="979" t="s">
        <v>241</v>
      </c>
      <c r="BE75" s="776"/>
      <c r="BF75" s="598"/>
      <c r="BG75" s="598"/>
      <c r="BH75" s="777"/>
      <c r="BI75" s="1036">
        <f t="shared" si="40"/>
        <v>43768.749999999825</v>
      </c>
      <c r="BJ75" s="1038" t="str">
        <f t="shared" si="53"/>
        <v/>
      </c>
      <c r="BK75" s="598">
        <f t="shared" ca="1" si="49"/>
        <v>4835991</v>
      </c>
      <c r="BL75" s="598">
        <f t="shared" ca="1" si="41"/>
        <v>280322</v>
      </c>
      <c r="BM75" s="598">
        <f t="shared" ca="1" si="42"/>
        <v>300924</v>
      </c>
      <c r="BN75" s="598">
        <f t="shared" ca="1" si="43"/>
        <v>52578</v>
      </c>
      <c r="BO75" s="596">
        <f t="shared" ca="1" si="44"/>
        <v>300000</v>
      </c>
    </row>
    <row r="76" spans="1:67" s="191" customFormat="1" ht="13.8" thickTop="1" x14ac:dyDescent="0.25">
      <c r="A76" s="990">
        <v>2</v>
      </c>
      <c r="B76" s="675">
        <f>Imps!L76</f>
        <v>43768.76041666649</v>
      </c>
      <c r="C76" s="329"/>
      <c r="D76" s="829"/>
      <c r="E76" s="152">
        <f>Construction!E76</f>
        <v>1000</v>
      </c>
      <c r="F76" s="164">
        <f ca="1">Population!$C76</f>
        <v>1845</v>
      </c>
      <c r="G76" s="164">
        <f ca="1">Military!EM76</f>
        <v>20900</v>
      </c>
      <c r="H76" s="26">
        <f ca="1">H75+S75 - AT76 + IF(AND(C75=1,ISNUMBER(MATCH(race,plat_db,0))),Population!C75*4)</f>
        <v>4840972</v>
      </c>
      <c r="I76" s="168">
        <f ca="1">I75+T75-AY76 +  IF(AND(C75=1,ISNUMBER(MATCH(race,food_db,0))),Population!C75*4)</f>
        <v>282774</v>
      </c>
      <c r="J76" s="168">
        <f t="shared" ca="1" si="50"/>
        <v>300415</v>
      </c>
      <c r="K76" s="168">
        <f ca="1">K75+V75 - AV76 + IF(AND(C75=1,ISNUMBER(MATCH(race,mana_db,0))),Population!C75*4)</f>
        <v>52776</v>
      </c>
      <c r="L76" s="168">
        <f ca="1">L75+W75 - AW76 + IF(AND(C75=1,ISNUMBER(MATCH(race,ore_db,0))),Population!C75*4)</f>
        <v>300000</v>
      </c>
      <c r="M76" s="164">
        <f t="shared" ca="1" si="45"/>
        <v>20000</v>
      </c>
      <c r="N76" s="168">
        <f t="shared" ca="1" si="51"/>
        <v>200</v>
      </c>
      <c r="O76" s="168">
        <f t="shared" si="52"/>
        <v>500</v>
      </c>
      <c r="P76" s="164">
        <f>ROUNDDOWN(P75+MAX(Construction!BO76/2,Construction!BO76*(1-Construction!BO76/(E76-Explore!S76*20)))-Q76*SUM(Techs!AY76:BY76),0)</f>
        <v>0</v>
      </c>
      <c r="Q76" s="166">
        <f>MAX(min_tech_cost,ROUNDDOWN(tech_cost_per_acre*Construction!E76,0))</f>
        <v>5000</v>
      </c>
      <c r="R76" s="170"/>
      <c r="S76" s="152">
        <f t="shared" ca="1" si="46"/>
        <v>4981</v>
      </c>
      <c r="T76" s="164">
        <f t="shared" ca="1" si="35"/>
        <v>2427</v>
      </c>
      <c r="U76" s="164">
        <f t="shared" ca="1" si="36"/>
        <v>-504</v>
      </c>
      <c r="V76" s="164">
        <f t="shared" ca="1" si="37"/>
        <v>194</v>
      </c>
      <c r="W76" s="164">
        <f t="shared" ca="1" si="47"/>
        <v>0</v>
      </c>
      <c r="X76" s="164">
        <f t="shared" ca="1" si="48"/>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4">
        <f ca="1">race_food_bonus + IF(Magic!AO76&gt;0,gaias_blessing_food,IF(Magic!AG76&gt;0,gaias_watch_bonus)) + Imps!AD76+tech_production_food*Techs!W76 + O76/100*prestige_food_bonus</f>
        <v>0.1</v>
      </c>
      <c r="AJ76" s="267">
        <f ca="1">race_lumber_bonus+ IF(Magic!AO76&gt;0,gaias_blessing_lumber)+tech_fruits_of_labor1*Techs!AP76</f>
        <v>0</v>
      </c>
      <c r="AK76" s="267">
        <f ca="1">race_mana_bonus+tech_enchanted_lands_mana*Techs!AT76</f>
        <v>0</v>
      </c>
      <c r="AL76" s="267">
        <f ca="1">race_ore_bonus + IF(Magic!AL76&gt;0,miners_sight_bonus,IF(Magic!AH76&gt;0,mining_strength_bonus))+tech_fruits_of_labor1*Techs!AP76</f>
        <v>0</v>
      </c>
      <c r="AM76" s="193">
        <f ca="1">race_gem_bonus+MAX(tech_production_gems*Techs!X76,tech_fruits_of_labor_gems*Techs!AP76)</f>
        <v>0</v>
      </c>
      <c r="AN76" s="170"/>
      <c r="AO76" s="172">
        <f ca="1">I76*food_decay*IF(Magic!AZ76&gt;0,0.5,1)</f>
        <v>2827.7400000000002</v>
      </c>
      <c r="AP76" s="26">
        <f ca="1">(1+race_food_consumption)*Population!F76*food_per_person</f>
        <v>1785</v>
      </c>
      <c r="AQ76" s="168">
        <f t="shared" ca="1" si="38"/>
        <v>3004.15</v>
      </c>
      <c r="AR76" s="167">
        <f t="shared" ca="1" si="39"/>
        <v>1055.52</v>
      </c>
      <c r="AS76" s="164"/>
      <c r="AT76" s="152">
        <f ca="1">Explore!AH76+Construction!AP76+Military!AU76+Rezone!Y76+Imps!AQ76-BE76</f>
        <v>0</v>
      </c>
      <c r="AU76" s="164">
        <f>Construction!AQ76+Imps!AR76-BF76</f>
        <v>0</v>
      </c>
      <c r="AV76" s="164">
        <f>Magic!AD76</f>
        <v>0</v>
      </c>
      <c r="AW76" s="164">
        <f ca="1">Military!AV76+Imps!AS76-BG76</f>
        <v>0</v>
      </c>
      <c r="AX76" s="164">
        <f>Imps!AT76-BH76</f>
        <v>0</v>
      </c>
      <c r="AY76" s="164">
        <f ca="1">Military!AZ76</f>
        <v>0</v>
      </c>
      <c r="AZ76" s="166">
        <f ca="1">Military!BA76</f>
        <v>0</v>
      </c>
      <c r="BB76" s="152" t="b">
        <f t="shared" si="27"/>
        <v>0</v>
      </c>
      <c r="BC76" s="329"/>
      <c r="BD76" s="972">
        <v>2</v>
      </c>
      <c r="BE76" s="329"/>
      <c r="BF76" s="407"/>
      <c r="BG76" s="407"/>
      <c r="BH76" s="739"/>
      <c r="BI76" s="1030">
        <f t="shared" si="40"/>
        <v>43768.76041666649</v>
      </c>
      <c r="BJ76" s="159" t="str">
        <f t="shared" si="53"/>
        <v/>
      </c>
      <c r="BK76" s="26">
        <f t="shared" ca="1" si="49"/>
        <v>4840972</v>
      </c>
      <c r="BL76" s="168">
        <f t="shared" ca="1" si="41"/>
        <v>282774</v>
      </c>
      <c r="BM76" s="168">
        <f t="shared" ca="1" si="42"/>
        <v>300415</v>
      </c>
      <c r="BN76" s="168">
        <f t="shared" ca="1" si="43"/>
        <v>52776</v>
      </c>
      <c r="BO76" s="167">
        <f t="shared" ca="1" si="44"/>
        <v>300000</v>
      </c>
    </row>
    <row r="77" spans="1:67" s="170" customFormat="1" x14ac:dyDescent="0.25">
      <c r="A77" s="981">
        <v>3</v>
      </c>
      <c r="B77" s="812">
        <f>Imps!L77</f>
        <v>43768.770833333154</v>
      </c>
      <c r="C77" s="329"/>
      <c r="D77" s="829"/>
      <c r="E77" s="152">
        <f>Construction!E77</f>
        <v>1000</v>
      </c>
      <c r="F77" s="164">
        <f ca="1">Population!$C77</f>
        <v>1845</v>
      </c>
      <c r="G77" s="164">
        <f ca="1">Military!EM77</f>
        <v>20900</v>
      </c>
      <c r="H77" s="26">
        <f ca="1">H76+S76 - AT77 + IF(AND(C76=1,ISNUMBER(MATCH(race,plat_db,0))),Population!C76*4)</f>
        <v>4845953</v>
      </c>
      <c r="I77" s="164">
        <f ca="1">I76+T76-AY77 +  IF(AND(C76=1,ISNUMBER(MATCH(race,food_db,0))),Population!C76*4)</f>
        <v>285201</v>
      </c>
      <c r="J77" s="164">
        <f t="shared" ca="1" si="50"/>
        <v>299911</v>
      </c>
      <c r="K77" s="164">
        <f ca="1">K76+V76 - AV77 + IF(AND(C76=1,ISNUMBER(MATCH(race,mana_db,0))),Population!C76*4)</f>
        <v>52970</v>
      </c>
      <c r="L77" s="164">
        <f ca="1">L76+W76 - AW77 + IF(AND(C76=1,ISNUMBER(MATCH(race,ore_db,0))),Population!C76*4)</f>
        <v>300000</v>
      </c>
      <c r="M77" s="164">
        <f t="shared" ca="1" si="45"/>
        <v>20000</v>
      </c>
      <c r="N77" s="164">
        <f t="shared" ca="1" si="51"/>
        <v>200</v>
      </c>
      <c r="O77" s="164">
        <f t="shared" ref="O77:O135" si="54">O76</f>
        <v>500</v>
      </c>
      <c r="P77" s="164">
        <f>ROUNDDOWN(P76+MAX(Construction!BO77/2,Construction!BO77*(1-Construction!BO77/(E77-Explore!S77*20)))-Q77*SUM(Techs!AY77:BY77),0)</f>
        <v>0</v>
      </c>
      <c r="Q77" s="166">
        <f>MAX(min_tech_cost,ROUNDDOWN(tech_cost_per_acre*Construction!E77,0))</f>
        <v>5000</v>
      </c>
      <c r="S77" s="152">
        <f t="shared" ca="1" si="46"/>
        <v>4981</v>
      </c>
      <c r="T77" s="164">
        <f t="shared" ca="1" si="35"/>
        <v>2403</v>
      </c>
      <c r="U77" s="164">
        <f t="shared" ca="1" si="36"/>
        <v>-499</v>
      </c>
      <c r="V77" s="164">
        <f t="shared" ca="1" si="37"/>
        <v>191</v>
      </c>
      <c r="W77" s="164">
        <f t="shared" ca="1" si="47"/>
        <v>0</v>
      </c>
      <c r="X77" s="164">
        <f t="shared" ca="1" si="48"/>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4">
        <f ca="1">race_food_bonus + IF(Magic!AO77&gt;0,gaias_blessing_food,IF(Magic!AG77&gt;0,gaias_watch_bonus)) + Imps!AD77+tech_production_food*Techs!W77 + O77/100*prestige_food_bonus</f>
        <v>0.1</v>
      </c>
      <c r="AJ77" s="267">
        <f ca="1">race_lumber_bonus+ IF(Magic!AO77&gt;0,gaias_blessing_lumber)+tech_fruits_of_labor1*Techs!AP77</f>
        <v>0</v>
      </c>
      <c r="AK77" s="267">
        <f ca="1">race_mana_bonus+tech_enchanted_lands_mana*Techs!AT77</f>
        <v>0</v>
      </c>
      <c r="AL77" s="267">
        <f ca="1">race_ore_bonus + IF(Magic!AL77&gt;0,miners_sight_bonus,IF(Magic!AH77&gt;0,mining_strength_bonus))+tech_fruits_of_labor1*Techs!AP77</f>
        <v>0</v>
      </c>
      <c r="AM77" s="193">
        <f ca="1">race_gem_bonus+MAX(tech_production_gems*Techs!X77,tech_fruits_of_labor_gems*Techs!AP77)</f>
        <v>0</v>
      </c>
      <c r="AO77" s="152">
        <f ca="1">I77*food_decay*IF(Magic!AZ77&gt;0,0.5,1)</f>
        <v>2852.01</v>
      </c>
      <c r="AP77" s="26">
        <f ca="1">(1+race_food_consumption)*Population!F77*food_per_person</f>
        <v>1785</v>
      </c>
      <c r="AQ77" s="164">
        <f t="shared" ca="1" si="38"/>
        <v>2999.11</v>
      </c>
      <c r="AR77" s="166">
        <f t="shared" ca="1" si="39"/>
        <v>1059.4000000000001</v>
      </c>
      <c r="AS77" s="164"/>
      <c r="AT77" s="152">
        <f ca="1">Explore!AH77+Construction!AP77+Military!AU77+Rezone!Y77+Imps!AQ77-BE77</f>
        <v>0</v>
      </c>
      <c r="AU77" s="164">
        <f>Construction!AQ77+Imps!AR77-BF77</f>
        <v>0</v>
      </c>
      <c r="AV77" s="164">
        <f>Magic!AD77</f>
        <v>0</v>
      </c>
      <c r="AW77" s="164">
        <f ca="1">Military!AV77+Imps!AS77-BG77</f>
        <v>0</v>
      </c>
      <c r="AX77" s="164">
        <f>Imps!AT77-BH77</f>
        <v>0</v>
      </c>
      <c r="AY77" s="164">
        <f ca="1">Military!AZ77</f>
        <v>0</v>
      </c>
      <c r="AZ77" s="166">
        <f ca="1">Military!BA77</f>
        <v>0</v>
      </c>
      <c r="BB77" s="152" t="b">
        <f t="shared" si="27"/>
        <v>0</v>
      </c>
      <c r="BC77" s="329"/>
      <c r="BD77" s="973">
        <v>3</v>
      </c>
      <c r="BE77" s="329"/>
      <c r="BF77" s="407"/>
      <c r="BG77" s="407"/>
      <c r="BH77" s="739"/>
      <c r="BI77" s="1031">
        <f t="shared" si="40"/>
        <v>43768.770833333154</v>
      </c>
      <c r="BJ77" s="159" t="str">
        <f t="shared" si="53"/>
        <v/>
      </c>
      <c r="BK77" s="26">
        <f t="shared" ca="1" si="49"/>
        <v>4845953</v>
      </c>
      <c r="BL77" s="164">
        <f t="shared" ca="1" si="41"/>
        <v>285201</v>
      </c>
      <c r="BM77" s="164">
        <f t="shared" ca="1" si="42"/>
        <v>299911</v>
      </c>
      <c r="BN77" s="164">
        <f t="shared" ca="1" si="43"/>
        <v>52970</v>
      </c>
      <c r="BO77" s="166">
        <f t="shared" ca="1" si="44"/>
        <v>300000</v>
      </c>
    </row>
    <row r="78" spans="1:67" s="16" customFormat="1" x14ac:dyDescent="0.25">
      <c r="A78" s="982">
        <v>4</v>
      </c>
      <c r="B78" s="812">
        <f>Imps!L78</f>
        <v>43768.781249999818</v>
      </c>
      <c r="C78" s="332"/>
      <c r="D78" s="830"/>
      <c r="E78" s="56">
        <f>Construction!E78</f>
        <v>1000</v>
      </c>
      <c r="F78" s="26">
        <f ca="1">Population!$C78</f>
        <v>1845</v>
      </c>
      <c r="G78" s="26">
        <f ca="1">Military!EM78</f>
        <v>20900</v>
      </c>
      <c r="H78" s="26">
        <f ca="1">H77+S77 - AT78 + IF(AND(C77=1,ISNUMBER(MATCH(race,plat_db,0))),Population!C77*4)</f>
        <v>4850934</v>
      </c>
      <c r="I78" s="26">
        <f ca="1">I77+T77-AY78 +  IF(AND(C77=1,ISNUMBER(MATCH(race,food_db,0))),Population!C77*4)</f>
        <v>287604</v>
      </c>
      <c r="J78" s="26">
        <f t="shared" ca="1" si="50"/>
        <v>299412</v>
      </c>
      <c r="K78" s="26">
        <f ca="1">K77+V77 - AV78 + IF(AND(C77=1,ISNUMBER(MATCH(race,mana_db,0))),Population!C77*4)</f>
        <v>53161</v>
      </c>
      <c r="L78" s="26">
        <f ca="1">L77+W77 - AW78 + IF(AND(C77=1,ISNUMBER(MATCH(race,ore_db,0))),Population!C77*4)</f>
        <v>300000</v>
      </c>
      <c r="M78" s="26">
        <f t="shared" ca="1" si="45"/>
        <v>20000</v>
      </c>
      <c r="N78" s="26">
        <f t="shared" ca="1" si="51"/>
        <v>200</v>
      </c>
      <c r="O78" s="26">
        <f t="shared" si="54"/>
        <v>500</v>
      </c>
      <c r="P78" s="26">
        <f>ROUNDDOWN(P77+MAX(Construction!BO78/2,Construction!BO78*(1-Construction!BO78/(E78-Explore!S78*20)))-Q78*SUM(Techs!AY78:BY78),0)</f>
        <v>0</v>
      </c>
      <c r="Q78" s="166">
        <f>MAX(min_tech_cost,ROUNDDOWN(tech_cost_per_acre*Construction!E78,0))</f>
        <v>5000</v>
      </c>
      <c r="S78" s="152">
        <f t="shared" ca="1" si="46"/>
        <v>4981</v>
      </c>
      <c r="T78" s="164">
        <f t="shared" ca="1" si="35"/>
        <v>2379</v>
      </c>
      <c r="U78" s="164">
        <f t="shared" ca="1" si="36"/>
        <v>-494</v>
      </c>
      <c r="V78" s="164">
        <f t="shared" ca="1" si="37"/>
        <v>187</v>
      </c>
      <c r="W78" s="164">
        <f t="shared" ca="1" si="47"/>
        <v>0</v>
      </c>
      <c r="X78" s="164">
        <f t="shared" ca="1" si="48"/>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4">
        <f ca="1">race_food_bonus + IF(Magic!AO78&gt;0,gaias_blessing_food,IF(Magic!AG78&gt;0,gaias_watch_bonus)) + Imps!AD78+tech_production_food*Techs!W78 + O78/100*prestige_food_bonus</f>
        <v>0.1</v>
      </c>
      <c r="AJ78" s="267">
        <f ca="1">race_lumber_bonus+ IF(Magic!AO78&gt;0,gaias_blessing_lumber)+tech_fruits_of_labor1*Techs!AP78</f>
        <v>0</v>
      </c>
      <c r="AK78" s="267">
        <f ca="1">race_mana_bonus+tech_enchanted_lands_mana*Techs!AT78</f>
        <v>0</v>
      </c>
      <c r="AL78" s="267">
        <f ca="1">race_ore_bonus + IF(Magic!AL78&gt;0,miners_sight_bonus,IF(Magic!AH78&gt;0,mining_strength_bonus))+tech_fruits_of_labor1*Techs!AP78</f>
        <v>0</v>
      </c>
      <c r="AM78" s="193">
        <f ca="1">race_gem_bonus+MAX(tech_production_gems*Techs!X78,tech_fruits_of_labor_gems*Techs!AP78)</f>
        <v>0</v>
      </c>
      <c r="AO78" s="56">
        <f ca="1">I78*food_decay*IF(Magic!AZ78&gt;0,0.5,1)</f>
        <v>2876.04</v>
      </c>
      <c r="AP78" s="26">
        <f ca="1">(1+race_food_consumption)*Population!F78*food_per_person</f>
        <v>1785</v>
      </c>
      <c r="AQ78" s="26">
        <f t="shared" ca="1" si="38"/>
        <v>2994.12</v>
      </c>
      <c r="AR78" s="57">
        <f t="shared" ca="1" si="39"/>
        <v>1063.22</v>
      </c>
      <c r="AS78" s="26"/>
      <c r="AT78" s="56">
        <f ca="1">Explore!AH78+Construction!AP78+Military!AU78+Rezone!Y78+Imps!AQ78-BE78</f>
        <v>0</v>
      </c>
      <c r="AU78" s="26">
        <f>Construction!AQ78+Imps!AR78-BF78</f>
        <v>0</v>
      </c>
      <c r="AV78" s="26">
        <f>Magic!AD78</f>
        <v>0</v>
      </c>
      <c r="AW78" s="26">
        <f ca="1">Military!AV78+Imps!AS78-BG78</f>
        <v>0</v>
      </c>
      <c r="AX78" s="26">
        <f>Imps!AT78-BH78</f>
        <v>0</v>
      </c>
      <c r="AY78" s="26">
        <f ca="1">Military!AZ78</f>
        <v>0</v>
      </c>
      <c r="AZ78" s="57">
        <f ca="1">Military!BA78</f>
        <v>0</v>
      </c>
      <c r="BB78" s="56" t="b">
        <f t="shared" si="27"/>
        <v>0</v>
      </c>
      <c r="BC78" s="332"/>
      <c r="BD78" s="974">
        <v>4</v>
      </c>
      <c r="BE78" s="332"/>
      <c r="BF78" s="370"/>
      <c r="BG78" s="370"/>
      <c r="BH78" s="740"/>
      <c r="BI78" s="1031">
        <f t="shared" si="40"/>
        <v>43768.781249999818</v>
      </c>
      <c r="BJ78" s="159" t="str">
        <f t="shared" si="53"/>
        <v/>
      </c>
      <c r="BK78" s="26">
        <f t="shared" ca="1" si="49"/>
        <v>4850934</v>
      </c>
      <c r="BL78" s="26">
        <f t="shared" ca="1" si="41"/>
        <v>287604</v>
      </c>
      <c r="BM78" s="26">
        <f t="shared" ca="1" si="42"/>
        <v>299412</v>
      </c>
      <c r="BN78" s="26">
        <f t="shared" ca="1" si="43"/>
        <v>53161</v>
      </c>
      <c r="BO78" s="57">
        <f t="shared" ca="1" si="44"/>
        <v>300000</v>
      </c>
    </row>
    <row r="79" spans="1:67" s="16" customFormat="1" x14ac:dyDescent="0.25">
      <c r="A79" s="982">
        <v>5</v>
      </c>
      <c r="B79" s="812">
        <f>Imps!L79</f>
        <v>43768.791666666482</v>
      </c>
      <c r="C79" s="332"/>
      <c r="D79" s="830"/>
      <c r="E79" s="56">
        <f>Construction!E79</f>
        <v>1000</v>
      </c>
      <c r="F79" s="26">
        <f ca="1">Population!$C79</f>
        <v>1845</v>
      </c>
      <c r="G79" s="26">
        <f ca="1">Military!EM79</f>
        <v>20900</v>
      </c>
      <c r="H79" s="26">
        <f ca="1">H78+S78 - AT79 + IF(AND(C78=1,ISNUMBER(MATCH(race,plat_db,0))),Population!C78*4)</f>
        <v>4855915</v>
      </c>
      <c r="I79" s="26">
        <f ca="1">I78+T78-AY79 +  IF(AND(C78=1,ISNUMBER(MATCH(race,food_db,0))),Population!C78*4)</f>
        <v>289983</v>
      </c>
      <c r="J79" s="26">
        <f t="shared" ca="1" si="50"/>
        <v>298918</v>
      </c>
      <c r="K79" s="26">
        <f ca="1">K78+V78 - AV79 + IF(AND(C78=1,ISNUMBER(MATCH(race,mana_db,0))),Population!C78*4)</f>
        <v>53348</v>
      </c>
      <c r="L79" s="26">
        <f ca="1">L78+W78 - AW79 + IF(AND(C78=1,ISNUMBER(MATCH(race,ore_db,0))),Population!C78*4)</f>
        <v>300000</v>
      </c>
      <c r="M79" s="26">
        <f t="shared" ca="1" si="45"/>
        <v>20000</v>
      </c>
      <c r="N79" s="26">
        <f t="shared" ca="1" si="51"/>
        <v>200</v>
      </c>
      <c r="O79" s="26">
        <f t="shared" si="54"/>
        <v>500</v>
      </c>
      <c r="P79" s="26">
        <f>ROUNDDOWN(P78+MAX(Construction!BO79/2,Construction!BO79*(1-Construction!BO79/(E79-Explore!S79*20)))-Q79*SUM(Techs!AY79:BY79),0)</f>
        <v>0</v>
      </c>
      <c r="Q79" s="166">
        <f>MAX(min_tech_cost,ROUNDDOWN(tech_cost_per_acre*Construction!E79,0))</f>
        <v>5000</v>
      </c>
      <c r="S79" s="152">
        <f t="shared" ca="1" si="46"/>
        <v>4981</v>
      </c>
      <c r="T79" s="164">
        <f t="shared" ca="1" si="35"/>
        <v>2355</v>
      </c>
      <c r="U79" s="164">
        <f t="shared" ca="1" si="36"/>
        <v>-489</v>
      </c>
      <c r="V79" s="164">
        <f t="shared" ca="1" si="37"/>
        <v>183</v>
      </c>
      <c r="W79" s="164">
        <f t="shared" ca="1" si="47"/>
        <v>0</v>
      </c>
      <c r="X79" s="164">
        <f t="shared" ca="1" si="48"/>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4">
        <f ca="1">race_food_bonus + IF(Magic!AO79&gt;0,gaias_blessing_food,IF(Magic!AG79&gt;0,gaias_watch_bonus)) + Imps!AD79+tech_production_food*Techs!W79 + O79/100*prestige_food_bonus</f>
        <v>0.1</v>
      </c>
      <c r="AJ79" s="267">
        <f ca="1">race_lumber_bonus+ IF(Magic!AO79&gt;0,gaias_blessing_lumber)+tech_fruits_of_labor1*Techs!AP79</f>
        <v>0</v>
      </c>
      <c r="AK79" s="267">
        <f ca="1">race_mana_bonus+tech_enchanted_lands_mana*Techs!AT79</f>
        <v>0</v>
      </c>
      <c r="AL79" s="267">
        <f ca="1">race_ore_bonus + IF(Magic!AL79&gt;0,miners_sight_bonus,IF(Magic!AH79&gt;0,mining_strength_bonus))+tech_fruits_of_labor1*Techs!AP79</f>
        <v>0</v>
      </c>
      <c r="AM79" s="193">
        <f ca="1">race_gem_bonus+MAX(tech_production_gems*Techs!X79,tech_fruits_of_labor_gems*Techs!AP79)</f>
        <v>0</v>
      </c>
      <c r="AO79" s="56">
        <f ca="1">I79*food_decay*IF(Magic!AZ79&gt;0,0.5,1)</f>
        <v>2899.83</v>
      </c>
      <c r="AP79" s="26">
        <f ca="1">(1+race_food_consumption)*Population!F79*food_per_person</f>
        <v>1785</v>
      </c>
      <c r="AQ79" s="26">
        <f t="shared" ca="1" si="38"/>
        <v>2989.18</v>
      </c>
      <c r="AR79" s="57">
        <f t="shared" ca="1" si="39"/>
        <v>1066.96</v>
      </c>
      <c r="AS79" s="26"/>
      <c r="AT79" s="56">
        <f ca="1">Explore!AH79+Construction!AP79+Military!AU79+Rezone!Y79+Imps!AQ79-BE79</f>
        <v>0</v>
      </c>
      <c r="AU79" s="26">
        <f>Construction!AQ79+Imps!AR79-BF79</f>
        <v>0</v>
      </c>
      <c r="AV79" s="26">
        <f>Magic!AD79</f>
        <v>0</v>
      </c>
      <c r="AW79" s="26">
        <f ca="1">Military!AV79+Imps!AS79-BG79</f>
        <v>0</v>
      </c>
      <c r="AX79" s="26">
        <f>Imps!AT79-BH79</f>
        <v>0</v>
      </c>
      <c r="AY79" s="26">
        <f ca="1">Military!AZ79</f>
        <v>0</v>
      </c>
      <c r="AZ79" s="57">
        <f ca="1">Military!BA79</f>
        <v>0</v>
      </c>
      <c r="BB79" s="56" t="b">
        <f t="shared" si="27"/>
        <v>0</v>
      </c>
      <c r="BC79" s="332"/>
      <c r="BD79" s="974">
        <v>5</v>
      </c>
      <c r="BE79" s="332"/>
      <c r="BF79" s="370"/>
      <c r="BG79" s="370"/>
      <c r="BH79" s="740"/>
      <c r="BI79" s="1031">
        <f t="shared" si="40"/>
        <v>43768.791666666482</v>
      </c>
      <c r="BJ79" s="159" t="str">
        <f t="shared" si="53"/>
        <v/>
      </c>
      <c r="BK79" s="26">
        <f t="shared" ca="1" si="49"/>
        <v>4855915</v>
      </c>
      <c r="BL79" s="26">
        <f t="shared" ca="1" si="41"/>
        <v>289983</v>
      </c>
      <c r="BM79" s="26">
        <f t="shared" ca="1" si="42"/>
        <v>298918</v>
      </c>
      <c r="BN79" s="26">
        <f t="shared" ca="1" si="43"/>
        <v>53348</v>
      </c>
      <c r="BO79" s="57">
        <f t="shared" ca="1" si="44"/>
        <v>300000</v>
      </c>
    </row>
    <row r="80" spans="1:67" s="16" customFormat="1" x14ac:dyDescent="0.25">
      <c r="A80" s="982">
        <v>6</v>
      </c>
      <c r="B80" s="812">
        <f>Imps!L80</f>
        <v>43768.802083333147</v>
      </c>
      <c r="C80" s="332"/>
      <c r="D80" s="830"/>
      <c r="E80" s="56">
        <f>Construction!E80</f>
        <v>1000</v>
      </c>
      <c r="F80" s="26">
        <f ca="1">Population!$C80</f>
        <v>1845</v>
      </c>
      <c r="G80" s="26">
        <f ca="1">Military!EM80</f>
        <v>20900</v>
      </c>
      <c r="H80" s="26">
        <f ca="1">H79+S79 - AT80 + IF(AND(C79=1,ISNUMBER(MATCH(race,plat_db,0))),Population!C79*4)</f>
        <v>4860896</v>
      </c>
      <c r="I80" s="26">
        <f ca="1">I79+T79-AY80 +  IF(AND(C79=1,ISNUMBER(MATCH(race,food_db,0))),Population!C79*4)</f>
        <v>292338</v>
      </c>
      <c r="J80" s="26">
        <f t="shared" ca="1" si="50"/>
        <v>298429</v>
      </c>
      <c r="K80" s="26">
        <f ca="1">K79+V79 - AV80 + IF(AND(C79=1,ISNUMBER(MATCH(race,mana_db,0))),Population!C79*4)</f>
        <v>53531</v>
      </c>
      <c r="L80" s="26">
        <f ca="1">L79+W79 - AW80 + IF(AND(C79=1,ISNUMBER(MATCH(race,ore_db,0))),Population!C79*4)</f>
        <v>300000</v>
      </c>
      <c r="M80" s="26">
        <f t="shared" ca="1" si="45"/>
        <v>20000</v>
      </c>
      <c r="N80" s="26">
        <f t="shared" ca="1" si="51"/>
        <v>200</v>
      </c>
      <c r="O80" s="26">
        <f t="shared" si="54"/>
        <v>500</v>
      </c>
      <c r="P80" s="26">
        <f>ROUNDDOWN(P79+MAX(Construction!BO80/2,Construction!BO80*(1-Construction!BO80/(E80-Explore!S80*20)))-Q80*SUM(Techs!AY80:BY80),0)</f>
        <v>0</v>
      </c>
      <c r="Q80" s="166">
        <f>MAX(min_tech_cost,ROUNDDOWN(tech_cost_per_acre*Construction!E80,0))</f>
        <v>5000</v>
      </c>
      <c r="S80" s="152">
        <f t="shared" ca="1" si="46"/>
        <v>4981</v>
      </c>
      <c r="T80" s="164">
        <f t="shared" ca="1" si="35"/>
        <v>2332</v>
      </c>
      <c r="U80" s="164">
        <f t="shared" ca="1" si="36"/>
        <v>-484</v>
      </c>
      <c r="V80" s="164">
        <f t="shared" ca="1" si="37"/>
        <v>179</v>
      </c>
      <c r="W80" s="164">
        <f t="shared" ca="1" si="47"/>
        <v>0</v>
      </c>
      <c r="X80" s="164">
        <f t="shared" ca="1" si="48"/>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4">
        <f ca="1">race_food_bonus + IF(Magic!AO80&gt;0,gaias_blessing_food,IF(Magic!AG80&gt;0,gaias_watch_bonus)) + Imps!AD80+tech_production_food*Techs!W80 + O80/100*prestige_food_bonus</f>
        <v>0.1</v>
      </c>
      <c r="AJ80" s="267">
        <f ca="1">race_lumber_bonus+ IF(Magic!AO80&gt;0,gaias_blessing_lumber)+tech_fruits_of_labor1*Techs!AP80</f>
        <v>0</v>
      </c>
      <c r="AK80" s="267">
        <f ca="1">race_mana_bonus+tech_enchanted_lands_mana*Techs!AT80</f>
        <v>0</v>
      </c>
      <c r="AL80" s="267">
        <f ca="1">race_ore_bonus + IF(Magic!AL80&gt;0,miners_sight_bonus,IF(Magic!AH80&gt;0,mining_strength_bonus))+tech_fruits_of_labor1*Techs!AP80</f>
        <v>0</v>
      </c>
      <c r="AM80" s="193">
        <f ca="1">race_gem_bonus+MAX(tech_production_gems*Techs!X80,tech_fruits_of_labor_gems*Techs!AP80)</f>
        <v>0</v>
      </c>
      <c r="AO80" s="56">
        <f ca="1">I80*food_decay*IF(Magic!AZ80&gt;0,0.5,1)</f>
        <v>2923.38</v>
      </c>
      <c r="AP80" s="26">
        <f ca="1">(1+race_food_consumption)*Population!F80*food_per_person</f>
        <v>1785</v>
      </c>
      <c r="AQ80" s="26">
        <f t="shared" ca="1" si="38"/>
        <v>2984.29</v>
      </c>
      <c r="AR80" s="57">
        <f t="shared" ca="1" si="39"/>
        <v>1070.6200000000001</v>
      </c>
      <c r="AS80" s="26"/>
      <c r="AT80" s="56">
        <f ca="1">Explore!AH80+Construction!AP80+Military!AU80+Rezone!Y80+Imps!AQ80-BE80</f>
        <v>0</v>
      </c>
      <c r="AU80" s="26">
        <f>Construction!AQ80+Imps!AR80-BF80</f>
        <v>0</v>
      </c>
      <c r="AV80" s="26">
        <f>Magic!AD80</f>
        <v>0</v>
      </c>
      <c r="AW80" s="26">
        <f ca="1">Military!AV80+Imps!AS80-BG80</f>
        <v>0</v>
      </c>
      <c r="AX80" s="26">
        <f>Imps!AT80-BH80</f>
        <v>0</v>
      </c>
      <c r="AY80" s="26">
        <f ca="1">Military!AZ80</f>
        <v>0</v>
      </c>
      <c r="AZ80" s="57">
        <f ca="1">Military!BA80</f>
        <v>0</v>
      </c>
      <c r="BB80" s="56" t="b">
        <f t="shared" ref="BB80:BB86" si="55">IF(BC80&lt;&gt;"",BC80,BB79)</f>
        <v>0</v>
      </c>
      <c r="BC80" s="332"/>
      <c r="BD80" s="974">
        <v>6</v>
      </c>
      <c r="BE80" s="332"/>
      <c r="BF80" s="370"/>
      <c r="BG80" s="370"/>
      <c r="BH80" s="740"/>
      <c r="BI80" s="1031">
        <f t="shared" si="40"/>
        <v>43768.802083333147</v>
      </c>
      <c r="BJ80" s="159" t="str">
        <f t="shared" si="53"/>
        <v/>
      </c>
      <c r="BK80" s="26">
        <f t="shared" ca="1" si="49"/>
        <v>4860896</v>
      </c>
      <c r="BL80" s="26">
        <f t="shared" ca="1" si="41"/>
        <v>292338</v>
      </c>
      <c r="BM80" s="26">
        <f t="shared" ca="1" si="42"/>
        <v>298429</v>
      </c>
      <c r="BN80" s="26">
        <f t="shared" ca="1" si="43"/>
        <v>53531</v>
      </c>
      <c r="BO80" s="57">
        <f t="shared" ca="1" si="44"/>
        <v>300000</v>
      </c>
    </row>
    <row r="81" spans="1:67" s="16" customFormat="1" x14ac:dyDescent="0.25">
      <c r="A81" s="982">
        <v>7</v>
      </c>
      <c r="B81" s="812">
        <f>Imps!L81</f>
        <v>43768.812499999811</v>
      </c>
      <c r="C81" s="332"/>
      <c r="D81" s="830"/>
      <c r="E81" s="56">
        <f>Construction!E81</f>
        <v>1000</v>
      </c>
      <c r="F81" s="26">
        <f ca="1">Population!$C81</f>
        <v>1845</v>
      </c>
      <c r="G81" s="26">
        <f ca="1">Military!EM81</f>
        <v>20900</v>
      </c>
      <c r="H81" s="26">
        <f ca="1">H80+S80 - AT81 + IF(AND(C80=1,ISNUMBER(MATCH(race,plat_db,0))),Population!C80*4)</f>
        <v>4865877</v>
      </c>
      <c r="I81" s="26">
        <f ca="1">I80+T80-AY81 +  IF(AND(C80=1,ISNUMBER(MATCH(race,food_db,0))),Population!C80*4)</f>
        <v>294670</v>
      </c>
      <c r="J81" s="26">
        <f t="shared" ca="1" si="50"/>
        <v>297945</v>
      </c>
      <c r="K81" s="26">
        <f ca="1">K80+V80 - AV81 + IF(AND(C80=1,ISNUMBER(MATCH(race,mana_db,0))),Population!C80*4)</f>
        <v>53710</v>
      </c>
      <c r="L81" s="26">
        <f ca="1">L80+W80 - AW81 + IF(AND(C80=1,ISNUMBER(MATCH(race,ore_db,0))),Population!C80*4)</f>
        <v>300000</v>
      </c>
      <c r="M81" s="26">
        <f t="shared" ca="1" si="45"/>
        <v>20000</v>
      </c>
      <c r="N81" s="26">
        <f t="shared" ca="1" si="51"/>
        <v>200</v>
      </c>
      <c r="O81" s="26">
        <f t="shared" si="54"/>
        <v>500</v>
      </c>
      <c r="P81" s="26">
        <f>ROUNDDOWN(P80+MAX(Construction!BO81/2,Construction!BO81*(1-Construction!BO81/(E81-Explore!S81*20)))-Q81*SUM(Techs!AY81:BY81),0)</f>
        <v>0</v>
      </c>
      <c r="Q81" s="166">
        <f>MAX(min_tech_cost,ROUNDDOWN(tech_cost_per_acre*Construction!E81,0))</f>
        <v>5000</v>
      </c>
      <c r="S81" s="152">
        <f t="shared" ca="1" si="46"/>
        <v>4981</v>
      </c>
      <c r="T81" s="164">
        <f t="shared" ca="1" si="35"/>
        <v>2308</v>
      </c>
      <c r="U81" s="164">
        <f t="shared" ca="1" si="36"/>
        <v>-479</v>
      </c>
      <c r="V81" s="164">
        <f t="shared" ca="1" si="37"/>
        <v>176</v>
      </c>
      <c r="W81" s="164">
        <f t="shared" ca="1" si="47"/>
        <v>0</v>
      </c>
      <c r="X81" s="164">
        <f t="shared" ca="1" si="48"/>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4">
        <f ca="1">race_food_bonus + IF(Magic!AO81&gt;0,gaias_blessing_food,IF(Magic!AG81&gt;0,gaias_watch_bonus)) + Imps!AD81+tech_production_food*Techs!W81 + O81/100*prestige_food_bonus</f>
        <v>0.1</v>
      </c>
      <c r="AJ81" s="267">
        <f ca="1">race_lumber_bonus+ IF(Magic!AO81&gt;0,gaias_blessing_lumber)+tech_fruits_of_labor1*Techs!AP81</f>
        <v>0</v>
      </c>
      <c r="AK81" s="267">
        <f ca="1">race_mana_bonus+tech_enchanted_lands_mana*Techs!AT81</f>
        <v>0</v>
      </c>
      <c r="AL81" s="267">
        <f ca="1">race_ore_bonus + IF(Magic!AL81&gt;0,miners_sight_bonus,IF(Magic!AH81&gt;0,mining_strength_bonus))+tech_fruits_of_labor1*Techs!AP81</f>
        <v>0</v>
      </c>
      <c r="AM81" s="193">
        <f ca="1">race_gem_bonus+MAX(tech_production_gems*Techs!X81,tech_fruits_of_labor_gems*Techs!AP81)</f>
        <v>0</v>
      </c>
      <c r="AO81" s="56">
        <f ca="1">I81*food_decay*IF(Magic!AZ81&gt;0,0.5,1)</f>
        <v>2946.7000000000003</v>
      </c>
      <c r="AP81" s="26">
        <f ca="1">(1+race_food_consumption)*Population!F81*food_per_person</f>
        <v>1785</v>
      </c>
      <c r="AQ81" s="26">
        <f t="shared" ca="1" si="38"/>
        <v>2979.4500000000003</v>
      </c>
      <c r="AR81" s="57">
        <f t="shared" ca="1" si="39"/>
        <v>1074.2</v>
      </c>
      <c r="AS81" s="26"/>
      <c r="AT81" s="56">
        <f ca="1">Explore!AH81+Construction!AP81+Military!AU81+Rezone!Y81+Imps!AQ81-BE81</f>
        <v>0</v>
      </c>
      <c r="AU81" s="26">
        <f>Construction!AQ81+Imps!AR81-BF81</f>
        <v>0</v>
      </c>
      <c r="AV81" s="26">
        <f>Magic!AD81</f>
        <v>0</v>
      </c>
      <c r="AW81" s="26">
        <f ca="1">Military!AV81+Imps!AS81-BG81</f>
        <v>0</v>
      </c>
      <c r="AX81" s="26">
        <f>Imps!AT81-BH81</f>
        <v>0</v>
      </c>
      <c r="AY81" s="26">
        <f ca="1">Military!AZ81</f>
        <v>0</v>
      </c>
      <c r="AZ81" s="57">
        <f ca="1">Military!BA81</f>
        <v>0</v>
      </c>
      <c r="BB81" s="56" t="b">
        <f t="shared" si="55"/>
        <v>0</v>
      </c>
      <c r="BC81" s="332"/>
      <c r="BD81" s="974">
        <v>7</v>
      </c>
      <c r="BE81" s="332"/>
      <c r="BF81" s="370"/>
      <c r="BG81" s="370"/>
      <c r="BH81" s="740"/>
      <c r="BI81" s="1031">
        <f t="shared" si="40"/>
        <v>43768.812499999811</v>
      </c>
      <c r="BJ81" s="159" t="str">
        <f t="shared" si="53"/>
        <v/>
      </c>
      <c r="BK81" s="26">
        <f t="shared" ca="1" si="49"/>
        <v>4865877</v>
      </c>
      <c r="BL81" s="26">
        <f t="shared" ca="1" si="41"/>
        <v>294670</v>
      </c>
      <c r="BM81" s="26">
        <f t="shared" ca="1" si="42"/>
        <v>297945</v>
      </c>
      <c r="BN81" s="26">
        <f t="shared" ca="1" si="43"/>
        <v>53710</v>
      </c>
      <c r="BO81" s="57">
        <f t="shared" ca="1" si="44"/>
        <v>300000</v>
      </c>
    </row>
    <row r="82" spans="1:67" s="16" customFormat="1" x14ac:dyDescent="0.25">
      <c r="A82" s="982">
        <v>8</v>
      </c>
      <c r="B82" s="812">
        <f>Imps!L82</f>
        <v>43768.822916666475</v>
      </c>
      <c r="C82" s="332"/>
      <c r="D82" s="830"/>
      <c r="E82" s="56">
        <f>Construction!E82</f>
        <v>1000</v>
      </c>
      <c r="F82" s="26">
        <f ca="1">Population!$C82</f>
        <v>1845</v>
      </c>
      <c r="G82" s="26">
        <f ca="1">Military!EM82</f>
        <v>20900</v>
      </c>
      <c r="H82" s="26">
        <f ca="1">H81+S81 - AT82 + IF(AND(C81=1,ISNUMBER(MATCH(race,plat_db,0))),Population!C81*4)</f>
        <v>4870858</v>
      </c>
      <c r="I82" s="26">
        <f ca="1">I81+T81-AY82 +  IF(AND(C81=1,ISNUMBER(MATCH(race,food_db,0))),Population!C81*4)</f>
        <v>296978</v>
      </c>
      <c r="J82" s="26">
        <f t="shared" ca="1" si="50"/>
        <v>297466</v>
      </c>
      <c r="K82" s="26">
        <f ca="1">K81+V81 - AV82 + IF(AND(C81=1,ISNUMBER(MATCH(race,mana_db,0))),Population!C81*4)</f>
        <v>53886</v>
      </c>
      <c r="L82" s="26">
        <f ca="1">L81+W81 - AW82 + IF(AND(C81=1,ISNUMBER(MATCH(race,ore_db,0))),Population!C81*4)</f>
        <v>300000</v>
      </c>
      <c r="M82" s="26">
        <f t="shared" ca="1" si="45"/>
        <v>20000</v>
      </c>
      <c r="N82" s="26">
        <f t="shared" ca="1" si="51"/>
        <v>200</v>
      </c>
      <c r="O82" s="26">
        <f t="shared" si="54"/>
        <v>500</v>
      </c>
      <c r="P82" s="26">
        <f>ROUNDDOWN(P81+MAX(Construction!BO82/2,Construction!BO82*(1-Construction!BO82/(E82-Explore!S82*20)))-Q82*SUM(Techs!AY82:BY82),0)</f>
        <v>0</v>
      </c>
      <c r="Q82" s="166">
        <f>MAX(min_tech_cost,ROUNDDOWN(tech_cost_per_acre*Construction!E82,0))</f>
        <v>5000</v>
      </c>
      <c r="S82" s="152">
        <f t="shared" ca="1" si="46"/>
        <v>4981</v>
      </c>
      <c r="T82" s="164">
        <f t="shared" ca="1" si="35"/>
        <v>2285</v>
      </c>
      <c r="U82" s="164">
        <f t="shared" ca="1" si="36"/>
        <v>-475</v>
      </c>
      <c r="V82" s="164">
        <f t="shared" ca="1" si="37"/>
        <v>172</v>
      </c>
      <c r="W82" s="164">
        <f t="shared" ca="1" si="47"/>
        <v>0</v>
      </c>
      <c r="X82" s="164">
        <f t="shared" ca="1" si="48"/>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4">
        <f ca="1">race_food_bonus + IF(Magic!AO82&gt;0,gaias_blessing_food,IF(Magic!AG82&gt;0,gaias_watch_bonus)) + Imps!AD82+tech_production_food*Techs!W82 + O82/100*prestige_food_bonus</f>
        <v>0.1</v>
      </c>
      <c r="AJ82" s="267">
        <f ca="1">race_lumber_bonus+ IF(Magic!AO82&gt;0,gaias_blessing_lumber)+tech_fruits_of_labor1*Techs!AP82</f>
        <v>0</v>
      </c>
      <c r="AK82" s="267">
        <f ca="1">race_mana_bonus+tech_enchanted_lands_mana*Techs!AT82</f>
        <v>0</v>
      </c>
      <c r="AL82" s="267">
        <f ca="1">race_ore_bonus + IF(Magic!AL82&gt;0,miners_sight_bonus,IF(Magic!AH82&gt;0,mining_strength_bonus))+tech_fruits_of_labor1*Techs!AP82</f>
        <v>0</v>
      </c>
      <c r="AM82" s="193">
        <f ca="1">race_gem_bonus+MAX(tech_production_gems*Techs!X82,tech_fruits_of_labor_gems*Techs!AP82)</f>
        <v>0</v>
      </c>
      <c r="AO82" s="56">
        <f ca="1">I82*food_decay*IF(Magic!AZ82&gt;0,0.5,1)</f>
        <v>2969.78</v>
      </c>
      <c r="AP82" s="26">
        <f ca="1">(1+race_food_consumption)*Population!F82*food_per_person</f>
        <v>1785</v>
      </c>
      <c r="AQ82" s="26">
        <f t="shared" ca="1" si="38"/>
        <v>2974.66</v>
      </c>
      <c r="AR82" s="57">
        <f t="shared" ca="1" si="39"/>
        <v>1077.72</v>
      </c>
      <c r="AS82" s="26"/>
      <c r="AT82" s="56">
        <f ca="1">Explore!AH82+Construction!AP82+Military!AU82+Rezone!Y82+Imps!AQ82-BE82</f>
        <v>0</v>
      </c>
      <c r="AU82" s="26">
        <f>Construction!AQ82+Imps!AR82-BF82</f>
        <v>0</v>
      </c>
      <c r="AV82" s="26">
        <f>Magic!AD82</f>
        <v>0</v>
      </c>
      <c r="AW82" s="26">
        <f ca="1">Military!AV82+Imps!AS82-BG82</f>
        <v>0</v>
      </c>
      <c r="AX82" s="26">
        <f>Imps!AT82-BH82</f>
        <v>0</v>
      </c>
      <c r="AY82" s="26">
        <f ca="1">Military!AZ82</f>
        <v>0</v>
      </c>
      <c r="AZ82" s="57">
        <f ca="1">Military!BA82</f>
        <v>0</v>
      </c>
      <c r="BB82" s="56" t="b">
        <f t="shared" si="55"/>
        <v>0</v>
      </c>
      <c r="BC82" s="332"/>
      <c r="BD82" s="974">
        <v>8</v>
      </c>
      <c r="BE82" s="332"/>
      <c r="BF82" s="370"/>
      <c r="BG82" s="370"/>
      <c r="BH82" s="740"/>
      <c r="BI82" s="1031">
        <f t="shared" si="40"/>
        <v>43768.822916666475</v>
      </c>
      <c r="BJ82" s="159" t="str">
        <f t="shared" si="53"/>
        <v/>
      </c>
      <c r="BK82" s="26">
        <f t="shared" ca="1" si="49"/>
        <v>4870858</v>
      </c>
      <c r="BL82" s="26">
        <f t="shared" ca="1" si="41"/>
        <v>296978</v>
      </c>
      <c r="BM82" s="26">
        <f t="shared" ca="1" si="42"/>
        <v>297466</v>
      </c>
      <c r="BN82" s="26">
        <f t="shared" ca="1" si="43"/>
        <v>53886</v>
      </c>
      <c r="BO82" s="57">
        <f t="shared" ca="1" si="44"/>
        <v>300000</v>
      </c>
    </row>
    <row r="83" spans="1:67" s="16" customFormat="1" x14ac:dyDescent="0.25">
      <c r="A83" s="982">
        <v>9</v>
      </c>
      <c r="B83" s="812">
        <f>Imps!L83</f>
        <v>43768.833333333139</v>
      </c>
      <c r="C83" s="332"/>
      <c r="D83" s="830"/>
      <c r="E83" s="56">
        <f>Construction!E83</f>
        <v>1000</v>
      </c>
      <c r="F83" s="26">
        <f ca="1">Population!$C83</f>
        <v>1845</v>
      </c>
      <c r="G83" s="26">
        <f ca="1">Military!EM83</f>
        <v>20900</v>
      </c>
      <c r="H83" s="26">
        <f ca="1">H82+S82 - AT83 + IF(AND(C82=1,ISNUMBER(MATCH(race,plat_db,0))),Population!C82*4)</f>
        <v>4875839</v>
      </c>
      <c r="I83" s="26">
        <f ca="1">I82+T82-AY83 +  IF(AND(C82=1,ISNUMBER(MATCH(race,food_db,0))),Population!C82*4)</f>
        <v>299263</v>
      </c>
      <c r="J83" s="26">
        <f t="shared" ca="1" si="50"/>
        <v>296991</v>
      </c>
      <c r="K83" s="26">
        <f ca="1">K82+V82 - AV83 + IF(AND(C82=1,ISNUMBER(MATCH(race,mana_db,0))),Population!C82*4)</f>
        <v>54058</v>
      </c>
      <c r="L83" s="26">
        <f ca="1">L82+W82 - AW83 + IF(AND(C82=1,ISNUMBER(MATCH(race,ore_db,0))),Population!C82*4)</f>
        <v>300000</v>
      </c>
      <c r="M83" s="26">
        <f t="shared" ca="1" si="45"/>
        <v>20000</v>
      </c>
      <c r="N83" s="26">
        <f t="shared" ca="1" si="51"/>
        <v>200</v>
      </c>
      <c r="O83" s="26">
        <f t="shared" si="54"/>
        <v>500</v>
      </c>
      <c r="P83" s="26">
        <f>ROUNDDOWN(P82+MAX(Construction!BO83/2,Construction!BO83*(1-Construction!BO83/(E83-Explore!S83*20)))-Q83*SUM(Techs!AY83:BY83),0)</f>
        <v>0</v>
      </c>
      <c r="Q83" s="166">
        <f>MAX(min_tech_cost,ROUNDDOWN(tech_cost_per_acre*Construction!E83,0))</f>
        <v>5000</v>
      </c>
      <c r="S83" s="152">
        <f t="shared" ca="1" si="46"/>
        <v>4981</v>
      </c>
      <c r="T83" s="164">
        <f t="shared" ca="1" si="35"/>
        <v>2262</v>
      </c>
      <c r="U83" s="164">
        <f t="shared" ca="1" si="36"/>
        <v>-470</v>
      </c>
      <c r="V83" s="164">
        <f t="shared" ca="1" si="37"/>
        <v>169</v>
      </c>
      <c r="W83" s="164">
        <f t="shared" ca="1" si="47"/>
        <v>0</v>
      </c>
      <c r="X83" s="164">
        <f t="shared" ca="1" si="48"/>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4">
        <f ca="1">race_food_bonus + IF(Magic!AO83&gt;0,gaias_blessing_food,IF(Magic!AG83&gt;0,gaias_watch_bonus)) + Imps!AD83+tech_production_food*Techs!W83 + O83/100*prestige_food_bonus</f>
        <v>0.1</v>
      </c>
      <c r="AJ83" s="267">
        <f ca="1">race_lumber_bonus+ IF(Magic!AO83&gt;0,gaias_blessing_lumber)+tech_fruits_of_labor1*Techs!AP83</f>
        <v>0</v>
      </c>
      <c r="AK83" s="267">
        <f ca="1">race_mana_bonus+tech_enchanted_lands_mana*Techs!AT83</f>
        <v>0</v>
      </c>
      <c r="AL83" s="267">
        <f ca="1">race_ore_bonus + IF(Magic!AL83&gt;0,miners_sight_bonus,IF(Magic!AH83&gt;0,mining_strength_bonus))+tech_fruits_of_labor1*Techs!AP83</f>
        <v>0</v>
      </c>
      <c r="AM83" s="193">
        <f ca="1">race_gem_bonus+MAX(tech_production_gems*Techs!X83,tech_fruits_of_labor_gems*Techs!AP83)</f>
        <v>0</v>
      </c>
      <c r="AO83" s="56">
        <f ca="1">I83*food_decay*IF(Magic!AZ83&gt;0,0.5,1)</f>
        <v>2992.63</v>
      </c>
      <c r="AP83" s="26">
        <f ca="1">(1+race_food_consumption)*Population!F83*food_per_person</f>
        <v>1785</v>
      </c>
      <c r="AQ83" s="26">
        <f t="shared" ca="1" si="38"/>
        <v>2969.91</v>
      </c>
      <c r="AR83" s="57">
        <f t="shared" ca="1" si="39"/>
        <v>1081.1600000000001</v>
      </c>
      <c r="AS83" s="26"/>
      <c r="AT83" s="56">
        <f ca="1">Explore!AH83+Construction!AP83+Military!AU83+Rezone!Y83+Imps!AQ83-BE83</f>
        <v>0</v>
      </c>
      <c r="AU83" s="26">
        <f>Construction!AQ83+Imps!AR83-BF83</f>
        <v>0</v>
      </c>
      <c r="AV83" s="26">
        <f>Magic!AD83</f>
        <v>0</v>
      </c>
      <c r="AW83" s="26">
        <f ca="1">Military!AV83+Imps!AS83-BG83</f>
        <v>0</v>
      </c>
      <c r="AX83" s="26">
        <f>Imps!AT83-BH83</f>
        <v>0</v>
      </c>
      <c r="AY83" s="26">
        <f ca="1">Military!AZ83</f>
        <v>0</v>
      </c>
      <c r="AZ83" s="57">
        <f ca="1">Military!BA83</f>
        <v>0</v>
      </c>
      <c r="BB83" s="56" t="b">
        <f t="shared" si="55"/>
        <v>0</v>
      </c>
      <c r="BC83" s="332"/>
      <c r="BD83" s="974">
        <v>9</v>
      </c>
      <c r="BE83" s="332"/>
      <c r="BF83" s="370"/>
      <c r="BG83" s="370"/>
      <c r="BH83" s="740"/>
      <c r="BI83" s="1031">
        <f t="shared" si="40"/>
        <v>43768.833333333139</v>
      </c>
      <c r="BJ83" s="159" t="str">
        <f t="shared" si="53"/>
        <v/>
      </c>
      <c r="BK83" s="26">
        <f t="shared" ca="1" si="49"/>
        <v>4875839</v>
      </c>
      <c r="BL83" s="26">
        <f t="shared" ca="1" si="41"/>
        <v>299263</v>
      </c>
      <c r="BM83" s="26">
        <f t="shared" ca="1" si="42"/>
        <v>296991</v>
      </c>
      <c r="BN83" s="26">
        <f t="shared" ca="1" si="43"/>
        <v>54058</v>
      </c>
      <c r="BO83" s="57">
        <f t="shared" ca="1" si="44"/>
        <v>300000</v>
      </c>
    </row>
    <row r="84" spans="1:67" s="16" customFormat="1" x14ac:dyDescent="0.25">
      <c r="A84" s="982">
        <v>10</v>
      </c>
      <c r="B84" s="812">
        <f>Imps!L84</f>
        <v>43768.843749999804</v>
      </c>
      <c r="C84" s="332"/>
      <c r="D84" s="830"/>
      <c r="E84" s="56">
        <f>Construction!E84</f>
        <v>1000</v>
      </c>
      <c r="F84" s="26">
        <f ca="1">Population!$C84</f>
        <v>1845</v>
      </c>
      <c r="G84" s="26">
        <f ca="1">Military!EM84</f>
        <v>20900</v>
      </c>
      <c r="H84" s="26">
        <f ca="1">H83+S83 - AT84 + IF(AND(C83=1,ISNUMBER(MATCH(race,plat_db,0))),Population!C83*4)</f>
        <v>4880820</v>
      </c>
      <c r="I84" s="26">
        <f ca="1">I83+T83-AY84 +  IF(AND(C83=1,ISNUMBER(MATCH(race,food_db,0))),Population!C83*4)</f>
        <v>301525</v>
      </c>
      <c r="J84" s="26">
        <f t="shared" ca="1" si="50"/>
        <v>296521</v>
      </c>
      <c r="K84" s="26">
        <f ca="1">K83+V83 - AV84 + IF(AND(C83=1,ISNUMBER(MATCH(race,mana_db,0))),Population!C83*4)</f>
        <v>54227</v>
      </c>
      <c r="L84" s="26">
        <f ca="1">L83+W83 - AW84 + IF(AND(C83=1,ISNUMBER(MATCH(race,ore_db,0))),Population!C83*4)</f>
        <v>300000</v>
      </c>
      <c r="M84" s="26">
        <f t="shared" ca="1" si="45"/>
        <v>20000</v>
      </c>
      <c r="N84" s="26">
        <f t="shared" ca="1" si="51"/>
        <v>200</v>
      </c>
      <c r="O84" s="26">
        <f t="shared" si="54"/>
        <v>500</v>
      </c>
      <c r="P84" s="26">
        <f>ROUNDDOWN(P83+MAX(Construction!BO84/2,Construction!BO84*(1-Construction!BO84/(E84-Explore!S84*20)))-Q84*SUM(Techs!AY84:BY84),0)</f>
        <v>0</v>
      </c>
      <c r="Q84" s="166">
        <f>MAX(min_tech_cost,ROUNDDOWN(tech_cost_per_acre*Construction!E84,0))</f>
        <v>5000</v>
      </c>
      <c r="S84" s="152">
        <f t="shared" ca="1" si="46"/>
        <v>4981</v>
      </c>
      <c r="T84" s="164">
        <f t="shared" ca="1" si="35"/>
        <v>2240</v>
      </c>
      <c r="U84" s="164">
        <f t="shared" ca="1" si="36"/>
        <v>-465</v>
      </c>
      <c r="V84" s="164">
        <f t="shared" ca="1" si="37"/>
        <v>165</v>
      </c>
      <c r="W84" s="164">
        <f t="shared" ca="1" si="47"/>
        <v>0</v>
      </c>
      <c r="X84" s="164">
        <f t="shared" ca="1" si="48"/>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4">
        <f ca="1">race_food_bonus + IF(Magic!AO84&gt;0,gaias_blessing_food,IF(Magic!AG84&gt;0,gaias_watch_bonus)) + Imps!AD84+tech_production_food*Techs!W84 + O84/100*prestige_food_bonus</f>
        <v>0.1</v>
      </c>
      <c r="AJ84" s="267">
        <f ca="1">race_lumber_bonus+ IF(Magic!AO84&gt;0,gaias_blessing_lumber)+tech_fruits_of_labor1*Techs!AP84</f>
        <v>0</v>
      </c>
      <c r="AK84" s="267">
        <f ca="1">race_mana_bonus+tech_enchanted_lands_mana*Techs!AT84</f>
        <v>0</v>
      </c>
      <c r="AL84" s="267">
        <f ca="1">race_ore_bonus + IF(Magic!AL84&gt;0,miners_sight_bonus,IF(Magic!AH84&gt;0,mining_strength_bonus))+tech_fruits_of_labor1*Techs!AP84</f>
        <v>0</v>
      </c>
      <c r="AM84" s="193">
        <f ca="1">race_gem_bonus+MAX(tech_production_gems*Techs!X84,tech_fruits_of_labor_gems*Techs!AP84)</f>
        <v>0</v>
      </c>
      <c r="AO84" s="56">
        <f ca="1">I84*food_decay*IF(Magic!AZ84&gt;0,0.5,1)</f>
        <v>3015.25</v>
      </c>
      <c r="AP84" s="26">
        <f ca="1">(1+race_food_consumption)*Population!F84*food_per_person</f>
        <v>1785</v>
      </c>
      <c r="AQ84" s="26">
        <f t="shared" ca="1" si="38"/>
        <v>2965.21</v>
      </c>
      <c r="AR84" s="57">
        <f t="shared" ca="1" si="39"/>
        <v>1084.54</v>
      </c>
      <c r="AS84" s="26"/>
      <c r="AT84" s="56">
        <f ca="1">Explore!AH84+Construction!AP84+Military!AU84+Rezone!Y84+Imps!AQ84-BE84</f>
        <v>0</v>
      </c>
      <c r="AU84" s="26">
        <f>Construction!AQ84+Imps!AR84-BF84</f>
        <v>0</v>
      </c>
      <c r="AV84" s="26">
        <f>Magic!AD84</f>
        <v>0</v>
      </c>
      <c r="AW84" s="26">
        <f ca="1">Military!AV84+Imps!AS84-BG84</f>
        <v>0</v>
      </c>
      <c r="AX84" s="26">
        <f>Imps!AT84-BH84</f>
        <v>0</v>
      </c>
      <c r="AY84" s="26">
        <f ca="1">Military!AZ84</f>
        <v>0</v>
      </c>
      <c r="AZ84" s="57">
        <f ca="1">Military!BA84</f>
        <v>0</v>
      </c>
      <c r="BB84" s="56" t="b">
        <f t="shared" si="55"/>
        <v>0</v>
      </c>
      <c r="BC84" s="332"/>
      <c r="BD84" s="974">
        <v>10</v>
      </c>
      <c r="BE84" s="332"/>
      <c r="BF84" s="370"/>
      <c r="BG84" s="370"/>
      <c r="BH84" s="740"/>
      <c r="BI84" s="1031">
        <f t="shared" si="40"/>
        <v>43768.843749999804</v>
      </c>
      <c r="BJ84" s="159" t="str">
        <f t="shared" si="53"/>
        <v/>
      </c>
      <c r="BK84" s="26">
        <f t="shared" ca="1" si="49"/>
        <v>4880820</v>
      </c>
      <c r="BL84" s="26">
        <f t="shared" ca="1" si="41"/>
        <v>301525</v>
      </c>
      <c r="BM84" s="26">
        <f t="shared" ca="1" si="42"/>
        <v>296521</v>
      </c>
      <c r="BN84" s="26">
        <f t="shared" ca="1" si="43"/>
        <v>54227</v>
      </c>
      <c r="BO84" s="57">
        <f t="shared" ca="1" si="44"/>
        <v>300000</v>
      </c>
    </row>
    <row r="85" spans="1:67" s="16" customFormat="1" x14ac:dyDescent="0.25">
      <c r="A85" s="982">
        <v>11</v>
      </c>
      <c r="B85" s="812">
        <f>Imps!L85</f>
        <v>43768.854166666468</v>
      </c>
      <c r="C85" s="332"/>
      <c r="D85" s="830"/>
      <c r="E85" s="56">
        <f>Construction!E85</f>
        <v>1000</v>
      </c>
      <c r="F85" s="26">
        <f ca="1">Population!$C85</f>
        <v>1845</v>
      </c>
      <c r="G85" s="26">
        <f ca="1">Military!EM85</f>
        <v>20900</v>
      </c>
      <c r="H85" s="26">
        <f ca="1">H84+S84 - AT85 + IF(AND(C84=1,ISNUMBER(MATCH(race,plat_db,0))),Population!C84*4)</f>
        <v>4885801</v>
      </c>
      <c r="I85" s="26">
        <f ca="1">I84+T84-AY85 +  IF(AND(C84=1,ISNUMBER(MATCH(race,food_db,0))),Population!C84*4)</f>
        <v>303765</v>
      </c>
      <c r="J85" s="26">
        <f t="shared" ca="1" si="50"/>
        <v>296056</v>
      </c>
      <c r="K85" s="26">
        <f ca="1">K84+V84 - AV85 + IF(AND(C84=1,ISNUMBER(MATCH(race,mana_db,0))),Population!C84*4)</f>
        <v>54392</v>
      </c>
      <c r="L85" s="26">
        <f ca="1">L84+W84 - AW85 + IF(AND(C84=1,ISNUMBER(MATCH(race,ore_db,0))),Population!C84*4)</f>
        <v>300000</v>
      </c>
      <c r="M85" s="26">
        <f t="shared" ca="1" si="45"/>
        <v>20000</v>
      </c>
      <c r="N85" s="26">
        <f t="shared" ca="1" si="51"/>
        <v>200</v>
      </c>
      <c r="O85" s="26">
        <f t="shared" si="54"/>
        <v>500</v>
      </c>
      <c r="P85" s="26">
        <f>ROUNDDOWN(P84+MAX(Construction!BO85/2,Construction!BO85*(1-Construction!BO85/(E85-Explore!S85*20)))-Q85*SUM(Techs!AY85:BY85),0)</f>
        <v>0</v>
      </c>
      <c r="Q85" s="166">
        <f>MAX(min_tech_cost,ROUNDDOWN(tech_cost_per_acre*Construction!E85,0))</f>
        <v>5000</v>
      </c>
      <c r="S85" s="152">
        <f t="shared" ca="1" si="46"/>
        <v>4981</v>
      </c>
      <c r="T85" s="164">
        <f t="shared" ca="1" si="35"/>
        <v>2217</v>
      </c>
      <c r="U85" s="164">
        <f t="shared" ca="1" si="36"/>
        <v>-461</v>
      </c>
      <c r="V85" s="164">
        <f t="shared" ca="1" si="37"/>
        <v>162</v>
      </c>
      <c r="W85" s="164">
        <f t="shared" ca="1" si="47"/>
        <v>0</v>
      </c>
      <c r="X85" s="164">
        <f t="shared" ca="1" si="48"/>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4">
        <f ca="1">race_food_bonus + IF(Magic!AO85&gt;0,gaias_blessing_food,IF(Magic!AG85&gt;0,gaias_watch_bonus)) + Imps!AD85+tech_production_food*Techs!W85 + O85/100*prestige_food_bonus</f>
        <v>0.1</v>
      </c>
      <c r="AJ85" s="267">
        <f ca="1">race_lumber_bonus+ IF(Magic!AO85&gt;0,gaias_blessing_lumber)+tech_fruits_of_labor1*Techs!AP85</f>
        <v>0</v>
      </c>
      <c r="AK85" s="267">
        <f ca="1">race_mana_bonus+tech_enchanted_lands_mana*Techs!AT85</f>
        <v>0</v>
      </c>
      <c r="AL85" s="267">
        <f ca="1">race_ore_bonus + IF(Magic!AL85&gt;0,miners_sight_bonus,IF(Magic!AH85&gt;0,mining_strength_bonus))+tech_fruits_of_labor1*Techs!AP85</f>
        <v>0</v>
      </c>
      <c r="AM85" s="193">
        <f ca="1">race_gem_bonus+MAX(tech_production_gems*Techs!X85,tech_fruits_of_labor_gems*Techs!AP85)</f>
        <v>0</v>
      </c>
      <c r="AO85" s="56">
        <f ca="1">I85*food_decay*IF(Magic!AZ85&gt;0,0.5,1)</f>
        <v>3037.65</v>
      </c>
      <c r="AP85" s="26">
        <f ca="1">(1+race_food_consumption)*Population!F85*food_per_person</f>
        <v>1785</v>
      </c>
      <c r="AQ85" s="26">
        <f t="shared" ca="1" si="38"/>
        <v>2960.56</v>
      </c>
      <c r="AR85" s="57">
        <f t="shared" ca="1" si="39"/>
        <v>1087.8399999999999</v>
      </c>
      <c r="AS85" s="26"/>
      <c r="AT85" s="56">
        <f ca="1">Explore!AH85+Construction!AP85+Military!AU85+Rezone!Y85+Imps!AQ85-BE85</f>
        <v>0</v>
      </c>
      <c r="AU85" s="26">
        <f>Construction!AQ85+Imps!AR85-BF85</f>
        <v>0</v>
      </c>
      <c r="AV85" s="26">
        <f>Magic!AD85</f>
        <v>0</v>
      </c>
      <c r="AW85" s="26">
        <f ca="1">Military!AV85+Imps!AS85-BG85</f>
        <v>0</v>
      </c>
      <c r="AX85" s="26">
        <f>Imps!AT85-BH85</f>
        <v>0</v>
      </c>
      <c r="AY85" s="26">
        <f ca="1">Military!AZ85</f>
        <v>0</v>
      </c>
      <c r="AZ85" s="57">
        <f ca="1">Military!BA85</f>
        <v>0</v>
      </c>
      <c r="BB85" s="56" t="b">
        <f t="shared" si="55"/>
        <v>0</v>
      </c>
      <c r="BC85" s="332"/>
      <c r="BD85" s="974">
        <v>11</v>
      </c>
      <c r="BE85" s="332"/>
      <c r="BF85" s="370"/>
      <c r="BG85" s="370"/>
      <c r="BH85" s="740"/>
      <c r="BI85" s="1031">
        <f t="shared" si="40"/>
        <v>43768.854166666468</v>
      </c>
      <c r="BJ85" s="159" t="str">
        <f t="shared" si="53"/>
        <v/>
      </c>
      <c r="BK85" s="26">
        <f t="shared" ca="1" si="49"/>
        <v>4885801</v>
      </c>
      <c r="BL85" s="26">
        <f t="shared" ca="1" si="41"/>
        <v>303765</v>
      </c>
      <c r="BM85" s="26">
        <f t="shared" ca="1" si="42"/>
        <v>296056</v>
      </c>
      <c r="BN85" s="26">
        <f t="shared" ca="1" si="43"/>
        <v>54392</v>
      </c>
      <c r="BO85" s="57">
        <f t="shared" ca="1" si="44"/>
        <v>300000</v>
      </c>
    </row>
    <row r="86" spans="1:67" s="170" customFormat="1" x14ac:dyDescent="0.25">
      <c r="A86" s="981">
        <v>12</v>
      </c>
      <c r="B86" s="530">
        <f>Imps!L86</f>
        <v>43768.864583333132</v>
      </c>
      <c r="C86" s="329"/>
      <c r="D86" s="829"/>
      <c r="E86" s="152">
        <f>Construction!E86</f>
        <v>1000</v>
      </c>
      <c r="F86" s="164">
        <f ca="1">Population!$C86</f>
        <v>1845</v>
      </c>
      <c r="G86" s="164">
        <f ca="1">Military!EM86</f>
        <v>20900</v>
      </c>
      <c r="H86" s="164">
        <f ca="1">H85+S85 - AT86 + IF(AND(C85=1,ISNUMBER(MATCH(race,plat_db,0))),Population!C85*4)</f>
        <v>4890782</v>
      </c>
      <c r="I86" s="164">
        <f ca="1">I85+T85-AY86 +  IF(AND(C85=1,ISNUMBER(MATCH(race,food_db,0))),Population!C85*4)</f>
        <v>305982</v>
      </c>
      <c r="J86" s="164">
        <f t="shared" ca="1" si="50"/>
        <v>295595</v>
      </c>
      <c r="K86" s="164">
        <f ca="1">K85+V85 - AV86 + IF(AND(C85=1,ISNUMBER(MATCH(race,mana_db,0))),Population!C85*4)</f>
        <v>54554</v>
      </c>
      <c r="L86" s="164">
        <f ca="1">L85+W85 - AW86 + IF(AND(C85=1,ISNUMBER(MATCH(race,ore_db,0))),Population!C85*4)</f>
        <v>300000</v>
      </c>
      <c r="M86" s="164">
        <f t="shared" ca="1" si="45"/>
        <v>20000</v>
      </c>
      <c r="N86" s="164">
        <f t="shared" ca="1" si="51"/>
        <v>200</v>
      </c>
      <c r="O86" s="164">
        <f t="shared" si="54"/>
        <v>500</v>
      </c>
      <c r="P86" s="164">
        <f>ROUNDDOWN(P85+MAX(Construction!BO86/2,Construction!BO86*(1-Construction!BO86/(E86-Explore!S86*20)))-Q86*SUM(Techs!AY86:BY86),0)</f>
        <v>0</v>
      </c>
      <c r="Q86" s="166">
        <f>MAX(min_tech_cost,ROUNDDOWN(tech_cost_per_acre*Construction!E86,0))</f>
        <v>5000</v>
      </c>
      <c r="S86" s="152">
        <f t="shared" ca="1" si="46"/>
        <v>4981</v>
      </c>
      <c r="T86" s="164">
        <f t="shared" ca="1" si="35"/>
        <v>2195</v>
      </c>
      <c r="U86" s="164">
        <f t="shared" ca="1" si="36"/>
        <v>-456</v>
      </c>
      <c r="V86" s="164">
        <f t="shared" ca="1" si="37"/>
        <v>159</v>
      </c>
      <c r="W86" s="164">
        <f t="shared" ca="1" si="47"/>
        <v>0</v>
      </c>
      <c r="X86" s="164">
        <f t="shared" ca="1" si="48"/>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4">
        <f ca="1">race_food_bonus + IF(Magic!AO86&gt;0,gaias_blessing_food,IF(Magic!AG86&gt;0,gaias_watch_bonus)) + Imps!AD86+tech_production_food*Techs!W86 + O86/100*prestige_food_bonus</f>
        <v>0.1</v>
      </c>
      <c r="AJ86" s="267">
        <f ca="1">race_lumber_bonus+ IF(Magic!AO86&gt;0,gaias_blessing_lumber)+tech_fruits_of_labor1*Techs!AP86</f>
        <v>0</v>
      </c>
      <c r="AK86" s="267">
        <f ca="1">race_mana_bonus+tech_enchanted_lands_mana*Techs!AT86</f>
        <v>0</v>
      </c>
      <c r="AL86" s="267">
        <f ca="1">race_ore_bonus + IF(Magic!AL86&gt;0,miners_sight_bonus,IF(Magic!AH86&gt;0,mining_strength_bonus))+tech_fruits_of_labor1*Techs!AP86</f>
        <v>0</v>
      </c>
      <c r="AM86" s="193">
        <f ca="1">race_gem_bonus+MAX(tech_production_gems*Techs!X86,tech_fruits_of_labor_gems*Techs!AP86)</f>
        <v>0</v>
      </c>
      <c r="AO86" s="152">
        <f ca="1">I86*food_decay*IF(Magic!AZ86&gt;0,0.5,1)</f>
        <v>3059.82</v>
      </c>
      <c r="AP86" s="26">
        <f ca="1">(1+race_food_consumption)*Population!F86*food_per_person</f>
        <v>1785</v>
      </c>
      <c r="AQ86" s="164">
        <f t="shared" ca="1" si="38"/>
        <v>2955.9500000000003</v>
      </c>
      <c r="AR86" s="166">
        <f t="shared" ca="1" si="39"/>
        <v>1091.08</v>
      </c>
      <c r="AS86" s="164"/>
      <c r="AT86" s="152">
        <f ca="1">Explore!AH86+Construction!AP86+Military!AU86+Rezone!Y86+Imps!AQ86-BE86</f>
        <v>0</v>
      </c>
      <c r="AU86" s="164">
        <f>Construction!AQ86+Imps!AR86-BF86</f>
        <v>0</v>
      </c>
      <c r="AV86" s="164">
        <f>Magic!AD86</f>
        <v>0</v>
      </c>
      <c r="AW86" s="164">
        <f ca="1">Military!AV86+Imps!AS86-BG86</f>
        <v>0</v>
      </c>
      <c r="AX86" s="164">
        <f>Imps!AT86-BH86</f>
        <v>0</v>
      </c>
      <c r="AY86" s="164">
        <f ca="1">Military!AZ86</f>
        <v>0</v>
      </c>
      <c r="AZ86" s="166">
        <f ca="1">Military!BA86</f>
        <v>0</v>
      </c>
      <c r="BB86" s="152" t="b">
        <f t="shared" si="55"/>
        <v>0</v>
      </c>
      <c r="BC86" s="329"/>
      <c r="BD86" s="973">
        <v>12</v>
      </c>
      <c r="BE86" s="332"/>
      <c r="BF86" s="370"/>
      <c r="BG86" s="407"/>
      <c r="BH86" s="739"/>
      <c r="BI86" s="1031">
        <f t="shared" si="40"/>
        <v>43768.864583333132</v>
      </c>
      <c r="BJ86" s="159" t="str">
        <f t="shared" si="53"/>
        <v/>
      </c>
      <c r="BK86" s="164">
        <f t="shared" ca="1" si="49"/>
        <v>4890782</v>
      </c>
      <c r="BL86" s="164">
        <f t="shared" ca="1" si="41"/>
        <v>305982</v>
      </c>
      <c r="BM86" s="164">
        <f t="shared" ca="1" si="42"/>
        <v>295595</v>
      </c>
      <c r="BN86" s="164">
        <f t="shared" ca="1" si="43"/>
        <v>54554</v>
      </c>
      <c r="BO86" s="166">
        <f t="shared" ca="1" si="44"/>
        <v>300000</v>
      </c>
    </row>
    <row r="87" spans="1:67" s="163" customFormat="1" x14ac:dyDescent="0.25">
      <c r="A87" s="983">
        <v>13</v>
      </c>
      <c r="B87" s="674">
        <f>Imps!L87</f>
        <v>43768.874999999796</v>
      </c>
      <c r="C87" s="330"/>
      <c r="D87" s="831"/>
      <c r="E87" s="151">
        <f>Construction!E87</f>
        <v>1000</v>
      </c>
      <c r="F87" s="153">
        <f ca="1">Population!$C87</f>
        <v>1845</v>
      </c>
      <c r="G87" s="153">
        <f ca="1">Military!EM87</f>
        <v>20900</v>
      </c>
      <c r="H87" s="153">
        <f ca="1">H86+S86 - AT87 + IF(AND(C86=1,ISNUMBER(MATCH(race,plat_db,0))),Population!C86*4)</f>
        <v>4895763</v>
      </c>
      <c r="I87" s="153">
        <f ca="1">I86+T86-AY87 +  IF(AND(C86=1,ISNUMBER(MATCH(race,food_db,0))),Population!C86*4)</f>
        <v>308177</v>
      </c>
      <c r="J87" s="153">
        <f t="shared" ca="1" si="50"/>
        <v>295139</v>
      </c>
      <c r="K87" s="153">
        <f ca="1">K86+V86 - AV87 + IF(AND(C86=1,ISNUMBER(MATCH(race,mana_db,0))),Population!C86*4)</f>
        <v>54713</v>
      </c>
      <c r="L87" s="153">
        <f ca="1">L86+W86 - AW87 + IF(AND(C86=1,ISNUMBER(MATCH(race,ore_db,0))),Population!C86*4)</f>
        <v>300000</v>
      </c>
      <c r="M87" s="153">
        <f t="shared" ca="1" si="45"/>
        <v>20000</v>
      </c>
      <c r="N87" s="153">
        <f t="shared" ca="1" si="51"/>
        <v>200</v>
      </c>
      <c r="O87" s="153">
        <f t="shared" si="54"/>
        <v>500</v>
      </c>
      <c r="P87" s="153">
        <f>ROUNDDOWN(P86+MAX(Construction!BO87/2,Construction!BO87*(1-Construction!BO87/(E87-Explore!S87*20)))-Q87*SUM(Techs!AY87:BY87),0)</f>
        <v>0</v>
      </c>
      <c r="Q87" s="158">
        <f>MAX(min_tech_cost,ROUNDDOWN(tech_cost_per_acre*Construction!E87,0))</f>
        <v>5000</v>
      </c>
      <c r="S87" s="151">
        <f t="shared" ca="1" si="46"/>
        <v>4981</v>
      </c>
      <c r="T87" s="153">
        <f t="shared" ca="1" si="35"/>
        <v>2173</v>
      </c>
      <c r="U87" s="153">
        <f t="shared" ca="1" si="36"/>
        <v>-451</v>
      </c>
      <c r="V87" s="153">
        <f t="shared" ca="1" si="37"/>
        <v>156</v>
      </c>
      <c r="W87" s="153">
        <f t="shared" ca="1" si="47"/>
        <v>0</v>
      </c>
      <c r="X87" s="153">
        <f t="shared" ca="1" si="48"/>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6">
        <f ca="1">race_food_bonus + IF(Magic!AO87&gt;0,gaias_blessing_food,IF(Magic!AG87&gt;0,gaias_watch_bonus)) + Imps!AD87+tech_production_food*Techs!W87 + O87/100*prestige_food_bonus</f>
        <v>0.1</v>
      </c>
      <c r="AJ87" s="264">
        <f ca="1">race_lumber_bonus+ IF(Magic!AO87&gt;0,gaias_blessing_lumber)+tech_fruits_of_labor1*Techs!AP87</f>
        <v>0</v>
      </c>
      <c r="AK87" s="264">
        <f ca="1">race_mana_bonus+tech_enchanted_lands_mana*Techs!AT87</f>
        <v>0</v>
      </c>
      <c r="AL87" s="264">
        <f ca="1">race_ore_bonus + IF(Magic!AL87&gt;0,miners_sight_bonus,IF(Magic!AH87&gt;0,mining_strength_bonus))+tech_fruits_of_labor1*Techs!AP87</f>
        <v>0</v>
      </c>
      <c r="AM87" s="194">
        <f ca="1">race_gem_bonus+MAX(tech_production_gems*Techs!X87,tech_fruits_of_labor_gems*Techs!AP87)</f>
        <v>0</v>
      </c>
      <c r="AO87" s="151">
        <f ca="1">I87*food_decay*IF(Magic!AZ87&gt;0,0.5,1)</f>
        <v>3081.77</v>
      </c>
      <c r="AP87" s="13">
        <f ca="1">(1+race_food_consumption)*Population!F87*food_per_person</f>
        <v>1785</v>
      </c>
      <c r="AQ87" s="153">
        <f t="shared" ca="1" si="38"/>
        <v>2951.39</v>
      </c>
      <c r="AR87" s="158">
        <f t="shared" ca="1" si="39"/>
        <v>1094.26</v>
      </c>
      <c r="AS87" s="153"/>
      <c r="AT87" s="151">
        <f ca="1">Explore!AH87+Construction!AP87+Military!AU87+Rezone!Y87+Imps!AQ87-BE87</f>
        <v>0</v>
      </c>
      <c r="AU87" s="153">
        <f>Construction!AQ87+Imps!AR87-BF87</f>
        <v>0</v>
      </c>
      <c r="AV87" s="153">
        <f>Magic!AD87</f>
        <v>0</v>
      </c>
      <c r="AW87" s="153">
        <f ca="1">Military!AV87+Imps!AS87-BG87</f>
        <v>0</v>
      </c>
      <c r="AX87" s="153">
        <f>Imps!AT87-BH87</f>
        <v>0</v>
      </c>
      <c r="AY87" s="153">
        <f ca="1">Military!AZ87</f>
        <v>0</v>
      </c>
      <c r="AZ87" s="158">
        <f ca="1">Military!BA87</f>
        <v>0</v>
      </c>
      <c r="BB87" s="151" t="b">
        <f>IF(BC87&lt;&gt;"",BC87,BB86)</f>
        <v>0</v>
      </c>
      <c r="BC87" s="330"/>
      <c r="BD87" s="975">
        <v>13</v>
      </c>
      <c r="BE87" s="330"/>
      <c r="BF87" s="410"/>
      <c r="BG87" s="410"/>
      <c r="BH87" s="741"/>
      <c r="BI87" s="1033">
        <f t="shared" si="40"/>
        <v>43768.874999999796</v>
      </c>
      <c r="BJ87" s="287" t="str">
        <f t="shared" si="53"/>
        <v/>
      </c>
      <c r="BK87" s="153">
        <f t="shared" ca="1" si="49"/>
        <v>4895763</v>
      </c>
      <c r="BL87" s="153">
        <f t="shared" ca="1" si="41"/>
        <v>308177</v>
      </c>
      <c r="BM87" s="153">
        <f t="shared" ca="1" si="42"/>
        <v>295139</v>
      </c>
      <c r="BN87" s="153">
        <f t="shared" ca="1" si="43"/>
        <v>54713</v>
      </c>
      <c r="BO87" s="158">
        <f t="shared" ca="1" si="44"/>
        <v>300000</v>
      </c>
    </row>
    <row r="88" spans="1:67" s="170" customFormat="1" x14ac:dyDescent="0.25">
      <c r="A88" s="981">
        <v>14</v>
      </c>
      <c r="B88" s="530">
        <f>Imps!L88</f>
        <v>43768.885416666461</v>
      </c>
      <c r="C88" s="329"/>
      <c r="D88" s="829"/>
      <c r="E88" s="152">
        <f>Construction!E88</f>
        <v>1000</v>
      </c>
      <c r="F88" s="164">
        <f ca="1">Population!$C88</f>
        <v>1845</v>
      </c>
      <c r="G88" s="164">
        <f ca="1">Military!EM88</f>
        <v>20900</v>
      </c>
      <c r="H88" s="26">
        <f ca="1">H87+S87 - AT88 + IF(AND(C87=1,ISNUMBER(MATCH(race,plat_db,0))),Population!C87*4)</f>
        <v>4900744</v>
      </c>
      <c r="I88" s="164">
        <f ca="1">I87+T87-AY88 +  IF(AND(C87=1,ISNUMBER(MATCH(race,food_db,0))),Population!C87*4)</f>
        <v>310350</v>
      </c>
      <c r="J88" s="164">
        <f t="shared" ca="1" si="50"/>
        <v>294688</v>
      </c>
      <c r="K88" s="164">
        <f ca="1">K87+V87 - AV88 + IF(AND(C87=1,ISNUMBER(MATCH(race,mana_db,0))),Population!C87*4)</f>
        <v>54869</v>
      </c>
      <c r="L88" s="164">
        <f ca="1">L87+W87 - AW88 + IF(AND(C87=1,ISNUMBER(MATCH(race,ore_db,0))),Population!C87*4)</f>
        <v>300000</v>
      </c>
      <c r="M88" s="164">
        <f t="shared" ca="1" si="45"/>
        <v>20000</v>
      </c>
      <c r="N88" s="164">
        <f t="shared" ca="1" si="51"/>
        <v>200</v>
      </c>
      <c r="O88" s="164">
        <f t="shared" si="54"/>
        <v>500</v>
      </c>
      <c r="P88" s="164">
        <f>ROUNDDOWN(P87+MAX(Construction!BO88/2,Construction!BO88*(1-Construction!BO88/(E88-Explore!S88*20)))-Q88*SUM(Techs!AY88:BY88),0)</f>
        <v>0</v>
      </c>
      <c r="Q88" s="166">
        <f>MAX(min_tech_cost,ROUNDDOWN(tech_cost_per_acre*Construction!E88,0))</f>
        <v>5000</v>
      </c>
      <c r="S88" s="152">
        <f t="shared" ca="1" si="46"/>
        <v>4981</v>
      </c>
      <c r="T88" s="164">
        <f t="shared" ca="1" si="35"/>
        <v>2152</v>
      </c>
      <c r="U88" s="164">
        <f t="shared" ca="1" si="36"/>
        <v>-447</v>
      </c>
      <c r="V88" s="164">
        <f t="shared" ca="1" si="37"/>
        <v>153</v>
      </c>
      <c r="W88" s="164">
        <f t="shared" ca="1" si="47"/>
        <v>0</v>
      </c>
      <c r="X88" s="164">
        <f t="shared" ca="1" si="48"/>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4">
        <f ca="1">race_food_bonus + IF(Magic!AO88&gt;0,gaias_blessing_food,IF(Magic!AG88&gt;0,gaias_watch_bonus)) + Imps!AD88+tech_production_food*Techs!W88 + O88/100*prestige_food_bonus</f>
        <v>0.1</v>
      </c>
      <c r="AJ88" s="267">
        <f ca="1">race_lumber_bonus+ IF(Magic!AO88&gt;0,gaias_blessing_lumber)+tech_fruits_of_labor1*Techs!AP88</f>
        <v>0</v>
      </c>
      <c r="AK88" s="267">
        <f ca="1">race_mana_bonus+tech_enchanted_lands_mana*Techs!AT88</f>
        <v>0</v>
      </c>
      <c r="AL88" s="267">
        <f ca="1">race_ore_bonus + IF(Magic!AL88&gt;0,miners_sight_bonus,IF(Magic!AH88&gt;0,mining_strength_bonus))+tech_fruits_of_labor1*Techs!AP88</f>
        <v>0</v>
      </c>
      <c r="AM88" s="193">
        <f ca="1">race_gem_bonus+MAX(tech_production_gems*Techs!X88,tech_fruits_of_labor_gems*Techs!AP88)</f>
        <v>0</v>
      </c>
      <c r="AO88" s="152">
        <f ca="1">I88*food_decay*IF(Magic!AZ88&gt;0,0.5,1)</f>
        <v>3103.5</v>
      </c>
      <c r="AP88" s="26">
        <f ca="1">(1+race_food_consumption)*Population!F88*food_per_person</f>
        <v>1785</v>
      </c>
      <c r="AQ88" s="164">
        <f t="shared" ca="1" si="38"/>
        <v>2946.88</v>
      </c>
      <c r="AR88" s="166">
        <f t="shared" ca="1" si="39"/>
        <v>1097.3800000000001</v>
      </c>
      <c r="AS88" s="164"/>
      <c r="AT88" s="152">
        <f ca="1">Explore!AH88+Construction!AP88+Military!AU88+Rezone!Y88+Imps!AQ88-BE88</f>
        <v>0</v>
      </c>
      <c r="AU88" s="164">
        <f>Construction!AQ88+Imps!AR88-BF88</f>
        <v>0</v>
      </c>
      <c r="AV88" s="164">
        <f>Magic!AD88</f>
        <v>0</v>
      </c>
      <c r="AW88" s="164">
        <f ca="1">Military!AV88+Imps!AS88-BG88</f>
        <v>0</v>
      </c>
      <c r="AX88" s="164">
        <f>Imps!AT88-BH88</f>
        <v>0</v>
      </c>
      <c r="AY88" s="164">
        <f ca="1">Military!AZ88</f>
        <v>0</v>
      </c>
      <c r="AZ88" s="166">
        <f ca="1">Military!BA88</f>
        <v>0</v>
      </c>
      <c r="BB88" s="152" t="b">
        <f t="shared" ref="BB88:BB135" si="56">IF(BC88&lt;&gt;"",BC88,BB87)</f>
        <v>0</v>
      </c>
      <c r="BC88" s="329"/>
      <c r="BD88" s="973">
        <v>14</v>
      </c>
      <c r="BE88" s="329"/>
      <c r="BF88" s="407"/>
      <c r="BG88" s="407"/>
      <c r="BH88" s="739"/>
      <c r="BI88" s="1031">
        <f t="shared" si="40"/>
        <v>43768.885416666461</v>
      </c>
      <c r="BJ88" s="159" t="str">
        <f t="shared" si="53"/>
        <v/>
      </c>
      <c r="BK88" s="26">
        <f t="shared" ca="1" si="49"/>
        <v>4900744</v>
      </c>
      <c r="BL88" s="164">
        <f t="shared" ca="1" si="41"/>
        <v>310350</v>
      </c>
      <c r="BM88" s="164">
        <f t="shared" ca="1" si="42"/>
        <v>294688</v>
      </c>
      <c r="BN88" s="164">
        <f t="shared" ca="1" si="43"/>
        <v>54869</v>
      </c>
      <c r="BO88" s="166">
        <f t="shared" ca="1" si="44"/>
        <v>300000</v>
      </c>
    </row>
    <row r="89" spans="1:67" s="170" customFormat="1" x14ac:dyDescent="0.25">
      <c r="A89" s="981">
        <v>15</v>
      </c>
      <c r="B89" s="812">
        <f>Imps!L89</f>
        <v>43768.895833333125</v>
      </c>
      <c r="C89" s="329"/>
      <c r="D89" s="829"/>
      <c r="E89" s="152">
        <f>Construction!E89</f>
        <v>1000</v>
      </c>
      <c r="F89" s="164">
        <f ca="1">Population!$C89</f>
        <v>1845</v>
      </c>
      <c r="G89" s="164">
        <f ca="1">Military!EM89</f>
        <v>20900</v>
      </c>
      <c r="H89" s="26">
        <f ca="1">H88+S88 - AT89 + IF(AND(C88=1,ISNUMBER(MATCH(race,plat_db,0))),Population!C88*4)</f>
        <v>4905725</v>
      </c>
      <c r="I89" s="164">
        <f ca="1">I88+T88-AY89 +  IF(AND(C88=1,ISNUMBER(MATCH(race,food_db,0))),Population!C88*4)</f>
        <v>312502</v>
      </c>
      <c r="J89" s="164">
        <f t="shared" ca="1" si="50"/>
        <v>294241</v>
      </c>
      <c r="K89" s="164">
        <f ca="1">K88+V88 - AV89 + IF(AND(C88=1,ISNUMBER(MATCH(race,mana_db,0))),Population!C88*4)</f>
        <v>55022</v>
      </c>
      <c r="L89" s="164">
        <f ca="1">L88+W88 - AW89 + IF(AND(C88=1,ISNUMBER(MATCH(race,ore_db,0))),Population!C88*4)</f>
        <v>300000</v>
      </c>
      <c r="M89" s="164">
        <f t="shared" ca="1" si="45"/>
        <v>20000</v>
      </c>
      <c r="N89" s="164">
        <f t="shared" ca="1" si="51"/>
        <v>200</v>
      </c>
      <c r="O89" s="164">
        <f t="shared" si="54"/>
        <v>500</v>
      </c>
      <c r="P89" s="164">
        <f>ROUNDDOWN(P88+MAX(Construction!BO89/2,Construction!BO89*(1-Construction!BO89/(E89-Explore!S89*20)))-Q89*SUM(Techs!AY89:BY89),0)</f>
        <v>0</v>
      </c>
      <c r="Q89" s="166">
        <f>MAX(min_tech_cost,ROUNDDOWN(tech_cost_per_acre*Construction!E89,0))</f>
        <v>5000</v>
      </c>
      <c r="S89" s="152">
        <f t="shared" ca="1" si="46"/>
        <v>4981</v>
      </c>
      <c r="T89" s="164">
        <f t="shared" ca="1" si="35"/>
        <v>2130</v>
      </c>
      <c r="U89" s="164">
        <f t="shared" ca="1" si="36"/>
        <v>-442</v>
      </c>
      <c r="V89" s="164">
        <f t="shared" ca="1" si="37"/>
        <v>150</v>
      </c>
      <c r="W89" s="164">
        <f t="shared" ca="1" si="47"/>
        <v>0</v>
      </c>
      <c r="X89" s="164">
        <f t="shared" ca="1" si="48"/>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4">
        <f ca="1">race_food_bonus + IF(Magic!AO89&gt;0,gaias_blessing_food,IF(Magic!AG89&gt;0,gaias_watch_bonus)) + Imps!AD89+tech_production_food*Techs!W89 + O89/100*prestige_food_bonus</f>
        <v>0.1</v>
      </c>
      <c r="AJ89" s="267">
        <f ca="1">race_lumber_bonus+ IF(Magic!AO89&gt;0,gaias_blessing_lumber)+tech_fruits_of_labor1*Techs!AP89</f>
        <v>0</v>
      </c>
      <c r="AK89" s="267">
        <f ca="1">race_mana_bonus+tech_enchanted_lands_mana*Techs!AT89</f>
        <v>0</v>
      </c>
      <c r="AL89" s="267">
        <f ca="1">race_ore_bonus + IF(Magic!AL89&gt;0,miners_sight_bonus,IF(Magic!AH89&gt;0,mining_strength_bonus))+tech_fruits_of_labor1*Techs!AP89</f>
        <v>0</v>
      </c>
      <c r="AM89" s="193">
        <f ca="1">race_gem_bonus+MAX(tech_production_gems*Techs!X89,tech_fruits_of_labor_gems*Techs!AP89)</f>
        <v>0</v>
      </c>
      <c r="AO89" s="152">
        <f ca="1">I89*food_decay*IF(Magic!AZ89&gt;0,0.5,1)</f>
        <v>3125.02</v>
      </c>
      <c r="AP89" s="26">
        <f ca="1">(1+race_food_consumption)*Population!F89*food_per_person</f>
        <v>1785</v>
      </c>
      <c r="AQ89" s="164">
        <f t="shared" ca="1" si="38"/>
        <v>2942.41</v>
      </c>
      <c r="AR89" s="166">
        <f t="shared" ca="1" si="39"/>
        <v>1100.44</v>
      </c>
      <c r="AS89" s="164"/>
      <c r="AT89" s="152">
        <f ca="1">Explore!AH89+Construction!AP89+Military!AU89+Rezone!Y89+Imps!AQ89-BE89</f>
        <v>0</v>
      </c>
      <c r="AU89" s="164">
        <f>Construction!AQ89+Imps!AR89-BF89</f>
        <v>0</v>
      </c>
      <c r="AV89" s="164">
        <f>Magic!AD89</f>
        <v>0</v>
      </c>
      <c r="AW89" s="164">
        <f ca="1">Military!AV89+Imps!AS89-BG89</f>
        <v>0</v>
      </c>
      <c r="AX89" s="164">
        <f>Imps!AT89-BH89</f>
        <v>0</v>
      </c>
      <c r="AY89" s="164">
        <f ca="1">Military!AZ89</f>
        <v>0</v>
      </c>
      <c r="AZ89" s="166">
        <f ca="1">Military!BA89</f>
        <v>0</v>
      </c>
      <c r="BB89" s="152" t="b">
        <f t="shared" si="56"/>
        <v>0</v>
      </c>
      <c r="BC89" s="329"/>
      <c r="BD89" s="973">
        <v>15</v>
      </c>
      <c r="BE89" s="329"/>
      <c r="BF89" s="407"/>
      <c r="BG89" s="407"/>
      <c r="BH89" s="739"/>
      <c r="BI89" s="1031">
        <f t="shared" si="40"/>
        <v>43768.895833333125</v>
      </c>
      <c r="BJ89" s="159" t="str">
        <f t="shared" si="53"/>
        <v/>
      </c>
      <c r="BK89" s="26">
        <f t="shared" ca="1" si="49"/>
        <v>4905725</v>
      </c>
      <c r="BL89" s="164">
        <f t="shared" ca="1" si="41"/>
        <v>312502</v>
      </c>
      <c r="BM89" s="164">
        <f t="shared" ca="1" si="42"/>
        <v>294241</v>
      </c>
      <c r="BN89" s="164">
        <f t="shared" ca="1" si="43"/>
        <v>55022</v>
      </c>
      <c r="BO89" s="166">
        <f t="shared" ca="1" si="44"/>
        <v>300000</v>
      </c>
    </row>
    <row r="90" spans="1:67" s="16" customFormat="1" x14ac:dyDescent="0.25">
      <c r="A90" s="982">
        <v>16</v>
      </c>
      <c r="B90" s="812">
        <f>Imps!L90</f>
        <v>43768.906249999789</v>
      </c>
      <c r="C90" s="332"/>
      <c r="D90" s="830"/>
      <c r="E90" s="56">
        <f>Construction!E90</f>
        <v>1000</v>
      </c>
      <c r="F90" s="26">
        <f ca="1">Population!$C90</f>
        <v>1845</v>
      </c>
      <c r="G90" s="26">
        <f ca="1">Military!EM90</f>
        <v>20900</v>
      </c>
      <c r="H90" s="26">
        <f ca="1">H89+S89 - AT90 + IF(AND(C89=1,ISNUMBER(MATCH(race,plat_db,0))),Population!C89*4)</f>
        <v>4910706</v>
      </c>
      <c r="I90" s="26">
        <f ca="1">I89+T89-AY90 +  IF(AND(C89=1,ISNUMBER(MATCH(race,food_db,0))),Population!C89*4)</f>
        <v>314632</v>
      </c>
      <c r="J90" s="26">
        <f t="shared" ca="1" si="50"/>
        <v>293799</v>
      </c>
      <c r="K90" s="26">
        <f ca="1">K89+V89 - AV90 + IF(AND(C89=1,ISNUMBER(MATCH(race,mana_db,0))),Population!C89*4)</f>
        <v>55172</v>
      </c>
      <c r="L90" s="26">
        <f ca="1">L89+W89 - AW90 + IF(AND(C89=1,ISNUMBER(MATCH(race,ore_db,0))),Population!C89*4)</f>
        <v>300000</v>
      </c>
      <c r="M90" s="26">
        <f t="shared" ca="1" si="45"/>
        <v>20000</v>
      </c>
      <c r="N90" s="26">
        <f t="shared" ca="1" si="51"/>
        <v>200</v>
      </c>
      <c r="O90" s="26">
        <f t="shared" si="54"/>
        <v>500</v>
      </c>
      <c r="P90" s="26">
        <f>ROUNDDOWN(P89+MAX(Construction!BO90/2,Construction!BO90*(1-Construction!BO90/(E90-Explore!S90*20)))-Q90*SUM(Techs!AY90:BY90),0)</f>
        <v>0</v>
      </c>
      <c r="Q90" s="166">
        <f>MAX(min_tech_cost,ROUNDDOWN(tech_cost_per_acre*Construction!E90,0))</f>
        <v>5000</v>
      </c>
      <c r="S90" s="152">
        <f t="shared" ca="1" si="46"/>
        <v>4981</v>
      </c>
      <c r="T90" s="164">
        <f t="shared" ca="1" si="35"/>
        <v>2109</v>
      </c>
      <c r="U90" s="164">
        <f t="shared" ca="1" si="36"/>
        <v>-438</v>
      </c>
      <c r="V90" s="164">
        <f t="shared" ca="1" si="37"/>
        <v>147</v>
      </c>
      <c r="W90" s="164">
        <f t="shared" ca="1" si="47"/>
        <v>0</v>
      </c>
      <c r="X90" s="164">
        <f t="shared" ca="1" si="48"/>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4">
        <f ca="1">race_food_bonus + IF(Magic!AO90&gt;0,gaias_blessing_food,IF(Magic!AG90&gt;0,gaias_watch_bonus)) + Imps!AD90+tech_production_food*Techs!W90 + O90/100*prestige_food_bonus</f>
        <v>0.1</v>
      </c>
      <c r="AJ90" s="267">
        <f ca="1">race_lumber_bonus+ IF(Magic!AO90&gt;0,gaias_blessing_lumber)+tech_fruits_of_labor1*Techs!AP90</f>
        <v>0</v>
      </c>
      <c r="AK90" s="267">
        <f ca="1">race_mana_bonus+tech_enchanted_lands_mana*Techs!AT90</f>
        <v>0</v>
      </c>
      <c r="AL90" s="267">
        <f ca="1">race_ore_bonus + IF(Magic!AL90&gt;0,miners_sight_bonus,IF(Magic!AH90&gt;0,mining_strength_bonus))+tech_fruits_of_labor1*Techs!AP90</f>
        <v>0</v>
      </c>
      <c r="AM90" s="193">
        <f ca="1">race_gem_bonus+MAX(tech_production_gems*Techs!X90,tech_fruits_of_labor_gems*Techs!AP90)</f>
        <v>0</v>
      </c>
      <c r="AO90" s="56">
        <f ca="1">I90*food_decay*IF(Magic!AZ90&gt;0,0.5,1)</f>
        <v>3146.32</v>
      </c>
      <c r="AP90" s="26">
        <f ca="1">(1+race_food_consumption)*Population!F90*food_per_person</f>
        <v>1785</v>
      </c>
      <c r="AQ90" s="26">
        <f t="shared" ca="1" si="38"/>
        <v>2937.9900000000002</v>
      </c>
      <c r="AR90" s="57">
        <f t="shared" ca="1" si="39"/>
        <v>1103.44</v>
      </c>
      <c r="AS90" s="26"/>
      <c r="AT90" s="56">
        <f ca="1">Explore!AH90+Construction!AP90+Military!AU90+Rezone!Y90+Imps!AQ90-BE90</f>
        <v>0</v>
      </c>
      <c r="AU90" s="26">
        <f>Construction!AQ90+Imps!AR90-BF90</f>
        <v>0</v>
      </c>
      <c r="AV90" s="26">
        <f>Magic!AD90</f>
        <v>0</v>
      </c>
      <c r="AW90" s="26">
        <f ca="1">Military!AV90+Imps!AS90-BG90</f>
        <v>0</v>
      </c>
      <c r="AX90" s="26">
        <f>Imps!AT90-BH90</f>
        <v>0</v>
      </c>
      <c r="AY90" s="26">
        <f ca="1">Military!AZ90</f>
        <v>0</v>
      </c>
      <c r="AZ90" s="57">
        <f ca="1">Military!BA90</f>
        <v>0</v>
      </c>
      <c r="BB90" s="56" t="b">
        <f t="shared" si="56"/>
        <v>0</v>
      </c>
      <c r="BC90" s="332"/>
      <c r="BD90" s="974">
        <v>16</v>
      </c>
      <c r="BE90" s="332"/>
      <c r="BF90" s="370"/>
      <c r="BG90" s="370"/>
      <c r="BH90" s="740"/>
      <c r="BI90" s="1031">
        <f t="shared" si="40"/>
        <v>43768.906249999789</v>
      </c>
      <c r="BJ90" s="159" t="str">
        <f t="shared" si="53"/>
        <v/>
      </c>
      <c r="BK90" s="26">
        <f t="shared" ca="1" si="49"/>
        <v>4910706</v>
      </c>
      <c r="BL90" s="26">
        <f t="shared" ca="1" si="41"/>
        <v>314632</v>
      </c>
      <c r="BM90" s="26">
        <f t="shared" ca="1" si="42"/>
        <v>293799</v>
      </c>
      <c r="BN90" s="26">
        <f t="shared" ca="1" si="43"/>
        <v>55172</v>
      </c>
      <c r="BO90" s="57">
        <f t="shared" ca="1" si="44"/>
        <v>300000</v>
      </c>
    </row>
    <row r="91" spans="1:67" s="16" customFormat="1" x14ac:dyDescent="0.25">
      <c r="A91" s="982">
        <v>17</v>
      </c>
      <c r="B91" s="812">
        <f>Imps!L91</f>
        <v>43768.916666666453</v>
      </c>
      <c r="C91" s="332"/>
      <c r="D91" s="830"/>
      <c r="E91" s="56">
        <f>Construction!E91</f>
        <v>1000</v>
      </c>
      <c r="F91" s="26">
        <f ca="1">Population!$C91</f>
        <v>1845</v>
      </c>
      <c r="G91" s="26">
        <f ca="1">Military!EM91</f>
        <v>20900</v>
      </c>
      <c r="H91" s="26">
        <f ca="1">H90+S90 - AT91 + IF(AND(C90=1,ISNUMBER(MATCH(race,plat_db,0))),Population!C90*4)</f>
        <v>4915687</v>
      </c>
      <c r="I91" s="26">
        <f ca="1">I90+T90-AY91 +  IF(AND(C90=1,ISNUMBER(MATCH(race,food_db,0))),Population!C90*4)</f>
        <v>316741</v>
      </c>
      <c r="J91" s="26">
        <f t="shared" ca="1" si="50"/>
        <v>293361</v>
      </c>
      <c r="K91" s="26">
        <f ca="1">K90+V90 - AV91 + IF(AND(C90=1,ISNUMBER(MATCH(race,mana_db,0))),Population!C90*4)</f>
        <v>55319</v>
      </c>
      <c r="L91" s="26">
        <f ca="1">L90+W90 - AW91 + IF(AND(C90=1,ISNUMBER(MATCH(race,ore_db,0))),Population!C90*4)</f>
        <v>300000</v>
      </c>
      <c r="M91" s="26">
        <f t="shared" ca="1" si="45"/>
        <v>20000</v>
      </c>
      <c r="N91" s="26">
        <f t="shared" ca="1" si="51"/>
        <v>200</v>
      </c>
      <c r="O91" s="26">
        <f t="shared" si="54"/>
        <v>500</v>
      </c>
      <c r="P91" s="26">
        <f>ROUNDDOWN(P90+MAX(Construction!BO91/2,Construction!BO91*(1-Construction!BO91/(E91-Explore!S91*20)))-Q91*SUM(Techs!AY91:BY91),0)</f>
        <v>0</v>
      </c>
      <c r="Q91" s="166">
        <f>MAX(min_tech_cost,ROUNDDOWN(tech_cost_per_acre*Construction!E91,0))</f>
        <v>5000</v>
      </c>
      <c r="S91" s="152">
        <f t="shared" ca="1" si="46"/>
        <v>4981</v>
      </c>
      <c r="T91" s="164">
        <f t="shared" ca="1" si="35"/>
        <v>2088</v>
      </c>
      <c r="U91" s="164">
        <f t="shared" ca="1" si="36"/>
        <v>-434</v>
      </c>
      <c r="V91" s="164">
        <f t="shared" ca="1" si="37"/>
        <v>144</v>
      </c>
      <c r="W91" s="164">
        <f t="shared" ca="1" si="47"/>
        <v>0</v>
      </c>
      <c r="X91" s="164">
        <f t="shared" ca="1" si="48"/>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4">
        <f ca="1">race_food_bonus + IF(Magic!AO91&gt;0,gaias_blessing_food,IF(Magic!AG91&gt;0,gaias_watch_bonus)) + Imps!AD91+tech_production_food*Techs!W91 + O91/100*prestige_food_bonus</f>
        <v>0.1</v>
      </c>
      <c r="AJ91" s="267">
        <f ca="1">race_lumber_bonus+ IF(Magic!AO91&gt;0,gaias_blessing_lumber)+tech_fruits_of_labor1*Techs!AP91</f>
        <v>0</v>
      </c>
      <c r="AK91" s="267">
        <f ca="1">race_mana_bonus+tech_enchanted_lands_mana*Techs!AT91</f>
        <v>0</v>
      </c>
      <c r="AL91" s="267">
        <f ca="1">race_ore_bonus + IF(Magic!AL91&gt;0,miners_sight_bonus,IF(Magic!AH91&gt;0,mining_strength_bonus))+tech_fruits_of_labor1*Techs!AP91</f>
        <v>0</v>
      </c>
      <c r="AM91" s="193">
        <f ca="1">race_gem_bonus+MAX(tech_production_gems*Techs!X91,tech_fruits_of_labor_gems*Techs!AP91)</f>
        <v>0</v>
      </c>
      <c r="AO91" s="56">
        <f ca="1">I91*food_decay*IF(Magic!AZ91&gt;0,0.5,1)</f>
        <v>3167.41</v>
      </c>
      <c r="AP91" s="26">
        <f ca="1">(1+race_food_consumption)*Population!F91*food_per_person</f>
        <v>1785</v>
      </c>
      <c r="AQ91" s="26">
        <f t="shared" ca="1" si="38"/>
        <v>2933.61</v>
      </c>
      <c r="AR91" s="57">
        <f t="shared" ca="1" si="39"/>
        <v>1106.3800000000001</v>
      </c>
      <c r="AS91" s="26"/>
      <c r="AT91" s="56">
        <f ca="1">Explore!AH91+Construction!AP91+Military!AU91+Rezone!Y91+Imps!AQ91-BE91</f>
        <v>0</v>
      </c>
      <c r="AU91" s="26">
        <f>Construction!AQ91+Imps!AR91-BF91</f>
        <v>0</v>
      </c>
      <c r="AV91" s="26">
        <f>Magic!AD91</f>
        <v>0</v>
      </c>
      <c r="AW91" s="26">
        <f ca="1">Military!AV91+Imps!AS91-BG91</f>
        <v>0</v>
      </c>
      <c r="AX91" s="26">
        <f>Imps!AT91-BH91</f>
        <v>0</v>
      </c>
      <c r="AY91" s="26">
        <f ca="1">Military!AZ91</f>
        <v>0</v>
      </c>
      <c r="AZ91" s="57">
        <f ca="1">Military!BA91</f>
        <v>0</v>
      </c>
      <c r="BB91" s="56" t="b">
        <f t="shared" si="56"/>
        <v>0</v>
      </c>
      <c r="BC91" s="332"/>
      <c r="BD91" s="974">
        <v>17</v>
      </c>
      <c r="BE91" s="332"/>
      <c r="BF91" s="370"/>
      <c r="BG91" s="370"/>
      <c r="BH91" s="740"/>
      <c r="BI91" s="1031">
        <f t="shared" si="40"/>
        <v>43768.916666666453</v>
      </c>
      <c r="BJ91" s="159" t="str">
        <f t="shared" si="53"/>
        <v/>
      </c>
      <c r="BK91" s="26">
        <f t="shared" ca="1" si="49"/>
        <v>4915687</v>
      </c>
      <c r="BL91" s="26">
        <f t="shared" ca="1" si="41"/>
        <v>316741</v>
      </c>
      <c r="BM91" s="26">
        <f t="shared" ca="1" si="42"/>
        <v>293361</v>
      </c>
      <c r="BN91" s="26">
        <f t="shared" ca="1" si="43"/>
        <v>55319</v>
      </c>
      <c r="BO91" s="57">
        <f t="shared" ca="1" si="44"/>
        <v>300000</v>
      </c>
    </row>
    <row r="92" spans="1:67" s="16" customFormat="1" x14ac:dyDescent="0.25">
      <c r="A92" s="982">
        <v>18</v>
      </c>
      <c r="B92" s="812">
        <f>Imps!L92</f>
        <v>43768.927083333117</v>
      </c>
      <c r="C92" s="332"/>
      <c r="D92" s="830"/>
      <c r="E92" s="56">
        <f>Construction!E92</f>
        <v>1000</v>
      </c>
      <c r="F92" s="26">
        <f ca="1">Population!$C92</f>
        <v>1845</v>
      </c>
      <c r="G92" s="26">
        <f ca="1">Military!EM92</f>
        <v>20900</v>
      </c>
      <c r="H92" s="26">
        <f ca="1">H91+S91 - AT92 + IF(AND(C91=1,ISNUMBER(MATCH(race,plat_db,0))),Population!C91*4)</f>
        <v>4920668</v>
      </c>
      <c r="I92" s="26">
        <f ca="1">I91+T91-AY92 +  IF(AND(C91=1,ISNUMBER(MATCH(race,food_db,0))),Population!C91*4)</f>
        <v>318829</v>
      </c>
      <c r="J92" s="26">
        <f t="shared" ca="1" si="50"/>
        <v>292927</v>
      </c>
      <c r="K92" s="26">
        <f ca="1">K91+V91 - AV92 + IF(AND(C91=1,ISNUMBER(MATCH(race,mana_db,0))),Population!C91*4)</f>
        <v>55463</v>
      </c>
      <c r="L92" s="26">
        <f ca="1">L91+W91 - AW92 + IF(AND(C91=1,ISNUMBER(MATCH(race,ore_db,0))),Population!C91*4)</f>
        <v>300000</v>
      </c>
      <c r="M92" s="26">
        <f t="shared" ca="1" si="45"/>
        <v>20000</v>
      </c>
      <c r="N92" s="26">
        <f t="shared" ca="1" si="51"/>
        <v>200</v>
      </c>
      <c r="O92" s="26">
        <f t="shared" si="54"/>
        <v>500</v>
      </c>
      <c r="P92" s="26">
        <f>ROUNDDOWN(P91+MAX(Construction!BO92/2,Construction!BO92*(1-Construction!BO92/(E92-Explore!S92*20)))-Q92*SUM(Techs!AY92:BY92),0)</f>
        <v>0</v>
      </c>
      <c r="Q92" s="166">
        <f>MAX(min_tech_cost,ROUNDDOWN(tech_cost_per_acre*Construction!E92,0))</f>
        <v>5000</v>
      </c>
      <c r="S92" s="152">
        <f t="shared" ca="1" si="46"/>
        <v>4981</v>
      </c>
      <c r="T92" s="164">
        <f t="shared" ca="1" si="35"/>
        <v>2067</v>
      </c>
      <c r="U92" s="164">
        <f t="shared" ca="1" si="36"/>
        <v>-429</v>
      </c>
      <c r="V92" s="164">
        <f t="shared" ca="1" si="37"/>
        <v>141</v>
      </c>
      <c r="W92" s="164">
        <f t="shared" ca="1" si="47"/>
        <v>0</v>
      </c>
      <c r="X92" s="164">
        <f t="shared" ca="1" si="48"/>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4">
        <f ca="1">race_food_bonus + IF(Magic!AO92&gt;0,gaias_blessing_food,IF(Magic!AG92&gt;0,gaias_watch_bonus)) + Imps!AD92+tech_production_food*Techs!W92 + O92/100*prestige_food_bonus</f>
        <v>0.1</v>
      </c>
      <c r="AJ92" s="267">
        <f ca="1">race_lumber_bonus+ IF(Magic!AO92&gt;0,gaias_blessing_lumber)+tech_fruits_of_labor1*Techs!AP92</f>
        <v>0</v>
      </c>
      <c r="AK92" s="267">
        <f ca="1">race_mana_bonus+tech_enchanted_lands_mana*Techs!AT92</f>
        <v>0</v>
      </c>
      <c r="AL92" s="267">
        <f ca="1">race_ore_bonus + IF(Magic!AL92&gt;0,miners_sight_bonus,IF(Magic!AH92&gt;0,mining_strength_bonus))+tech_fruits_of_labor1*Techs!AP92</f>
        <v>0</v>
      </c>
      <c r="AM92" s="193">
        <f ca="1">race_gem_bonus+MAX(tech_production_gems*Techs!X92,tech_fruits_of_labor_gems*Techs!AP92)</f>
        <v>0</v>
      </c>
      <c r="AO92" s="56">
        <f ca="1">I92*food_decay*IF(Magic!AZ92&gt;0,0.5,1)</f>
        <v>3188.29</v>
      </c>
      <c r="AP92" s="26">
        <f ca="1">(1+race_food_consumption)*Population!F92*food_per_person</f>
        <v>1785</v>
      </c>
      <c r="AQ92" s="26">
        <f t="shared" ca="1" si="38"/>
        <v>2929.27</v>
      </c>
      <c r="AR92" s="57">
        <f t="shared" ca="1" si="39"/>
        <v>1109.26</v>
      </c>
      <c r="AS92" s="26"/>
      <c r="AT92" s="56">
        <f ca="1">Explore!AH92+Construction!AP92+Military!AU92+Rezone!Y92+Imps!AQ92-BE92</f>
        <v>0</v>
      </c>
      <c r="AU92" s="26">
        <f>Construction!AQ92+Imps!AR92-BF92</f>
        <v>0</v>
      </c>
      <c r="AV92" s="26">
        <f>Magic!AD92</f>
        <v>0</v>
      </c>
      <c r="AW92" s="26">
        <f ca="1">Military!AV92+Imps!AS92-BG92</f>
        <v>0</v>
      </c>
      <c r="AX92" s="26">
        <f>Imps!AT92-BH92</f>
        <v>0</v>
      </c>
      <c r="AY92" s="26">
        <f ca="1">Military!AZ92</f>
        <v>0</v>
      </c>
      <c r="AZ92" s="57">
        <f ca="1">Military!BA92</f>
        <v>0</v>
      </c>
      <c r="BB92" s="56" t="b">
        <f t="shared" si="56"/>
        <v>0</v>
      </c>
      <c r="BC92" s="332"/>
      <c r="BD92" s="974">
        <v>18</v>
      </c>
      <c r="BE92" s="332"/>
      <c r="BF92" s="370"/>
      <c r="BG92" s="370"/>
      <c r="BH92" s="740"/>
      <c r="BI92" s="1031">
        <f t="shared" si="40"/>
        <v>43768.927083333117</v>
      </c>
      <c r="BJ92" s="159" t="str">
        <f t="shared" si="53"/>
        <v/>
      </c>
      <c r="BK92" s="26">
        <f t="shared" ca="1" si="49"/>
        <v>4920668</v>
      </c>
      <c r="BL92" s="26">
        <f t="shared" ca="1" si="41"/>
        <v>318829</v>
      </c>
      <c r="BM92" s="26">
        <f t="shared" ca="1" si="42"/>
        <v>292927</v>
      </c>
      <c r="BN92" s="26">
        <f t="shared" ca="1" si="43"/>
        <v>55463</v>
      </c>
      <c r="BO92" s="57">
        <f t="shared" ca="1" si="44"/>
        <v>300000</v>
      </c>
    </row>
    <row r="93" spans="1:67" s="16" customFormat="1" x14ac:dyDescent="0.25">
      <c r="A93" s="982">
        <v>19</v>
      </c>
      <c r="B93" s="812">
        <f>Imps!L93</f>
        <v>43768.937499999782</v>
      </c>
      <c r="C93" s="332"/>
      <c r="D93" s="830"/>
      <c r="E93" s="56">
        <f>Construction!E93</f>
        <v>1000</v>
      </c>
      <c r="F93" s="26">
        <f ca="1">Population!$C93</f>
        <v>1845</v>
      </c>
      <c r="G93" s="26">
        <f ca="1">Military!EM93</f>
        <v>20900</v>
      </c>
      <c r="H93" s="26">
        <f ca="1">H92+S92 - AT93 + IF(AND(C92=1,ISNUMBER(MATCH(race,plat_db,0))),Population!C92*4)</f>
        <v>4925649</v>
      </c>
      <c r="I93" s="26">
        <f ca="1">I92+T92-AY93 +  IF(AND(C92=1,ISNUMBER(MATCH(race,food_db,0))),Population!C92*4)</f>
        <v>320896</v>
      </c>
      <c r="J93" s="26">
        <f t="shared" ca="1" si="50"/>
        <v>292498</v>
      </c>
      <c r="K93" s="26">
        <f ca="1">K92+V92 - AV93 + IF(AND(C92=1,ISNUMBER(MATCH(race,mana_db,0))),Population!C92*4)</f>
        <v>55604</v>
      </c>
      <c r="L93" s="26">
        <f ca="1">L92+W92 - AW93 + IF(AND(C92=1,ISNUMBER(MATCH(race,ore_db,0))),Population!C92*4)</f>
        <v>300000</v>
      </c>
      <c r="M93" s="26">
        <f t="shared" ca="1" si="45"/>
        <v>20000</v>
      </c>
      <c r="N93" s="26">
        <f t="shared" ca="1" si="51"/>
        <v>200</v>
      </c>
      <c r="O93" s="26">
        <f t="shared" si="54"/>
        <v>500</v>
      </c>
      <c r="P93" s="26">
        <f>ROUNDDOWN(P92+MAX(Construction!BO93/2,Construction!BO93*(1-Construction!BO93/(E93-Explore!S93*20)))-Q93*SUM(Techs!AY93:BY93),0)</f>
        <v>0</v>
      </c>
      <c r="Q93" s="166">
        <f>MAX(min_tech_cost,ROUNDDOWN(tech_cost_per_acre*Construction!E93,0))</f>
        <v>5000</v>
      </c>
      <c r="S93" s="152">
        <f t="shared" ca="1" si="46"/>
        <v>4981</v>
      </c>
      <c r="T93" s="164">
        <f t="shared" ca="1" si="35"/>
        <v>2046</v>
      </c>
      <c r="U93" s="164">
        <f t="shared" ca="1" si="36"/>
        <v>-425</v>
      </c>
      <c r="V93" s="164">
        <f t="shared" ca="1" si="37"/>
        <v>138</v>
      </c>
      <c r="W93" s="164">
        <f t="shared" ca="1" si="47"/>
        <v>0</v>
      </c>
      <c r="X93" s="164">
        <f t="shared" ca="1" si="48"/>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4">
        <f ca="1">race_food_bonus + IF(Magic!AO93&gt;0,gaias_blessing_food,IF(Magic!AG93&gt;0,gaias_watch_bonus)) + Imps!AD93+tech_production_food*Techs!W93 + O93/100*prestige_food_bonus</f>
        <v>0.1</v>
      </c>
      <c r="AJ93" s="267">
        <f ca="1">race_lumber_bonus+ IF(Magic!AO93&gt;0,gaias_blessing_lumber)+tech_fruits_of_labor1*Techs!AP93</f>
        <v>0</v>
      </c>
      <c r="AK93" s="267">
        <f ca="1">race_mana_bonus+tech_enchanted_lands_mana*Techs!AT93</f>
        <v>0</v>
      </c>
      <c r="AL93" s="267">
        <f ca="1">race_ore_bonus + IF(Magic!AL93&gt;0,miners_sight_bonus,IF(Magic!AH93&gt;0,mining_strength_bonus))+tech_fruits_of_labor1*Techs!AP93</f>
        <v>0</v>
      </c>
      <c r="AM93" s="193">
        <f ca="1">race_gem_bonus+MAX(tech_production_gems*Techs!X93,tech_fruits_of_labor_gems*Techs!AP93)</f>
        <v>0</v>
      </c>
      <c r="AO93" s="56">
        <f ca="1">I93*food_decay*IF(Magic!AZ93&gt;0,0.5,1)</f>
        <v>3208.96</v>
      </c>
      <c r="AP93" s="26">
        <f ca="1">(1+race_food_consumption)*Population!F93*food_per_person</f>
        <v>1785</v>
      </c>
      <c r="AQ93" s="26">
        <f t="shared" ca="1" si="38"/>
        <v>2924.98</v>
      </c>
      <c r="AR93" s="57">
        <f t="shared" ca="1" si="39"/>
        <v>1112.08</v>
      </c>
      <c r="AS93" s="26"/>
      <c r="AT93" s="56">
        <f ca="1">Explore!AH93+Construction!AP93+Military!AU93+Rezone!Y93+Imps!AQ93-BE93</f>
        <v>0</v>
      </c>
      <c r="AU93" s="26">
        <f>Construction!AQ93+Imps!AR93-BF93</f>
        <v>0</v>
      </c>
      <c r="AV93" s="26">
        <f>Magic!AD93</f>
        <v>0</v>
      </c>
      <c r="AW93" s="26">
        <f ca="1">Military!AV93+Imps!AS93-BG93</f>
        <v>0</v>
      </c>
      <c r="AX93" s="26">
        <f>Imps!AT93-BH93</f>
        <v>0</v>
      </c>
      <c r="AY93" s="26">
        <f ca="1">Military!AZ93</f>
        <v>0</v>
      </c>
      <c r="AZ93" s="57">
        <f ca="1">Military!BA93</f>
        <v>0</v>
      </c>
      <c r="BB93" s="56" t="b">
        <f t="shared" si="56"/>
        <v>0</v>
      </c>
      <c r="BC93" s="332"/>
      <c r="BD93" s="974">
        <v>19</v>
      </c>
      <c r="BE93" s="332"/>
      <c r="BF93" s="370"/>
      <c r="BG93" s="370"/>
      <c r="BH93" s="740"/>
      <c r="BI93" s="1031">
        <f t="shared" si="40"/>
        <v>43768.937499999782</v>
      </c>
      <c r="BJ93" s="159" t="str">
        <f t="shared" si="53"/>
        <v/>
      </c>
      <c r="BK93" s="26">
        <f t="shared" ca="1" si="49"/>
        <v>4925649</v>
      </c>
      <c r="BL93" s="26">
        <f t="shared" ca="1" si="41"/>
        <v>320896</v>
      </c>
      <c r="BM93" s="26">
        <f t="shared" ca="1" si="42"/>
        <v>292498</v>
      </c>
      <c r="BN93" s="26">
        <f t="shared" ca="1" si="43"/>
        <v>55604</v>
      </c>
      <c r="BO93" s="57">
        <f t="shared" ca="1" si="44"/>
        <v>300000</v>
      </c>
    </row>
    <row r="94" spans="1:67" s="16" customFormat="1" x14ac:dyDescent="0.25">
      <c r="A94" s="982">
        <v>20</v>
      </c>
      <c r="B94" s="812">
        <f>Imps!L94</f>
        <v>43768.947916666446</v>
      </c>
      <c r="C94" s="332"/>
      <c r="D94" s="830"/>
      <c r="E94" s="56">
        <f>Construction!E94</f>
        <v>1000</v>
      </c>
      <c r="F94" s="26">
        <f ca="1">Population!$C94</f>
        <v>1845</v>
      </c>
      <c r="G94" s="26">
        <f ca="1">Military!EM94</f>
        <v>20900</v>
      </c>
      <c r="H94" s="26">
        <f ca="1">H93+S93 - AT94 + IF(AND(C93=1,ISNUMBER(MATCH(race,plat_db,0))),Population!C93*4)</f>
        <v>4930630</v>
      </c>
      <c r="I94" s="26">
        <f ca="1">I93+T93-AY94 +  IF(AND(C93=1,ISNUMBER(MATCH(race,food_db,0))),Population!C93*4)</f>
        <v>322942</v>
      </c>
      <c r="J94" s="26">
        <f t="shared" ca="1" si="50"/>
        <v>292073</v>
      </c>
      <c r="K94" s="26">
        <f ca="1">K93+V93 - AV94 + IF(AND(C93=1,ISNUMBER(MATCH(race,mana_db,0))),Population!C93*4)</f>
        <v>55742</v>
      </c>
      <c r="L94" s="26">
        <f ca="1">L93+W93 - AW94 + IF(AND(C93=1,ISNUMBER(MATCH(race,ore_db,0))),Population!C93*4)</f>
        <v>300000</v>
      </c>
      <c r="M94" s="26">
        <f t="shared" ca="1" si="45"/>
        <v>20000</v>
      </c>
      <c r="N94" s="26">
        <f t="shared" ca="1" si="51"/>
        <v>200</v>
      </c>
      <c r="O94" s="26">
        <f t="shared" si="54"/>
        <v>500</v>
      </c>
      <c r="P94" s="26">
        <f>ROUNDDOWN(P93+MAX(Construction!BO94/2,Construction!BO94*(1-Construction!BO94/(E94-Explore!S94*20)))-Q94*SUM(Techs!AY94:BY94),0)</f>
        <v>0</v>
      </c>
      <c r="Q94" s="166">
        <f>MAX(min_tech_cost,ROUNDDOWN(tech_cost_per_acre*Construction!E94,0))</f>
        <v>5000</v>
      </c>
      <c r="S94" s="152">
        <f t="shared" ca="1" si="46"/>
        <v>4981</v>
      </c>
      <c r="T94" s="164">
        <f t="shared" ca="1" si="35"/>
        <v>2026</v>
      </c>
      <c r="U94" s="164">
        <f t="shared" ca="1" si="36"/>
        <v>-421</v>
      </c>
      <c r="V94" s="164">
        <f t="shared" ca="1" si="37"/>
        <v>135</v>
      </c>
      <c r="W94" s="164">
        <f t="shared" ca="1" si="47"/>
        <v>0</v>
      </c>
      <c r="X94" s="164">
        <f t="shared" ca="1" si="48"/>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4">
        <f ca="1">race_food_bonus + IF(Magic!AO94&gt;0,gaias_blessing_food,IF(Magic!AG94&gt;0,gaias_watch_bonus)) + Imps!AD94+tech_production_food*Techs!W94 + O94/100*prestige_food_bonus</f>
        <v>0.1</v>
      </c>
      <c r="AJ94" s="267">
        <f ca="1">race_lumber_bonus+ IF(Magic!AO94&gt;0,gaias_blessing_lumber)+tech_fruits_of_labor1*Techs!AP94</f>
        <v>0</v>
      </c>
      <c r="AK94" s="267">
        <f ca="1">race_mana_bonus+tech_enchanted_lands_mana*Techs!AT94</f>
        <v>0</v>
      </c>
      <c r="AL94" s="267">
        <f ca="1">race_ore_bonus + IF(Magic!AL94&gt;0,miners_sight_bonus,IF(Magic!AH94&gt;0,mining_strength_bonus))+tech_fruits_of_labor1*Techs!AP94</f>
        <v>0</v>
      </c>
      <c r="AM94" s="193">
        <f ca="1">race_gem_bonus+MAX(tech_production_gems*Techs!X94,tech_fruits_of_labor_gems*Techs!AP94)</f>
        <v>0</v>
      </c>
      <c r="AO94" s="56">
        <f ca="1">I94*food_decay*IF(Magic!AZ94&gt;0,0.5,1)</f>
        <v>3229.42</v>
      </c>
      <c r="AP94" s="26">
        <f ca="1">(1+race_food_consumption)*Population!F94*food_per_person</f>
        <v>1785</v>
      </c>
      <c r="AQ94" s="26">
        <f t="shared" ca="1" si="38"/>
        <v>2920.73</v>
      </c>
      <c r="AR94" s="57">
        <f t="shared" ca="1" si="39"/>
        <v>1114.8399999999999</v>
      </c>
      <c r="AS94" s="26"/>
      <c r="AT94" s="56">
        <f ca="1">Explore!AH94+Construction!AP94+Military!AU94+Rezone!Y94+Imps!AQ94-BE94</f>
        <v>0</v>
      </c>
      <c r="AU94" s="26">
        <f>Construction!AQ94+Imps!AR94-BF94</f>
        <v>0</v>
      </c>
      <c r="AV94" s="26">
        <f>Magic!AD94</f>
        <v>0</v>
      </c>
      <c r="AW94" s="26">
        <f ca="1">Military!AV94+Imps!AS94-BG94</f>
        <v>0</v>
      </c>
      <c r="AX94" s="26">
        <f>Imps!AT94-BH94</f>
        <v>0</v>
      </c>
      <c r="AY94" s="26">
        <f ca="1">Military!AZ94</f>
        <v>0</v>
      </c>
      <c r="AZ94" s="57">
        <f ca="1">Military!BA94</f>
        <v>0</v>
      </c>
      <c r="BB94" s="56" t="b">
        <f t="shared" si="56"/>
        <v>0</v>
      </c>
      <c r="BC94" s="332"/>
      <c r="BD94" s="974">
        <v>20</v>
      </c>
      <c r="BE94" s="332"/>
      <c r="BF94" s="370"/>
      <c r="BG94" s="370"/>
      <c r="BH94" s="740"/>
      <c r="BI94" s="1031">
        <f t="shared" si="40"/>
        <v>43768.947916666446</v>
      </c>
      <c r="BJ94" s="159" t="str">
        <f t="shared" si="53"/>
        <v/>
      </c>
      <c r="BK94" s="26">
        <f t="shared" ca="1" si="49"/>
        <v>4930630</v>
      </c>
      <c r="BL94" s="26">
        <f t="shared" ca="1" si="41"/>
        <v>322942</v>
      </c>
      <c r="BM94" s="26">
        <f t="shared" ca="1" si="42"/>
        <v>292073</v>
      </c>
      <c r="BN94" s="26">
        <f t="shared" ca="1" si="43"/>
        <v>55742</v>
      </c>
      <c r="BO94" s="57">
        <f t="shared" ca="1" si="44"/>
        <v>300000</v>
      </c>
    </row>
    <row r="95" spans="1:67" s="16" customFormat="1" x14ac:dyDescent="0.25">
      <c r="A95" s="982">
        <v>21</v>
      </c>
      <c r="B95" s="812">
        <f>Imps!L95</f>
        <v>43768.95833333311</v>
      </c>
      <c r="C95" s="332"/>
      <c r="D95" s="830"/>
      <c r="E95" s="56">
        <f>Construction!E95</f>
        <v>1000</v>
      </c>
      <c r="F95" s="26">
        <f ca="1">Population!$C95</f>
        <v>1845</v>
      </c>
      <c r="G95" s="26">
        <f ca="1">Military!EM95</f>
        <v>20900</v>
      </c>
      <c r="H95" s="26">
        <f ca="1">H94+S94 - AT95 + IF(AND(C94=1,ISNUMBER(MATCH(race,plat_db,0))),Population!C94*4)</f>
        <v>4935611</v>
      </c>
      <c r="I95" s="26">
        <f ca="1">I94+T94-AY95 +  IF(AND(C94=1,ISNUMBER(MATCH(race,food_db,0))),Population!C94*4)</f>
        <v>324968</v>
      </c>
      <c r="J95" s="26">
        <f t="shared" ca="1" si="50"/>
        <v>291652</v>
      </c>
      <c r="K95" s="26">
        <f ca="1">K94+V94 - AV95 + IF(AND(C94=1,ISNUMBER(MATCH(race,mana_db,0))),Population!C94*4)</f>
        <v>55877</v>
      </c>
      <c r="L95" s="26">
        <f ca="1">L94+W94 - AW95 + IF(AND(C94=1,ISNUMBER(MATCH(race,ore_db,0))),Population!C94*4)</f>
        <v>300000</v>
      </c>
      <c r="M95" s="26">
        <f t="shared" ca="1" si="45"/>
        <v>20000</v>
      </c>
      <c r="N95" s="26">
        <f t="shared" ca="1" si="51"/>
        <v>200</v>
      </c>
      <c r="O95" s="26">
        <f t="shared" si="54"/>
        <v>500</v>
      </c>
      <c r="P95" s="26">
        <f>ROUNDDOWN(P94+MAX(Construction!BO95/2,Construction!BO95*(1-Construction!BO95/(E95-Explore!S95*20)))-Q95*SUM(Techs!AY95:BY95),0)</f>
        <v>0</v>
      </c>
      <c r="Q95" s="166">
        <f>MAX(min_tech_cost,ROUNDDOWN(tech_cost_per_acre*Construction!E95,0))</f>
        <v>5000</v>
      </c>
      <c r="S95" s="152">
        <f t="shared" ca="1" si="46"/>
        <v>4981</v>
      </c>
      <c r="T95" s="164">
        <f t="shared" ca="1" si="35"/>
        <v>2005</v>
      </c>
      <c r="U95" s="164">
        <f t="shared" ca="1" si="36"/>
        <v>-417</v>
      </c>
      <c r="V95" s="164">
        <f t="shared" ca="1" si="37"/>
        <v>132</v>
      </c>
      <c r="W95" s="164">
        <f t="shared" ca="1" si="47"/>
        <v>0</v>
      </c>
      <c r="X95" s="164">
        <f t="shared" ca="1" si="48"/>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4">
        <f ca="1">race_food_bonus + IF(Magic!AO95&gt;0,gaias_blessing_food,IF(Magic!AG95&gt;0,gaias_watch_bonus)) + Imps!AD95+tech_production_food*Techs!W95 + O95/100*prestige_food_bonus</f>
        <v>0.1</v>
      </c>
      <c r="AJ95" s="267">
        <f ca="1">race_lumber_bonus+ IF(Magic!AO95&gt;0,gaias_blessing_lumber)+tech_fruits_of_labor1*Techs!AP95</f>
        <v>0</v>
      </c>
      <c r="AK95" s="267">
        <f ca="1">race_mana_bonus+tech_enchanted_lands_mana*Techs!AT95</f>
        <v>0</v>
      </c>
      <c r="AL95" s="267">
        <f ca="1">race_ore_bonus + IF(Magic!AL95&gt;0,miners_sight_bonus,IF(Magic!AH95&gt;0,mining_strength_bonus))+tech_fruits_of_labor1*Techs!AP95</f>
        <v>0</v>
      </c>
      <c r="AM95" s="193">
        <f ca="1">race_gem_bonus+MAX(tech_production_gems*Techs!X95,tech_fruits_of_labor_gems*Techs!AP95)</f>
        <v>0</v>
      </c>
      <c r="AO95" s="56">
        <f ca="1">I95*food_decay*IF(Magic!AZ95&gt;0,0.5,1)</f>
        <v>3249.6800000000003</v>
      </c>
      <c r="AP95" s="26">
        <f ca="1">(1+race_food_consumption)*Population!F95*food_per_person</f>
        <v>1785</v>
      </c>
      <c r="AQ95" s="26">
        <f t="shared" ca="1" si="38"/>
        <v>2916.52</v>
      </c>
      <c r="AR95" s="57">
        <f t="shared" ca="1" si="39"/>
        <v>1117.54</v>
      </c>
      <c r="AS95" s="26"/>
      <c r="AT95" s="56">
        <f ca="1">Explore!AH95+Construction!AP95+Military!AU95+Rezone!Y95+Imps!AQ95-BE95</f>
        <v>0</v>
      </c>
      <c r="AU95" s="26">
        <f>Construction!AQ95+Imps!AR95-BF95</f>
        <v>0</v>
      </c>
      <c r="AV95" s="26">
        <f>Magic!AD95</f>
        <v>0</v>
      </c>
      <c r="AW95" s="26">
        <f ca="1">Military!AV95+Imps!AS95-BG95</f>
        <v>0</v>
      </c>
      <c r="AX95" s="26">
        <f>Imps!AT95-BH95</f>
        <v>0</v>
      </c>
      <c r="AY95" s="26">
        <f ca="1">Military!AZ95</f>
        <v>0</v>
      </c>
      <c r="AZ95" s="57">
        <f ca="1">Military!BA95</f>
        <v>0</v>
      </c>
      <c r="BB95" s="56" t="b">
        <f t="shared" si="56"/>
        <v>0</v>
      </c>
      <c r="BC95" s="332"/>
      <c r="BD95" s="974">
        <v>21</v>
      </c>
      <c r="BE95" s="332"/>
      <c r="BF95" s="370"/>
      <c r="BG95" s="370"/>
      <c r="BH95" s="740"/>
      <c r="BI95" s="1031">
        <f t="shared" si="40"/>
        <v>43768.95833333311</v>
      </c>
      <c r="BJ95" s="159" t="str">
        <f t="shared" si="53"/>
        <v/>
      </c>
      <c r="BK95" s="26">
        <f t="shared" ca="1" si="49"/>
        <v>4935611</v>
      </c>
      <c r="BL95" s="26">
        <f t="shared" ca="1" si="41"/>
        <v>324968</v>
      </c>
      <c r="BM95" s="26">
        <f t="shared" ca="1" si="42"/>
        <v>291652</v>
      </c>
      <c r="BN95" s="26">
        <f t="shared" ca="1" si="43"/>
        <v>55877</v>
      </c>
      <c r="BO95" s="57">
        <f t="shared" ca="1" si="44"/>
        <v>300000</v>
      </c>
    </row>
    <row r="96" spans="1:67" s="16" customFormat="1" x14ac:dyDescent="0.25">
      <c r="A96" s="982">
        <v>22</v>
      </c>
      <c r="B96" s="812">
        <f>Imps!L96</f>
        <v>43768.968749999774</v>
      </c>
      <c r="C96" s="332"/>
      <c r="D96" s="830"/>
      <c r="E96" s="56">
        <f>Construction!E96</f>
        <v>1000</v>
      </c>
      <c r="F96" s="26">
        <f ca="1">Population!$C96</f>
        <v>1845</v>
      </c>
      <c r="G96" s="26">
        <f ca="1">Military!EM96</f>
        <v>20900</v>
      </c>
      <c r="H96" s="26">
        <f ca="1">H95+S95 - AT96 + IF(AND(C95=1,ISNUMBER(MATCH(race,plat_db,0))),Population!C95*4)</f>
        <v>4940592</v>
      </c>
      <c r="I96" s="26">
        <f ca="1">I95+T95-AY96 +  IF(AND(C95=1,ISNUMBER(MATCH(race,food_db,0))),Population!C95*4)</f>
        <v>326973</v>
      </c>
      <c r="J96" s="26">
        <f t="shared" ca="1" si="50"/>
        <v>291235</v>
      </c>
      <c r="K96" s="26">
        <f ca="1">K95+V95 - AV96 + IF(AND(C95=1,ISNUMBER(MATCH(race,mana_db,0))),Population!C95*4)</f>
        <v>56009</v>
      </c>
      <c r="L96" s="26">
        <f ca="1">L95+W95 - AW96 + IF(AND(C95=1,ISNUMBER(MATCH(race,ore_db,0))),Population!C95*4)</f>
        <v>300000</v>
      </c>
      <c r="M96" s="26">
        <f t="shared" ca="1" si="45"/>
        <v>20000</v>
      </c>
      <c r="N96" s="26">
        <f t="shared" ca="1" si="51"/>
        <v>200</v>
      </c>
      <c r="O96" s="26">
        <f t="shared" si="54"/>
        <v>500</v>
      </c>
      <c r="P96" s="26">
        <f>ROUNDDOWN(P95+MAX(Construction!BO96/2,Construction!BO96*(1-Construction!BO96/(E96-Explore!S96*20)))-Q96*SUM(Techs!AY96:BY96),0)</f>
        <v>0</v>
      </c>
      <c r="Q96" s="166">
        <f>MAX(min_tech_cost,ROUNDDOWN(tech_cost_per_acre*Construction!E96,0))</f>
        <v>5000</v>
      </c>
      <c r="S96" s="152">
        <f t="shared" ca="1" si="46"/>
        <v>4981</v>
      </c>
      <c r="T96" s="164">
        <f t="shared" ca="1" si="35"/>
        <v>1985</v>
      </c>
      <c r="U96" s="164">
        <f t="shared" ca="1" si="36"/>
        <v>-412</v>
      </c>
      <c r="V96" s="164">
        <f t="shared" ca="1" si="37"/>
        <v>130</v>
      </c>
      <c r="W96" s="164">
        <f t="shared" ca="1" si="47"/>
        <v>0</v>
      </c>
      <c r="X96" s="164">
        <f t="shared" ca="1" si="48"/>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4">
        <f ca="1">race_food_bonus + IF(Magic!AO96&gt;0,gaias_blessing_food,IF(Magic!AG96&gt;0,gaias_watch_bonus)) + Imps!AD96+tech_production_food*Techs!W96 + O96/100*prestige_food_bonus</f>
        <v>0.1</v>
      </c>
      <c r="AJ96" s="267">
        <f ca="1">race_lumber_bonus+ IF(Magic!AO96&gt;0,gaias_blessing_lumber)+tech_fruits_of_labor1*Techs!AP96</f>
        <v>0</v>
      </c>
      <c r="AK96" s="267">
        <f ca="1">race_mana_bonus+tech_enchanted_lands_mana*Techs!AT96</f>
        <v>0</v>
      </c>
      <c r="AL96" s="267">
        <f ca="1">race_ore_bonus + IF(Magic!AL96&gt;0,miners_sight_bonus,IF(Magic!AH96&gt;0,mining_strength_bonus))+tech_fruits_of_labor1*Techs!AP96</f>
        <v>0</v>
      </c>
      <c r="AM96" s="193">
        <f ca="1">race_gem_bonus+MAX(tech_production_gems*Techs!X96,tech_fruits_of_labor_gems*Techs!AP96)</f>
        <v>0</v>
      </c>
      <c r="AO96" s="56">
        <f ca="1">I96*food_decay*IF(Magic!AZ96&gt;0,0.5,1)</f>
        <v>3269.73</v>
      </c>
      <c r="AP96" s="26">
        <f ca="1">(1+race_food_consumption)*Population!F96*food_per_person</f>
        <v>1785</v>
      </c>
      <c r="AQ96" s="26">
        <f t="shared" ca="1" si="38"/>
        <v>2912.35</v>
      </c>
      <c r="AR96" s="57">
        <f t="shared" ca="1" si="39"/>
        <v>1120.18</v>
      </c>
      <c r="AS96" s="26"/>
      <c r="AT96" s="56">
        <f ca="1">Explore!AH96+Construction!AP96+Military!AU96+Rezone!Y96+Imps!AQ96-BE96</f>
        <v>0</v>
      </c>
      <c r="AU96" s="26">
        <f>Construction!AQ96+Imps!AR96-BF96</f>
        <v>0</v>
      </c>
      <c r="AV96" s="26">
        <f>Magic!AD96</f>
        <v>0</v>
      </c>
      <c r="AW96" s="26">
        <f ca="1">Military!AV96+Imps!AS96-BG96</f>
        <v>0</v>
      </c>
      <c r="AX96" s="26">
        <f>Imps!AT96-BH96</f>
        <v>0</v>
      </c>
      <c r="AY96" s="26">
        <f ca="1">Military!AZ96</f>
        <v>0</v>
      </c>
      <c r="AZ96" s="57">
        <f ca="1">Military!BA96</f>
        <v>0</v>
      </c>
      <c r="BB96" s="56" t="b">
        <f t="shared" si="56"/>
        <v>0</v>
      </c>
      <c r="BC96" s="332"/>
      <c r="BD96" s="974">
        <v>22</v>
      </c>
      <c r="BE96" s="332"/>
      <c r="BF96" s="370"/>
      <c r="BG96" s="370"/>
      <c r="BH96" s="740"/>
      <c r="BI96" s="1031">
        <f t="shared" si="40"/>
        <v>43768.968749999774</v>
      </c>
      <c r="BJ96" s="159" t="str">
        <f t="shared" si="53"/>
        <v/>
      </c>
      <c r="BK96" s="26">
        <f t="shared" ca="1" si="49"/>
        <v>4940592</v>
      </c>
      <c r="BL96" s="26">
        <f t="shared" ca="1" si="41"/>
        <v>326973</v>
      </c>
      <c r="BM96" s="26">
        <f t="shared" ca="1" si="42"/>
        <v>291235</v>
      </c>
      <c r="BN96" s="26">
        <f t="shared" ca="1" si="43"/>
        <v>56009</v>
      </c>
      <c r="BO96" s="57">
        <f t="shared" ca="1" si="44"/>
        <v>300000</v>
      </c>
    </row>
    <row r="97" spans="1:67" s="16" customFormat="1" x14ac:dyDescent="0.25">
      <c r="A97" s="982">
        <v>23</v>
      </c>
      <c r="B97" s="812">
        <f>Imps!L97</f>
        <v>43768.979166666439</v>
      </c>
      <c r="C97" s="332"/>
      <c r="D97" s="830"/>
      <c r="E97" s="56">
        <f>Construction!E97</f>
        <v>1000</v>
      </c>
      <c r="F97" s="26">
        <f ca="1">Population!$C97</f>
        <v>1845</v>
      </c>
      <c r="G97" s="26">
        <f ca="1">Military!EM97</f>
        <v>20900</v>
      </c>
      <c r="H97" s="26">
        <f ca="1">H96+S96 - AT97 + IF(AND(C96=1,ISNUMBER(MATCH(race,plat_db,0))),Population!C96*4)</f>
        <v>4945573</v>
      </c>
      <c r="I97" s="26">
        <f ca="1">I96+T96-AY97 +  IF(AND(C96=1,ISNUMBER(MATCH(race,food_db,0))),Population!C96*4)</f>
        <v>328958</v>
      </c>
      <c r="J97" s="26">
        <f t="shared" ca="1" si="50"/>
        <v>290823</v>
      </c>
      <c r="K97" s="26">
        <f ca="1">K96+V96 - AV97 + IF(AND(C96=1,ISNUMBER(MATCH(race,mana_db,0))),Population!C96*4)</f>
        <v>56139</v>
      </c>
      <c r="L97" s="26">
        <f ca="1">L96+W96 - AW97 + IF(AND(C96=1,ISNUMBER(MATCH(race,ore_db,0))),Population!C96*4)</f>
        <v>300000</v>
      </c>
      <c r="M97" s="26">
        <f t="shared" ca="1" si="45"/>
        <v>20000</v>
      </c>
      <c r="N97" s="26">
        <f t="shared" ca="1" si="51"/>
        <v>200</v>
      </c>
      <c r="O97" s="26">
        <f t="shared" si="54"/>
        <v>500</v>
      </c>
      <c r="P97" s="26">
        <f>ROUNDDOWN(P96+MAX(Construction!BO97/2,Construction!BO97*(1-Construction!BO97/(E97-Explore!S97*20)))-Q97*SUM(Techs!AY97:BY97),0)</f>
        <v>0</v>
      </c>
      <c r="Q97" s="166">
        <f>MAX(min_tech_cost,ROUNDDOWN(tech_cost_per_acre*Construction!E97,0))</f>
        <v>5000</v>
      </c>
      <c r="S97" s="152">
        <f t="shared" ca="1" si="46"/>
        <v>4981</v>
      </c>
      <c r="T97" s="164">
        <f t="shared" ca="1" si="35"/>
        <v>1965</v>
      </c>
      <c r="U97" s="164">
        <f t="shared" ca="1" si="36"/>
        <v>-408</v>
      </c>
      <c r="V97" s="164">
        <f t="shared" ca="1" si="37"/>
        <v>127</v>
      </c>
      <c r="W97" s="164">
        <f t="shared" ca="1" si="47"/>
        <v>0</v>
      </c>
      <c r="X97" s="164">
        <f t="shared" ca="1" si="48"/>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4">
        <f ca="1">race_food_bonus + IF(Magic!AO97&gt;0,gaias_blessing_food,IF(Magic!AG97&gt;0,gaias_watch_bonus)) + Imps!AD97+tech_production_food*Techs!W97 + O97/100*prestige_food_bonus</f>
        <v>0.1</v>
      </c>
      <c r="AJ97" s="267">
        <f ca="1">race_lumber_bonus+ IF(Magic!AO97&gt;0,gaias_blessing_lumber)+tech_fruits_of_labor1*Techs!AP97</f>
        <v>0</v>
      </c>
      <c r="AK97" s="267">
        <f ca="1">race_mana_bonus+tech_enchanted_lands_mana*Techs!AT97</f>
        <v>0</v>
      </c>
      <c r="AL97" s="267">
        <f ca="1">race_ore_bonus + IF(Magic!AL97&gt;0,miners_sight_bonus,IF(Magic!AH97&gt;0,mining_strength_bonus))+tech_fruits_of_labor1*Techs!AP97</f>
        <v>0</v>
      </c>
      <c r="AM97" s="193">
        <f ca="1">race_gem_bonus+MAX(tech_production_gems*Techs!X97,tech_fruits_of_labor_gems*Techs!AP97)</f>
        <v>0</v>
      </c>
      <c r="AO97" s="56">
        <f ca="1">I97*food_decay*IF(Magic!AZ97&gt;0,0.5,1)</f>
        <v>3289.58</v>
      </c>
      <c r="AP97" s="26">
        <f ca="1">(1+race_food_consumption)*Population!F97*food_per_person</f>
        <v>1785</v>
      </c>
      <c r="AQ97" s="26">
        <f t="shared" ca="1" si="38"/>
        <v>2908.23</v>
      </c>
      <c r="AR97" s="57">
        <f t="shared" ca="1" si="39"/>
        <v>1122.78</v>
      </c>
      <c r="AS97" s="26"/>
      <c r="AT97" s="56">
        <f ca="1">Explore!AH97+Construction!AP97+Military!AU97+Rezone!Y97+Imps!AQ97-BE97</f>
        <v>0</v>
      </c>
      <c r="AU97" s="26">
        <f>Construction!AQ97+Imps!AR97-BF97</f>
        <v>0</v>
      </c>
      <c r="AV97" s="26">
        <f>Magic!AD97</f>
        <v>0</v>
      </c>
      <c r="AW97" s="26">
        <f ca="1">Military!AV97+Imps!AS97-BG97</f>
        <v>0</v>
      </c>
      <c r="AX97" s="26">
        <f>Imps!AT97-BH97</f>
        <v>0</v>
      </c>
      <c r="AY97" s="26">
        <f ca="1">Military!AZ97</f>
        <v>0</v>
      </c>
      <c r="AZ97" s="57">
        <f ca="1">Military!BA97</f>
        <v>0</v>
      </c>
      <c r="BB97" s="56" t="b">
        <f t="shared" si="56"/>
        <v>0</v>
      </c>
      <c r="BC97" s="332"/>
      <c r="BD97" s="974">
        <v>23</v>
      </c>
      <c r="BE97" s="332"/>
      <c r="BF97" s="370"/>
      <c r="BG97" s="370"/>
      <c r="BH97" s="740"/>
      <c r="BI97" s="1031">
        <f t="shared" si="40"/>
        <v>43768.979166666439</v>
      </c>
      <c r="BJ97" s="159" t="str">
        <f t="shared" si="53"/>
        <v/>
      </c>
      <c r="BK97" s="26">
        <f t="shared" ca="1" si="49"/>
        <v>4945573</v>
      </c>
      <c r="BL97" s="26">
        <f t="shared" ca="1" si="41"/>
        <v>328958</v>
      </c>
      <c r="BM97" s="26">
        <f t="shared" ca="1" si="42"/>
        <v>290823</v>
      </c>
      <c r="BN97" s="26">
        <f t="shared" ca="1" si="43"/>
        <v>56139</v>
      </c>
      <c r="BO97" s="57">
        <f t="shared" ca="1" si="44"/>
        <v>300000</v>
      </c>
    </row>
    <row r="98" spans="1:67" s="170" customFormat="1" ht="13.8" thickBot="1" x14ac:dyDescent="0.3">
      <c r="A98" s="981">
        <v>24</v>
      </c>
      <c r="B98" s="530">
        <f>Imps!L98</f>
        <v>43768.989583333103</v>
      </c>
      <c r="C98" s="329"/>
      <c r="D98" s="829"/>
      <c r="E98" s="152">
        <f>Construction!E98</f>
        <v>1000</v>
      </c>
      <c r="F98" s="164">
        <f ca="1">Population!$C98</f>
        <v>1845</v>
      </c>
      <c r="G98" s="164">
        <f ca="1">Military!EM98</f>
        <v>20900</v>
      </c>
      <c r="H98" s="164">
        <f ca="1">H97+S97 - AT98 + IF(AND(C97=1,ISNUMBER(MATCH(race,plat_db,0))),Population!C97*4)</f>
        <v>4950554</v>
      </c>
      <c r="I98" s="164">
        <f ca="1">I97+T97-AY98 +  IF(AND(C97=1,ISNUMBER(MATCH(race,food_db,0))),Population!C97*4)</f>
        <v>330923</v>
      </c>
      <c r="J98" s="164">
        <f t="shared" ca="1" si="50"/>
        <v>290415</v>
      </c>
      <c r="K98" s="164">
        <f ca="1">K97+V97 - AV98 + IF(AND(C97=1,ISNUMBER(MATCH(race,mana_db,0))),Population!C97*4)</f>
        <v>56266</v>
      </c>
      <c r="L98" s="164">
        <f ca="1">L97+W97 - AW98 + IF(AND(C97=1,ISNUMBER(MATCH(race,ore_db,0))),Population!C97*4)</f>
        <v>300000</v>
      </c>
      <c r="M98" s="164">
        <f t="shared" ca="1" si="45"/>
        <v>20000</v>
      </c>
      <c r="N98" s="164">
        <f t="shared" ca="1" si="51"/>
        <v>200</v>
      </c>
      <c r="O98" s="164">
        <f t="shared" si="54"/>
        <v>500</v>
      </c>
      <c r="P98" s="164">
        <f>ROUNDDOWN(P97+MAX(Construction!BO98/2,Construction!BO98*(1-Construction!BO98/(E98-Explore!S98*20)))-Q98*SUM(Techs!AY98:BY98),0)</f>
        <v>0</v>
      </c>
      <c r="Q98" s="166">
        <f>MAX(min_tech_cost,ROUNDDOWN(tech_cost_per_acre*Construction!E98,0))</f>
        <v>5000</v>
      </c>
      <c r="S98" s="152">
        <f t="shared" ca="1" si="46"/>
        <v>4981</v>
      </c>
      <c r="T98" s="164">
        <f t="shared" ca="1" si="35"/>
        <v>1946</v>
      </c>
      <c r="U98" s="164">
        <f t="shared" ca="1" si="36"/>
        <v>-404</v>
      </c>
      <c r="V98" s="164">
        <f t="shared" ca="1" si="37"/>
        <v>125</v>
      </c>
      <c r="W98" s="164">
        <f t="shared" ca="1" si="47"/>
        <v>0</v>
      </c>
      <c r="X98" s="164">
        <f t="shared" ca="1" si="48"/>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4">
        <f ca="1">race_food_bonus + IF(Magic!AO98&gt;0,gaias_blessing_food,IF(Magic!AG98&gt;0,gaias_watch_bonus)) + Imps!AD98+tech_production_food*Techs!W98 + O98/100*prestige_food_bonus</f>
        <v>0.1</v>
      </c>
      <c r="AJ98" s="267">
        <f ca="1">race_lumber_bonus+ IF(Magic!AO98&gt;0,gaias_blessing_lumber)+tech_fruits_of_labor1*Techs!AP98</f>
        <v>0</v>
      </c>
      <c r="AK98" s="267">
        <f ca="1">race_mana_bonus+tech_enchanted_lands_mana*Techs!AT98</f>
        <v>0</v>
      </c>
      <c r="AL98" s="267">
        <f ca="1">race_ore_bonus + IF(Magic!AL98&gt;0,miners_sight_bonus,IF(Magic!AH98&gt;0,mining_strength_bonus))+tech_fruits_of_labor1*Techs!AP98</f>
        <v>0</v>
      </c>
      <c r="AM98" s="193">
        <f ca="1">race_gem_bonus+MAX(tech_production_gems*Techs!X98,tech_fruits_of_labor_gems*Techs!AP98)</f>
        <v>0</v>
      </c>
      <c r="AO98" s="152">
        <f ca="1">I98*food_decay*IF(Magic!AZ98&gt;0,0.5,1)</f>
        <v>3309.23</v>
      </c>
      <c r="AP98" s="26">
        <f ca="1">(1+race_food_consumption)*Population!F98*food_per_person</f>
        <v>1785</v>
      </c>
      <c r="AQ98" s="164">
        <f t="shared" ca="1" si="38"/>
        <v>2904.15</v>
      </c>
      <c r="AR98" s="166">
        <f t="shared" ca="1" si="39"/>
        <v>1125.32</v>
      </c>
      <c r="AS98" s="164"/>
      <c r="AT98" s="152">
        <f ca="1">Explore!AH98+Construction!AP98+Military!AU98+Rezone!Y98+Imps!AQ98-BE98</f>
        <v>0</v>
      </c>
      <c r="AU98" s="164">
        <f>Construction!AQ98+Imps!AR98-BF98</f>
        <v>0</v>
      </c>
      <c r="AV98" s="164">
        <f>Magic!AD98</f>
        <v>0</v>
      </c>
      <c r="AW98" s="164">
        <f ca="1">Military!AV98+Imps!AS98-BG98</f>
        <v>0</v>
      </c>
      <c r="AX98" s="164">
        <f>Imps!AT98-BH98</f>
        <v>0</v>
      </c>
      <c r="AY98" s="164">
        <f ca="1">Military!AZ98</f>
        <v>0</v>
      </c>
      <c r="AZ98" s="166">
        <f ca="1">Military!BA98</f>
        <v>0</v>
      </c>
      <c r="BB98" s="152" t="b">
        <f t="shared" si="56"/>
        <v>0</v>
      </c>
      <c r="BC98" s="329"/>
      <c r="BD98" s="973">
        <v>24</v>
      </c>
      <c r="BE98" s="329"/>
      <c r="BF98" s="407"/>
      <c r="BG98" s="407"/>
      <c r="BH98" s="739"/>
      <c r="BI98" s="1031">
        <f t="shared" si="40"/>
        <v>43768.989583333103</v>
      </c>
      <c r="BJ98" s="159" t="str">
        <f t="shared" si="53"/>
        <v/>
      </c>
      <c r="BK98" s="164">
        <f t="shared" ca="1" si="49"/>
        <v>4950554</v>
      </c>
      <c r="BL98" s="164">
        <f t="shared" ca="1" si="41"/>
        <v>330923</v>
      </c>
      <c r="BM98" s="164">
        <f t="shared" ca="1" si="42"/>
        <v>290415</v>
      </c>
      <c r="BN98" s="164">
        <f t="shared" ca="1" si="43"/>
        <v>56266</v>
      </c>
      <c r="BO98" s="166">
        <f t="shared" ca="1" si="44"/>
        <v>300000</v>
      </c>
    </row>
    <row r="99" spans="1:67" s="173" customFormat="1" ht="13.8" thickBot="1" x14ac:dyDescent="0.3">
      <c r="A99" s="984">
        <v>25</v>
      </c>
      <c r="B99" s="571">
        <f>Imps!L99</f>
        <v>43768.999999999767</v>
      </c>
      <c r="C99" s="331"/>
      <c r="D99" s="832"/>
      <c r="E99" s="175">
        <f>Construction!E99</f>
        <v>1000</v>
      </c>
      <c r="F99" s="174">
        <f ca="1">Population!$C99</f>
        <v>1845</v>
      </c>
      <c r="G99" s="174">
        <f ca="1">Military!EM99</f>
        <v>20900</v>
      </c>
      <c r="H99" s="174">
        <f ca="1">H98+S98 - AT99 + IF(AND(C98=1,ISNUMBER(MATCH(race,plat_db,0))),Population!C98*4)</f>
        <v>4955535</v>
      </c>
      <c r="I99" s="174">
        <f ca="1">I98+T98-AY99 +  IF(AND(C98=1,ISNUMBER(MATCH(race,food_db,0))),Population!C98*4)</f>
        <v>332869</v>
      </c>
      <c r="J99" s="174">
        <f t="shared" ca="1" si="50"/>
        <v>290011</v>
      </c>
      <c r="K99" s="174">
        <f ca="1">K98+V98 - AV99 + IF(AND(C98=1,ISNUMBER(MATCH(race,mana_db,0))),Population!C98*4)</f>
        <v>56391</v>
      </c>
      <c r="L99" s="174">
        <f ca="1">L98+W98 - AW99 + IF(AND(C98=1,ISNUMBER(MATCH(race,ore_db,0))),Population!C98*4)</f>
        <v>300000</v>
      </c>
      <c r="M99" s="174">
        <f t="shared" ca="1" si="45"/>
        <v>20000</v>
      </c>
      <c r="N99" s="174">
        <f t="shared" ca="1" si="51"/>
        <v>200</v>
      </c>
      <c r="O99" s="174">
        <f t="shared" si="54"/>
        <v>500</v>
      </c>
      <c r="P99" s="174">
        <f>ROUNDDOWN(P98+MAX(Construction!BO99/2,Construction!BO99*(1-Construction!BO99/(E99-Explore!S99*20)))-Q99*SUM(Techs!AY99:BY99),0)</f>
        <v>0</v>
      </c>
      <c r="Q99" s="179">
        <f>MAX(min_tech_cost,ROUNDDOWN(tech_cost_per_acre*Construction!E99,0))</f>
        <v>5000</v>
      </c>
      <c r="S99" s="175">
        <f t="shared" ca="1" si="46"/>
        <v>4981</v>
      </c>
      <c r="T99" s="174">
        <f t="shared" ca="1" si="35"/>
        <v>1926</v>
      </c>
      <c r="U99" s="174">
        <f t="shared" ca="1" si="36"/>
        <v>-400</v>
      </c>
      <c r="V99" s="174">
        <f t="shared" ca="1" si="37"/>
        <v>122</v>
      </c>
      <c r="W99" s="174">
        <f t="shared" ca="1" si="47"/>
        <v>0</v>
      </c>
      <c r="X99" s="174">
        <f t="shared" ca="1" si="48"/>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5">
        <f ca="1">race_food_bonus + IF(Magic!AO99&gt;0,gaias_blessing_food,IF(Magic!AG99&gt;0,gaias_watch_bonus)) + Imps!AD99+tech_production_food*Techs!W99 + O99/100*prestige_food_bonus</f>
        <v>0.1</v>
      </c>
      <c r="AJ99" s="271">
        <f ca="1">race_lumber_bonus+ IF(Magic!AO99&gt;0,gaias_blessing_lumber)+tech_fruits_of_labor1*Techs!AP99</f>
        <v>0</v>
      </c>
      <c r="AK99" s="271">
        <f ca="1">race_mana_bonus+tech_enchanted_lands_mana*Techs!AT99</f>
        <v>0</v>
      </c>
      <c r="AL99" s="271">
        <f ca="1">race_ore_bonus + IF(Magic!AL99&gt;0,miners_sight_bonus,IF(Magic!AH99&gt;0,mining_strength_bonus))+tech_fruits_of_labor1*Techs!AP99</f>
        <v>0</v>
      </c>
      <c r="AM99" s="195">
        <f ca="1">race_gem_bonus+MAX(tech_production_gems*Techs!X99,tech_fruits_of_labor_gems*Techs!AP99)</f>
        <v>0</v>
      </c>
      <c r="AO99" s="175">
        <f ca="1">I99*food_decay*IF(Magic!AZ99&gt;0,0.5,1)</f>
        <v>3328.69</v>
      </c>
      <c r="AP99" s="279">
        <f ca="1">(1+race_food_consumption)*Population!F99*food_per_person</f>
        <v>1785</v>
      </c>
      <c r="AQ99" s="174">
        <f t="shared" ref="AQ99:AQ135" ca="1" si="57">J99*lumber_rot</f>
        <v>2900.11</v>
      </c>
      <c r="AR99" s="179">
        <f t="shared" ref="AR99:AR135" ca="1" si="58">K99*mana_drain</f>
        <v>1127.82</v>
      </c>
      <c r="AS99" s="174"/>
      <c r="AT99" s="175">
        <f ca="1">Explore!AH99+Construction!AP99+Military!AU99+Rezone!Y99+Imps!AQ99-BE99</f>
        <v>0</v>
      </c>
      <c r="AU99" s="174">
        <f>Construction!AQ99+Imps!AR99-BF99</f>
        <v>0</v>
      </c>
      <c r="AV99" s="174">
        <f>Magic!AD99</f>
        <v>0</v>
      </c>
      <c r="AW99" s="174">
        <f ca="1">Military!AV99+Imps!AS99-BG99</f>
        <v>0</v>
      </c>
      <c r="AX99" s="174">
        <f>Imps!AT99-BH99</f>
        <v>0</v>
      </c>
      <c r="AY99" s="174">
        <f ca="1">Military!AZ99</f>
        <v>0</v>
      </c>
      <c r="AZ99" s="179">
        <f ca="1">Military!BA99</f>
        <v>0</v>
      </c>
      <c r="BB99" s="175" t="b">
        <f t="shared" si="56"/>
        <v>0</v>
      </c>
      <c r="BC99" s="331"/>
      <c r="BD99" s="976">
        <v>25</v>
      </c>
      <c r="BE99" s="331"/>
      <c r="BF99" s="417"/>
      <c r="BG99" s="417"/>
      <c r="BH99" s="742"/>
      <c r="BI99" s="1034">
        <f t="shared" si="40"/>
        <v>43768.999999999767</v>
      </c>
      <c r="BJ99" s="180" t="str">
        <f t="shared" si="53"/>
        <v/>
      </c>
      <c r="BK99" s="174">
        <f t="shared" ca="1" si="49"/>
        <v>4955535</v>
      </c>
      <c r="BL99" s="174">
        <f t="shared" ca="1" si="41"/>
        <v>332869</v>
      </c>
      <c r="BM99" s="174">
        <f t="shared" ca="1" si="42"/>
        <v>290011</v>
      </c>
      <c r="BN99" s="174">
        <f t="shared" ca="1" si="43"/>
        <v>56391</v>
      </c>
      <c r="BO99" s="179">
        <f t="shared" ca="1" si="44"/>
        <v>300000</v>
      </c>
    </row>
    <row r="100" spans="1:67" s="170" customFormat="1" x14ac:dyDescent="0.25">
      <c r="A100" s="981">
        <v>26</v>
      </c>
      <c r="B100" s="530">
        <f>Imps!L100</f>
        <v>43769.010416666431</v>
      </c>
      <c r="C100" s="329"/>
      <c r="D100" s="829"/>
      <c r="E100" s="152">
        <f>Construction!E100</f>
        <v>1000</v>
      </c>
      <c r="F100" s="164">
        <f ca="1">Population!$C100</f>
        <v>1845</v>
      </c>
      <c r="G100" s="164">
        <f ca="1">Military!EM100</f>
        <v>20900</v>
      </c>
      <c r="H100" s="164">
        <f ca="1">H99+S99 - AT100 + IF(AND(C99=1,ISNUMBER(MATCH(race,plat_db,0))),Population!C99*4)</f>
        <v>4960516</v>
      </c>
      <c r="I100" s="164">
        <f ca="1">I99+T99-AY100 +  IF(AND(C99=1,ISNUMBER(MATCH(race,food_db,0))),Population!C99*4)</f>
        <v>334795</v>
      </c>
      <c r="J100" s="164">
        <f t="shared" ca="1" si="50"/>
        <v>289611</v>
      </c>
      <c r="K100" s="164">
        <f ca="1">K99+V99 - AV100 + IF(AND(C99=1,ISNUMBER(MATCH(race,mana_db,0))),Population!C99*4)</f>
        <v>56513</v>
      </c>
      <c r="L100" s="164">
        <f ca="1">L99+W99 - AW100 + IF(AND(C99=1,ISNUMBER(MATCH(race,ore_db,0))),Population!C99*4)</f>
        <v>300000</v>
      </c>
      <c r="M100" s="164">
        <f t="shared" ref="M100:M135" ca="1" si="59">M99+X99 - AX100</f>
        <v>20000</v>
      </c>
      <c r="N100" s="164">
        <f t="shared" ca="1" si="51"/>
        <v>200</v>
      </c>
      <c r="O100" s="164">
        <f t="shared" si="54"/>
        <v>500</v>
      </c>
      <c r="P100" s="164">
        <f>ROUNDDOWN(P99+MAX(Construction!BO100/2,Construction!BO100*(1-Construction!BO100/(E100-Explore!S100*20)))-Q100*SUM(Techs!AY100:BY100),0)</f>
        <v>0</v>
      </c>
      <c r="Q100" s="166">
        <f>MAX(min_tech_cost,ROUNDDOWN(tech_cost_per_acre*Construction!E100,0))</f>
        <v>5000</v>
      </c>
      <c r="S100" s="152">
        <f t="shared" ca="1" si="46"/>
        <v>4981</v>
      </c>
      <c r="T100" s="164">
        <f t="shared" ca="1" si="35"/>
        <v>1907</v>
      </c>
      <c r="U100" s="164">
        <f t="shared" ca="1" si="36"/>
        <v>-396</v>
      </c>
      <c r="V100" s="164">
        <f t="shared" ca="1" si="37"/>
        <v>120</v>
      </c>
      <c r="W100" s="164">
        <f t="shared" ca="1" si="47"/>
        <v>0</v>
      </c>
      <c r="X100" s="164">
        <f t="shared" ca="1" si="48"/>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4">
        <f ca="1">race_food_bonus + IF(Magic!AO100&gt;0,gaias_blessing_food,IF(Magic!AG100&gt;0,gaias_watch_bonus)) + Imps!AD100+tech_production_food*Techs!W100 + O100/100*prestige_food_bonus</f>
        <v>0.1</v>
      </c>
      <c r="AJ100" s="267">
        <f ca="1">race_lumber_bonus+ IF(Magic!AO100&gt;0,gaias_blessing_lumber)+tech_fruits_of_labor1*Techs!AP100</f>
        <v>0</v>
      </c>
      <c r="AK100" s="267">
        <f ca="1">race_mana_bonus+tech_enchanted_lands_mana*Techs!AT100</f>
        <v>0</v>
      </c>
      <c r="AL100" s="267">
        <f ca="1">race_ore_bonus + IF(Magic!AL100&gt;0,miners_sight_bonus,IF(Magic!AH100&gt;0,mining_strength_bonus))+tech_fruits_of_labor1*Techs!AP100</f>
        <v>0</v>
      </c>
      <c r="AM100" s="193">
        <f ca="1">race_gem_bonus+MAX(tech_production_gems*Techs!X100,tech_fruits_of_labor_gems*Techs!AP100)</f>
        <v>0</v>
      </c>
      <c r="AO100" s="152">
        <f ca="1">I100*food_decay*IF(Magic!AZ100&gt;0,0.5,1)</f>
        <v>3347.9500000000003</v>
      </c>
      <c r="AP100" s="26">
        <f ca="1">(1+race_food_consumption)*Population!F100*food_per_person</f>
        <v>1785</v>
      </c>
      <c r="AQ100" s="164">
        <f t="shared" ca="1" si="57"/>
        <v>2896.11</v>
      </c>
      <c r="AR100" s="166">
        <f t="shared" ca="1" si="58"/>
        <v>1130.26</v>
      </c>
      <c r="AS100" s="164"/>
      <c r="AT100" s="152">
        <f ca="1">Explore!AH100+Construction!AP100+Military!AU100+Rezone!Y100+Imps!AQ100-BE100</f>
        <v>0</v>
      </c>
      <c r="AU100" s="164">
        <f>Construction!AQ100+Imps!AR100-BF100</f>
        <v>0</v>
      </c>
      <c r="AV100" s="164">
        <f>Magic!AD100</f>
        <v>0</v>
      </c>
      <c r="AW100" s="164">
        <f ca="1">Military!AV100+Imps!AS100-BG100</f>
        <v>0</v>
      </c>
      <c r="AX100" s="164">
        <f>Imps!AT100-BH100</f>
        <v>0</v>
      </c>
      <c r="AY100" s="164">
        <f ca="1">Military!AZ100</f>
        <v>0</v>
      </c>
      <c r="AZ100" s="166">
        <f ca="1">Military!BA100</f>
        <v>0</v>
      </c>
      <c r="BB100" s="152" t="b">
        <f t="shared" si="56"/>
        <v>0</v>
      </c>
      <c r="BC100" s="329"/>
      <c r="BD100" s="973">
        <v>26</v>
      </c>
      <c r="BE100" s="329"/>
      <c r="BF100" s="407"/>
      <c r="BG100" s="407"/>
      <c r="BH100" s="739"/>
      <c r="BI100" s="1031">
        <f t="shared" si="40"/>
        <v>43769.010416666431</v>
      </c>
      <c r="BJ100" s="159" t="str">
        <f t="shared" si="53"/>
        <v/>
      </c>
      <c r="BK100" s="164">
        <f t="shared" ca="1" si="49"/>
        <v>4960516</v>
      </c>
      <c r="BL100" s="164">
        <f t="shared" ca="1" si="41"/>
        <v>334795</v>
      </c>
      <c r="BM100" s="164">
        <f t="shared" ca="1" si="42"/>
        <v>289611</v>
      </c>
      <c r="BN100" s="164">
        <f t="shared" ca="1" si="43"/>
        <v>56513</v>
      </c>
      <c r="BO100" s="166">
        <f t="shared" ca="1" si="44"/>
        <v>300000</v>
      </c>
    </row>
    <row r="101" spans="1:67" s="170" customFormat="1" x14ac:dyDescent="0.25">
      <c r="A101" s="981">
        <v>27</v>
      </c>
      <c r="B101" s="812">
        <f>Imps!L101</f>
        <v>43769.020833333096</v>
      </c>
      <c r="C101" s="329"/>
      <c r="D101" s="829"/>
      <c r="E101" s="152">
        <f>Construction!E101</f>
        <v>1000</v>
      </c>
      <c r="F101" s="164">
        <f ca="1">Population!$C101</f>
        <v>1845</v>
      </c>
      <c r="G101" s="164">
        <f ca="1">Military!EM101</f>
        <v>20900</v>
      </c>
      <c r="H101" s="26">
        <f ca="1">H100+S100 - AT101 + IF(AND(C100=1,ISNUMBER(MATCH(race,plat_db,0))),Population!C100*4)</f>
        <v>4965497</v>
      </c>
      <c r="I101" s="164">
        <f ca="1">I100+T100-AY101 +  IF(AND(C100=1,ISNUMBER(MATCH(race,food_db,0))),Population!C100*4)</f>
        <v>336702</v>
      </c>
      <c r="J101" s="164">
        <f t="shared" ca="1" si="50"/>
        <v>289215</v>
      </c>
      <c r="K101" s="164">
        <f ca="1">K100+V100 - AV101 + IF(AND(C100=1,ISNUMBER(MATCH(race,mana_db,0))),Population!C100*4)</f>
        <v>56633</v>
      </c>
      <c r="L101" s="164">
        <f ca="1">L100+W100 - AW101 + IF(AND(C100=1,ISNUMBER(MATCH(race,ore_db,0))),Population!C100*4)</f>
        <v>300000</v>
      </c>
      <c r="M101" s="164">
        <f t="shared" ca="1" si="59"/>
        <v>20000</v>
      </c>
      <c r="N101" s="164">
        <f t="shared" ca="1" si="51"/>
        <v>200</v>
      </c>
      <c r="O101" s="164">
        <f t="shared" si="54"/>
        <v>500</v>
      </c>
      <c r="P101" s="164">
        <f>ROUNDDOWN(P100+MAX(Construction!BO101/2,Construction!BO101*(1-Construction!BO101/(E101-Explore!S101*20)))-Q101*SUM(Techs!AY101:BY101),0)</f>
        <v>0</v>
      </c>
      <c r="Q101" s="166">
        <f>MAX(min_tech_cost,ROUNDDOWN(tech_cost_per_acre*Construction!E101,0))</f>
        <v>5000</v>
      </c>
      <c r="S101" s="152">
        <f t="shared" ca="1" si="46"/>
        <v>4981</v>
      </c>
      <c r="T101" s="164">
        <f t="shared" ca="1" si="35"/>
        <v>1888</v>
      </c>
      <c r="U101" s="164">
        <f t="shared" ca="1" si="36"/>
        <v>-392</v>
      </c>
      <c r="V101" s="164">
        <f t="shared" ca="1" si="37"/>
        <v>117</v>
      </c>
      <c r="W101" s="164">
        <f t="shared" ca="1" si="47"/>
        <v>0</v>
      </c>
      <c r="X101" s="164">
        <f t="shared" ca="1" si="48"/>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4">
        <f ca="1">race_food_bonus + IF(Magic!AO101&gt;0,gaias_blessing_food,IF(Magic!AG101&gt;0,gaias_watch_bonus)) + Imps!AD101+tech_production_food*Techs!W101 + O101/100*prestige_food_bonus</f>
        <v>0.1</v>
      </c>
      <c r="AJ101" s="267">
        <f ca="1">race_lumber_bonus+ IF(Magic!AO101&gt;0,gaias_blessing_lumber)+tech_fruits_of_labor1*Techs!AP101</f>
        <v>0</v>
      </c>
      <c r="AK101" s="267">
        <f ca="1">race_mana_bonus+tech_enchanted_lands_mana*Techs!AT101</f>
        <v>0</v>
      </c>
      <c r="AL101" s="267">
        <f ca="1">race_ore_bonus + IF(Magic!AL101&gt;0,miners_sight_bonus,IF(Magic!AH101&gt;0,mining_strength_bonus))+tech_fruits_of_labor1*Techs!AP101</f>
        <v>0</v>
      </c>
      <c r="AM101" s="193">
        <f ca="1">race_gem_bonus+MAX(tech_production_gems*Techs!X101,tech_fruits_of_labor_gems*Techs!AP101)</f>
        <v>0</v>
      </c>
      <c r="AO101" s="152">
        <f ca="1">I101*food_decay*IF(Magic!AZ101&gt;0,0.5,1)</f>
        <v>3367.02</v>
      </c>
      <c r="AP101" s="26">
        <f ca="1">(1+race_food_consumption)*Population!F101*food_per_person</f>
        <v>1785</v>
      </c>
      <c r="AQ101" s="164">
        <f t="shared" ca="1" si="57"/>
        <v>2892.15</v>
      </c>
      <c r="AR101" s="166">
        <f t="shared" ca="1" si="58"/>
        <v>1132.6600000000001</v>
      </c>
      <c r="AS101" s="164"/>
      <c r="AT101" s="152">
        <f ca="1">Explore!AH101+Construction!AP101+Military!AU101+Rezone!Y101+Imps!AQ101-BE101</f>
        <v>0</v>
      </c>
      <c r="AU101" s="164">
        <f>Construction!AQ101+Imps!AR101-BF101</f>
        <v>0</v>
      </c>
      <c r="AV101" s="164">
        <f>Magic!AD101</f>
        <v>0</v>
      </c>
      <c r="AW101" s="164">
        <f ca="1">Military!AV101+Imps!AS101-BG101</f>
        <v>0</v>
      </c>
      <c r="AX101" s="164">
        <f>Imps!AT101-BH101</f>
        <v>0</v>
      </c>
      <c r="AY101" s="164">
        <f ca="1">Military!AZ101</f>
        <v>0</v>
      </c>
      <c r="AZ101" s="166">
        <f ca="1">Military!BA101</f>
        <v>0</v>
      </c>
      <c r="BB101" s="152" t="b">
        <f t="shared" si="56"/>
        <v>0</v>
      </c>
      <c r="BC101" s="329"/>
      <c r="BD101" s="973">
        <v>27</v>
      </c>
      <c r="BE101" s="329"/>
      <c r="BF101" s="407"/>
      <c r="BG101" s="407"/>
      <c r="BH101" s="739"/>
      <c r="BI101" s="1031">
        <f t="shared" si="40"/>
        <v>43769.020833333096</v>
      </c>
      <c r="BJ101" s="159" t="str">
        <f t="shared" si="53"/>
        <v/>
      </c>
      <c r="BK101" s="26">
        <f t="shared" ca="1" si="49"/>
        <v>4965497</v>
      </c>
      <c r="BL101" s="164">
        <f t="shared" ca="1" si="41"/>
        <v>336702</v>
      </c>
      <c r="BM101" s="164">
        <f t="shared" ca="1" si="42"/>
        <v>289215</v>
      </c>
      <c r="BN101" s="164">
        <f t="shared" ca="1" si="43"/>
        <v>56633</v>
      </c>
      <c r="BO101" s="166">
        <f t="shared" ca="1" si="44"/>
        <v>300000</v>
      </c>
    </row>
    <row r="102" spans="1:67" s="16" customFormat="1" x14ac:dyDescent="0.25">
      <c r="A102" s="982">
        <v>28</v>
      </c>
      <c r="B102" s="812">
        <f>Imps!L102</f>
        <v>43769.03124999976</v>
      </c>
      <c r="C102" s="332"/>
      <c r="D102" s="830"/>
      <c r="E102" s="56">
        <f>Construction!E102</f>
        <v>1000</v>
      </c>
      <c r="F102" s="26">
        <f ca="1">Population!$C102</f>
        <v>1845</v>
      </c>
      <c r="G102" s="26">
        <f ca="1">Military!EM102</f>
        <v>20900</v>
      </c>
      <c r="H102" s="26">
        <f ca="1">H101+S101 - AT102 + IF(AND(C101=1,ISNUMBER(MATCH(race,plat_db,0))),Population!C101*4)</f>
        <v>4970478</v>
      </c>
      <c r="I102" s="26">
        <f ca="1">I101+T101-AY102 +  IF(AND(C101=1,ISNUMBER(MATCH(race,food_db,0))),Population!C101*4)</f>
        <v>338590</v>
      </c>
      <c r="J102" s="26">
        <f t="shared" ca="1" si="50"/>
        <v>288823</v>
      </c>
      <c r="K102" s="26">
        <f ca="1">K101+V101 - AV102 + IF(AND(C101=1,ISNUMBER(MATCH(race,mana_db,0))),Population!C101*4)</f>
        <v>56750</v>
      </c>
      <c r="L102" s="26">
        <f ca="1">L101+W101 - AW102 + IF(AND(C101=1,ISNUMBER(MATCH(race,ore_db,0))),Population!C101*4)</f>
        <v>300000</v>
      </c>
      <c r="M102" s="26">
        <f t="shared" ca="1" si="59"/>
        <v>20000</v>
      </c>
      <c r="N102" s="26">
        <f t="shared" ca="1" si="51"/>
        <v>200</v>
      </c>
      <c r="O102" s="26">
        <f t="shared" si="54"/>
        <v>500</v>
      </c>
      <c r="P102" s="26">
        <f>ROUNDDOWN(P101+MAX(Construction!BO102/2,Construction!BO102*(1-Construction!BO102/(E102-Explore!S102*20)))-Q102*SUM(Techs!AY102:BY102),0)</f>
        <v>0</v>
      </c>
      <c r="Q102" s="166">
        <f>MAX(min_tech_cost,ROUNDDOWN(tech_cost_per_acre*Construction!E102,0))</f>
        <v>5000</v>
      </c>
      <c r="S102" s="152">
        <f t="shared" ca="1" si="46"/>
        <v>4981</v>
      </c>
      <c r="T102" s="164">
        <f t="shared" ca="1" si="35"/>
        <v>1869</v>
      </c>
      <c r="U102" s="164">
        <f t="shared" ca="1" si="36"/>
        <v>-388</v>
      </c>
      <c r="V102" s="164">
        <f t="shared" ca="1" si="37"/>
        <v>115</v>
      </c>
      <c r="W102" s="164">
        <f t="shared" ca="1" si="47"/>
        <v>0</v>
      </c>
      <c r="X102" s="164">
        <f t="shared" ca="1" si="48"/>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4">
        <f ca="1">race_food_bonus + IF(Magic!AO102&gt;0,gaias_blessing_food,IF(Magic!AG102&gt;0,gaias_watch_bonus)) + Imps!AD102+tech_production_food*Techs!W102 + O102/100*prestige_food_bonus</f>
        <v>0.1</v>
      </c>
      <c r="AJ102" s="267">
        <f ca="1">race_lumber_bonus+ IF(Magic!AO102&gt;0,gaias_blessing_lumber)+tech_fruits_of_labor1*Techs!AP102</f>
        <v>0</v>
      </c>
      <c r="AK102" s="267">
        <f ca="1">race_mana_bonus+tech_enchanted_lands_mana*Techs!AT102</f>
        <v>0</v>
      </c>
      <c r="AL102" s="267">
        <f ca="1">race_ore_bonus + IF(Magic!AL102&gt;0,miners_sight_bonus,IF(Magic!AH102&gt;0,mining_strength_bonus))+tech_fruits_of_labor1*Techs!AP102</f>
        <v>0</v>
      </c>
      <c r="AM102" s="193">
        <f ca="1">race_gem_bonus+MAX(tech_production_gems*Techs!X102,tech_fruits_of_labor_gems*Techs!AP102)</f>
        <v>0</v>
      </c>
      <c r="AO102" s="56">
        <f ca="1">I102*food_decay*IF(Magic!AZ102&gt;0,0.5,1)</f>
        <v>3385.9</v>
      </c>
      <c r="AP102" s="26">
        <f ca="1">(1+race_food_consumption)*Population!F102*food_per_person</f>
        <v>1785</v>
      </c>
      <c r="AQ102" s="26">
        <f t="shared" ca="1" si="57"/>
        <v>2888.23</v>
      </c>
      <c r="AR102" s="57">
        <f t="shared" ca="1" si="58"/>
        <v>1135</v>
      </c>
      <c r="AS102" s="26"/>
      <c r="AT102" s="56">
        <f ca="1">Explore!AH102+Construction!AP102+Military!AU102+Rezone!Y102+Imps!AQ102-BE102</f>
        <v>0</v>
      </c>
      <c r="AU102" s="26">
        <f>Construction!AQ102+Imps!AR102-BF102</f>
        <v>0</v>
      </c>
      <c r="AV102" s="26">
        <f>Magic!AD102</f>
        <v>0</v>
      </c>
      <c r="AW102" s="26">
        <f ca="1">Military!AV102+Imps!AS102-BG102</f>
        <v>0</v>
      </c>
      <c r="AX102" s="26">
        <f>Imps!AT102-BH102</f>
        <v>0</v>
      </c>
      <c r="AY102" s="26">
        <f ca="1">Military!AZ102</f>
        <v>0</v>
      </c>
      <c r="AZ102" s="57">
        <f ca="1">Military!BA102</f>
        <v>0</v>
      </c>
      <c r="BB102" s="56" t="b">
        <f t="shared" si="56"/>
        <v>0</v>
      </c>
      <c r="BC102" s="332"/>
      <c r="BD102" s="974">
        <v>28</v>
      </c>
      <c r="BE102" s="332"/>
      <c r="BF102" s="370"/>
      <c r="BG102" s="370"/>
      <c r="BH102" s="740"/>
      <c r="BI102" s="1031">
        <f t="shared" si="40"/>
        <v>43769.03124999976</v>
      </c>
      <c r="BJ102" s="159" t="str">
        <f t="shared" si="53"/>
        <v/>
      </c>
      <c r="BK102" s="26">
        <f t="shared" ca="1" si="49"/>
        <v>4970478</v>
      </c>
      <c r="BL102" s="26">
        <f t="shared" ca="1" si="41"/>
        <v>338590</v>
      </c>
      <c r="BM102" s="26">
        <f t="shared" ca="1" si="42"/>
        <v>288823</v>
      </c>
      <c r="BN102" s="26">
        <f t="shared" ca="1" si="43"/>
        <v>56750</v>
      </c>
      <c r="BO102" s="57">
        <f t="shared" ca="1" si="44"/>
        <v>300000</v>
      </c>
    </row>
    <row r="103" spans="1:67" s="16" customFormat="1" x14ac:dyDescent="0.25">
      <c r="A103" s="982">
        <v>29</v>
      </c>
      <c r="B103" s="812">
        <f>Imps!L103</f>
        <v>43769.041666666424</v>
      </c>
      <c r="C103" s="332"/>
      <c r="D103" s="830"/>
      <c r="E103" s="56">
        <f>Construction!E103</f>
        <v>1000</v>
      </c>
      <c r="F103" s="26">
        <f ca="1">Population!$C103</f>
        <v>1845</v>
      </c>
      <c r="G103" s="26">
        <f ca="1">Military!EM103</f>
        <v>20900</v>
      </c>
      <c r="H103" s="26">
        <f ca="1">H102+S102 - AT103 + IF(AND(C102=1,ISNUMBER(MATCH(race,plat_db,0))),Population!C102*4)</f>
        <v>4975459</v>
      </c>
      <c r="I103" s="26">
        <f ca="1">I102+T102-AY103 +  IF(AND(C102=1,ISNUMBER(MATCH(race,food_db,0))),Population!C102*4)</f>
        <v>340459</v>
      </c>
      <c r="J103" s="26">
        <f t="shared" ca="1" si="50"/>
        <v>288435</v>
      </c>
      <c r="K103" s="26">
        <f ca="1">K102+V102 - AV103 + IF(AND(C102=1,ISNUMBER(MATCH(race,mana_db,0))),Population!C102*4)</f>
        <v>56865</v>
      </c>
      <c r="L103" s="26">
        <f ca="1">L102+W102 - AW103 + IF(AND(C102=1,ISNUMBER(MATCH(race,ore_db,0))),Population!C102*4)</f>
        <v>300000</v>
      </c>
      <c r="M103" s="26">
        <f t="shared" ca="1" si="59"/>
        <v>20000</v>
      </c>
      <c r="N103" s="26">
        <f t="shared" ca="1" si="51"/>
        <v>200</v>
      </c>
      <c r="O103" s="26">
        <f t="shared" si="54"/>
        <v>500</v>
      </c>
      <c r="P103" s="26">
        <f>ROUNDDOWN(P102+MAX(Construction!BO103/2,Construction!BO103*(1-Construction!BO103/(E103-Explore!S103*20)))-Q103*SUM(Techs!AY103:BY103),0)</f>
        <v>0</v>
      </c>
      <c r="Q103" s="166">
        <f>MAX(min_tech_cost,ROUNDDOWN(tech_cost_per_acre*Construction!E103,0))</f>
        <v>5000</v>
      </c>
      <c r="S103" s="152">
        <f t="shared" ca="1" si="46"/>
        <v>4981</v>
      </c>
      <c r="T103" s="164">
        <f t="shared" ca="1" si="35"/>
        <v>1850</v>
      </c>
      <c r="U103" s="164">
        <f t="shared" ca="1" si="36"/>
        <v>-384</v>
      </c>
      <c r="V103" s="164">
        <f t="shared" ca="1" si="37"/>
        <v>113</v>
      </c>
      <c r="W103" s="164">
        <f t="shared" ca="1" si="47"/>
        <v>0</v>
      </c>
      <c r="X103" s="164">
        <f t="shared" ca="1" si="48"/>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4">
        <f ca="1">race_food_bonus + IF(Magic!AO103&gt;0,gaias_blessing_food,IF(Magic!AG103&gt;0,gaias_watch_bonus)) + Imps!AD103+tech_production_food*Techs!W103 + O103/100*prestige_food_bonus</f>
        <v>0.1</v>
      </c>
      <c r="AJ103" s="267">
        <f ca="1">race_lumber_bonus+ IF(Magic!AO103&gt;0,gaias_blessing_lumber)+tech_fruits_of_labor1*Techs!AP103</f>
        <v>0</v>
      </c>
      <c r="AK103" s="267">
        <f ca="1">race_mana_bonus+tech_enchanted_lands_mana*Techs!AT103</f>
        <v>0</v>
      </c>
      <c r="AL103" s="267">
        <f ca="1">race_ore_bonus + IF(Magic!AL103&gt;0,miners_sight_bonus,IF(Magic!AH103&gt;0,mining_strength_bonus))+tech_fruits_of_labor1*Techs!AP103</f>
        <v>0</v>
      </c>
      <c r="AM103" s="193">
        <f ca="1">race_gem_bonus+MAX(tech_production_gems*Techs!X103,tech_fruits_of_labor_gems*Techs!AP103)</f>
        <v>0</v>
      </c>
      <c r="AO103" s="56">
        <f ca="1">I103*food_decay*IF(Magic!AZ103&gt;0,0.5,1)</f>
        <v>3404.59</v>
      </c>
      <c r="AP103" s="26">
        <f ca="1">(1+race_food_consumption)*Population!F103*food_per_person</f>
        <v>1785</v>
      </c>
      <c r="AQ103" s="26">
        <f t="shared" ca="1" si="57"/>
        <v>2884.35</v>
      </c>
      <c r="AR103" s="57">
        <f t="shared" ca="1" si="58"/>
        <v>1137.3</v>
      </c>
      <c r="AS103" s="26"/>
      <c r="AT103" s="56">
        <f ca="1">Explore!AH103+Construction!AP103+Military!AU103+Rezone!Y103+Imps!AQ103-BE103</f>
        <v>0</v>
      </c>
      <c r="AU103" s="26">
        <f>Construction!AQ103+Imps!AR103-BF103</f>
        <v>0</v>
      </c>
      <c r="AV103" s="26">
        <f>Magic!AD103</f>
        <v>0</v>
      </c>
      <c r="AW103" s="26">
        <f ca="1">Military!AV103+Imps!AS103-BG103</f>
        <v>0</v>
      </c>
      <c r="AX103" s="26">
        <f>Imps!AT103-BH103</f>
        <v>0</v>
      </c>
      <c r="AY103" s="26">
        <f ca="1">Military!AZ103</f>
        <v>0</v>
      </c>
      <c r="AZ103" s="57">
        <f ca="1">Military!BA103</f>
        <v>0</v>
      </c>
      <c r="BB103" s="56" t="b">
        <f t="shared" si="56"/>
        <v>0</v>
      </c>
      <c r="BC103" s="332"/>
      <c r="BD103" s="974">
        <v>29</v>
      </c>
      <c r="BE103" s="332"/>
      <c r="BF103" s="370"/>
      <c r="BG103" s="370"/>
      <c r="BH103" s="740"/>
      <c r="BI103" s="1031">
        <f t="shared" si="40"/>
        <v>43769.041666666424</v>
      </c>
      <c r="BJ103" s="159" t="str">
        <f t="shared" si="53"/>
        <v/>
      </c>
      <c r="BK103" s="26">
        <f t="shared" ca="1" si="49"/>
        <v>4975459</v>
      </c>
      <c r="BL103" s="26">
        <f t="shared" ca="1" si="41"/>
        <v>340459</v>
      </c>
      <c r="BM103" s="26">
        <f t="shared" ca="1" si="42"/>
        <v>288435</v>
      </c>
      <c r="BN103" s="26">
        <f t="shared" ca="1" si="43"/>
        <v>56865</v>
      </c>
      <c r="BO103" s="57">
        <f t="shared" ca="1" si="44"/>
        <v>300000</v>
      </c>
    </row>
    <row r="104" spans="1:67" s="16" customFormat="1" x14ac:dyDescent="0.25">
      <c r="A104" s="982">
        <v>30</v>
      </c>
      <c r="B104" s="812">
        <f>Imps!L104</f>
        <v>43769.052083333088</v>
      </c>
      <c r="C104" s="332"/>
      <c r="D104" s="830"/>
      <c r="E104" s="56">
        <f>Construction!E104</f>
        <v>1000</v>
      </c>
      <c r="F104" s="26">
        <f ca="1">Population!$C104</f>
        <v>1845</v>
      </c>
      <c r="G104" s="26">
        <f ca="1">Military!EM104</f>
        <v>20900</v>
      </c>
      <c r="H104" s="26">
        <f ca="1">H103+S103 - AT104 + IF(AND(C103=1,ISNUMBER(MATCH(race,plat_db,0))),Population!C103*4)</f>
        <v>4980440</v>
      </c>
      <c r="I104" s="26">
        <f ca="1">I103+T103-AY104 +  IF(AND(C103=1,ISNUMBER(MATCH(race,food_db,0))),Population!C103*4)</f>
        <v>342309</v>
      </c>
      <c r="J104" s="26">
        <f t="shared" ca="1" si="50"/>
        <v>288051</v>
      </c>
      <c r="K104" s="26">
        <f ca="1">K103+V103 - AV104 + IF(AND(C103=1,ISNUMBER(MATCH(race,mana_db,0))),Population!C103*4)</f>
        <v>56978</v>
      </c>
      <c r="L104" s="26">
        <f ca="1">L103+W103 - AW104 + IF(AND(C103=1,ISNUMBER(MATCH(race,ore_db,0))),Population!C103*4)</f>
        <v>300000</v>
      </c>
      <c r="M104" s="26">
        <f t="shared" ca="1" si="59"/>
        <v>20000</v>
      </c>
      <c r="N104" s="26">
        <f t="shared" ca="1" si="51"/>
        <v>200</v>
      </c>
      <c r="O104" s="26">
        <f t="shared" si="54"/>
        <v>500</v>
      </c>
      <c r="P104" s="26">
        <f>ROUNDDOWN(P103+MAX(Construction!BO104/2,Construction!BO104*(1-Construction!BO104/(E104-Explore!S104*20)))-Q104*SUM(Techs!AY104:BY104),0)</f>
        <v>0</v>
      </c>
      <c r="Q104" s="166">
        <f>MAX(min_tech_cost,ROUNDDOWN(tech_cost_per_acre*Construction!E104,0))</f>
        <v>5000</v>
      </c>
      <c r="S104" s="152">
        <f t="shared" ca="1" si="46"/>
        <v>4981</v>
      </c>
      <c r="T104" s="164">
        <f t="shared" ca="1" si="35"/>
        <v>1832</v>
      </c>
      <c r="U104" s="164">
        <f t="shared" ca="1" si="36"/>
        <v>-381</v>
      </c>
      <c r="V104" s="164">
        <f t="shared" ca="1" si="37"/>
        <v>110</v>
      </c>
      <c r="W104" s="164">
        <f t="shared" ca="1" si="47"/>
        <v>0</v>
      </c>
      <c r="X104" s="164">
        <f t="shared" ca="1" si="48"/>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4">
        <f ca="1">race_food_bonus + IF(Magic!AO104&gt;0,gaias_blessing_food,IF(Magic!AG104&gt;0,gaias_watch_bonus)) + Imps!AD104+tech_production_food*Techs!W104 + O104/100*prestige_food_bonus</f>
        <v>0.1</v>
      </c>
      <c r="AJ104" s="267">
        <f ca="1">race_lumber_bonus+ IF(Magic!AO104&gt;0,gaias_blessing_lumber)+tech_fruits_of_labor1*Techs!AP104</f>
        <v>0</v>
      </c>
      <c r="AK104" s="267">
        <f ca="1">race_mana_bonus+tech_enchanted_lands_mana*Techs!AT104</f>
        <v>0</v>
      </c>
      <c r="AL104" s="267">
        <f ca="1">race_ore_bonus + IF(Magic!AL104&gt;0,miners_sight_bonus,IF(Magic!AH104&gt;0,mining_strength_bonus))+tech_fruits_of_labor1*Techs!AP104</f>
        <v>0</v>
      </c>
      <c r="AM104" s="193">
        <f ca="1">race_gem_bonus+MAX(tech_production_gems*Techs!X104,tech_fruits_of_labor_gems*Techs!AP104)</f>
        <v>0</v>
      </c>
      <c r="AO104" s="56">
        <f ca="1">I104*food_decay*IF(Magic!AZ104&gt;0,0.5,1)</f>
        <v>3423.09</v>
      </c>
      <c r="AP104" s="26">
        <f ca="1">(1+race_food_consumption)*Population!F104*food_per_person</f>
        <v>1785</v>
      </c>
      <c r="AQ104" s="26">
        <f t="shared" ca="1" si="57"/>
        <v>2880.51</v>
      </c>
      <c r="AR104" s="57">
        <f t="shared" ca="1" si="58"/>
        <v>1139.56</v>
      </c>
      <c r="AS104" s="26"/>
      <c r="AT104" s="56">
        <f ca="1">Explore!AH104+Construction!AP104+Military!AU104+Rezone!Y104+Imps!AQ104-BE104</f>
        <v>0</v>
      </c>
      <c r="AU104" s="26">
        <f>Construction!AQ104+Imps!AR104-BF104</f>
        <v>0</v>
      </c>
      <c r="AV104" s="26">
        <f>Magic!AD104</f>
        <v>0</v>
      </c>
      <c r="AW104" s="26">
        <f ca="1">Military!AV104+Imps!AS104-BG104</f>
        <v>0</v>
      </c>
      <c r="AX104" s="26">
        <f>Imps!AT104-BH104</f>
        <v>0</v>
      </c>
      <c r="AY104" s="26">
        <f ca="1">Military!AZ104</f>
        <v>0</v>
      </c>
      <c r="AZ104" s="57">
        <f ca="1">Military!BA104</f>
        <v>0</v>
      </c>
      <c r="BB104" s="56" t="b">
        <f t="shared" si="56"/>
        <v>0</v>
      </c>
      <c r="BC104" s="332"/>
      <c r="BD104" s="974">
        <v>30</v>
      </c>
      <c r="BE104" s="332"/>
      <c r="BF104" s="370"/>
      <c r="BG104" s="370"/>
      <c r="BH104" s="740"/>
      <c r="BI104" s="1031">
        <f t="shared" si="40"/>
        <v>43769.052083333088</v>
      </c>
      <c r="BJ104" s="159" t="str">
        <f t="shared" si="53"/>
        <v/>
      </c>
      <c r="BK104" s="26">
        <f t="shared" ca="1" si="49"/>
        <v>4980440</v>
      </c>
      <c r="BL104" s="26">
        <f t="shared" ca="1" si="41"/>
        <v>342309</v>
      </c>
      <c r="BM104" s="26">
        <f t="shared" ca="1" si="42"/>
        <v>288051</v>
      </c>
      <c r="BN104" s="26">
        <f t="shared" ca="1" si="43"/>
        <v>56978</v>
      </c>
      <c r="BO104" s="57">
        <f t="shared" ca="1" si="44"/>
        <v>300000</v>
      </c>
    </row>
    <row r="105" spans="1:67" s="16" customFormat="1" x14ac:dyDescent="0.25">
      <c r="A105" s="982">
        <v>31</v>
      </c>
      <c r="B105" s="812">
        <f>Imps!L105</f>
        <v>43769.062499999753</v>
      </c>
      <c r="C105" s="332"/>
      <c r="D105" s="830"/>
      <c r="E105" s="56">
        <f>Construction!E105</f>
        <v>1000</v>
      </c>
      <c r="F105" s="26">
        <f ca="1">Population!$C105</f>
        <v>1845</v>
      </c>
      <c r="G105" s="26">
        <f ca="1">Military!EM105</f>
        <v>20900</v>
      </c>
      <c r="H105" s="26">
        <f ca="1">H104+S104 - AT105 + IF(AND(C104=1,ISNUMBER(MATCH(race,plat_db,0))),Population!C104*4)</f>
        <v>4985421</v>
      </c>
      <c r="I105" s="26">
        <f ca="1">I104+T104-AY105 +  IF(AND(C104=1,ISNUMBER(MATCH(race,food_db,0))),Population!C104*4)</f>
        <v>344141</v>
      </c>
      <c r="J105" s="26">
        <f t="shared" ca="1" si="50"/>
        <v>287670</v>
      </c>
      <c r="K105" s="26">
        <f ca="1">K104+V104 - AV105 + IF(AND(C104=1,ISNUMBER(MATCH(race,mana_db,0))),Population!C104*4)</f>
        <v>57088</v>
      </c>
      <c r="L105" s="26">
        <f ca="1">L104+W104 - AW105 + IF(AND(C104=1,ISNUMBER(MATCH(race,ore_db,0))),Population!C104*4)</f>
        <v>300000</v>
      </c>
      <c r="M105" s="26">
        <f t="shared" ca="1" si="59"/>
        <v>20000</v>
      </c>
      <c r="N105" s="26">
        <f t="shared" ca="1" si="51"/>
        <v>200</v>
      </c>
      <c r="O105" s="26">
        <f t="shared" si="54"/>
        <v>500</v>
      </c>
      <c r="P105" s="26">
        <f>ROUNDDOWN(P104+MAX(Construction!BO105/2,Construction!BO105*(1-Construction!BO105/(E105-Explore!S105*20)))-Q105*SUM(Techs!AY105:BY105),0)</f>
        <v>0</v>
      </c>
      <c r="Q105" s="166">
        <f>MAX(min_tech_cost,ROUNDDOWN(tech_cost_per_acre*Construction!E105,0))</f>
        <v>5000</v>
      </c>
      <c r="S105" s="152">
        <f t="shared" ca="1" si="46"/>
        <v>4981</v>
      </c>
      <c r="T105" s="164">
        <f t="shared" ca="1" si="35"/>
        <v>1814</v>
      </c>
      <c r="U105" s="164">
        <f t="shared" ca="1" si="36"/>
        <v>-377</v>
      </c>
      <c r="V105" s="164">
        <f t="shared" ca="1" si="37"/>
        <v>108</v>
      </c>
      <c r="W105" s="164">
        <f t="shared" ca="1" si="47"/>
        <v>0</v>
      </c>
      <c r="X105" s="164">
        <f t="shared" ca="1" si="48"/>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4">
        <f ca="1">race_food_bonus + IF(Magic!AO105&gt;0,gaias_blessing_food,IF(Magic!AG105&gt;0,gaias_watch_bonus)) + Imps!AD105+tech_production_food*Techs!W105 + O105/100*prestige_food_bonus</f>
        <v>0.1</v>
      </c>
      <c r="AJ105" s="267">
        <f ca="1">race_lumber_bonus+ IF(Magic!AO105&gt;0,gaias_blessing_lumber)+tech_fruits_of_labor1*Techs!AP105</f>
        <v>0</v>
      </c>
      <c r="AK105" s="267">
        <f ca="1">race_mana_bonus+tech_enchanted_lands_mana*Techs!AT105</f>
        <v>0</v>
      </c>
      <c r="AL105" s="267">
        <f ca="1">race_ore_bonus + IF(Magic!AL105&gt;0,miners_sight_bonus,IF(Magic!AH105&gt;0,mining_strength_bonus))+tech_fruits_of_labor1*Techs!AP105</f>
        <v>0</v>
      </c>
      <c r="AM105" s="193">
        <f ca="1">race_gem_bonus+MAX(tech_production_gems*Techs!X105,tech_fruits_of_labor_gems*Techs!AP105)</f>
        <v>0</v>
      </c>
      <c r="AO105" s="56">
        <f ca="1">I105*food_decay*IF(Magic!AZ105&gt;0,0.5,1)</f>
        <v>3441.41</v>
      </c>
      <c r="AP105" s="26">
        <f ca="1">(1+race_food_consumption)*Population!F105*food_per_person</f>
        <v>1785</v>
      </c>
      <c r="AQ105" s="26">
        <f t="shared" ca="1" si="57"/>
        <v>2876.7000000000003</v>
      </c>
      <c r="AR105" s="57">
        <f t="shared" ca="1" si="58"/>
        <v>1141.76</v>
      </c>
      <c r="AS105" s="26"/>
      <c r="AT105" s="56">
        <f ca="1">Explore!AH105+Construction!AP105+Military!AU105+Rezone!Y105+Imps!AQ105-BE105</f>
        <v>0</v>
      </c>
      <c r="AU105" s="26">
        <f>Construction!AQ105+Imps!AR105-BF105</f>
        <v>0</v>
      </c>
      <c r="AV105" s="26">
        <f>Magic!AD105</f>
        <v>0</v>
      </c>
      <c r="AW105" s="26">
        <f ca="1">Military!AV105+Imps!AS105-BG105</f>
        <v>0</v>
      </c>
      <c r="AX105" s="26">
        <f>Imps!AT105-BH105</f>
        <v>0</v>
      </c>
      <c r="AY105" s="26">
        <f ca="1">Military!AZ105</f>
        <v>0</v>
      </c>
      <c r="AZ105" s="57">
        <f ca="1">Military!BA105</f>
        <v>0</v>
      </c>
      <c r="BB105" s="56" t="b">
        <f t="shared" si="56"/>
        <v>0</v>
      </c>
      <c r="BC105" s="332"/>
      <c r="BD105" s="974">
        <v>31</v>
      </c>
      <c r="BE105" s="332"/>
      <c r="BF105" s="370"/>
      <c r="BG105" s="370"/>
      <c r="BH105" s="740"/>
      <c r="BI105" s="1031">
        <f t="shared" si="40"/>
        <v>43769.062499999753</v>
      </c>
      <c r="BJ105" s="159" t="str">
        <f t="shared" si="53"/>
        <v/>
      </c>
      <c r="BK105" s="26">
        <f t="shared" ca="1" si="49"/>
        <v>4985421</v>
      </c>
      <c r="BL105" s="26">
        <f t="shared" ca="1" si="41"/>
        <v>344141</v>
      </c>
      <c r="BM105" s="26">
        <f t="shared" ca="1" si="42"/>
        <v>287670</v>
      </c>
      <c r="BN105" s="26">
        <f t="shared" ca="1" si="43"/>
        <v>57088</v>
      </c>
      <c r="BO105" s="57">
        <f t="shared" ca="1" si="44"/>
        <v>300000</v>
      </c>
    </row>
    <row r="106" spans="1:67" s="16" customFormat="1" x14ac:dyDescent="0.25">
      <c r="A106" s="982">
        <v>32</v>
      </c>
      <c r="B106" s="812">
        <f>Imps!L106</f>
        <v>43769.072916666417</v>
      </c>
      <c r="C106" s="332"/>
      <c r="D106" s="830"/>
      <c r="E106" s="56">
        <f>Construction!E106</f>
        <v>1000</v>
      </c>
      <c r="F106" s="26">
        <f ca="1">Population!$C106</f>
        <v>1845</v>
      </c>
      <c r="G106" s="26">
        <f ca="1">Military!EM106</f>
        <v>20900</v>
      </c>
      <c r="H106" s="26">
        <f ca="1">H105+S105 - AT106 + IF(AND(C105=1,ISNUMBER(MATCH(race,plat_db,0))),Population!C105*4)</f>
        <v>4990402</v>
      </c>
      <c r="I106" s="26">
        <f ca="1">I105+T105-AY106 +  IF(AND(C105=1,ISNUMBER(MATCH(race,food_db,0))),Population!C105*4)</f>
        <v>345955</v>
      </c>
      <c r="J106" s="26">
        <f t="shared" ca="1" si="50"/>
        <v>287293</v>
      </c>
      <c r="K106" s="26">
        <f ca="1">K105+V105 - AV106 + IF(AND(C105=1,ISNUMBER(MATCH(race,mana_db,0))),Population!C105*4)</f>
        <v>57196</v>
      </c>
      <c r="L106" s="26">
        <f ca="1">L105+W105 - AW106 + IF(AND(C105=1,ISNUMBER(MATCH(race,ore_db,0))),Population!C105*4)</f>
        <v>300000</v>
      </c>
      <c r="M106" s="26">
        <f t="shared" ca="1" si="59"/>
        <v>20000</v>
      </c>
      <c r="N106" s="26">
        <f t="shared" ca="1" si="51"/>
        <v>200</v>
      </c>
      <c r="O106" s="26">
        <f t="shared" si="54"/>
        <v>500</v>
      </c>
      <c r="P106" s="26">
        <f>ROUNDDOWN(P105+MAX(Construction!BO106/2,Construction!BO106*(1-Construction!BO106/(E106-Explore!S106*20)))-Q106*SUM(Techs!AY106:BY106),0)</f>
        <v>0</v>
      </c>
      <c r="Q106" s="166">
        <f>MAX(min_tech_cost,ROUNDDOWN(tech_cost_per_acre*Construction!E106,0))</f>
        <v>5000</v>
      </c>
      <c r="S106" s="152">
        <f t="shared" ca="1" si="46"/>
        <v>4981</v>
      </c>
      <c r="T106" s="164">
        <f t="shared" ca="1" si="35"/>
        <v>1795</v>
      </c>
      <c r="U106" s="164">
        <f t="shared" ca="1" si="36"/>
        <v>-373</v>
      </c>
      <c r="V106" s="164">
        <f t="shared" ca="1" si="37"/>
        <v>106</v>
      </c>
      <c r="W106" s="164">
        <f t="shared" ca="1" si="47"/>
        <v>0</v>
      </c>
      <c r="X106" s="164">
        <f t="shared" ca="1" si="48"/>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4">
        <f ca="1">race_food_bonus + IF(Magic!AO106&gt;0,gaias_blessing_food,IF(Magic!AG106&gt;0,gaias_watch_bonus)) + Imps!AD106+tech_production_food*Techs!W106 + O106/100*prestige_food_bonus</f>
        <v>0.1</v>
      </c>
      <c r="AJ106" s="267">
        <f ca="1">race_lumber_bonus+ IF(Magic!AO106&gt;0,gaias_blessing_lumber)+tech_fruits_of_labor1*Techs!AP106</f>
        <v>0</v>
      </c>
      <c r="AK106" s="267">
        <f ca="1">race_mana_bonus+tech_enchanted_lands_mana*Techs!AT106</f>
        <v>0</v>
      </c>
      <c r="AL106" s="267">
        <f ca="1">race_ore_bonus + IF(Magic!AL106&gt;0,miners_sight_bonus,IF(Magic!AH106&gt;0,mining_strength_bonus))+tech_fruits_of_labor1*Techs!AP106</f>
        <v>0</v>
      </c>
      <c r="AM106" s="193">
        <f ca="1">race_gem_bonus+MAX(tech_production_gems*Techs!X106,tech_fruits_of_labor_gems*Techs!AP106)</f>
        <v>0</v>
      </c>
      <c r="AO106" s="56">
        <f ca="1">I106*food_decay*IF(Magic!AZ106&gt;0,0.5,1)</f>
        <v>3459.55</v>
      </c>
      <c r="AP106" s="26">
        <f ca="1">(1+race_food_consumption)*Population!F106*food_per_person</f>
        <v>1785</v>
      </c>
      <c r="AQ106" s="26">
        <f t="shared" ca="1" si="57"/>
        <v>2872.93</v>
      </c>
      <c r="AR106" s="57">
        <f t="shared" ca="1" si="58"/>
        <v>1143.92</v>
      </c>
      <c r="AS106" s="26"/>
      <c r="AT106" s="56">
        <f ca="1">Explore!AH106+Construction!AP106+Military!AU106+Rezone!Y106+Imps!AQ106-BE106</f>
        <v>0</v>
      </c>
      <c r="AU106" s="26">
        <f>Construction!AQ106+Imps!AR106-BF106</f>
        <v>0</v>
      </c>
      <c r="AV106" s="26">
        <f>Magic!AD106</f>
        <v>0</v>
      </c>
      <c r="AW106" s="26">
        <f ca="1">Military!AV106+Imps!AS106-BG106</f>
        <v>0</v>
      </c>
      <c r="AX106" s="26">
        <f>Imps!AT106-BH106</f>
        <v>0</v>
      </c>
      <c r="AY106" s="26">
        <f ca="1">Military!AZ106</f>
        <v>0</v>
      </c>
      <c r="AZ106" s="57">
        <f ca="1">Military!BA106</f>
        <v>0</v>
      </c>
      <c r="BB106" s="56" t="b">
        <f t="shared" si="56"/>
        <v>0</v>
      </c>
      <c r="BC106" s="332"/>
      <c r="BD106" s="974">
        <v>32</v>
      </c>
      <c r="BE106" s="332"/>
      <c r="BF106" s="370"/>
      <c r="BG106" s="370"/>
      <c r="BH106" s="740"/>
      <c r="BI106" s="1031">
        <f t="shared" si="40"/>
        <v>43769.072916666417</v>
      </c>
      <c r="BJ106" s="159" t="str">
        <f t="shared" si="53"/>
        <v/>
      </c>
      <c r="BK106" s="26">
        <f t="shared" ca="1" si="49"/>
        <v>4990402</v>
      </c>
      <c r="BL106" s="26">
        <f t="shared" ca="1" si="41"/>
        <v>345955</v>
      </c>
      <c r="BM106" s="26">
        <f t="shared" ca="1" si="42"/>
        <v>287293</v>
      </c>
      <c r="BN106" s="26">
        <f t="shared" ca="1" si="43"/>
        <v>57196</v>
      </c>
      <c r="BO106" s="57">
        <f t="shared" ca="1" si="44"/>
        <v>300000</v>
      </c>
    </row>
    <row r="107" spans="1:67" s="16" customFormat="1" x14ac:dyDescent="0.25">
      <c r="A107" s="982">
        <v>33</v>
      </c>
      <c r="B107" s="812">
        <f>Imps!L107</f>
        <v>43769.083333333081</v>
      </c>
      <c r="C107" s="332"/>
      <c r="D107" s="830"/>
      <c r="E107" s="56">
        <f>Construction!E107</f>
        <v>1000</v>
      </c>
      <c r="F107" s="26">
        <f ca="1">Population!$C107</f>
        <v>1845</v>
      </c>
      <c r="G107" s="26">
        <f ca="1">Military!EM107</f>
        <v>20900</v>
      </c>
      <c r="H107" s="26">
        <f ca="1">H106+S106 - AT107 + IF(AND(C106=1,ISNUMBER(MATCH(race,plat_db,0))),Population!C106*4)</f>
        <v>4995383</v>
      </c>
      <c r="I107" s="26">
        <f ca="1">I106+T106-AY107 +  IF(AND(C106=1,ISNUMBER(MATCH(race,food_db,0))),Population!C106*4)</f>
        <v>347750</v>
      </c>
      <c r="J107" s="26">
        <f t="shared" ca="1" si="50"/>
        <v>286920</v>
      </c>
      <c r="K107" s="26">
        <f ca="1">K106+V106 - AV107 + IF(AND(C106=1,ISNUMBER(MATCH(race,mana_db,0))),Population!C106*4)</f>
        <v>57302</v>
      </c>
      <c r="L107" s="26">
        <f ca="1">L106+W106 - AW107 + IF(AND(C106=1,ISNUMBER(MATCH(race,ore_db,0))),Population!C106*4)</f>
        <v>300000</v>
      </c>
      <c r="M107" s="26">
        <f t="shared" ca="1" si="59"/>
        <v>20000</v>
      </c>
      <c r="N107" s="26">
        <f t="shared" ca="1" si="51"/>
        <v>200</v>
      </c>
      <c r="O107" s="26">
        <f t="shared" si="54"/>
        <v>500</v>
      </c>
      <c r="P107" s="26">
        <f>ROUNDDOWN(P106+MAX(Construction!BO107/2,Construction!BO107*(1-Construction!BO107/(E107-Explore!S107*20)))-Q107*SUM(Techs!AY107:BY107),0)</f>
        <v>0</v>
      </c>
      <c r="Q107" s="166">
        <f>MAX(min_tech_cost,ROUNDDOWN(tech_cost_per_acre*Construction!E107,0))</f>
        <v>5000</v>
      </c>
      <c r="S107" s="152">
        <f t="shared" ca="1" si="46"/>
        <v>4981</v>
      </c>
      <c r="T107" s="164">
        <f t="shared" ca="1" si="35"/>
        <v>1778</v>
      </c>
      <c r="U107" s="164">
        <f t="shared" ca="1" si="36"/>
        <v>-369</v>
      </c>
      <c r="V107" s="164">
        <f t="shared" ca="1" si="37"/>
        <v>104</v>
      </c>
      <c r="W107" s="164">
        <f t="shared" ca="1" si="47"/>
        <v>0</v>
      </c>
      <c r="X107" s="164">
        <f t="shared" ca="1" si="48"/>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4">
        <f ca="1">race_food_bonus + IF(Magic!AO107&gt;0,gaias_blessing_food,IF(Magic!AG107&gt;0,gaias_watch_bonus)) + Imps!AD107+tech_production_food*Techs!W107 + O107/100*prestige_food_bonus</f>
        <v>0.1</v>
      </c>
      <c r="AJ107" s="267">
        <f ca="1">race_lumber_bonus+ IF(Magic!AO107&gt;0,gaias_blessing_lumber)+tech_fruits_of_labor1*Techs!AP107</f>
        <v>0</v>
      </c>
      <c r="AK107" s="267">
        <f ca="1">race_mana_bonus+tech_enchanted_lands_mana*Techs!AT107</f>
        <v>0</v>
      </c>
      <c r="AL107" s="267">
        <f ca="1">race_ore_bonus + IF(Magic!AL107&gt;0,miners_sight_bonus,IF(Magic!AH107&gt;0,mining_strength_bonus))+tech_fruits_of_labor1*Techs!AP107</f>
        <v>0</v>
      </c>
      <c r="AM107" s="193">
        <f ca="1">race_gem_bonus+MAX(tech_production_gems*Techs!X107,tech_fruits_of_labor_gems*Techs!AP107)</f>
        <v>0</v>
      </c>
      <c r="AO107" s="56">
        <f ca="1">I107*food_decay*IF(Magic!AZ107&gt;0,0.5,1)</f>
        <v>3477.5</v>
      </c>
      <c r="AP107" s="26">
        <f ca="1">(1+race_food_consumption)*Population!F107*food_per_person</f>
        <v>1785</v>
      </c>
      <c r="AQ107" s="26">
        <f t="shared" ca="1" si="57"/>
        <v>2869.2000000000003</v>
      </c>
      <c r="AR107" s="57">
        <f t="shared" ca="1" si="58"/>
        <v>1146.04</v>
      </c>
      <c r="AS107" s="26"/>
      <c r="AT107" s="56">
        <f ca="1">Explore!AH107+Construction!AP107+Military!AU107+Rezone!Y107+Imps!AQ107-BE107</f>
        <v>0</v>
      </c>
      <c r="AU107" s="26">
        <f>Construction!AQ107+Imps!AR107-BF107</f>
        <v>0</v>
      </c>
      <c r="AV107" s="26">
        <f>Magic!AD107</f>
        <v>0</v>
      </c>
      <c r="AW107" s="26">
        <f ca="1">Military!AV107+Imps!AS107-BG107</f>
        <v>0</v>
      </c>
      <c r="AX107" s="26">
        <f>Imps!AT107-BH107</f>
        <v>0</v>
      </c>
      <c r="AY107" s="26">
        <f ca="1">Military!AZ107</f>
        <v>0</v>
      </c>
      <c r="AZ107" s="57">
        <f ca="1">Military!BA107</f>
        <v>0</v>
      </c>
      <c r="BB107" s="56" t="b">
        <f t="shared" si="56"/>
        <v>0</v>
      </c>
      <c r="BC107" s="332"/>
      <c r="BD107" s="974">
        <v>33</v>
      </c>
      <c r="BE107" s="332"/>
      <c r="BF107" s="370"/>
      <c r="BG107" s="370"/>
      <c r="BH107" s="740"/>
      <c r="BI107" s="1031">
        <f t="shared" si="40"/>
        <v>43769.083333333081</v>
      </c>
      <c r="BJ107" s="159" t="str">
        <f t="shared" si="53"/>
        <v/>
      </c>
      <c r="BK107" s="26">
        <f t="shared" ca="1" si="49"/>
        <v>4995383</v>
      </c>
      <c r="BL107" s="26">
        <f t="shared" ca="1" si="41"/>
        <v>347750</v>
      </c>
      <c r="BM107" s="26">
        <f t="shared" ca="1" si="42"/>
        <v>286920</v>
      </c>
      <c r="BN107" s="26">
        <f t="shared" ca="1" si="43"/>
        <v>57302</v>
      </c>
      <c r="BO107" s="57">
        <f t="shared" ca="1" si="44"/>
        <v>300000</v>
      </c>
    </row>
    <row r="108" spans="1:67" s="16" customFormat="1" x14ac:dyDescent="0.25">
      <c r="A108" s="982">
        <v>34</v>
      </c>
      <c r="B108" s="812">
        <f>Imps!L108</f>
        <v>43769.093749999745</v>
      </c>
      <c r="C108" s="332"/>
      <c r="D108" s="830"/>
      <c r="E108" s="56">
        <f>Construction!E108</f>
        <v>1000</v>
      </c>
      <c r="F108" s="26">
        <f ca="1">Population!$C108</f>
        <v>1845</v>
      </c>
      <c r="G108" s="26">
        <f ca="1">Military!EM108</f>
        <v>20900</v>
      </c>
      <c r="H108" s="26">
        <f ca="1">H107+S107 - AT108 + IF(AND(C107=1,ISNUMBER(MATCH(race,plat_db,0))),Population!C107*4)</f>
        <v>5000364</v>
      </c>
      <c r="I108" s="26">
        <f ca="1">I107+T107-AY108 +  IF(AND(C107=1,ISNUMBER(MATCH(race,food_db,0))),Population!C107*4)</f>
        <v>349528</v>
      </c>
      <c r="J108" s="26">
        <f t="shared" ca="1" si="50"/>
        <v>286551</v>
      </c>
      <c r="K108" s="26">
        <f ca="1">K107+V107 - AV108 + IF(AND(C107=1,ISNUMBER(MATCH(race,mana_db,0))),Population!C107*4)</f>
        <v>57406</v>
      </c>
      <c r="L108" s="26">
        <f ca="1">L107+W107 - AW108 + IF(AND(C107=1,ISNUMBER(MATCH(race,ore_db,0))),Population!C107*4)</f>
        <v>300000</v>
      </c>
      <c r="M108" s="26">
        <f t="shared" ca="1" si="59"/>
        <v>20000</v>
      </c>
      <c r="N108" s="26">
        <f t="shared" ca="1" si="51"/>
        <v>200</v>
      </c>
      <c r="O108" s="26">
        <f t="shared" si="54"/>
        <v>500</v>
      </c>
      <c r="P108" s="26">
        <f>ROUNDDOWN(P107+MAX(Construction!BO108/2,Construction!BO108*(1-Construction!BO108/(E108-Explore!S108*20)))-Q108*SUM(Techs!AY108:BY108),0)</f>
        <v>0</v>
      </c>
      <c r="Q108" s="166">
        <f>MAX(min_tech_cost,ROUNDDOWN(tech_cost_per_acre*Construction!E108,0))</f>
        <v>5000</v>
      </c>
      <c r="S108" s="152">
        <f t="shared" ca="1" si="46"/>
        <v>4981</v>
      </c>
      <c r="T108" s="164">
        <f t="shared" ca="1" si="35"/>
        <v>1760</v>
      </c>
      <c r="U108" s="164">
        <f t="shared" ca="1" si="36"/>
        <v>-366</v>
      </c>
      <c r="V108" s="164">
        <f t="shared" ca="1" si="37"/>
        <v>102</v>
      </c>
      <c r="W108" s="164">
        <f t="shared" ca="1" si="47"/>
        <v>0</v>
      </c>
      <c r="X108" s="164">
        <f t="shared" ca="1" si="48"/>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4">
        <f ca="1">race_food_bonus + IF(Magic!AO108&gt;0,gaias_blessing_food,IF(Magic!AG108&gt;0,gaias_watch_bonus)) + Imps!AD108+tech_production_food*Techs!W108 + O108/100*prestige_food_bonus</f>
        <v>0.1</v>
      </c>
      <c r="AJ108" s="267">
        <f ca="1">race_lumber_bonus+ IF(Magic!AO108&gt;0,gaias_blessing_lumber)+tech_fruits_of_labor1*Techs!AP108</f>
        <v>0</v>
      </c>
      <c r="AK108" s="267">
        <f ca="1">race_mana_bonus+tech_enchanted_lands_mana*Techs!AT108</f>
        <v>0</v>
      </c>
      <c r="AL108" s="267">
        <f ca="1">race_ore_bonus + IF(Magic!AL108&gt;0,miners_sight_bonus,IF(Magic!AH108&gt;0,mining_strength_bonus))+tech_fruits_of_labor1*Techs!AP108</f>
        <v>0</v>
      </c>
      <c r="AM108" s="193">
        <f ca="1">race_gem_bonus+MAX(tech_production_gems*Techs!X108,tech_fruits_of_labor_gems*Techs!AP108)</f>
        <v>0</v>
      </c>
      <c r="AO108" s="56">
        <f ca="1">I108*food_decay*IF(Magic!AZ108&gt;0,0.5,1)</f>
        <v>3495.28</v>
      </c>
      <c r="AP108" s="26">
        <f ca="1">(1+race_food_consumption)*Population!F108*food_per_person</f>
        <v>1785</v>
      </c>
      <c r="AQ108" s="26">
        <f t="shared" ca="1" si="57"/>
        <v>2865.51</v>
      </c>
      <c r="AR108" s="57">
        <f t="shared" ca="1" si="58"/>
        <v>1148.1200000000001</v>
      </c>
      <c r="AS108" s="26"/>
      <c r="AT108" s="56">
        <f ca="1">Explore!AH108+Construction!AP108+Military!AU108+Rezone!Y108+Imps!AQ108-BE108</f>
        <v>0</v>
      </c>
      <c r="AU108" s="26">
        <f>Construction!AQ108+Imps!AR108-BF108</f>
        <v>0</v>
      </c>
      <c r="AV108" s="26">
        <f>Magic!AD108</f>
        <v>0</v>
      </c>
      <c r="AW108" s="26">
        <f ca="1">Military!AV108+Imps!AS108-BG108</f>
        <v>0</v>
      </c>
      <c r="AX108" s="26">
        <f>Imps!AT108-BH108</f>
        <v>0</v>
      </c>
      <c r="AY108" s="26">
        <f ca="1">Military!AZ108</f>
        <v>0</v>
      </c>
      <c r="AZ108" s="57">
        <f ca="1">Military!BA108</f>
        <v>0</v>
      </c>
      <c r="BB108" s="56" t="b">
        <f t="shared" si="56"/>
        <v>0</v>
      </c>
      <c r="BC108" s="332"/>
      <c r="BD108" s="974">
        <v>34</v>
      </c>
      <c r="BE108" s="332"/>
      <c r="BF108" s="370"/>
      <c r="BG108" s="370"/>
      <c r="BH108" s="740"/>
      <c r="BI108" s="1031">
        <f t="shared" si="40"/>
        <v>43769.093749999745</v>
      </c>
      <c r="BJ108" s="159" t="str">
        <f t="shared" si="53"/>
        <v/>
      </c>
      <c r="BK108" s="26">
        <f t="shared" ca="1" si="49"/>
        <v>5000364</v>
      </c>
      <c r="BL108" s="26">
        <f t="shared" ca="1" si="41"/>
        <v>349528</v>
      </c>
      <c r="BM108" s="26">
        <f t="shared" ca="1" si="42"/>
        <v>286551</v>
      </c>
      <c r="BN108" s="26">
        <f t="shared" ca="1" si="43"/>
        <v>57406</v>
      </c>
      <c r="BO108" s="57">
        <f t="shared" ca="1" si="44"/>
        <v>300000</v>
      </c>
    </row>
    <row r="109" spans="1:67" s="16" customFormat="1" x14ac:dyDescent="0.25">
      <c r="A109" s="982">
        <v>35</v>
      </c>
      <c r="B109" s="812">
        <f>Imps!L109</f>
        <v>43769.10416666641</v>
      </c>
      <c r="C109" s="332"/>
      <c r="D109" s="830"/>
      <c r="E109" s="56">
        <f>Construction!E109</f>
        <v>1000</v>
      </c>
      <c r="F109" s="26">
        <f ca="1">Population!$C109</f>
        <v>1845</v>
      </c>
      <c r="G109" s="26">
        <f ca="1">Military!EM109</f>
        <v>20900</v>
      </c>
      <c r="H109" s="26">
        <f ca="1">H108+S108 - AT109 + IF(AND(C108=1,ISNUMBER(MATCH(race,plat_db,0))),Population!C108*4)</f>
        <v>5005345</v>
      </c>
      <c r="I109" s="26">
        <f ca="1">I108+T108-AY109 +  IF(AND(C108=1,ISNUMBER(MATCH(race,food_db,0))),Population!C108*4)</f>
        <v>351288</v>
      </c>
      <c r="J109" s="26">
        <f t="shared" ca="1" si="50"/>
        <v>286185</v>
      </c>
      <c r="K109" s="26">
        <f ca="1">K108+V108 - AV109 + IF(AND(C108=1,ISNUMBER(MATCH(race,mana_db,0))),Population!C108*4)</f>
        <v>57508</v>
      </c>
      <c r="L109" s="26">
        <f ca="1">L108+W108 - AW109 + IF(AND(C108=1,ISNUMBER(MATCH(race,ore_db,0))),Population!C108*4)</f>
        <v>300000</v>
      </c>
      <c r="M109" s="26">
        <f t="shared" ca="1" si="59"/>
        <v>20000</v>
      </c>
      <c r="N109" s="26">
        <f t="shared" ca="1" si="51"/>
        <v>200</v>
      </c>
      <c r="O109" s="26">
        <f t="shared" si="54"/>
        <v>500</v>
      </c>
      <c r="P109" s="26">
        <f>ROUNDDOWN(P108+MAX(Construction!BO109/2,Construction!BO109*(1-Construction!BO109/(E109-Explore!S109*20)))-Q109*SUM(Techs!AY109:BY109),0)</f>
        <v>0</v>
      </c>
      <c r="Q109" s="166">
        <f>MAX(min_tech_cost,ROUNDDOWN(tech_cost_per_acre*Construction!E109,0))</f>
        <v>5000</v>
      </c>
      <c r="S109" s="152">
        <f t="shared" ca="1" si="46"/>
        <v>4981</v>
      </c>
      <c r="T109" s="164">
        <f t="shared" ca="1" si="35"/>
        <v>1742</v>
      </c>
      <c r="U109" s="164">
        <f t="shared" ca="1" si="36"/>
        <v>-362</v>
      </c>
      <c r="V109" s="164">
        <f t="shared" ca="1" si="37"/>
        <v>100</v>
      </c>
      <c r="W109" s="164">
        <f t="shared" ca="1" si="47"/>
        <v>0</v>
      </c>
      <c r="X109" s="164">
        <f t="shared" ca="1" si="48"/>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4">
        <f ca="1">race_food_bonus + IF(Magic!AO109&gt;0,gaias_blessing_food,IF(Magic!AG109&gt;0,gaias_watch_bonus)) + Imps!AD109+tech_production_food*Techs!W109 + O109/100*prestige_food_bonus</f>
        <v>0.1</v>
      </c>
      <c r="AJ109" s="267">
        <f ca="1">race_lumber_bonus+ IF(Magic!AO109&gt;0,gaias_blessing_lumber)+tech_fruits_of_labor1*Techs!AP109</f>
        <v>0</v>
      </c>
      <c r="AK109" s="267">
        <f ca="1">race_mana_bonus+tech_enchanted_lands_mana*Techs!AT109</f>
        <v>0</v>
      </c>
      <c r="AL109" s="267">
        <f ca="1">race_ore_bonus + IF(Magic!AL109&gt;0,miners_sight_bonus,IF(Magic!AH109&gt;0,mining_strength_bonus))+tech_fruits_of_labor1*Techs!AP109</f>
        <v>0</v>
      </c>
      <c r="AM109" s="193">
        <f ca="1">race_gem_bonus+MAX(tech_production_gems*Techs!X109,tech_fruits_of_labor_gems*Techs!AP109)</f>
        <v>0</v>
      </c>
      <c r="AO109" s="56">
        <f ca="1">I109*food_decay*IF(Magic!AZ109&gt;0,0.5,1)</f>
        <v>3512.88</v>
      </c>
      <c r="AP109" s="26">
        <f ca="1">(1+race_food_consumption)*Population!F109*food_per_person</f>
        <v>1785</v>
      </c>
      <c r="AQ109" s="26">
        <f t="shared" ca="1" si="57"/>
        <v>2861.85</v>
      </c>
      <c r="AR109" s="57">
        <f t="shared" ca="1" si="58"/>
        <v>1150.1600000000001</v>
      </c>
      <c r="AS109" s="26"/>
      <c r="AT109" s="56">
        <f ca="1">Explore!AH109+Construction!AP109+Military!AU109+Rezone!Y109+Imps!AQ109-BE109</f>
        <v>0</v>
      </c>
      <c r="AU109" s="26">
        <f>Construction!AQ109+Imps!AR109-BF109</f>
        <v>0</v>
      </c>
      <c r="AV109" s="26">
        <f>Magic!AD109</f>
        <v>0</v>
      </c>
      <c r="AW109" s="26">
        <f ca="1">Military!AV109+Imps!AS109-BG109</f>
        <v>0</v>
      </c>
      <c r="AX109" s="26">
        <f>Imps!AT109-BH109</f>
        <v>0</v>
      </c>
      <c r="AY109" s="26">
        <f ca="1">Military!AZ109</f>
        <v>0</v>
      </c>
      <c r="AZ109" s="57">
        <f ca="1">Military!BA109</f>
        <v>0</v>
      </c>
      <c r="BB109" s="56" t="b">
        <f t="shared" si="56"/>
        <v>0</v>
      </c>
      <c r="BC109" s="332"/>
      <c r="BD109" s="974">
        <v>35</v>
      </c>
      <c r="BE109" s="332"/>
      <c r="BF109" s="370"/>
      <c r="BG109" s="370"/>
      <c r="BH109" s="740"/>
      <c r="BI109" s="1031">
        <f t="shared" si="40"/>
        <v>43769.10416666641</v>
      </c>
      <c r="BJ109" s="159" t="str">
        <f t="shared" si="53"/>
        <v/>
      </c>
      <c r="BK109" s="26">
        <f t="shared" ca="1" si="49"/>
        <v>5005345</v>
      </c>
      <c r="BL109" s="26">
        <f t="shared" ca="1" si="41"/>
        <v>351288</v>
      </c>
      <c r="BM109" s="26">
        <f t="shared" ca="1" si="42"/>
        <v>286185</v>
      </c>
      <c r="BN109" s="26">
        <f t="shared" ca="1" si="43"/>
        <v>57508</v>
      </c>
      <c r="BO109" s="57">
        <f t="shared" ca="1" si="44"/>
        <v>300000</v>
      </c>
    </row>
    <row r="110" spans="1:67" s="16" customFormat="1" x14ac:dyDescent="0.25">
      <c r="A110" s="982">
        <v>36</v>
      </c>
      <c r="B110" s="530">
        <f>Imps!L110</f>
        <v>43769.114583333074</v>
      </c>
      <c r="C110" s="332"/>
      <c r="D110" s="830"/>
      <c r="E110" s="56">
        <f>Construction!E110</f>
        <v>1000</v>
      </c>
      <c r="F110" s="26">
        <f ca="1">Population!$C110</f>
        <v>1845</v>
      </c>
      <c r="G110" s="26">
        <f ca="1">Military!EM110</f>
        <v>20900</v>
      </c>
      <c r="H110" s="26">
        <f ca="1">H109+S109 - AT110 + IF(AND(C109=1,ISNUMBER(MATCH(race,plat_db,0))),Population!C109*4)</f>
        <v>5010326</v>
      </c>
      <c r="I110" s="26">
        <f ca="1">I109+T109-AY110 +  IF(AND(C109=1,ISNUMBER(MATCH(race,food_db,0))),Population!C109*4)</f>
        <v>353030</v>
      </c>
      <c r="J110" s="26">
        <f t="shared" ca="1" si="50"/>
        <v>285823</v>
      </c>
      <c r="K110" s="26">
        <f ca="1">K109+V109 - AV110 + IF(AND(C109=1,ISNUMBER(MATCH(race,mana_db,0))),Population!C109*4)</f>
        <v>57608</v>
      </c>
      <c r="L110" s="26">
        <f ca="1">L109+W109 - AW110 + IF(AND(C109=1,ISNUMBER(MATCH(race,ore_db,0))),Population!C109*4)</f>
        <v>300000</v>
      </c>
      <c r="M110" s="26">
        <f t="shared" ca="1" si="59"/>
        <v>20000</v>
      </c>
      <c r="N110" s="26">
        <f t="shared" ca="1" si="51"/>
        <v>200</v>
      </c>
      <c r="O110" s="26">
        <f t="shared" si="54"/>
        <v>500</v>
      </c>
      <c r="P110" s="26">
        <f>ROUNDDOWN(P109+MAX(Construction!BO110/2,Construction!BO110*(1-Construction!BO110/(E110-Explore!S110*20)))-Q110*SUM(Techs!AY110:BY110),0)</f>
        <v>0</v>
      </c>
      <c r="Q110" s="166">
        <f>MAX(min_tech_cost,ROUNDDOWN(tech_cost_per_acre*Construction!E110,0))</f>
        <v>5000</v>
      </c>
      <c r="S110" s="152">
        <f t="shared" ca="1" si="46"/>
        <v>4981</v>
      </c>
      <c r="T110" s="164">
        <f t="shared" ca="1" si="35"/>
        <v>1725</v>
      </c>
      <c r="U110" s="164">
        <f t="shared" ca="1" si="36"/>
        <v>-358</v>
      </c>
      <c r="V110" s="164">
        <f t="shared" ca="1" si="37"/>
        <v>98</v>
      </c>
      <c r="W110" s="164">
        <f t="shared" ca="1" si="47"/>
        <v>0</v>
      </c>
      <c r="X110" s="164">
        <f t="shared" ca="1" si="48"/>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4">
        <f ca="1">race_food_bonus + IF(Magic!AO110&gt;0,gaias_blessing_food,IF(Magic!AG110&gt;0,gaias_watch_bonus)) + Imps!AD110+tech_production_food*Techs!W110 + O110/100*prestige_food_bonus</f>
        <v>0.1</v>
      </c>
      <c r="AJ110" s="267">
        <f ca="1">race_lumber_bonus+ IF(Magic!AO110&gt;0,gaias_blessing_lumber)+tech_fruits_of_labor1*Techs!AP110</f>
        <v>0</v>
      </c>
      <c r="AK110" s="267">
        <f ca="1">race_mana_bonus+tech_enchanted_lands_mana*Techs!AT110</f>
        <v>0</v>
      </c>
      <c r="AL110" s="267">
        <f ca="1">race_ore_bonus + IF(Magic!AL110&gt;0,miners_sight_bonus,IF(Magic!AH110&gt;0,mining_strength_bonus))+tech_fruits_of_labor1*Techs!AP110</f>
        <v>0</v>
      </c>
      <c r="AM110" s="193">
        <f ca="1">race_gem_bonus+MAX(tech_production_gems*Techs!X110,tech_fruits_of_labor_gems*Techs!AP110)</f>
        <v>0</v>
      </c>
      <c r="AO110" s="56">
        <f ca="1">I110*food_decay*IF(Magic!AZ110&gt;0,0.5,1)</f>
        <v>3530.3</v>
      </c>
      <c r="AP110" s="26">
        <f ca="1">(1+race_food_consumption)*Population!F110*food_per_person</f>
        <v>1785</v>
      </c>
      <c r="AQ110" s="26">
        <f t="shared" ca="1" si="57"/>
        <v>2858.23</v>
      </c>
      <c r="AR110" s="57">
        <f t="shared" ca="1" si="58"/>
        <v>1152.1600000000001</v>
      </c>
      <c r="AS110" s="26"/>
      <c r="AT110" s="56">
        <f ca="1">Explore!AH110+Construction!AP110+Military!AU110+Rezone!Y110+Imps!AQ110-BE110</f>
        <v>0</v>
      </c>
      <c r="AU110" s="26">
        <f>Construction!AQ110+Imps!AR110-BF110</f>
        <v>0</v>
      </c>
      <c r="AV110" s="26">
        <f>Magic!AD110</f>
        <v>0</v>
      </c>
      <c r="AW110" s="26">
        <f ca="1">Military!AV110+Imps!AS110-BG110</f>
        <v>0</v>
      </c>
      <c r="AX110" s="26">
        <f>Imps!AT110-BH110</f>
        <v>0</v>
      </c>
      <c r="AY110" s="26">
        <f ca="1">Military!AZ110</f>
        <v>0</v>
      </c>
      <c r="AZ110" s="57">
        <f ca="1">Military!BA110</f>
        <v>0</v>
      </c>
      <c r="BB110" s="56" t="b">
        <f t="shared" si="56"/>
        <v>0</v>
      </c>
      <c r="BC110" s="332"/>
      <c r="BD110" s="974">
        <v>36</v>
      </c>
      <c r="BE110" s="332"/>
      <c r="BF110" s="370"/>
      <c r="BG110" s="370"/>
      <c r="BH110" s="740"/>
      <c r="BI110" s="1031">
        <f t="shared" si="40"/>
        <v>43769.114583333074</v>
      </c>
      <c r="BJ110" s="159" t="str">
        <f t="shared" si="53"/>
        <v/>
      </c>
      <c r="BK110" s="26">
        <f t="shared" ca="1" si="49"/>
        <v>5010326</v>
      </c>
      <c r="BL110" s="26">
        <f t="shared" ca="1" si="41"/>
        <v>353030</v>
      </c>
      <c r="BM110" s="26">
        <f t="shared" ca="1" si="42"/>
        <v>285823</v>
      </c>
      <c r="BN110" s="26">
        <f t="shared" ca="1" si="43"/>
        <v>57608</v>
      </c>
      <c r="BO110" s="57">
        <f t="shared" ca="1" si="44"/>
        <v>300000</v>
      </c>
    </row>
    <row r="111" spans="1:67" s="12" customFormat="1" x14ac:dyDescent="0.25">
      <c r="A111" s="985">
        <v>37</v>
      </c>
      <c r="B111" s="674">
        <f>Imps!L111</f>
        <v>43769.124999999738</v>
      </c>
      <c r="C111" s="333"/>
      <c r="D111" s="833"/>
      <c r="E111" s="54">
        <f>Construction!E111</f>
        <v>1000</v>
      </c>
      <c r="F111" s="153">
        <f ca="1">Population!$C111</f>
        <v>1845</v>
      </c>
      <c r="G111" s="153">
        <f ca="1">Military!EM111</f>
        <v>20900</v>
      </c>
      <c r="H111" s="153">
        <f ca="1">H110+S110 - AT111 + IF(AND(C110=1,ISNUMBER(MATCH(race,plat_db,0))),Population!C110*4)</f>
        <v>5015307</v>
      </c>
      <c r="I111" s="13">
        <f ca="1">I110+T110-AY111 +  IF(AND(C110=1,ISNUMBER(MATCH(race,food_db,0))),Population!C110*4)</f>
        <v>354755</v>
      </c>
      <c r="J111" s="13">
        <f t="shared" ca="1" si="50"/>
        <v>285465</v>
      </c>
      <c r="K111" s="13">
        <f ca="1">K110+V110 - AV111 + IF(AND(C110=1,ISNUMBER(MATCH(race,mana_db,0))),Population!C110*4)</f>
        <v>57706</v>
      </c>
      <c r="L111" s="13">
        <f ca="1">L110+W110 - AW111 + IF(AND(C110=1,ISNUMBER(MATCH(race,ore_db,0))),Population!C110*4)</f>
        <v>300000</v>
      </c>
      <c r="M111" s="13">
        <f t="shared" ca="1" si="59"/>
        <v>20000</v>
      </c>
      <c r="N111" s="13">
        <f t="shared" ca="1" si="51"/>
        <v>200</v>
      </c>
      <c r="O111" s="13">
        <f t="shared" si="54"/>
        <v>500</v>
      </c>
      <c r="P111" s="13">
        <f>ROUNDDOWN(P110+MAX(Construction!BO111/2,Construction!BO111*(1-Construction!BO111/(E111-Explore!S111*20)))-Q111*SUM(Techs!AY111:BY111),0)</f>
        <v>0</v>
      </c>
      <c r="Q111" s="55">
        <f>MAX(min_tech_cost,ROUNDDOWN(tech_cost_per_acre*Construction!E111,0))</f>
        <v>5000</v>
      </c>
      <c r="S111" s="151">
        <f t="shared" ca="1" si="46"/>
        <v>4981</v>
      </c>
      <c r="T111" s="153">
        <f t="shared" ca="1" si="35"/>
        <v>1707</v>
      </c>
      <c r="U111" s="153">
        <f t="shared" ca="1" si="36"/>
        <v>-355</v>
      </c>
      <c r="V111" s="153">
        <f t="shared" ca="1" si="37"/>
        <v>96</v>
      </c>
      <c r="W111" s="153">
        <f t="shared" ca="1" si="47"/>
        <v>0</v>
      </c>
      <c r="X111" s="153">
        <f t="shared" ca="1" si="48"/>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6">
        <f ca="1">race_food_bonus + IF(Magic!AO111&gt;0,gaias_blessing_food,IF(Magic!AG111&gt;0,gaias_watch_bonus)) + Imps!AD111+tech_production_food*Techs!W111 + O111/100*prestige_food_bonus</f>
        <v>0.1</v>
      </c>
      <c r="AJ111" s="264">
        <f ca="1">race_lumber_bonus+ IF(Magic!AO111&gt;0,gaias_blessing_lumber)+tech_fruits_of_labor1*Techs!AP111</f>
        <v>0</v>
      </c>
      <c r="AK111" s="264">
        <f ca="1">race_mana_bonus+tech_enchanted_lands_mana*Techs!AT111</f>
        <v>0</v>
      </c>
      <c r="AL111" s="264">
        <f ca="1">race_ore_bonus + IF(Magic!AL111&gt;0,miners_sight_bonus,IF(Magic!AH111&gt;0,mining_strength_bonus))+tech_fruits_of_labor1*Techs!AP111</f>
        <v>0</v>
      </c>
      <c r="AM111" s="194">
        <f ca="1">race_gem_bonus+MAX(tech_production_gems*Techs!X111,tech_fruits_of_labor_gems*Techs!AP111)</f>
        <v>0</v>
      </c>
      <c r="AO111" s="54">
        <f ca="1">I111*food_decay*IF(Magic!AZ111&gt;0,0.5,1)</f>
        <v>3547.55</v>
      </c>
      <c r="AP111" s="13">
        <f ca="1">(1+race_food_consumption)*Population!F111*food_per_person</f>
        <v>1785</v>
      </c>
      <c r="AQ111" s="13">
        <f t="shared" ca="1" si="57"/>
        <v>2854.65</v>
      </c>
      <c r="AR111" s="55">
        <f t="shared" ca="1" si="58"/>
        <v>1154.1200000000001</v>
      </c>
      <c r="AS111" s="13"/>
      <c r="AT111" s="54">
        <f ca="1">Explore!AH111+Construction!AP111+Military!AU111+Rezone!Y111+Imps!AQ111-BE111</f>
        <v>0</v>
      </c>
      <c r="AU111" s="13">
        <f>Construction!AQ111+Imps!AR111-BF111</f>
        <v>0</v>
      </c>
      <c r="AV111" s="13">
        <f>Magic!AD111</f>
        <v>0</v>
      </c>
      <c r="AW111" s="13">
        <f ca="1">Military!AV111+Imps!AS111-BG111</f>
        <v>0</v>
      </c>
      <c r="AX111" s="13">
        <f>Imps!AT111-BH111</f>
        <v>0</v>
      </c>
      <c r="AY111" s="13">
        <f ca="1">Military!AZ111</f>
        <v>0</v>
      </c>
      <c r="AZ111" s="55">
        <f ca="1">Military!BA111</f>
        <v>0</v>
      </c>
      <c r="BB111" s="54" t="b">
        <f t="shared" si="56"/>
        <v>0</v>
      </c>
      <c r="BC111" s="333"/>
      <c r="BD111" s="977">
        <v>37</v>
      </c>
      <c r="BE111" s="333"/>
      <c r="BF111" s="428"/>
      <c r="BG111" s="428"/>
      <c r="BH111" s="743"/>
      <c r="BI111" s="1033">
        <f t="shared" si="40"/>
        <v>43769.124999999738</v>
      </c>
      <c r="BJ111" s="287" t="str">
        <f t="shared" si="53"/>
        <v/>
      </c>
      <c r="BK111" s="153">
        <f t="shared" ca="1" si="49"/>
        <v>5015307</v>
      </c>
      <c r="BL111" s="13">
        <f t="shared" ca="1" si="41"/>
        <v>354755</v>
      </c>
      <c r="BM111" s="13">
        <f t="shared" ca="1" si="42"/>
        <v>285465</v>
      </c>
      <c r="BN111" s="13">
        <f t="shared" ca="1" si="43"/>
        <v>57706</v>
      </c>
      <c r="BO111" s="55">
        <f t="shared" ca="1" si="44"/>
        <v>300000</v>
      </c>
    </row>
    <row r="112" spans="1:67" s="16" customFormat="1" x14ac:dyDescent="0.25">
      <c r="A112" s="982">
        <v>38</v>
      </c>
      <c r="B112" s="530">
        <f>Imps!L112</f>
        <v>43769.135416666402</v>
      </c>
      <c r="C112" s="332"/>
      <c r="D112" s="830"/>
      <c r="E112" s="56">
        <f>Construction!E112</f>
        <v>1000</v>
      </c>
      <c r="F112" s="26">
        <f ca="1">Population!$C112</f>
        <v>1845</v>
      </c>
      <c r="G112" s="26">
        <f ca="1">Military!EM112</f>
        <v>20900</v>
      </c>
      <c r="H112" s="26">
        <f ca="1">H111+S111 - AT112 + IF(AND(C111=1,ISNUMBER(MATCH(race,plat_db,0))),Population!C111*4)</f>
        <v>5020288</v>
      </c>
      <c r="I112" s="26">
        <f ca="1">I111+T111-AY112 +  IF(AND(C111=1,ISNUMBER(MATCH(race,food_db,0))),Population!C111*4)</f>
        <v>356462</v>
      </c>
      <c r="J112" s="26">
        <f t="shared" ca="1" si="50"/>
        <v>285110</v>
      </c>
      <c r="K112" s="26">
        <f ca="1">K111+V111 - AV112 + IF(AND(C111=1,ISNUMBER(MATCH(race,mana_db,0))),Population!C111*4)</f>
        <v>57802</v>
      </c>
      <c r="L112" s="26">
        <f ca="1">L111+W111 - AW112 + IF(AND(C111=1,ISNUMBER(MATCH(race,ore_db,0))),Population!C111*4)</f>
        <v>300000</v>
      </c>
      <c r="M112" s="26">
        <f t="shared" ca="1" si="59"/>
        <v>20000</v>
      </c>
      <c r="N112" s="26">
        <f t="shared" ca="1" si="51"/>
        <v>200</v>
      </c>
      <c r="O112" s="26">
        <f t="shared" si="54"/>
        <v>500</v>
      </c>
      <c r="P112" s="26">
        <f>ROUNDDOWN(P111+MAX(Construction!BO112/2,Construction!BO112*(1-Construction!BO112/(E112-Explore!S112*20)))-Q112*SUM(Techs!AY112:BY112),0)</f>
        <v>0</v>
      </c>
      <c r="Q112" s="166">
        <f>MAX(min_tech_cost,ROUNDDOWN(tech_cost_per_acre*Construction!E112,0))</f>
        <v>5000</v>
      </c>
      <c r="S112" s="152">
        <f t="shared" ca="1" si="46"/>
        <v>4981</v>
      </c>
      <c r="T112" s="164">
        <f t="shared" ca="1" si="35"/>
        <v>1690</v>
      </c>
      <c r="U112" s="164">
        <f t="shared" ca="1" si="36"/>
        <v>-351</v>
      </c>
      <c r="V112" s="164">
        <f t="shared" ca="1" si="37"/>
        <v>94</v>
      </c>
      <c r="W112" s="164">
        <f t="shared" ca="1" si="47"/>
        <v>0</v>
      </c>
      <c r="X112" s="164">
        <f t="shared" ca="1" si="48"/>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4">
        <f ca="1">race_food_bonus + IF(Magic!AO112&gt;0,gaias_blessing_food,IF(Magic!AG112&gt;0,gaias_watch_bonus)) + Imps!AD112+tech_production_food*Techs!W112 + O112/100*prestige_food_bonus</f>
        <v>0.1</v>
      </c>
      <c r="AJ112" s="267">
        <f ca="1">race_lumber_bonus+ IF(Magic!AO112&gt;0,gaias_blessing_lumber)+tech_fruits_of_labor1*Techs!AP112</f>
        <v>0</v>
      </c>
      <c r="AK112" s="267">
        <f ca="1">race_mana_bonus+tech_enchanted_lands_mana*Techs!AT112</f>
        <v>0</v>
      </c>
      <c r="AL112" s="267">
        <f ca="1">race_ore_bonus + IF(Magic!AL112&gt;0,miners_sight_bonus,IF(Magic!AH112&gt;0,mining_strength_bonus))+tech_fruits_of_labor1*Techs!AP112</f>
        <v>0</v>
      </c>
      <c r="AM112" s="193">
        <f ca="1">race_gem_bonus+MAX(tech_production_gems*Techs!X112,tech_fruits_of_labor_gems*Techs!AP112)</f>
        <v>0</v>
      </c>
      <c r="AO112" s="56">
        <f ca="1">I112*food_decay*IF(Magic!AZ112&gt;0,0.5,1)</f>
        <v>3564.62</v>
      </c>
      <c r="AP112" s="26">
        <f ca="1">(1+race_food_consumption)*Population!F112*food_per_person</f>
        <v>1785</v>
      </c>
      <c r="AQ112" s="26">
        <f t="shared" ca="1" si="57"/>
        <v>2851.1</v>
      </c>
      <c r="AR112" s="57">
        <f t="shared" ca="1" si="58"/>
        <v>1156.04</v>
      </c>
      <c r="AS112" s="26"/>
      <c r="AT112" s="56">
        <f ca="1">Explore!AH112+Construction!AP112+Military!AU112+Rezone!Y112+Imps!AQ112-BE112</f>
        <v>0</v>
      </c>
      <c r="AU112" s="26">
        <f>Construction!AQ112+Imps!AR112-BF112</f>
        <v>0</v>
      </c>
      <c r="AV112" s="26">
        <f>Magic!AD112</f>
        <v>0</v>
      </c>
      <c r="AW112" s="26">
        <f ca="1">Military!AV112+Imps!AS112-BG112</f>
        <v>0</v>
      </c>
      <c r="AX112" s="26">
        <f>Imps!AT112-BH112</f>
        <v>0</v>
      </c>
      <c r="AY112" s="26">
        <f ca="1">Military!AZ112</f>
        <v>0</v>
      </c>
      <c r="AZ112" s="57">
        <f ca="1">Military!BA112</f>
        <v>0</v>
      </c>
      <c r="BB112" s="56" t="b">
        <f t="shared" si="56"/>
        <v>0</v>
      </c>
      <c r="BC112" s="332"/>
      <c r="BD112" s="974">
        <v>38</v>
      </c>
      <c r="BE112" s="332"/>
      <c r="BF112" s="370"/>
      <c r="BG112" s="370"/>
      <c r="BH112" s="740"/>
      <c r="BI112" s="1031">
        <f t="shared" si="40"/>
        <v>43769.135416666402</v>
      </c>
      <c r="BJ112" s="159" t="str">
        <f t="shared" si="53"/>
        <v/>
      </c>
      <c r="BK112" s="26">
        <f t="shared" ca="1" si="49"/>
        <v>5020288</v>
      </c>
      <c r="BL112" s="26">
        <f t="shared" ca="1" si="41"/>
        <v>356462</v>
      </c>
      <c r="BM112" s="26">
        <f t="shared" ca="1" si="42"/>
        <v>285110</v>
      </c>
      <c r="BN112" s="26">
        <f t="shared" ca="1" si="43"/>
        <v>57802</v>
      </c>
      <c r="BO112" s="57">
        <f t="shared" ca="1" si="44"/>
        <v>300000</v>
      </c>
    </row>
    <row r="113" spans="1:67" s="16" customFormat="1" x14ac:dyDescent="0.25">
      <c r="A113" s="982">
        <v>39</v>
      </c>
      <c r="B113" s="812">
        <f>Imps!L113</f>
        <v>43769.145833333067</v>
      </c>
      <c r="C113" s="332"/>
      <c r="D113" s="830"/>
      <c r="E113" s="56">
        <f>Construction!E113</f>
        <v>1000</v>
      </c>
      <c r="F113" s="26">
        <f ca="1">Population!$C113</f>
        <v>1845</v>
      </c>
      <c r="G113" s="26">
        <f ca="1">Military!EM113</f>
        <v>20900</v>
      </c>
      <c r="H113" s="26">
        <f ca="1">H112+S112 - AT113 + IF(AND(C112=1,ISNUMBER(MATCH(race,plat_db,0))),Population!C112*4)</f>
        <v>5025269</v>
      </c>
      <c r="I113" s="26">
        <f ca="1">I112+T112-AY113 +  IF(AND(C112=1,ISNUMBER(MATCH(race,food_db,0))),Population!C112*4)</f>
        <v>358152</v>
      </c>
      <c r="J113" s="26">
        <f t="shared" ca="1" si="50"/>
        <v>284759</v>
      </c>
      <c r="K113" s="26">
        <f ca="1">K112+V112 - AV113 + IF(AND(C112=1,ISNUMBER(MATCH(race,mana_db,0))),Population!C112*4)</f>
        <v>57896</v>
      </c>
      <c r="L113" s="26">
        <f ca="1">L112+W112 - AW113 + IF(AND(C112=1,ISNUMBER(MATCH(race,ore_db,0))),Population!C112*4)</f>
        <v>300000</v>
      </c>
      <c r="M113" s="26">
        <f t="shared" ca="1" si="59"/>
        <v>20000</v>
      </c>
      <c r="N113" s="26">
        <f t="shared" ca="1" si="51"/>
        <v>200</v>
      </c>
      <c r="O113" s="26">
        <f t="shared" si="54"/>
        <v>500</v>
      </c>
      <c r="P113" s="26">
        <f>ROUNDDOWN(P112+MAX(Construction!BO113/2,Construction!BO113*(1-Construction!BO113/(E113-Explore!S113*20)))-Q113*SUM(Techs!AY113:BY113),0)</f>
        <v>0</v>
      </c>
      <c r="Q113" s="166">
        <f>MAX(min_tech_cost,ROUNDDOWN(tech_cost_per_acre*Construction!E113,0))</f>
        <v>5000</v>
      </c>
      <c r="S113" s="152">
        <f t="shared" ca="1" si="46"/>
        <v>4981</v>
      </c>
      <c r="T113" s="164">
        <f t="shared" ca="1" si="35"/>
        <v>1673</v>
      </c>
      <c r="U113" s="164">
        <f t="shared" ca="1" si="36"/>
        <v>-348</v>
      </c>
      <c r="V113" s="164">
        <f t="shared" ca="1" si="37"/>
        <v>92</v>
      </c>
      <c r="W113" s="164">
        <f t="shared" ca="1" si="47"/>
        <v>0</v>
      </c>
      <c r="X113" s="164">
        <f t="shared" ca="1" si="48"/>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4">
        <f ca="1">race_food_bonus + IF(Magic!AO113&gt;0,gaias_blessing_food,IF(Magic!AG113&gt;0,gaias_watch_bonus)) + Imps!AD113+tech_production_food*Techs!W113 + O113/100*prestige_food_bonus</f>
        <v>0.1</v>
      </c>
      <c r="AJ113" s="267">
        <f ca="1">race_lumber_bonus+ IF(Magic!AO113&gt;0,gaias_blessing_lumber)+tech_fruits_of_labor1*Techs!AP113</f>
        <v>0</v>
      </c>
      <c r="AK113" s="267">
        <f ca="1">race_mana_bonus+tech_enchanted_lands_mana*Techs!AT113</f>
        <v>0</v>
      </c>
      <c r="AL113" s="267">
        <f ca="1">race_ore_bonus + IF(Magic!AL113&gt;0,miners_sight_bonus,IF(Magic!AH113&gt;0,mining_strength_bonus))+tech_fruits_of_labor1*Techs!AP113</f>
        <v>0</v>
      </c>
      <c r="AM113" s="193">
        <f ca="1">race_gem_bonus+MAX(tech_production_gems*Techs!X113,tech_fruits_of_labor_gems*Techs!AP113)</f>
        <v>0</v>
      </c>
      <c r="AO113" s="56">
        <f ca="1">I113*food_decay*IF(Magic!AZ113&gt;0,0.5,1)</f>
        <v>3581.52</v>
      </c>
      <c r="AP113" s="26">
        <f ca="1">(1+race_food_consumption)*Population!F113*food_per_person</f>
        <v>1785</v>
      </c>
      <c r="AQ113" s="26">
        <f t="shared" ca="1" si="57"/>
        <v>2847.59</v>
      </c>
      <c r="AR113" s="57">
        <f t="shared" ca="1" si="58"/>
        <v>1157.92</v>
      </c>
      <c r="AS113" s="26"/>
      <c r="AT113" s="56">
        <f ca="1">Explore!AH113+Construction!AP113+Military!AU113+Rezone!Y113+Imps!AQ113-BE113</f>
        <v>0</v>
      </c>
      <c r="AU113" s="26">
        <f>Construction!AQ113+Imps!AR113-BF113</f>
        <v>0</v>
      </c>
      <c r="AV113" s="26">
        <f>Magic!AD113</f>
        <v>0</v>
      </c>
      <c r="AW113" s="26">
        <f ca="1">Military!AV113+Imps!AS113-BG113</f>
        <v>0</v>
      </c>
      <c r="AX113" s="26">
        <f>Imps!AT113-BH113</f>
        <v>0</v>
      </c>
      <c r="AY113" s="26">
        <f ca="1">Military!AZ113</f>
        <v>0</v>
      </c>
      <c r="AZ113" s="57">
        <f ca="1">Military!BA113</f>
        <v>0</v>
      </c>
      <c r="BB113" s="56" t="b">
        <f t="shared" si="56"/>
        <v>0</v>
      </c>
      <c r="BC113" s="332"/>
      <c r="BD113" s="974">
        <v>39</v>
      </c>
      <c r="BE113" s="332"/>
      <c r="BF113" s="370"/>
      <c r="BG113" s="370"/>
      <c r="BH113" s="740"/>
      <c r="BI113" s="1031">
        <f t="shared" si="40"/>
        <v>43769.145833333067</v>
      </c>
      <c r="BJ113" s="159" t="str">
        <f t="shared" si="53"/>
        <v/>
      </c>
      <c r="BK113" s="26">
        <f t="shared" ca="1" si="49"/>
        <v>5025269</v>
      </c>
      <c r="BL113" s="26">
        <f t="shared" ca="1" si="41"/>
        <v>358152</v>
      </c>
      <c r="BM113" s="26">
        <f t="shared" ca="1" si="42"/>
        <v>284759</v>
      </c>
      <c r="BN113" s="26">
        <f t="shared" ca="1" si="43"/>
        <v>57896</v>
      </c>
      <c r="BO113" s="57">
        <f t="shared" ca="1" si="44"/>
        <v>300000</v>
      </c>
    </row>
    <row r="114" spans="1:67" s="16" customFormat="1" x14ac:dyDescent="0.25">
      <c r="A114" s="982">
        <v>40</v>
      </c>
      <c r="B114" s="812">
        <f>Imps!L114</f>
        <v>43769.156249999731</v>
      </c>
      <c r="C114" s="332"/>
      <c r="D114" s="830"/>
      <c r="E114" s="56">
        <f>Construction!E114</f>
        <v>1000</v>
      </c>
      <c r="F114" s="26">
        <f ca="1">Population!$C114</f>
        <v>1845</v>
      </c>
      <c r="G114" s="26">
        <f ca="1">Military!EM114</f>
        <v>20900</v>
      </c>
      <c r="H114" s="26">
        <f ca="1">H113+S113 - AT114 + IF(AND(C113=1,ISNUMBER(MATCH(race,plat_db,0))),Population!C113*4)</f>
        <v>5030250</v>
      </c>
      <c r="I114" s="26">
        <f ca="1">I113+T113-AY114 +  IF(AND(C113=1,ISNUMBER(MATCH(race,food_db,0))),Population!C113*4)</f>
        <v>359825</v>
      </c>
      <c r="J114" s="26">
        <f t="shared" ca="1" si="50"/>
        <v>284411</v>
      </c>
      <c r="K114" s="26">
        <f ca="1">K113+V113 - AV114 + IF(AND(C113=1,ISNUMBER(MATCH(race,mana_db,0))),Population!C113*4)</f>
        <v>57988</v>
      </c>
      <c r="L114" s="26">
        <f ca="1">L113+W113 - AW114 + IF(AND(C113=1,ISNUMBER(MATCH(race,ore_db,0))),Population!C113*4)</f>
        <v>300000</v>
      </c>
      <c r="M114" s="26">
        <f t="shared" ca="1" si="59"/>
        <v>20000</v>
      </c>
      <c r="N114" s="26">
        <f t="shared" ca="1" si="51"/>
        <v>200</v>
      </c>
      <c r="O114" s="26">
        <f t="shared" si="54"/>
        <v>500</v>
      </c>
      <c r="P114" s="26">
        <f>ROUNDDOWN(P113+MAX(Construction!BO114/2,Construction!BO114*(1-Construction!BO114/(E114-Explore!S114*20)))-Q114*SUM(Techs!AY114:BY114),0)</f>
        <v>0</v>
      </c>
      <c r="Q114" s="166">
        <f>MAX(min_tech_cost,ROUNDDOWN(tech_cost_per_acre*Construction!E114,0))</f>
        <v>5000</v>
      </c>
      <c r="S114" s="152">
        <f t="shared" ca="1" si="46"/>
        <v>4981</v>
      </c>
      <c r="T114" s="164">
        <f t="shared" ca="1" si="35"/>
        <v>1657</v>
      </c>
      <c r="U114" s="164">
        <f t="shared" ca="1" si="36"/>
        <v>-344</v>
      </c>
      <c r="V114" s="164">
        <f t="shared" ca="1" si="37"/>
        <v>90</v>
      </c>
      <c r="W114" s="164">
        <f t="shared" ca="1" si="47"/>
        <v>0</v>
      </c>
      <c r="X114" s="164">
        <f t="shared" ca="1" si="48"/>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4">
        <f ca="1">race_food_bonus + IF(Magic!AO114&gt;0,gaias_blessing_food,IF(Magic!AG114&gt;0,gaias_watch_bonus)) + Imps!AD114+tech_production_food*Techs!W114 + O114/100*prestige_food_bonus</f>
        <v>0.1</v>
      </c>
      <c r="AJ114" s="267">
        <f ca="1">race_lumber_bonus+ IF(Magic!AO114&gt;0,gaias_blessing_lumber)+tech_fruits_of_labor1*Techs!AP114</f>
        <v>0</v>
      </c>
      <c r="AK114" s="267">
        <f ca="1">race_mana_bonus+tech_enchanted_lands_mana*Techs!AT114</f>
        <v>0</v>
      </c>
      <c r="AL114" s="267">
        <f ca="1">race_ore_bonus + IF(Magic!AL114&gt;0,miners_sight_bonus,IF(Magic!AH114&gt;0,mining_strength_bonus))+tech_fruits_of_labor1*Techs!AP114</f>
        <v>0</v>
      </c>
      <c r="AM114" s="193">
        <f ca="1">race_gem_bonus+MAX(tech_production_gems*Techs!X114,tech_fruits_of_labor_gems*Techs!AP114)</f>
        <v>0</v>
      </c>
      <c r="AO114" s="56">
        <f ca="1">I114*food_decay*IF(Magic!AZ114&gt;0,0.5,1)</f>
        <v>3598.25</v>
      </c>
      <c r="AP114" s="26">
        <f ca="1">(1+race_food_consumption)*Population!F114*food_per_person</f>
        <v>1785</v>
      </c>
      <c r="AQ114" s="26">
        <f t="shared" ca="1" si="57"/>
        <v>2844.11</v>
      </c>
      <c r="AR114" s="57">
        <f t="shared" ca="1" si="58"/>
        <v>1159.76</v>
      </c>
      <c r="AS114" s="26"/>
      <c r="AT114" s="56">
        <f ca="1">Explore!AH114+Construction!AP114+Military!AU114+Rezone!Y114+Imps!AQ114-BE114</f>
        <v>0</v>
      </c>
      <c r="AU114" s="26">
        <f>Construction!AQ114+Imps!AR114-BF114</f>
        <v>0</v>
      </c>
      <c r="AV114" s="26">
        <f>Magic!AD114</f>
        <v>0</v>
      </c>
      <c r="AW114" s="26">
        <f ca="1">Military!AV114+Imps!AS114-BG114</f>
        <v>0</v>
      </c>
      <c r="AX114" s="26">
        <f>Imps!AT114-BH114</f>
        <v>0</v>
      </c>
      <c r="AY114" s="26">
        <f ca="1">Military!AZ114</f>
        <v>0</v>
      </c>
      <c r="AZ114" s="57">
        <f ca="1">Military!BA114</f>
        <v>0</v>
      </c>
      <c r="BB114" s="56" t="b">
        <f t="shared" si="56"/>
        <v>0</v>
      </c>
      <c r="BC114" s="332"/>
      <c r="BD114" s="974">
        <v>40</v>
      </c>
      <c r="BE114" s="332"/>
      <c r="BF114" s="370"/>
      <c r="BG114" s="370"/>
      <c r="BH114" s="740"/>
      <c r="BI114" s="1031">
        <f t="shared" si="40"/>
        <v>43769.156249999731</v>
      </c>
      <c r="BJ114" s="159" t="str">
        <f t="shared" si="53"/>
        <v/>
      </c>
      <c r="BK114" s="26">
        <f t="shared" ca="1" si="49"/>
        <v>5030250</v>
      </c>
      <c r="BL114" s="26">
        <f t="shared" ca="1" si="41"/>
        <v>359825</v>
      </c>
      <c r="BM114" s="26">
        <f t="shared" ca="1" si="42"/>
        <v>284411</v>
      </c>
      <c r="BN114" s="26">
        <f t="shared" ca="1" si="43"/>
        <v>57988</v>
      </c>
      <c r="BO114" s="57">
        <f t="shared" ca="1" si="44"/>
        <v>300000</v>
      </c>
    </row>
    <row r="115" spans="1:67" s="16" customFormat="1" x14ac:dyDescent="0.25">
      <c r="A115" s="982">
        <v>41</v>
      </c>
      <c r="B115" s="812">
        <f>Imps!L115</f>
        <v>43769.166666666395</v>
      </c>
      <c r="C115" s="332"/>
      <c r="D115" s="830"/>
      <c r="E115" s="56">
        <f>Construction!E115</f>
        <v>1000</v>
      </c>
      <c r="F115" s="26">
        <f ca="1">Population!$C115</f>
        <v>1845</v>
      </c>
      <c r="G115" s="26">
        <f ca="1">Military!EM115</f>
        <v>20900</v>
      </c>
      <c r="H115" s="26">
        <f ca="1">H114+S114 - AT115 + IF(AND(C114=1,ISNUMBER(MATCH(race,plat_db,0))),Population!C114*4)</f>
        <v>5035231</v>
      </c>
      <c r="I115" s="26">
        <f ca="1">I114+T114-AY115 +  IF(AND(C114=1,ISNUMBER(MATCH(race,food_db,0))),Population!C114*4)</f>
        <v>361482</v>
      </c>
      <c r="J115" s="26">
        <f t="shared" ca="1" si="50"/>
        <v>284067</v>
      </c>
      <c r="K115" s="26">
        <f ca="1">K114+V114 - AV115 + IF(AND(C114=1,ISNUMBER(MATCH(race,mana_db,0))),Population!C114*4)</f>
        <v>58078</v>
      </c>
      <c r="L115" s="26">
        <f ca="1">L114+W114 - AW115 + IF(AND(C114=1,ISNUMBER(MATCH(race,ore_db,0))),Population!C114*4)</f>
        <v>300000</v>
      </c>
      <c r="M115" s="26">
        <f t="shared" ca="1" si="59"/>
        <v>20000</v>
      </c>
      <c r="N115" s="26">
        <f t="shared" ca="1" si="51"/>
        <v>200</v>
      </c>
      <c r="O115" s="26">
        <f t="shared" si="54"/>
        <v>500</v>
      </c>
      <c r="P115" s="26">
        <f>ROUNDDOWN(P114+MAX(Construction!BO115/2,Construction!BO115*(1-Construction!BO115/(E115-Explore!S115*20)))-Q115*SUM(Techs!AY115:BY115),0)</f>
        <v>0</v>
      </c>
      <c r="Q115" s="166">
        <f>MAX(min_tech_cost,ROUNDDOWN(tech_cost_per_acre*Construction!E115,0))</f>
        <v>5000</v>
      </c>
      <c r="S115" s="152">
        <f t="shared" ca="1" si="46"/>
        <v>4981</v>
      </c>
      <c r="T115" s="164">
        <f t="shared" ca="1" si="35"/>
        <v>1640</v>
      </c>
      <c r="U115" s="164">
        <f t="shared" ca="1" si="36"/>
        <v>-341</v>
      </c>
      <c r="V115" s="164">
        <f t="shared" ca="1" si="37"/>
        <v>88</v>
      </c>
      <c r="W115" s="164">
        <f t="shared" ca="1" si="47"/>
        <v>0</v>
      </c>
      <c r="X115" s="164">
        <f t="shared" ca="1" si="48"/>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4">
        <f ca="1">race_food_bonus + IF(Magic!AO115&gt;0,gaias_blessing_food,IF(Magic!AG115&gt;0,gaias_watch_bonus)) + Imps!AD115+tech_production_food*Techs!W115 + O115/100*prestige_food_bonus</f>
        <v>0.1</v>
      </c>
      <c r="AJ115" s="267">
        <f ca="1">race_lumber_bonus+ IF(Magic!AO115&gt;0,gaias_blessing_lumber)+tech_fruits_of_labor1*Techs!AP115</f>
        <v>0</v>
      </c>
      <c r="AK115" s="267">
        <f ca="1">race_mana_bonus+tech_enchanted_lands_mana*Techs!AT115</f>
        <v>0</v>
      </c>
      <c r="AL115" s="267">
        <f ca="1">race_ore_bonus + IF(Magic!AL115&gt;0,miners_sight_bonus,IF(Magic!AH115&gt;0,mining_strength_bonus))+tech_fruits_of_labor1*Techs!AP115</f>
        <v>0</v>
      </c>
      <c r="AM115" s="193">
        <f ca="1">race_gem_bonus+MAX(tech_production_gems*Techs!X115,tech_fruits_of_labor_gems*Techs!AP115)</f>
        <v>0</v>
      </c>
      <c r="AO115" s="56">
        <f ca="1">I115*food_decay*IF(Magic!AZ115&gt;0,0.5,1)</f>
        <v>3614.82</v>
      </c>
      <c r="AP115" s="26">
        <f ca="1">(1+race_food_consumption)*Population!F115*food_per_person</f>
        <v>1785</v>
      </c>
      <c r="AQ115" s="26">
        <f t="shared" ca="1" si="57"/>
        <v>2840.67</v>
      </c>
      <c r="AR115" s="57">
        <f t="shared" ca="1" si="58"/>
        <v>1161.56</v>
      </c>
      <c r="AS115" s="26"/>
      <c r="AT115" s="56">
        <f ca="1">Explore!AH115+Construction!AP115+Military!AU115+Rezone!Y115+Imps!AQ115-BE115</f>
        <v>0</v>
      </c>
      <c r="AU115" s="26">
        <f>Construction!AQ115+Imps!AR115-BF115</f>
        <v>0</v>
      </c>
      <c r="AV115" s="26">
        <f>Magic!AD115</f>
        <v>0</v>
      </c>
      <c r="AW115" s="26">
        <f ca="1">Military!AV115+Imps!AS115-BG115</f>
        <v>0</v>
      </c>
      <c r="AX115" s="26">
        <f>Imps!AT115-BH115</f>
        <v>0</v>
      </c>
      <c r="AY115" s="26">
        <f ca="1">Military!AZ115</f>
        <v>0</v>
      </c>
      <c r="AZ115" s="57">
        <f ca="1">Military!BA115</f>
        <v>0</v>
      </c>
      <c r="BB115" s="56" t="b">
        <f t="shared" si="56"/>
        <v>0</v>
      </c>
      <c r="BC115" s="332"/>
      <c r="BD115" s="974">
        <v>41</v>
      </c>
      <c r="BE115" s="332"/>
      <c r="BF115" s="370"/>
      <c r="BG115" s="370"/>
      <c r="BH115" s="740"/>
      <c r="BI115" s="1031">
        <f t="shared" si="40"/>
        <v>43769.166666666395</v>
      </c>
      <c r="BJ115" s="159" t="str">
        <f t="shared" si="53"/>
        <v/>
      </c>
      <c r="BK115" s="26">
        <f t="shared" ca="1" si="49"/>
        <v>5035231</v>
      </c>
      <c r="BL115" s="26">
        <f t="shared" ca="1" si="41"/>
        <v>361482</v>
      </c>
      <c r="BM115" s="26">
        <f t="shared" ca="1" si="42"/>
        <v>284067</v>
      </c>
      <c r="BN115" s="26">
        <f t="shared" ca="1" si="43"/>
        <v>58078</v>
      </c>
      <c r="BO115" s="57">
        <f t="shared" ca="1" si="44"/>
        <v>300000</v>
      </c>
    </row>
    <row r="116" spans="1:67" s="16" customFormat="1" x14ac:dyDescent="0.25">
      <c r="A116" s="982">
        <v>42</v>
      </c>
      <c r="B116" s="812">
        <f>Imps!L116</f>
        <v>43769.177083333059</v>
      </c>
      <c r="C116" s="332"/>
      <c r="D116" s="830"/>
      <c r="E116" s="56">
        <f>Construction!E116</f>
        <v>1000</v>
      </c>
      <c r="F116" s="26">
        <f ca="1">Population!$C116</f>
        <v>1845</v>
      </c>
      <c r="G116" s="26">
        <f ca="1">Military!EM116</f>
        <v>20900</v>
      </c>
      <c r="H116" s="26">
        <f ca="1">H115+S115 - AT116 + IF(AND(C115=1,ISNUMBER(MATCH(race,plat_db,0))),Population!C115*4)</f>
        <v>5040212</v>
      </c>
      <c r="I116" s="26">
        <f ca="1">I115+T115-AY116 +  IF(AND(C115=1,ISNUMBER(MATCH(race,food_db,0))),Population!C115*4)</f>
        <v>363122</v>
      </c>
      <c r="J116" s="26">
        <f t="shared" ca="1" si="50"/>
        <v>283726</v>
      </c>
      <c r="K116" s="26">
        <f ca="1">K115+V115 - AV116 + IF(AND(C115=1,ISNUMBER(MATCH(race,mana_db,0))),Population!C115*4)</f>
        <v>58166</v>
      </c>
      <c r="L116" s="26">
        <f ca="1">L115+W115 - AW116 + IF(AND(C115=1,ISNUMBER(MATCH(race,ore_db,0))),Population!C115*4)</f>
        <v>300000</v>
      </c>
      <c r="M116" s="26">
        <f t="shared" ca="1" si="59"/>
        <v>20000</v>
      </c>
      <c r="N116" s="26">
        <f t="shared" ca="1" si="51"/>
        <v>200</v>
      </c>
      <c r="O116" s="26">
        <f t="shared" si="54"/>
        <v>500</v>
      </c>
      <c r="P116" s="26">
        <f>ROUNDDOWN(P115+MAX(Construction!BO116/2,Construction!BO116*(1-Construction!BO116/(E116-Explore!S116*20)))-Q116*SUM(Techs!AY116:BY116),0)</f>
        <v>0</v>
      </c>
      <c r="Q116" s="166">
        <f>MAX(min_tech_cost,ROUNDDOWN(tech_cost_per_acre*Construction!E116,0))</f>
        <v>5000</v>
      </c>
      <c r="S116" s="152">
        <f t="shared" ca="1" si="46"/>
        <v>4981</v>
      </c>
      <c r="T116" s="164">
        <f t="shared" ca="1" si="35"/>
        <v>1624</v>
      </c>
      <c r="U116" s="164">
        <f t="shared" ca="1" si="36"/>
        <v>-337</v>
      </c>
      <c r="V116" s="164">
        <f t="shared" ca="1" si="37"/>
        <v>87</v>
      </c>
      <c r="W116" s="164">
        <f t="shared" ca="1" si="47"/>
        <v>0</v>
      </c>
      <c r="X116" s="164">
        <f t="shared" ca="1" si="48"/>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4">
        <f ca="1">race_food_bonus + IF(Magic!AO116&gt;0,gaias_blessing_food,IF(Magic!AG116&gt;0,gaias_watch_bonus)) + Imps!AD116+tech_production_food*Techs!W116 + O116/100*prestige_food_bonus</f>
        <v>0.1</v>
      </c>
      <c r="AJ116" s="267">
        <f ca="1">race_lumber_bonus+ IF(Magic!AO116&gt;0,gaias_blessing_lumber)+tech_fruits_of_labor1*Techs!AP116</f>
        <v>0</v>
      </c>
      <c r="AK116" s="267">
        <f ca="1">race_mana_bonus+tech_enchanted_lands_mana*Techs!AT116</f>
        <v>0</v>
      </c>
      <c r="AL116" s="267">
        <f ca="1">race_ore_bonus + IF(Magic!AL116&gt;0,miners_sight_bonus,IF(Magic!AH116&gt;0,mining_strength_bonus))+tech_fruits_of_labor1*Techs!AP116</f>
        <v>0</v>
      </c>
      <c r="AM116" s="193">
        <f ca="1">race_gem_bonus+MAX(tech_production_gems*Techs!X116,tech_fruits_of_labor_gems*Techs!AP116)</f>
        <v>0</v>
      </c>
      <c r="AO116" s="56">
        <f ca="1">I116*food_decay*IF(Magic!AZ116&gt;0,0.5,1)</f>
        <v>3631.2200000000003</v>
      </c>
      <c r="AP116" s="26">
        <f ca="1">(1+race_food_consumption)*Population!F116*food_per_person</f>
        <v>1785</v>
      </c>
      <c r="AQ116" s="26">
        <f t="shared" ca="1" si="57"/>
        <v>2837.26</v>
      </c>
      <c r="AR116" s="57">
        <f t="shared" ca="1" si="58"/>
        <v>1163.32</v>
      </c>
      <c r="AS116" s="26"/>
      <c r="AT116" s="56">
        <f ca="1">Explore!AH116+Construction!AP116+Military!AU116+Rezone!Y116+Imps!AQ116-BE116</f>
        <v>0</v>
      </c>
      <c r="AU116" s="26">
        <f>Construction!AQ116+Imps!AR116-BF116</f>
        <v>0</v>
      </c>
      <c r="AV116" s="26">
        <f>Magic!AD116</f>
        <v>0</v>
      </c>
      <c r="AW116" s="26">
        <f ca="1">Military!AV116+Imps!AS116-BG116</f>
        <v>0</v>
      </c>
      <c r="AX116" s="26">
        <f>Imps!AT116-BH116</f>
        <v>0</v>
      </c>
      <c r="AY116" s="26">
        <f ca="1">Military!AZ116</f>
        <v>0</v>
      </c>
      <c r="AZ116" s="57">
        <f ca="1">Military!BA116</f>
        <v>0</v>
      </c>
      <c r="BB116" s="56" t="b">
        <f t="shared" si="56"/>
        <v>0</v>
      </c>
      <c r="BC116" s="332"/>
      <c r="BD116" s="974">
        <v>42</v>
      </c>
      <c r="BE116" s="332"/>
      <c r="BF116" s="370"/>
      <c r="BG116" s="370"/>
      <c r="BH116" s="740"/>
      <c r="BI116" s="1031">
        <f t="shared" si="40"/>
        <v>43769.177083333059</v>
      </c>
      <c r="BJ116" s="159" t="str">
        <f t="shared" si="53"/>
        <v/>
      </c>
      <c r="BK116" s="26">
        <f t="shared" ca="1" si="49"/>
        <v>5040212</v>
      </c>
      <c r="BL116" s="26">
        <f t="shared" ca="1" si="41"/>
        <v>363122</v>
      </c>
      <c r="BM116" s="26">
        <f t="shared" ca="1" si="42"/>
        <v>283726</v>
      </c>
      <c r="BN116" s="26">
        <f t="shared" ca="1" si="43"/>
        <v>58166</v>
      </c>
      <c r="BO116" s="57">
        <f t="shared" ca="1" si="44"/>
        <v>300000</v>
      </c>
    </row>
    <row r="117" spans="1:67" s="16" customFormat="1" x14ac:dyDescent="0.25">
      <c r="A117" s="982">
        <v>43</v>
      </c>
      <c r="B117" s="812">
        <f>Imps!L117</f>
        <v>43769.187499999724</v>
      </c>
      <c r="C117" s="332"/>
      <c r="D117" s="830"/>
      <c r="E117" s="56">
        <f>Construction!E117</f>
        <v>1000</v>
      </c>
      <c r="F117" s="26">
        <f ca="1">Population!$C117</f>
        <v>1845</v>
      </c>
      <c r="G117" s="26">
        <f ca="1">Military!EM117</f>
        <v>20900</v>
      </c>
      <c r="H117" s="26">
        <f ca="1">H116+S116 - AT117 + IF(AND(C116=1,ISNUMBER(MATCH(race,plat_db,0))),Population!C116*4)</f>
        <v>5045193</v>
      </c>
      <c r="I117" s="26">
        <f ca="1">I116+T116-AY117 +  IF(AND(C116=1,ISNUMBER(MATCH(race,food_db,0))),Population!C116*4)</f>
        <v>364746</v>
      </c>
      <c r="J117" s="26">
        <f t="shared" ca="1" si="50"/>
        <v>283389</v>
      </c>
      <c r="K117" s="26">
        <f ca="1">K116+V116 - AV117 + IF(AND(C116=1,ISNUMBER(MATCH(race,mana_db,0))),Population!C116*4)</f>
        <v>58253</v>
      </c>
      <c r="L117" s="26">
        <f ca="1">L116+W116 - AW117 + IF(AND(C116=1,ISNUMBER(MATCH(race,ore_db,0))),Population!C116*4)</f>
        <v>300000</v>
      </c>
      <c r="M117" s="26">
        <f t="shared" ca="1" si="59"/>
        <v>20000</v>
      </c>
      <c r="N117" s="26">
        <f t="shared" ca="1" si="51"/>
        <v>200</v>
      </c>
      <c r="O117" s="26">
        <f t="shared" si="54"/>
        <v>500</v>
      </c>
      <c r="P117" s="26">
        <f>ROUNDDOWN(P116+MAX(Construction!BO117/2,Construction!BO117*(1-Construction!BO117/(E117-Explore!S117*20)))-Q117*SUM(Techs!AY117:BY117),0)</f>
        <v>0</v>
      </c>
      <c r="Q117" s="166">
        <f>MAX(min_tech_cost,ROUNDDOWN(tech_cost_per_acre*Construction!E117,0))</f>
        <v>5000</v>
      </c>
      <c r="S117" s="152">
        <f t="shared" ca="1" si="46"/>
        <v>4981</v>
      </c>
      <c r="T117" s="164">
        <f t="shared" ca="1" si="35"/>
        <v>1608</v>
      </c>
      <c r="U117" s="164">
        <f t="shared" ca="1" si="36"/>
        <v>-334</v>
      </c>
      <c r="V117" s="164">
        <f t="shared" ca="1" si="37"/>
        <v>85</v>
      </c>
      <c r="W117" s="164">
        <f t="shared" ca="1" si="47"/>
        <v>0</v>
      </c>
      <c r="X117" s="164">
        <f t="shared" ca="1" si="48"/>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4">
        <f ca="1">race_food_bonus + IF(Magic!AO117&gt;0,gaias_blessing_food,IF(Magic!AG117&gt;0,gaias_watch_bonus)) + Imps!AD117+tech_production_food*Techs!W117 + O117/100*prestige_food_bonus</f>
        <v>0.1</v>
      </c>
      <c r="AJ117" s="267">
        <f ca="1">race_lumber_bonus+ IF(Magic!AO117&gt;0,gaias_blessing_lumber)+tech_fruits_of_labor1*Techs!AP117</f>
        <v>0</v>
      </c>
      <c r="AK117" s="267">
        <f ca="1">race_mana_bonus+tech_enchanted_lands_mana*Techs!AT117</f>
        <v>0</v>
      </c>
      <c r="AL117" s="267">
        <f ca="1">race_ore_bonus + IF(Magic!AL117&gt;0,miners_sight_bonus,IF(Magic!AH117&gt;0,mining_strength_bonus))+tech_fruits_of_labor1*Techs!AP117</f>
        <v>0</v>
      </c>
      <c r="AM117" s="193">
        <f ca="1">race_gem_bonus+MAX(tech_production_gems*Techs!X117,tech_fruits_of_labor_gems*Techs!AP117)</f>
        <v>0</v>
      </c>
      <c r="AO117" s="56">
        <f ca="1">I117*food_decay*IF(Magic!AZ117&gt;0,0.5,1)</f>
        <v>3647.46</v>
      </c>
      <c r="AP117" s="26">
        <f ca="1">(1+race_food_consumption)*Population!F117*food_per_person</f>
        <v>1785</v>
      </c>
      <c r="AQ117" s="26">
        <f t="shared" ca="1" si="57"/>
        <v>2833.89</v>
      </c>
      <c r="AR117" s="57">
        <f t="shared" ca="1" si="58"/>
        <v>1165.06</v>
      </c>
      <c r="AS117" s="26"/>
      <c r="AT117" s="56">
        <f ca="1">Explore!AH117+Construction!AP117+Military!AU117+Rezone!Y117+Imps!AQ117-BE117</f>
        <v>0</v>
      </c>
      <c r="AU117" s="26">
        <f>Construction!AQ117+Imps!AR117-BF117</f>
        <v>0</v>
      </c>
      <c r="AV117" s="26">
        <f>Magic!AD117</f>
        <v>0</v>
      </c>
      <c r="AW117" s="26">
        <f ca="1">Military!AV117+Imps!AS117-BG117</f>
        <v>0</v>
      </c>
      <c r="AX117" s="26">
        <f>Imps!AT117-BH117</f>
        <v>0</v>
      </c>
      <c r="AY117" s="26">
        <f ca="1">Military!AZ117</f>
        <v>0</v>
      </c>
      <c r="AZ117" s="57">
        <f ca="1">Military!BA117</f>
        <v>0</v>
      </c>
      <c r="BB117" s="56" t="b">
        <f t="shared" si="56"/>
        <v>0</v>
      </c>
      <c r="BC117" s="332"/>
      <c r="BD117" s="974">
        <v>43</v>
      </c>
      <c r="BE117" s="332"/>
      <c r="BF117" s="370"/>
      <c r="BG117" s="370"/>
      <c r="BH117" s="740"/>
      <c r="BI117" s="1031">
        <f t="shared" si="40"/>
        <v>43769.187499999724</v>
      </c>
      <c r="BJ117" s="159" t="str">
        <f t="shared" si="53"/>
        <v/>
      </c>
      <c r="BK117" s="26">
        <f t="shared" ca="1" si="49"/>
        <v>5045193</v>
      </c>
      <c r="BL117" s="26">
        <f t="shared" ca="1" si="41"/>
        <v>364746</v>
      </c>
      <c r="BM117" s="26">
        <f t="shared" ca="1" si="42"/>
        <v>283389</v>
      </c>
      <c r="BN117" s="26">
        <f t="shared" ca="1" si="43"/>
        <v>58253</v>
      </c>
      <c r="BO117" s="57">
        <f t="shared" ca="1" si="44"/>
        <v>300000</v>
      </c>
    </row>
    <row r="118" spans="1:67" s="16" customFormat="1" x14ac:dyDescent="0.25">
      <c r="A118" s="982">
        <v>44</v>
      </c>
      <c r="B118" s="812">
        <f>Imps!L118</f>
        <v>43769.197916666388</v>
      </c>
      <c r="C118" s="332"/>
      <c r="D118" s="830"/>
      <c r="E118" s="56">
        <f>Construction!E118</f>
        <v>1000</v>
      </c>
      <c r="F118" s="26">
        <f ca="1">Population!$C118</f>
        <v>1845</v>
      </c>
      <c r="G118" s="26">
        <f ca="1">Military!EM118</f>
        <v>20900</v>
      </c>
      <c r="H118" s="26">
        <f ca="1">H117+S117 - AT118 + IF(AND(C117=1,ISNUMBER(MATCH(race,plat_db,0))),Population!C117*4)</f>
        <v>5050174</v>
      </c>
      <c r="I118" s="26">
        <f ca="1">I117+T117-AY118 +  IF(AND(C117=1,ISNUMBER(MATCH(race,food_db,0))),Population!C117*4)</f>
        <v>366354</v>
      </c>
      <c r="J118" s="26">
        <f t="shared" ca="1" si="50"/>
        <v>283055</v>
      </c>
      <c r="K118" s="26">
        <f ca="1">K117+V117 - AV118 + IF(AND(C117=1,ISNUMBER(MATCH(race,mana_db,0))),Population!C117*4)</f>
        <v>58338</v>
      </c>
      <c r="L118" s="26">
        <f ca="1">L117+W117 - AW118 + IF(AND(C117=1,ISNUMBER(MATCH(race,ore_db,0))),Population!C117*4)</f>
        <v>300000</v>
      </c>
      <c r="M118" s="26">
        <f t="shared" ca="1" si="59"/>
        <v>20000</v>
      </c>
      <c r="N118" s="26">
        <f t="shared" ca="1" si="51"/>
        <v>200</v>
      </c>
      <c r="O118" s="26">
        <f t="shared" si="54"/>
        <v>500</v>
      </c>
      <c r="P118" s="26">
        <f>ROUNDDOWN(P117+MAX(Construction!BO118/2,Construction!BO118*(1-Construction!BO118/(E118-Explore!S118*20)))-Q118*SUM(Techs!AY118:BY118),0)</f>
        <v>0</v>
      </c>
      <c r="Q118" s="166">
        <f>MAX(min_tech_cost,ROUNDDOWN(tech_cost_per_acre*Construction!E118,0))</f>
        <v>5000</v>
      </c>
      <c r="S118" s="152">
        <f t="shared" ca="1" si="46"/>
        <v>4981</v>
      </c>
      <c r="T118" s="164">
        <f t="shared" ca="1" si="35"/>
        <v>1591</v>
      </c>
      <c r="U118" s="164">
        <f t="shared" ca="1" si="36"/>
        <v>-331</v>
      </c>
      <c r="V118" s="164">
        <f t="shared" ca="1" si="37"/>
        <v>83</v>
      </c>
      <c r="W118" s="164">
        <f t="shared" ca="1" si="47"/>
        <v>0</v>
      </c>
      <c r="X118" s="164">
        <f t="shared" ca="1" si="48"/>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4">
        <f ca="1">race_food_bonus + IF(Magic!AO118&gt;0,gaias_blessing_food,IF(Magic!AG118&gt;0,gaias_watch_bonus)) + Imps!AD118+tech_production_food*Techs!W118 + O118/100*prestige_food_bonus</f>
        <v>0.1</v>
      </c>
      <c r="AJ118" s="267">
        <f ca="1">race_lumber_bonus+ IF(Magic!AO118&gt;0,gaias_blessing_lumber)+tech_fruits_of_labor1*Techs!AP118</f>
        <v>0</v>
      </c>
      <c r="AK118" s="267">
        <f ca="1">race_mana_bonus+tech_enchanted_lands_mana*Techs!AT118</f>
        <v>0</v>
      </c>
      <c r="AL118" s="267">
        <f ca="1">race_ore_bonus + IF(Magic!AL118&gt;0,miners_sight_bonus,IF(Magic!AH118&gt;0,mining_strength_bonus))+tech_fruits_of_labor1*Techs!AP118</f>
        <v>0</v>
      </c>
      <c r="AM118" s="193">
        <f ca="1">race_gem_bonus+MAX(tech_production_gems*Techs!X118,tech_fruits_of_labor_gems*Techs!AP118)</f>
        <v>0</v>
      </c>
      <c r="AO118" s="56">
        <f ca="1">I118*food_decay*IF(Magic!AZ118&gt;0,0.5,1)</f>
        <v>3663.54</v>
      </c>
      <c r="AP118" s="26">
        <f ca="1">(1+race_food_consumption)*Population!F118*food_per_person</f>
        <v>1785</v>
      </c>
      <c r="AQ118" s="26">
        <f t="shared" ca="1" si="57"/>
        <v>2830.55</v>
      </c>
      <c r="AR118" s="57">
        <f t="shared" ca="1" si="58"/>
        <v>1166.76</v>
      </c>
      <c r="AS118" s="26"/>
      <c r="AT118" s="56">
        <f ca="1">Explore!AH118+Construction!AP118+Military!AU118+Rezone!Y118+Imps!AQ118-BE118</f>
        <v>0</v>
      </c>
      <c r="AU118" s="26">
        <f>Construction!AQ118+Imps!AR118-BF118</f>
        <v>0</v>
      </c>
      <c r="AV118" s="26">
        <f>Magic!AD118</f>
        <v>0</v>
      </c>
      <c r="AW118" s="26">
        <f ca="1">Military!AV118+Imps!AS118-BG118</f>
        <v>0</v>
      </c>
      <c r="AX118" s="26">
        <f>Imps!AT118-BH118</f>
        <v>0</v>
      </c>
      <c r="AY118" s="26">
        <f ca="1">Military!AZ118</f>
        <v>0</v>
      </c>
      <c r="AZ118" s="57">
        <f ca="1">Military!BA118</f>
        <v>0</v>
      </c>
      <c r="BB118" s="56" t="b">
        <f t="shared" si="56"/>
        <v>0</v>
      </c>
      <c r="BC118" s="332"/>
      <c r="BD118" s="974">
        <v>44</v>
      </c>
      <c r="BE118" s="332"/>
      <c r="BF118" s="370"/>
      <c r="BG118" s="370"/>
      <c r="BH118" s="740"/>
      <c r="BI118" s="1031">
        <f t="shared" si="40"/>
        <v>43769.197916666388</v>
      </c>
      <c r="BJ118" s="159" t="str">
        <f t="shared" si="53"/>
        <v/>
      </c>
      <c r="BK118" s="26">
        <f t="shared" ca="1" si="49"/>
        <v>5050174</v>
      </c>
      <c r="BL118" s="26">
        <f t="shared" ca="1" si="41"/>
        <v>366354</v>
      </c>
      <c r="BM118" s="26">
        <f t="shared" ca="1" si="42"/>
        <v>283055</v>
      </c>
      <c r="BN118" s="26">
        <f t="shared" ca="1" si="43"/>
        <v>58338</v>
      </c>
      <c r="BO118" s="57">
        <f t="shared" ca="1" si="44"/>
        <v>300000</v>
      </c>
    </row>
    <row r="119" spans="1:67" s="16" customFormat="1" x14ac:dyDescent="0.25">
      <c r="A119" s="982">
        <v>45</v>
      </c>
      <c r="B119" s="812">
        <f>Imps!L119</f>
        <v>43769.208333333052</v>
      </c>
      <c r="C119" s="332"/>
      <c r="D119" s="830"/>
      <c r="E119" s="56">
        <f>Construction!E119</f>
        <v>1000</v>
      </c>
      <c r="F119" s="26">
        <f ca="1">Population!$C119</f>
        <v>1845</v>
      </c>
      <c r="G119" s="26">
        <f ca="1">Military!EM119</f>
        <v>20900</v>
      </c>
      <c r="H119" s="26">
        <f ca="1">H118+S118 - AT119 + IF(AND(C118=1,ISNUMBER(MATCH(race,plat_db,0))),Population!C118*4)</f>
        <v>5055155</v>
      </c>
      <c r="I119" s="26">
        <f ca="1">I118+T118-AY119 +  IF(AND(C118=1,ISNUMBER(MATCH(race,food_db,0))),Population!C118*4)</f>
        <v>367945</v>
      </c>
      <c r="J119" s="26">
        <f t="shared" ca="1" si="50"/>
        <v>282724</v>
      </c>
      <c r="K119" s="26">
        <f ca="1">K118+V118 - AV119 + IF(AND(C118=1,ISNUMBER(MATCH(race,mana_db,0))),Population!C118*4)</f>
        <v>58421</v>
      </c>
      <c r="L119" s="26">
        <f ca="1">L118+W118 - AW119 + IF(AND(C118=1,ISNUMBER(MATCH(race,ore_db,0))),Population!C118*4)</f>
        <v>300000</v>
      </c>
      <c r="M119" s="26">
        <f t="shared" ca="1" si="59"/>
        <v>20000</v>
      </c>
      <c r="N119" s="26">
        <f t="shared" ca="1" si="51"/>
        <v>200</v>
      </c>
      <c r="O119" s="26">
        <f t="shared" si="54"/>
        <v>500</v>
      </c>
      <c r="P119" s="26">
        <f>ROUNDDOWN(P118+MAX(Construction!BO119/2,Construction!BO119*(1-Construction!BO119/(E119-Explore!S119*20)))-Q119*SUM(Techs!AY119:BY119),0)</f>
        <v>0</v>
      </c>
      <c r="Q119" s="166">
        <f>MAX(min_tech_cost,ROUNDDOWN(tech_cost_per_acre*Construction!E119,0))</f>
        <v>5000</v>
      </c>
      <c r="S119" s="152">
        <f t="shared" ca="1" si="46"/>
        <v>4981</v>
      </c>
      <c r="T119" s="164">
        <f t="shared" ca="1" si="35"/>
        <v>1576</v>
      </c>
      <c r="U119" s="164">
        <f t="shared" ca="1" si="36"/>
        <v>-327</v>
      </c>
      <c r="V119" s="164">
        <f t="shared" ca="1" si="37"/>
        <v>82</v>
      </c>
      <c r="W119" s="164">
        <f t="shared" ca="1" si="47"/>
        <v>0</v>
      </c>
      <c r="X119" s="164">
        <f t="shared" ca="1" si="48"/>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4">
        <f ca="1">race_food_bonus + IF(Magic!AO119&gt;0,gaias_blessing_food,IF(Magic!AG119&gt;0,gaias_watch_bonus)) + Imps!AD119+tech_production_food*Techs!W119 + O119/100*prestige_food_bonus</f>
        <v>0.1</v>
      </c>
      <c r="AJ119" s="267">
        <f ca="1">race_lumber_bonus+ IF(Magic!AO119&gt;0,gaias_blessing_lumber)+tech_fruits_of_labor1*Techs!AP119</f>
        <v>0</v>
      </c>
      <c r="AK119" s="267">
        <f ca="1">race_mana_bonus+tech_enchanted_lands_mana*Techs!AT119</f>
        <v>0</v>
      </c>
      <c r="AL119" s="267">
        <f ca="1">race_ore_bonus + IF(Magic!AL119&gt;0,miners_sight_bonus,IF(Magic!AH119&gt;0,mining_strength_bonus))+tech_fruits_of_labor1*Techs!AP119</f>
        <v>0</v>
      </c>
      <c r="AM119" s="193">
        <f ca="1">race_gem_bonus+MAX(tech_production_gems*Techs!X119,tech_fruits_of_labor_gems*Techs!AP119)</f>
        <v>0</v>
      </c>
      <c r="AO119" s="56">
        <f ca="1">I119*food_decay*IF(Magic!AZ119&gt;0,0.5,1)</f>
        <v>3679.4500000000003</v>
      </c>
      <c r="AP119" s="26">
        <f ca="1">(1+race_food_consumption)*Population!F119*food_per_person</f>
        <v>1785</v>
      </c>
      <c r="AQ119" s="26">
        <f t="shared" ca="1" si="57"/>
        <v>2827.2400000000002</v>
      </c>
      <c r="AR119" s="57">
        <f t="shared" ca="1" si="58"/>
        <v>1168.42</v>
      </c>
      <c r="AS119" s="26"/>
      <c r="AT119" s="56">
        <f ca="1">Explore!AH119+Construction!AP119+Military!AU119+Rezone!Y119+Imps!AQ119-BE119</f>
        <v>0</v>
      </c>
      <c r="AU119" s="26">
        <f>Construction!AQ119+Imps!AR119-BF119</f>
        <v>0</v>
      </c>
      <c r="AV119" s="26">
        <f>Magic!AD119</f>
        <v>0</v>
      </c>
      <c r="AW119" s="26">
        <f ca="1">Military!AV119+Imps!AS119-BG119</f>
        <v>0</v>
      </c>
      <c r="AX119" s="26">
        <f>Imps!AT119-BH119</f>
        <v>0</v>
      </c>
      <c r="AY119" s="26">
        <f ca="1">Military!AZ119</f>
        <v>0</v>
      </c>
      <c r="AZ119" s="57">
        <f ca="1">Military!BA119</f>
        <v>0</v>
      </c>
      <c r="BB119" s="56" t="b">
        <f t="shared" si="56"/>
        <v>0</v>
      </c>
      <c r="BC119" s="332"/>
      <c r="BD119" s="974">
        <v>45</v>
      </c>
      <c r="BE119" s="332"/>
      <c r="BF119" s="370"/>
      <c r="BG119" s="370"/>
      <c r="BH119" s="740"/>
      <c r="BI119" s="1031">
        <f t="shared" si="40"/>
        <v>43769.208333333052</v>
      </c>
      <c r="BJ119" s="159" t="str">
        <f t="shared" si="53"/>
        <v/>
      </c>
      <c r="BK119" s="26">
        <f t="shared" ca="1" si="49"/>
        <v>5055155</v>
      </c>
      <c r="BL119" s="26">
        <f t="shared" ca="1" si="41"/>
        <v>367945</v>
      </c>
      <c r="BM119" s="26">
        <f t="shared" ca="1" si="42"/>
        <v>282724</v>
      </c>
      <c r="BN119" s="26">
        <f t="shared" ca="1" si="43"/>
        <v>58421</v>
      </c>
      <c r="BO119" s="57">
        <f t="shared" ca="1" si="44"/>
        <v>300000</v>
      </c>
    </row>
    <row r="120" spans="1:67" s="16" customFormat="1" x14ac:dyDescent="0.25">
      <c r="A120" s="982">
        <v>46</v>
      </c>
      <c r="B120" s="812">
        <f>Imps!L120</f>
        <v>43769.218749999716</v>
      </c>
      <c r="C120" s="332"/>
      <c r="D120" s="830"/>
      <c r="E120" s="56">
        <f>Construction!E120</f>
        <v>1000</v>
      </c>
      <c r="F120" s="26">
        <f ca="1">Population!$C120</f>
        <v>1845</v>
      </c>
      <c r="G120" s="26">
        <f ca="1">Military!EM120</f>
        <v>20900</v>
      </c>
      <c r="H120" s="26">
        <f ca="1">H119+S119 - AT120 + IF(AND(C119=1,ISNUMBER(MATCH(race,plat_db,0))),Population!C119*4)</f>
        <v>5060136</v>
      </c>
      <c r="I120" s="26">
        <f ca="1">I119+T119-AY120 +  IF(AND(C119=1,ISNUMBER(MATCH(race,food_db,0))),Population!C119*4)</f>
        <v>369521</v>
      </c>
      <c r="J120" s="26">
        <f t="shared" ca="1" si="50"/>
        <v>282397</v>
      </c>
      <c r="K120" s="26">
        <f ca="1">K119+V119 - AV120 + IF(AND(C119=1,ISNUMBER(MATCH(race,mana_db,0))),Population!C119*4)</f>
        <v>58503</v>
      </c>
      <c r="L120" s="26">
        <f ca="1">L119+W119 - AW120 + IF(AND(C119=1,ISNUMBER(MATCH(race,ore_db,0))),Population!C119*4)</f>
        <v>300000</v>
      </c>
      <c r="M120" s="26">
        <f t="shared" ca="1" si="59"/>
        <v>20000</v>
      </c>
      <c r="N120" s="26">
        <f t="shared" ca="1" si="51"/>
        <v>200</v>
      </c>
      <c r="O120" s="26">
        <f t="shared" si="54"/>
        <v>500</v>
      </c>
      <c r="P120" s="26">
        <f>ROUNDDOWN(P119+MAX(Construction!BO120/2,Construction!BO120*(1-Construction!BO120/(E120-Explore!S120*20)))-Q120*SUM(Techs!AY120:BY120),0)</f>
        <v>0</v>
      </c>
      <c r="Q120" s="166">
        <f>MAX(min_tech_cost,ROUNDDOWN(tech_cost_per_acre*Construction!E120,0))</f>
        <v>5000</v>
      </c>
      <c r="S120" s="152">
        <f t="shared" ca="1" si="46"/>
        <v>4981</v>
      </c>
      <c r="T120" s="164">
        <f t="shared" ca="1" si="35"/>
        <v>1560</v>
      </c>
      <c r="U120" s="164">
        <f t="shared" ca="1" si="36"/>
        <v>-324</v>
      </c>
      <c r="V120" s="164">
        <f t="shared" ca="1" si="37"/>
        <v>80</v>
      </c>
      <c r="W120" s="164">
        <f t="shared" ca="1" si="47"/>
        <v>0</v>
      </c>
      <c r="X120" s="164">
        <f t="shared" ca="1" si="48"/>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4">
        <f ca="1">race_food_bonus + IF(Magic!AO120&gt;0,gaias_blessing_food,IF(Magic!AG120&gt;0,gaias_watch_bonus)) + Imps!AD120+tech_production_food*Techs!W120 + O120/100*prestige_food_bonus</f>
        <v>0.1</v>
      </c>
      <c r="AJ120" s="267">
        <f ca="1">race_lumber_bonus+ IF(Magic!AO120&gt;0,gaias_blessing_lumber)+tech_fruits_of_labor1*Techs!AP120</f>
        <v>0</v>
      </c>
      <c r="AK120" s="267">
        <f ca="1">race_mana_bonus+tech_enchanted_lands_mana*Techs!AT120</f>
        <v>0</v>
      </c>
      <c r="AL120" s="267">
        <f ca="1">race_ore_bonus + IF(Magic!AL120&gt;0,miners_sight_bonus,IF(Magic!AH120&gt;0,mining_strength_bonus))+tech_fruits_of_labor1*Techs!AP120</f>
        <v>0</v>
      </c>
      <c r="AM120" s="193">
        <f ca="1">race_gem_bonus+MAX(tech_production_gems*Techs!X120,tech_fruits_of_labor_gems*Techs!AP120)</f>
        <v>0</v>
      </c>
      <c r="AO120" s="56">
        <f ca="1">I120*food_decay*IF(Magic!AZ120&gt;0,0.5,1)</f>
        <v>3695.21</v>
      </c>
      <c r="AP120" s="26">
        <f ca="1">(1+race_food_consumption)*Population!F120*food_per_person</f>
        <v>1785</v>
      </c>
      <c r="AQ120" s="26">
        <f t="shared" ca="1" si="57"/>
        <v>2823.9700000000003</v>
      </c>
      <c r="AR120" s="57">
        <f t="shared" ca="1" si="58"/>
        <v>1170.06</v>
      </c>
      <c r="AS120" s="26"/>
      <c r="AT120" s="56">
        <f ca="1">Explore!AH120+Construction!AP120+Military!AU120+Rezone!Y120+Imps!AQ120-BE120</f>
        <v>0</v>
      </c>
      <c r="AU120" s="26">
        <f>Construction!AQ120+Imps!AR120-BF120</f>
        <v>0</v>
      </c>
      <c r="AV120" s="26">
        <f>Magic!AD120</f>
        <v>0</v>
      </c>
      <c r="AW120" s="26">
        <f ca="1">Military!AV120+Imps!AS120-BG120</f>
        <v>0</v>
      </c>
      <c r="AX120" s="26">
        <f>Imps!AT120-BH120</f>
        <v>0</v>
      </c>
      <c r="AY120" s="26">
        <f ca="1">Military!AZ120</f>
        <v>0</v>
      </c>
      <c r="AZ120" s="57">
        <f ca="1">Military!BA120</f>
        <v>0</v>
      </c>
      <c r="BB120" s="56" t="b">
        <f t="shared" si="56"/>
        <v>0</v>
      </c>
      <c r="BC120" s="332"/>
      <c r="BD120" s="974">
        <v>46</v>
      </c>
      <c r="BE120" s="332"/>
      <c r="BF120" s="370"/>
      <c r="BG120" s="370"/>
      <c r="BH120" s="740"/>
      <c r="BI120" s="1031">
        <f t="shared" si="40"/>
        <v>43769.218749999716</v>
      </c>
      <c r="BJ120" s="159" t="str">
        <f t="shared" si="53"/>
        <v/>
      </c>
      <c r="BK120" s="26">
        <f t="shared" ca="1" si="49"/>
        <v>5060136</v>
      </c>
      <c r="BL120" s="26">
        <f t="shared" ca="1" si="41"/>
        <v>369521</v>
      </c>
      <c r="BM120" s="26">
        <f t="shared" ca="1" si="42"/>
        <v>282397</v>
      </c>
      <c r="BN120" s="26">
        <f t="shared" ca="1" si="43"/>
        <v>58503</v>
      </c>
      <c r="BO120" s="57">
        <f t="shared" ca="1" si="44"/>
        <v>300000</v>
      </c>
    </row>
    <row r="121" spans="1:67" s="16" customFormat="1" x14ac:dyDescent="0.25">
      <c r="A121" s="982">
        <v>47</v>
      </c>
      <c r="B121" s="812">
        <f>Imps!L121</f>
        <v>43769.22916666638</v>
      </c>
      <c r="C121" s="332"/>
      <c r="D121" s="830"/>
      <c r="E121" s="56">
        <f>Construction!E121</f>
        <v>1000</v>
      </c>
      <c r="F121" s="26">
        <f ca="1">Population!$C121</f>
        <v>1845</v>
      </c>
      <c r="G121" s="26">
        <f ca="1">Military!EM121</f>
        <v>20900</v>
      </c>
      <c r="H121" s="26">
        <f ca="1">H120+S120 - AT121 + IF(AND(C120=1,ISNUMBER(MATCH(race,plat_db,0))),Population!C120*4)</f>
        <v>5065117</v>
      </c>
      <c r="I121" s="26">
        <f ca="1">I120+T120-AY121 +  IF(AND(C120=1,ISNUMBER(MATCH(race,food_db,0))),Population!C120*4)</f>
        <v>371081</v>
      </c>
      <c r="J121" s="26">
        <f t="shared" ca="1" si="50"/>
        <v>282073</v>
      </c>
      <c r="K121" s="26">
        <f ca="1">K120+V120 - AV121 + IF(AND(C120=1,ISNUMBER(MATCH(race,mana_db,0))),Population!C120*4)</f>
        <v>58583</v>
      </c>
      <c r="L121" s="26">
        <f ca="1">L120+W120 - AW121 + IF(AND(C120=1,ISNUMBER(MATCH(race,ore_db,0))),Population!C120*4)</f>
        <v>300000</v>
      </c>
      <c r="M121" s="26">
        <f t="shared" ca="1" si="59"/>
        <v>20000</v>
      </c>
      <c r="N121" s="26">
        <f t="shared" ca="1" si="51"/>
        <v>200</v>
      </c>
      <c r="O121" s="26">
        <f t="shared" si="54"/>
        <v>500</v>
      </c>
      <c r="P121" s="26">
        <f>ROUNDDOWN(P120+MAX(Construction!BO121/2,Construction!BO121*(1-Construction!BO121/(E121-Explore!S121*20)))-Q121*SUM(Techs!AY121:BY121),0)</f>
        <v>0</v>
      </c>
      <c r="Q121" s="166">
        <f>MAX(min_tech_cost,ROUNDDOWN(tech_cost_per_acre*Construction!E121,0))</f>
        <v>5000</v>
      </c>
      <c r="S121" s="152">
        <f t="shared" ca="1" si="46"/>
        <v>4981</v>
      </c>
      <c r="T121" s="164">
        <f t="shared" ca="1" si="35"/>
        <v>1544</v>
      </c>
      <c r="U121" s="164">
        <f t="shared" ca="1" si="36"/>
        <v>-321</v>
      </c>
      <c r="V121" s="164">
        <f t="shared" ca="1" si="37"/>
        <v>78</v>
      </c>
      <c r="W121" s="164">
        <f t="shared" ca="1" si="47"/>
        <v>0</v>
      </c>
      <c r="X121" s="164">
        <f t="shared" ca="1" si="48"/>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4">
        <f ca="1">race_food_bonus + IF(Magic!AO121&gt;0,gaias_blessing_food,IF(Magic!AG121&gt;0,gaias_watch_bonus)) + Imps!AD121+tech_production_food*Techs!W121 + O121/100*prestige_food_bonus</f>
        <v>0.1</v>
      </c>
      <c r="AJ121" s="267">
        <f ca="1">race_lumber_bonus+ IF(Magic!AO121&gt;0,gaias_blessing_lumber)+tech_fruits_of_labor1*Techs!AP121</f>
        <v>0</v>
      </c>
      <c r="AK121" s="267">
        <f ca="1">race_mana_bonus+tech_enchanted_lands_mana*Techs!AT121</f>
        <v>0</v>
      </c>
      <c r="AL121" s="267">
        <f ca="1">race_ore_bonus + IF(Magic!AL121&gt;0,miners_sight_bonus,IF(Magic!AH121&gt;0,mining_strength_bonus))+tech_fruits_of_labor1*Techs!AP121</f>
        <v>0</v>
      </c>
      <c r="AM121" s="193">
        <f ca="1">race_gem_bonus+MAX(tech_production_gems*Techs!X121,tech_fruits_of_labor_gems*Techs!AP121)</f>
        <v>0</v>
      </c>
      <c r="AO121" s="56">
        <f ca="1">I121*food_decay*IF(Magic!AZ121&gt;0,0.5,1)</f>
        <v>3710.81</v>
      </c>
      <c r="AP121" s="26">
        <f ca="1">(1+race_food_consumption)*Population!F121*food_per_person</f>
        <v>1785</v>
      </c>
      <c r="AQ121" s="26">
        <f t="shared" ca="1" si="57"/>
        <v>2820.73</v>
      </c>
      <c r="AR121" s="57">
        <f t="shared" ca="1" si="58"/>
        <v>1171.6600000000001</v>
      </c>
      <c r="AS121" s="26"/>
      <c r="AT121" s="56">
        <f ca="1">Explore!AH121+Construction!AP121+Military!AU121+Rezone!Y121+Imps!AQ121-BE121</f>
        <v>0</v>
      </c>
      <c r="AU121" s="26">
        <f>Construction!AQ121+Imps!AR121-BF121</f>
        <v>0</v>
      </c>
      <c r="AV121" s="26">
        <f>Magic!AD121</f>
        <v>0</v>
      </c>
      <c r="AW121" s="26">
        <f ca="1">Military!AV121+Imps!AS121-BG121</f>
        <v>0</v>
      </c>
      <c r="AX121" s="26">
        <f>Imps!AT121-BH121</f>
        <v>0</v>
      </c>
      <c r="AY121" s="26">
        <f ca="1">Military!AZ121</f>
        <v>0</v>
      </c>
      <c r="AZ121" s="57">
        <f ca="1">Military!BA121</f>
        <v>0</v>
      </c>
      <c r="BB121" s="56" t="b">
        <f t="shared" si="56"/>
        <v>0</v>
      </c>
      <c r="BC121" s="332"/>
      <c r="BD121" s="974">
        <v>47</v>
      </c>
      <c r="BE121" s="332"/>
      <c r="BF121" s="370"/>
      <c r="BG121" s="370"/>
      <c r="BH121" s="740"/>
      <c r="BI121" s="1031">
        <f t="shared" si="40"/>
        <v>43769.22916666638</v>
      </c>
      <c r="BJ121" s="159" t="str">
        <f t="shared" si="53"/>
        <v/>
      </c>
      <c r="BK121" s="26">
        <f t="shared" ca="1" si="49"/>
        <v>5065117</v>
      </c>
      <c r="BL121" s="26">
        <f t="shared" ca="1" si="41"/>
        <v>371081</v>
      </c>
      <c r="BM121" s="26">
        <f t="shared" ca="1" si="42"/>
        <v>282073</v>
      </c>
      <c r="BN121" s="26">
        <f t="shared" ca="1" si="43"/>
        <v>58583</v>
      </c>
      <c r="BO121" s="57">
        <f t="shared" ca="1" si="44"/>
        <v>300000</v>
      </c>
    </row>
    <row r="122" spans="1:67" s="16" customFormat="1" ht="13.8" thickBot="1" x14ac:dyDescent="0.3">
      <c r="A122" s="982">
        <v>48</v>
      </c>
      <c r="B122" s="530">
        <f>Imps!L122</f>
        <v>43769.239583333045</v>
      </c>
      <c r="C122" s="332"/>
      <c r="D122" s="830"/>
      <c r="E122" s="56">
        <f>Construction!E122</f>
        <v>1000</v>
      </c>
      <c r="F122" s="26">
        <f ca="1">Population!$C122</f>
        <v>1845</v>
      </c>
      <c r="G122" s="26">
        <f ca="1">Military!EM122</f>
        <v>20900</v>
      </c>
      <c r="H122" s="26">
        <f ca="1">H121+S121 - AT122 + IF(AND(C121=1,ISNUMBER(MATCH(race,plat_db,0))),Population!C121*4)</f>
        <v>5070098</v>
      </c>
      <c r="I122" s="26">
        <f ca="1">I121+T121-AY122 +  IF(AND(C121=1,ISNUMBER(MATCH(race,food_db,0))),Population!C121*4)</f>
        <v>372625</v>
      </c>
      <c r="J122" s="26">
        <f t="shared" ca="1" si="50"/>
        <v>281752</v>
      </c>
      <c r="K122" s="26">
        <f ca="1">K121+V121 - AV122 + IF(AND(C121=1,ISNUMBER(MATCH(race,mana_db,0))),Population!C121*4)</f>
        <v>58661</v>
      </c>
      <c r="L122" s="26">
        <f ca="1">L121+W121 - AW122 + IF(AND(C121=1,ISNUMBER(MATCH(race,ore_db,0))),Population!C121*4)</f>
        <v>300000</v>
      </c>
      <c r="M122" s="26">
        <f t="shared" ca="1" si="59"/>
        <v>20000</v>
      </c>
      <c r="N122" s="26">
        <f t="shared" ca="1" si="51"/>
        <v>200</v>
      </c>
      <c r="O122" s="26">
        <f t="shared" si="54"/>
        <v>500</v>
      </c>
      <c r="P122" s="26">
        <f>ROUNDDOWN(P121+MAX(Construction!BO122/2,Construction!BO122*(1-Construction!BO122/(E122-Explore!S122*20)))-Q122*SUM(Techs!AY122:BY122),0)</f>
        <v>0</v>
      </c>
      <c r="Q122" s="166">
        <f>MAX(min_tech_cost,ROUNDDOWN(tech_cost_per_acre*Construction!E122,0))</f>
        <v>5000</v>
      </c>
      <c r="S122" s="152">
        <f t="shared" ca="1" si="46"/>
        <v>4981</v>
      </c>
      <c r="T122" s="164">
        <f t="shared" ca="1" si="35"/>
        <v>1529</v>
      </c>
      <c r="U122" s="164">
        <f t="shared" ca="1" si="36"/>
        <v>-318</v>
      </c>
      <c r="V122" s="164">
        <f t="shared" ca="1" si="37"/>
        <v>77</v>
      </c>
      <c r="W122" s="164">
        <f t="shared" ca="1" si="47"/>
        <v>0</v>
      </c>
      <c r="X122" s="164">
        <f t="shared" ca="1" si="48"/>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4">
        <f ca="1">race_food_bonus + IF(Magic!AO122&gt;0,gaias_blessing_food,IF(Magic!AG122&gt;0,gaias_watch_bonus)) + Imps!AD122+tech_production_food*Techs!W122 + O122/100*prestige_food_bonus</f>
        <v>0.1</v>
      </c>
      <c r="AJ122" s="267">
        <f ca="1">race_lumber_bonus+ IF(Magic!AO122&gt;0,gaias_blessing_lumber)+tech_fruits_of_labor1*Techs!AP122</f>
        <v>0</v>
      </c>
      <c r="AK122" s="267">
        <f ca="1">race_mana_bonus+tech_enchanted_lands_mana*Techs!AT122</f>
        <v>0</v>
      </c>
      <c r="AL122" s="267">
        <f ca="1">race_ore_bonus + IF(Magic!AL122&gt;0,miners_sight_bonus,IF(Magic!AH122&gt;0,mining_strength_bonus))+tech_fruits_of_labor1*Techs!AP122</f>
        <v>0</v>
      </c>
      <c r="AM122" s="193">
        <f ca="1">race_gem_bonus+MAX(tech_production_gems*Techs!X122,tech_fruits_of_labor_gems*Techs!AP122)</f>
        <v>0</v>
      </c>
      <c r="AO122" s="56">
        <f ca="1">I122*food_decay*IF(Magic!AZ122&gt;0,0.5,1)</f>
        <v>3726.25</v>
      </c>
      <c r="AP122" s="26">
        <f ca="1">(1+race_food_consumption)*Population!F122*food_per_person</f>
        <v>1785</v>
      </c>
      <c r="AQ122" s="26">
        <f t="shared" ca="1" si="57"/>
        <v>2817.52</v>
      </c>
      <c r="AR122" s="57">
        <f t="shared" ca="1" si="58"/>
        <v>1173.22</v>
      </c>
      <c r="AS122" s="26"/>
      <c r="AT122" s="56">
        <f ca="1">Explore!AH122+Construction!AP122+Military!AU122+Rezone!Y122+Imps!AQ122-BE122</f>
        <v>0</v>
      </c>
      <c r="AU122" s="26">
        <f>Construction!AQ122+Imps!AR122-BF122</f>
        <v>0</v>
      </c>
      <c r="AV122" s="26">
        <f>Magic!AD122</f>
        <v>0</v>
      </c>
      <c r="AW122" s="26">
        <f ca="1">Military!AV122+Imps!AS122-BG122</f>
        <v>0</v>
      </c>
      <c r="AX122" s="26">
        <f>Imps!AT122-BH122</f>
        <v>0</v>
      </c>
      <c r="AY122" s="26">
        <f ca="1">Military!AZ122</f>
        <v>0</v>
      </c>
      <c r="AZ122" s="57">
        <f ca="1">Military!BA122</f>
        <v>0</v>
      </c>
      <c r="BB122" s="56" t="b">
        <f t="shared" si="56"/>
        <v>0</v>
      </c>
      <c r="BC122" s="332"/>
      <c r="BD122" s="974">
        <v>48</v>
      </c>
      <c r="BE122" s="332"/>
      <c r="BF122" s="370"/>
      <c r="BG122" s="370"/>
      <c r="BH122" s="740"/>
      <c r="BI122" s="1031">
        <f t="shared" si="40"/>
        <v>43769.239583333045</v>
      </c>
      <c r="BJ122" s="159" t="str">
        <f t="shared" si="53"/>
        <v/>
      </c>
      <c r="BK122" s="26">
        <f t="shared" ca="1" si="49"/>
        <v>5070098</v>
      </c>
      <c r="BL122" s="26">
        <f t="shared" ca="1" si="41"/>
        <v>372625</v>
      </c>
      <c r="BM122" s="26">
        <f t="shared" ca="1" si="42"/>
        <v>281752</v>
      </c>
      <c r="BN122" s="26">
        <f t="shared" ca="1" si="43"/>
        <v>58661</v>
      </c>
      <c r="BO122" s="57">
        <f t="shared" ca="1" si="44"/>
        <v>300000</v>
      </c>
    </row>
    <row r="123" spans="1:67" s="111" customFormat="1" ht="14.4" thickTop="1" thickBot="1" x14ac:dyDescent="0.3">
      <c r="A123" s="986">
        <v>49</v>
      </c>
      <c r="B123" s="778">
        <f>Imps!L123</f>
        <v>43769.249999999709</v>
      </c>
      <c r="C123" s="334"/>
      <c r="D123" s="834"/>
      <c r="E123" s="110">
        <f>Construction!E123</f>
        <v>1000</v>
      </c>
      <c r="F123" s="108">
        <f ca="1">Population!$C123</f>
        <v>1845</v>
      </c>
      <c r="G123" s="108">
        <f ca="1">Military!EM123</f>
        <v>20900</v>
      </c>
      <c r="H123" s="108">
        <f ca="1">H122+S122 - AT123 + IF(AND(C122=1,ISNUMBER(MATCH(race,plat_db,0))),Population!C122*4)</f>
        <v>5075079</v>
      </c>
      <c r="I123" s="108">
        <f ca="1">I122+T122-AY123 +  IF(AND(C122=1,ISNUMBER(MATCH(race,food_db,0))),Population!C122*4)</f>
        <v>374154</v>
      </c>
      <c r="J123" s="108">
        <f t="shared" ca="1" si="50"/>
        <v>281434</v>
      </c>
      <c r="K123" s="108">
        <f ca="1">K122+V122 - AV123 + IF(AND(C122=1,ISNUMBER(MATCH(race,mana_db,0))),Population!C122*4)</f>
        <v>58738</v>
      </c>
      <c r="L123" s="108">
        <f ca="1">L122+W122 - AW123 + IF(AND(C122=1,ISNUMBER(MATCH(race,ore_db,0))),Population!C122*4)</f>
        <v>300000</v>
      </c>
      <c r="M123" s="108">
        <f t="shared" ca="1" si="59"/>
        <v>20000</v>
      </c>
      <c r="N123" s="108">
        <f t="shared" ca="1" si="51"/>
        <v>200</v>
      </c>
      <c r="O123" s="108">
        <f t="shared" si="54"/>
        <v>500</v>
      </c>
      <c r="P123" s="108">
        <f>ROUNDDOWN(P122+MAX(Construction!BO123/2,Construction!BO123*(1-Construction!BO123/(E123-Explore!S123*20)))-Q123*SUM(Techs!AY123:BY123),0)</f>
        <v>0</v>
      </c>
      <c r="Q123" s="109">
        <f>MAX(min_tech_cost,ROUNDDOWN(tech_cost_per_acre*Construction!E123,0))</f>
        <v>5000</v>
      </c>
      <c r="S123" s="273">
        <f t="shared" ca="1" si="46"/>
        <v>4981</v>
      </c>
      <c r="T123" s="277">
        <f t="shared" ca="1" si="35"/>
        <v>1513</v>
      </c>
      <c r="U123" s="277">
        <f t="shared" ca="1" si="36"/>
        <v>-314</v>
      </c>
      <c r="V123" s="277">
        <f t="shared" ca="1" si="37"/>
        <v>75</v>
      </c>
      <c r="W123" s="277">
        <f t="shared" ca="1" si="47"/>
        <v>0</v>
      </c>
      <c r="X123" s="277">
        <f t="shared" ca="1" si="48"/>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57">
        <f ca="1">MIN(race_platinum_bonus + IF(Magic!AJ123&gt;0,midas_bonus) + Imps!Y123 - BB123*0.02+MAX(tech_production_plat*Techs!Y123,tech_treasure_hunt_plat*Techs!AR123), 0.5)</f>
        <v>0</v>
      </c>
      <c r="AI123" s="1158">
        <f ca="1">race_food_bonus + IF(Magic!AO123&gt;0,gaias_blessing_food,IF(Magic!AG123&gt;0,gaias_watch_bonus)) + Imps!AD123+tech_production_food*Techs!W123 + O123/100*prestige_food_bonus</f>
        <v>0.1</v>
      </c>
      <c r="AJ123" s="291">
        <f ca="1">race_lumber_bonus+ IF(Magic!AO123&gt;0,gaias_blessing_lumber)+tech_fruits_of_labor1*Techs!AP123</f>
        <v>0</v>
      </c>
      <c r="AK123" s="291">
        <f ca="1">race_mana_bonus+tech_enchanted_lands_mana*Techs!AT123</f>
        <v>0</v>
      </c>
      <c r="AL123" s="291">
        <f ca="1">race_ore_bonus + IF(Magic!AL123&gt;0,miners_sight_bonus,IF(Magic!AH123&gt;0,mining_strength_bonus))+tech_fruits_of_labor1*Techs!AP123</f>
        <v>0</v>
      </c>
      <c r="AM123" s="1159">
        <f ca="1">race_gem_bonus+MAX(tech_production_gems*Techs!X123,tech_fruits_of_labor_gems*Techs!AP123)</f>
        <v>0</v>
      </c>
      <c r="AO123" s="110">
        <f ca="1">I123*food_decay*IF(Magic!AZ123&gt;0,0.5,1)</f>
        <v>3741.54</v>
      </c>
      <c r="AP123" s="108">
        <f ca="1">(1+race_food_consumption)*Population!F123*food_per_person</f>
        <v>1785</v>
      </c>
      <c r="AQ123" s="108">
        <f t="shared" ca="1" si="57"/>
        <v>2814.34</v>
      </c>
      <c r="AR123" s="109">
        <f t="shared" ca="1" si="58"/>
        <v>1174.76</v>
      </c>
      <c r="AS123" s="108"/>
      <c r="AT123" s="110">
        <f ca="1">Explore!AH123+Construction!AP123+Military!AU123+Rezone!Y123+Imps!AQ123-BE123</f>
        <v>0</v>
      </c>
      <c r="AU123" s="108">
        <f>Construction!AQ123+Imps!AR123-BF123</f>
        <v>0</v>
      </c>
      <c r="AV123" s="108">
        <f>Magic!AD123</f>
        <v>0</v>
      </c>
      <c r="AW123" s="108">
        <f ca="1">Military!AV123+Imps!AS123-BG123</f>
        <v>0</v>
      </c>
      <c r="AX123" s="108">
        <f>Imps!AT123-BH123</f>
        <v>0</v>
      </c>
      <c r="AY123" s="108">
        <f ca="1">Military!AZ123</f>
        <v>0</v>
      </c>
      <c r="AZ123" s="109">
        <f ca="1">Military!BA123</f>
        <v>0</v>
      </c>
      <c r="BB123" s="110" t="b">
        <f t="shared" si="56"/>
        <v>0</v>
      </c>
      <c r="BC123" s="334"/>
      <c r="BD123" s="978">
        <v>49</v>
      </c>
      <c r="BE123" s="334"/>
      <c r="BF123" s="432"/>
      <c r="BG123" s="432"/>
      <c r="BH123" s="744"/>
      <c r="BI123" s="1035">
        <f t="shared" si="40"/>
        <v>43769.249999999709</v>
      </c>
      <c r="BJ123" s="290" t="str">
        <f t="shared" si="53"/>
        <v/>
      </c>
      <c r="BK123" s="108">
        <f t="shared" ca="1" si="49"/>
        <v>5075079</v>
      </c>
      <c r="BL123" s="108">
        <f t="shared" ca="1" si="41"/>
        <v>374154</v>
      </c>
      <c r="BM123" s="108">
        <f t="shared" ca="1" si="42"/>
        <v>281434</v>
      </c>
      <c r="BN123" s="108">
        <f t="shared" ca="1" si="43"/>
        <v>58738</v>
      </c>
      <c r="BO123" s="109">
        <f t="shared" ca="1" si="44"/>
        <v>300000</v>
      </c>
    </row>
    <row r="124" spans="1:67" s="16" customFormat="1" ht="13.8" thickTop="1" x14ac:dyDescent="0.25">
      <c r="A124" s="982">
        <v>50</v>
      </c>
      <c r="B124" s="530">
        <f>Imps!L124</f>
        <v>43769.260416666373</v>
      </c>
      <c r="C124" s="332"/>
      <c r="D124" s="830"/>
      <c r="E124" s="56">
        <f>Construction!E124</f>
        <v>1000</v>
      </c>
      <c r="F124" s="26">
        <f ca="1">Population!$C124</f>
        <v>1845</v>
      </c>
      <c r="G124" s="26">
        <f ca="1">Military!EM124</f>
        <v>20900</v>
      </c>
      <c r="H124" s="26">
        <f ca="1">H123+S123 - AT124 + IF(AND(C123=1,ISNUMBER(MATCH(race,plat_db,0))),Population!C123*4)</f>
        <v>5080060</v>
      </c>
      <c r="I124" s="26">
        <f ca="1">I123+T123-AY124 +  IF(AND(C123=1,ISNUMBER(MATCH(race,food_db,0))),Population!C123*4)</f>
        <v>375667</v>
      </c>
      <c r="J124" s="26">
        <f t="shared" ca="1" si="50"/>
        <v>281120</v>
      </c>
      <c r="K124" s="26">
        <f ca="1">K123+V123 - AV124 + IF(AND(C123=1,ISNUMBER(MATCH(race,mana_db,0))),Population!C123*4)</f>
        <v>58813</v>
      </c>
      <c r="L124" s="26">
        <f ca="1">L123+W123 - AW124 + IF(AND(C123=1,ISNUMBER(MATCH(race,ore_db,0))),Population!C123*4)</f>
        <v>300000</v>
      </c>
      <c r="M124" s="26">
        <f t="shared" ca="1" si="59"/>
        <v>20000</v>
      </c>
      <c r="N124" s="26">
        <f t="shared" ca="1" si="51"/>
        <v>200</v>
      </c>
      <c r="O124" s="26">
        <f t="shared" si="54"/>
        <v>500</v>
      </c>
      <c r="P124" s="26">
        <f>ROUNDDOWN(P123+MAX(Construction!BO124/2,Construction!BO124*(1-Construction!BO124/(E124-Explore!S124*20)))-Q124*SUM(Techs!AY124:BY124),0)</f>
        <v>0</v>
      </c>
      <c r="Q124" s="166">
        <f>MAX(min_tech_cost,ROUNDDOWN(tech_cost_per_acre*Construction!E124,0))</f>
        <v>5000</v>
      </c>
      <c r="S124" s="152">
        <f t="shared" ca="1" si="46"/>
        <v>4981</v>
      </c>
      <c r="T124" s="164">
        <f t="shared" ca="1" si="35"/>
        <v>1498</v>
      </c>
      <c r="U124" s="164">
        <f t="shared" ca="1" si="36"/>
        <v>-311</v>
      </c>
      <c r="V124" s="164">
        <f t="shared" ca="1" si="37"/>
        <v>74</v>
      </c>
      <c r="W124" s="164">
        <f t="shared" ca="1" si="47"/>
        <v>0</v>
      </c>
      <c r="X124" s="164">
        <f t="shared" ca="1" si="48"/>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4">
        <f ca="1">race_food_bonus + IF(Magic!AO124&gt;0,gaias_blessing_food,IF(Magic!AG124&gt;0,gaias_watch_bonus)) + Imps!AD124+tech_production_food*Techs!W124 + O124/100*prestige_food_bonus</f>
        <v>0.1</v>
      </c>
      <c r="AJ124" s="267">
        <f ca="1">race_lumber_bonus+ IF(Magic!AO124&gt;0,gaias_blessing_lumber)+tech_fruits_of_labor1*Techs!AP124</f>
        <v>0</v>
      </c>
      <c r="AK124" s="267">
        <f ca="1">race_mana_bonus+tech_enchanted_lands_mana*Techs!AT124</f>
        <v>0</v>
      </c>
      <c r="AL124" s="267">
        <f ca="1">race_ore_bonus + IF(Magic!AL124&gt;0,miners_sight_bonus,IF(Magic!AH124&gt;0,mining_strength_bonus))+tech_fruits_of_labor1*Techs!AP124</f>
        <v>0</v>
      </c>
      <c r="AM124" s="193">
        <f ca="1">race_gem_bonus+MAX(tech_production_gems*Techs!X124,tech_fruits_of_labor_gems*Techs!AP124)</f>
        <v>0</v>
      </c>
      <c r="AO124" s="56">
        <f ca="1">I124*food_decay*IF(Magic!AZ124&gt;0,0.5,1)</f>
        <v>3756.67</v>
      </c>
      <c r="AP124" s="26">
        <f ca="1">(1+race_food_consumption)*Population!F124*food_per_person</f>
        <v>1785</v>
      </c>
      <c r="AQ124" s="26">
        <f t="shared" ca="1" si="57"/>
        <v>2811.2000000000003</v>
      </c>
      <c r="AR124" s="57">
        <f t="shared" ca="1" si="58"/>
        <v>1176.26</v>
      </c>
      <c r="AS124" s="26"/>
      <c r="AT124" s="56">
        <f ca="1">Explore!AH124+Construction!AP124+Military!AU124+Rezone!Y124+Imps!AQ124-BE124</f>
        <v>0</v>
      </c>
      <c r="AU124" s="26">
        <f>Construction!AQ124+Imps!AR124-BF124</f>
        <v>0</v>
      </c>
      <c r="AV124" s="26">
        <f>Magic!AD124</f>
        <v>0</v>
      </c>
      <c r="AW124" s="26">
        <f ca="1">Military!AV124+Imps!AS124-BG124</f>
        <v>0</v>
      </c>
      <c r="AX124" s="26">
        <f>Imps!AT124-BH124</f>
        <v>0</v>
      </c>
      <c r="AY124" s="26">
        <f ca="1">Military!AZ124</f>
        <v>0</v>
      </c>
      <c r="AZ124" s="57">
        <f ca="1">Military!BA124</f>
        <v>0</v>
      </c>
      <c r="BB124" s="56" t="b">
        <f t="shared" si="56"/>
        <v>0</v>
      </c>
      <c r="BC124" s="332"/>
      <c r="BD124" s="974">
        <v>50</v>
      </c>
      <c r="BE124" s="332"/>
      <c r="BF124" s="370"/>
      <c r="BG124" s="370"/>
      <c r="BH124" s="740"/>
      <c r="BI124" s="1031">
        <f t="shared" si="40"/>
        <v>43769.260416666373</v>
      </c>
      <c r="BJ124" s="159" t="str">
        <f t="shared" si="53"/>
        <v/>
      </c>
      <c r="BK124" s="26">
        <f t="shared" ca="1" si="49"/>
        <v>5080060</v>
      </c>
      <c r="BL124" s="26">
        <f t="shared" ca="1" si="41"/>
        <v>375667</v>
      </c>
      <c r="BM124" s="26">
        <f t="shared" ca="1" si="42"/>
        <v>281120</v>
      </c>
      <c r="BN124" s="26">
        <f t="shared" ca="1" si="43"/>
        <v>58813</v>
      </c>
      <c r="BO124" s="57">
        <f t="shared" ca="1" si="44"/>
        <v>300000</v>
      </c>
    </row>
    <row r="125" spans="1:67" s="16" customFormat="1" x14ac:dyDescent="0.25">
      <c r="A125" s="982">
        <v>51</v>
      </c>
      <c r="B125" s="812">
        <f>Imps!L125</f>
        <v>43769.270833333037</v>
      </c>
      <c r="C125" s="332"/>
      <c r="D125" s="830"/>
      <c r="E125" s="56">
        <f>Construction!E125</f>
        <v>1000</v>
      </c>
      <c r="F125" s="26">
        <f ca="1">Population!$C125</f>
        <v>1845</v>
      </c>
      <c r="G125" s="26">
        <f ca="1">Military!EM125</f>
        <v>20900</v>
      </c>
      <c r="H125" s="26">
        <f ca="1">H124+S124 - AT125 + IF(AND(C124=1,ISNUMBER(MATCH(race,plat_db,0))),Population!C124*4)</f>
        <v>5085041</v>
      </c>
      <c r="I125" s="26">
        <f ca="1">I124+T124-AY125 +  IF(AND(C124=1,ISNUMBER(MATCH(race,food_db,0))),Population!C124*4)</f>
        <v>377165</v>
      </c>
      <c r="J125" s="26">
        <f t="shared" ca="1" si="50"/>
        <v>280809</v>
      </c>
      <c r="K125" s="26">
        <f ca="1">K124+V124 - AV125 + IF(AND(C124=1,ISNUMBER(MATCH(race,mana_db,0))),Population!C124*4)</f>
        <v>58887</v>
      </c>
      <c r="L125" s="26">
        <f ca="1">L124+W124 - AW125 + IF(AND(C124=1,ISNUMBER(MATCH(race,ore_db,0))),Population!C124*4)</f>
        <v>300000</v>
      </c>
      <c r="M125" s="26">
        <f t="shared" ca="1" si="59"/>
        <v>20000</v>
      </c>
      <c r="N125" s="26">
        <f t="shared" ca="1" si="51"/>
        <v>200</v>
      </c>
      <c r="O125" s="26">
        <f t="shared" si="54"/>
        <v>500</v>
      </c>
      <c r="P125" s="26">
        <f>ROUNDDOWN(P124+MAX(Construction!BO125/2,Construction!BO125*(1-Construction!BO125/(E125-Explore!S125*20)))-Q125*SUM(Techs!AY125:BY125),0)</f>
        <v>0</v>
      </c>
      <c r="Q125" s="166">
        <f>MAX(min_tech_cost,ROUNDDOWN(tech_cost_per_acre*Construction!E125,0))</f>
        <v>5000</v>
      </c>
      <c r="S125" s="152">
        <f t="shared" ca="1" si="46"/>
        <v>4981</v>
      </c>
      <c r="T125" s="164">
        <f t="shared" ca="1" si="35"/>
        <v>1483</v>
      </c>
      <c r="U125" s="164">
        <f t="shared" ca="1" si="36"/>
        <v>-308</v>
      </c>
      <c r="V125" s="164">
        <f t="shared" ca="1" si="37"/>
        <v>72</v>
      </c>
      <c r="W125" s="164">
        <f t="shared" ca="1" si="47"/>
        <v>0</v>
      </c>
      <c r="X125" s="164">
        <f t="shared" ca="1" si="48"/>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4">
        <f ca="1">race_food_bonus + IF(Magic!AO125&gt;0,gaias_blessing_food,IF(Magic!AG125&gt;0,gaias_watch_bonus)) + Imps!AD125+tech_production_food*Techs!W125 + O125/100*prestige_food_bonus</f>
        <v>0.1</v>
      </c>
      <c r="AJ125" s="267">
        <f ca="1">race_lumber_bonus+ IF(Magic!AO125&gt;0,gaias_blessing_lumber)+tech_fruits_of_labor1*Techs!AP125</f>
        <v>0</v>
      </c>
      <c r="AK125" s="267">
        <f ca="1">race_mana_bonus+tech_enchanted_lands_mana*Techs!AT125</f>
        <v>0</v>
      </c>
      <c r="AL125" s="267">
        <f ca="1">race_ore_bonus + IF(Magic!AL125&gt;0,miners_sight_bonus,IF(Magic!AH125&gt;0,mining_strength_bonus))+tech_fruits_of_labor1*Techs!AP125</f>
        <v>0</v>
      </c>
      <c r="AM125" s="193">
        <f ca="1">race_gem_bonus+MAX(tech_production_gems*Techs!X125,tech_fruits_of_labor_gems*Techs!AP125)</f>
        <v>0</v>
      </c>
      <c r="AO125" s="56">
        <f ca="1">I125*food_decay*IF(Magic!AZ125&gt;0,0.5,1)</f>
        <v>3771.65</v>
      </c>
      <c r="AP125" s="26">
        <f ca="1">(1+race_food_consumption)*Population!F125*food_per_person</f>
        <v>1785</v>
      </c>
      <c r="AQ125" s="26">
        <f t="shared" ca="1" si="57"/>
        <v>2808.09</v>
      </c>
      <c r="AR125" s="57">
        <f t="shared" ca="1" si="58"/>
        <v>1177.74</v>
      </c>
      <c r="AS125" s="26"/>
      <c r="AT125" s="56">
        <f ca="1">Explore!AH125+Construction!AP125+Military!AU125+Rezone!Y125+Imps!AQ125-BE125</f>
        <v>0</v>
      </c>
      <c r="AU125" s="26">
        <f>Construction!AQ125+Imps!AR125-BF125</f>
        <v>0</v>
      </c>
      <c r="AV125" s="26">
        <f>Magic!AD125</f>
        <v>0</v>
      </c>
      <c r="AW125" s="26">
        <f ca="1">Military!AV125+Imps!AS125-BG125</f>
        <v>0</v>
      </c>
      <c r="AX125" s="26">
        <f>Imps!AT125-BH125</f>
        <v>0</v>
      </c>
      <c r="AY125" s="26">
        <f ca="1">Military!AZ125</f>
        <v>0</v>
      </c>
      <c r="AZ125" s="57">
        <f ca="1">Military!BA125</f>
        <v>0</v>
      </c>
      <c r="BB125" s="56" t="b">
        <f t="shared" si="56"/>
        <v>0</v>
      </c>
      <c r="BC125" s="332"/>
      <c r="BD125" s="974">
        <v>51</v>
      </c>
      <c r="BE125" s="332"/>
      <c r="BF125" s="370"/>
      <c r="BG125" s="370"/>
      <c r="BH125" s="740"/>
      <c r="BI125" s="1031">
        <f t="shared" si="40"/>
        <v>43769.270833333037</v>
      </c>
      <c r="BJ125" s="159" t="str">
        <f t="shared" si="53"/>
        <v/>
      </c>
      <c r="BK125" s="26">
        <f t="shared" ca="1" si="49"/>
        <v>5085041</v>
      </c>
      <c r="BL125" s="26">
        <f t="shared" ca="1" si="41"/>
        <v>377165</v>
      </c>
      <c r="BM125" s="26">
        <f t="shared" ca="1" si="42"/>
        <v>280809</v>
      </c>
      <c r="BN125" s="26">
        <f t="shared" ca="1" si="43"/>
        <v>58887</v>
      </c>
      <c r="BO125" s="57">
        <f t="shared" ca="1" si="44"/>
        <v>300000</v>
      </c>
    </row>
    <row r="126" spans="1:67" s="16" customFormat="1" x14ac:dyDescent="0.25">
      <c r="A126" s="982">
        <v>52</v>
      </c>
      <c r="B126" s="812">
        <f>Imps!L126</f>
        <v>43769.281249999702</v>
      </c>
      <c r="C126" s="332"/>
      <c r="D126" s="830"/>
      <c r="E126" s="56">
        <f>Construction!E126</f>
        <v>1000</v>
      </c>
      <c r="F126" s="26">
        <f ca="1">Population!$C126</f>
        <v>1845</v>
      </c>
      <c r="G126" s="26">
        <f ca="1">Military!EM126</f>
        <v>20900</v>
      </c>
      <c r="H126" s="26">
        <f ca="1">H125+S125 - AT126 + IF(AND(C125=1,ISNUMBER(MATCH(race,plat_db,0))),Population!C125*4)</f>
        <v>5090022</v>
      </c>
      <c r="I126" s="26">
        <f ca="1">I125+T125-AY126 +  IF(AND(C125=1,ISNUMBER(MATCH(race,food_db,0))),Population!C125*4)</f>
        <v>378648</v>
      </c>
      <c r="J126" s="26">
        <f t="shared" ca="1" si="50"/>
        <v>280501</v>
      </c>
      <c r="K126" s="26">
        <f ca="1">K125+V125 - AV126 + IF(AND(C125=1,ISNUMBER(MATCH(race,mana_db,0))),Population!C125*4)</f>
        <v>58959</v>
      </c>
      <c r="L126" s="26">
        <f ca="1">L125+W125 - AW126 + IF(AND(C125=1,ISNUMBER(MATCH(race,ore_db,0))),Population!C125*4)</f>
        <v>300000</v>
      </c>
      <c r="M126" s="26">
        <f t="shared" ca="1" si="59"/>
        <v>20000</v>
      </c>
      <c r="N126" s="26">
        <f t="shared" ca="1" si="51"/>
        <v>200</v>
      </c>
      <c r="O126" s="26">
        <f t="shared" si="54"/>
        <v>500</v>
      </c>
      <c r="P126" s="26">
        <f>ROUNDDOWN(P125+MAX(Construction!BO126/2,Construction!BO126*(1-Construction!BO126/(E126-Explore!S126*20)))-Q126*SUM(Techs!AY126:BY126),0)</f>
        <v>0</v>
      </c>
      <c r="Q126" s="166">
        <f>MAX(min_tech_cost,ROUNDDOWN(tech_cost_per_acre*Construction!E126,0))</f>
        <v>5000</v>
      </c>
      <c r="S126" s="152">
        <f t="shared" ca="1" si="46"/>
        <v>4981</v>
      </c>
      <c r="T126" s="164">
        <f t="shared" ca="1" si="35"/>
        <v>1469</v>
      </c>
      <c r="U126" s="164">
        <f t="shared" ca="1" si="36"/>
        <v>-305</v>
      </c>
      <c r="V126" s="164">
        <f t="shared" ca="1" si="37"/>
        <v>71</v>
      </c>
      <c r="W126" s="164">
        <f t="shared" ca="1" si="47"/>
        <v>0</v>
      </c>
      <c r="X126" s="164">
        <f t="shared" ca="1" si="48"/>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4">
        <f ca="1">race_food_bonus + IF(Magic!AO126&gt;0,gaias_blessing_food,IF(Magic!AG126&gt;0,gaias_watch_bonus)) + Imps!AD126+tech_production_food*Techs!W126 + O126/100*prestige_food_bonus</f>
        <v>0.1</v>
      </c>
      <c r="AJ126" s="267">
        <f ca="1">race_lumber_bonus+ IF(Magic!AO126&gt;0,gaias_blessing_lumber)+tech_fruits_of_labor1*Techs!AP126</f>
        <v>0</v>
      </c>
      <c r="AK126" s="267">
        <f ca="1">race_mana_bonus+tech_enchanted_lands_mana*Techs!AT126</f>
        <v>0</v>
      </c>
      <c r="AL126" s="267">
        <f ca="1">race_ore_bonus + IF(Magic!AL126&gt;0,miners_sight_bonus,IF(Magic!AH126&gt;0,mining_strength_bonus))+tech_fruits_of_labor1*Techs!AP126</f>
        <v>0</v>
      </c>
      <c r="AM126" s="193">
        <f ca="1">race_gem_bonus+MAX(tech_production_gems*Techs!X126,tech_fruits_of_labor_gems*Techs!AP126)</f>
        <v>0</v>
      </c>
      <c r="AO126" s="56">
        <f ca="1">I126*food_decay*IF(Magic!AZ126&gt;0,0.5,1)</f>
        <v>3786.48</v>
      </c>
      <c r="AP126" s="26">
        <f ca="1">(1+race_food_consumption)*Population!F126*food_per_person</f>
        <v>1785</v>
      </c>
      <c r="AQ126" s="26">
        <f t="shared" ca="1" si="57"/>
        <v>2805.01</v>
      </c>
      <c r="AR126" s="57">
        <f t="shared" ca="1" si="58"/>
        <v>1179.18</v>
      </c>
      <c r="AS126" s="26"/>
      <c r="AT126" s="56">
        <f ca="1">Explore!AH126+Construction!AP126+Military!AU126+Rezone!Y126+Imps!AQ126-BE126</f>
        <v>0</v>
      </c>
      <c r="AU126" s="26">
        <f>Construction!AQ126+Imps!AR126-BF126</f>
        <v>0</v>
      </c>
      <c r="AV126" s="26">
        <f>Magic!AD126</f>
        <v>0</v>
      </c>
      <c r="AW126" s="26">
        <f ca="1">Military!AV126+Imps!AS126-BG126</f>
        <v>0</v>
      </c>
      <c r="AX126" s="26">
        <f>Imps!AT126-BH126</f>
        <v>0</v>
      </c>
      <c r="AY126" s="26">
        <f ca="1">Military!AZ126</f>
        <v>0</v>
      </c>
      <c r="AZ126" s="57">
        <f ca="1">Military!BA126</f>
        <v>0</v>
      </c>
      <c r="BB126" s="56" t="b">
        <f t="shared" si="56"/>
        <v>0</v>
      </c>
      <c r="BC126" s="332"/>
      <c r="BD126" s="974">
        <v>52</v>
      </c>
      <c r="BE126" s="332"/>
      <c r="BF126" s="370"/>
      <c r="BG126" s="370"/>
      <c r="BH126" s="740"/>
      <c r="BI126" s="1031">
        <f t="shared" si="40"/>
        <v>43769.281249999702</v>
      </c>
      <c r="BJ126" s="159" t="str">
        <f t="shared" si="53"/>
        <v/>
      </c>
      <c r="BK126" s="26">
        <f t="shared" ca="1" si="49"/>
        <v>5090022</v>
      </c>
      <c r="BL126" s="26">
        <f t="shared" ca="1" si="41"/>
        <v>378648</v>
      </c>
      <c r="BM126" s="26">
        <f t="shared" ca="1" si="42"/>
        <v>280501</v>
      </c>
      <c r="BN126" s="26">
        <f t="shared" ca="1" si="43"/>
        <v>58959</v>
      </c>
      <c r="BO126" s="57">
        <f t="shared" ca="1" si="44"/>
        <v>300000</v>
      </c>
    </row>
    <row r="127" spans="1:67" s="16" customFormat="1" x14ac:dyDescent="0.25">
      <c r="A127" s="982">
        <v>53</v>
      </c>
      <c r="B127" s="812">
        <f>Imps!L127</f>
        <v>43769.291666666366</v>
      </c>
      <c r="C127" s="332"/>
      <c r="D127" s="830"/>
      <c r="E127" s="56">
        <f>Construction!E127</f>
        <v>1000</v>
      </c>
      <c r="F127" s="26">
        <f ca="1">Population!$C127</f>
        <v>1845</v>
      </c>
      <c r="G127" s="26">
        <f ca="1">Military!EM127</f>
        <v>20900</v>
      </c>
      <c r="H127" s="26">
        <f ca="1">H126+S126 - AT127 + IF(AND(C126=1,ISNUMBER(MATCH(race,plat_db,0))),Population!C126*4)</f>
        <v>5095003</v>
      </c>
      <c r="I127" s="26">
        <f ca="1">I126+T126-AY127 +  IF(AND(C126=1,ISNUMBER(MATCH(race,food_db,0))),Population!C126*4)</f>
        <v>380117</v>
      </c>
      <c r="J127" s="26">
        <f t="shared" ca="1" si="50"/>
        <v>280196</v>
      </c>
      <c r="K127" s="26">
        <f ca="1">K126+V126 - AV127 + IF(AND(C126=1,ISNUMBER(MATCH(race,mana_db,0))),Population!C126*4)</f>
        <v>59030</v>
      </c>
      <c r="L127" s="26">
        <f ca="1">L126+W126 - AW127 + IF(AND(C126=1,ISNUMBER(MATCH(race,ore_db,0))),Population!C126*4)</f>
        <v>300000</v>
      </c>
      <c r="M127" s="26">
        <f t="shared" ca="1" si="59"/>
        <v>20000</v>
      </c>
      <c r="N127" s="26">
        <f t="shared" ca="1" si="51"/>
        <v>200</v>
      </c>
      <c r="O127" s="26">
        <f t="shared" si="54"/>
        <v>500</v>
      </c>
      <c r="P127" s="26">
        <f>ROUNDDOWN(P126+MAX(Construction!BO127/2,Construction!BO127*(1-Construction!BO127/(E127-Explore!S127*20)))-Q127*SUM(Techs!AY127:BY127),0)</f>
        <v>0</v>
      </c>
      <c r="Q127" s="166">
        <f>MAX(min_tech_cost,ROUNDDOWN(tech_cost_per_acre*Construction!E127,0))</f>
        <v>5000</v>
      </c>
      <c r="S127" s="152">
        <f t="shared" ca="1" si="46"/>
        <v>4981</v>
      </c>
      <c r="T127" s="164">
        <f t="shared" ca="1" si="35"/>
        <v>1454</v>
      </c>
      <c r="U127" s="164">
        <f t="shared" ca="1" si="36"/>
        <v>-302</v>
      </c>
      <c r="V127" s="164">
        <f t="shared" ca="1" si="37"/>
        <v>69</v>
      </c>
      <c r="W127" s="164">
        <f t="shared" ca="1" si="47"/>
        <v>0</v>
      </c>
      <c r="X127" s="164">
        <f t="shared" ca="1" si="48"/>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4">
        <f ca="1">race_food_bonus + IF(Magic!AO127&gt;0,gaias_blessing_food,IF(Magic!AG127&gt;0,gaias_watch_bonus)) + Imps!AD127+tech_production_food*Techs!W127 + O127/100*prestige_food_bonus</f>
        <v>0.1</v>
      </c>
      <c r="AJ127" s="267">
        <f ca="1">race_lumber_bonus+ IF(Magic!AO127&gt;0,gaias_blessing_lumber)+tech_fruits_of_labor1*Techs!AP127</f>
        <v>0</v>
      </c>
      <c r="AK127" s="267">
        <f ca="1">race_mana_bonus+tech_enchanted_lands_mana*Techs!AT127</f>
        <v>0</v>
      </c>
      <c r="AL127" s="267">
        <f ca="1">race_ore_bonus + IF(Magic!AL127&gt;0,miners_sight_bonus,IF(Magic!AH127&gt;0,mining_strength_bonus))+tech_fruits_of_labor1*Techs!AP127</f>
        <v>0</v>
      </c>
      <c r="AM127" s="193">
        <f ca="1">race_gem_bonus+MAX(tech_production_gems*Techs!X127,tech_fruits_of_labor_gems*Techs!AP127)</f>
        <v>0</v>
      </c>
      <c r="AO127" s="56">
        <f ca="1">I127*food_decay*IF(Magic!AZ127&gt;0,0.5,1)</f>
        <v>3801.17</v>
      </c>
      <c r="AP127" s="26">
        <f ca="1">(1+race_food_consumption)*Population!F127*food_per_person</f>
        <v>1785</v>
      </c>
      <c r="AQ127" s="26">
        <f t="shared" ca="1" si="57"/>
        <v>2801.96</v>
      </c>
      <c r="AR127" s="57">
        <f t="shared" ca="1" si="58"/>
        <v>1180.6000000000001</v>
      </c>
      <c r="AS127" s="26"/>
      <c r="AT127" s="56">
        <f ca="1">Explore!AH127+Construction!AP127+Military!AU127+Rezone!Y127+Imps!AQ127-BE127</f>
        <v>0</v>
      </c>
      <c r="AU127" s="26">
        <f>Construction!AQ127+Imps!AR127-BF127</f>
        <v>0</v>
      </c>
      <c r="AV127" s="26">
        <f>Magic!AD127</f>
        <v>0</v>
      </c>
      <c r="AW127" s="26">
        <f ca="1">Military!AV127+Imps!AS127-BG127</f>
        <v>0</v>
      </c>
      <c r="AX127" s="26">
        <f>Imps!AT127-BH127</f>
        <v>0</v>
      </c>
      <c r="AY127" s="26">
        <f ca="1">Military!AZ127</f>
        <v>0</v>
      </c>
      <c r="AZ127" s="57">
        <f ca="1">Military!BA127</f>
        <v>0</v>
      </c>
      <c r="BB127" s="56" t="b">
        <f t="shared" si="56"/>
        <v>0</v>
      </c>
      <c r="BC127" s="332"/>
      <c r="BD127" s="974">
        <v>53</v>
      </c>
      <c r="BE127" s="332"/>
      <c r="BF127" s="370"/>
      <c r="BG127" s="370"/>
      <c r="BH127" s="740"/>
      <c r="BI127" s="1031">
        <f t="shared" si="40"/>
        <v>43769.291666666366</v>
      </c>
      <c r="BJ127" s="159" t="str">
        <f t="shared" si="53"/>
        <v/>
      </c>
      <c r="BK127" s="26">
        <f t="shared" ca="1" si="49"/>
        <v>5095003</v>
      </c>
      <c r="BL127" s="26">
        <f t="shared" ca="1" si="41"/>
        <v>380117</v>
      </c>
      <c r="BM127" s="26">
        <f t="shared" ca="1" si="42"/>
        <v>280196</v>
      </c>
      <c r="BN127" s="26">
        <f t="shared" ca="1" si="43"/>
        <v>59030</v>
      </c>
      <c r="BO127" s="57">
        <f t="shared" ca="1" si="44"/>
        <v>300000</v>
      </c>
    </row>
    <row r="128" spans="1:67" s="16" customFormat="1" x14ac:dyDescent="0.25">
      <c r="A128" s="982">
        <v>54</v>
      </c>
      <c r="B128" s="812">
        <f>Imps!L128</f>
        <v>43769.30208333303</v>
      </c>
      <c r="C128" s="332"/>
      <c r="D128" s="830"/>
      <c r="E128" s="56">
        <f>Construction!E128</f>
        <v>1000</v>
      </c>
      <c r="F128" s="26">
        <f ca="1">Population!$C128</f>
        <v>1845</v>
      </c>
      <c r="G128" s="26">
        <f ca="1">Military!EM128</f>
        <v>20900</v>
      </c>
      <c r="H128" s="26">
        <f ca="1">H127+S127 - AT128 + IF(AND(C127=1,ISNUMBER(MATCH(race,plat_db,0))),Population!C127*4)</f>
        <v>5099984</v>
      </c>
      <c r="I128" s="26">
        <f ca="1">I127+T127-AY128 +  IF(AND(C127=1,ISNUMBER(MATCH(race,food_db,0))),Population!C127*4)</f>
        <v>381571</v>
      </c>
      <c r="J128" s="26">
        <f t="shared" ca="1" si="50"/>
        <v>279894</v>
      </c>
      <c r="K128" s="26">
        <f ca="1">K127+V127 - AV128 + IF(AND(C127=1,ISNUMBER(MATCH(race,mana_db,0))),Population!C127*4)</f>
        <v>59099</v>
      </c>
      <c r="L128" s="26">
        <f ca="1">L127+W127 - AW128 + IF(AND(C127=1,ISNUMBER(MATCH(race,ore_db,0))),Population!C127*4)</f>
        <v>300000</v>
      </c>
      <c r="M128" s="26">
        <f t="shared" ca="1" si="59"/>
        <v>20000</v>
      </c>
      <c r="N128" s="26">
        <f t="shared" ca="1" si="51"/>
        <v>200</v>
      </c>
      <c r="O128" s="26">
        <f t="shared" si="54"/>
        <v>500</v>
      </c>
      <c r="P128" s="26">
        <f>ROUNDDOWN(P127+MAX(Construction!BO128/2,Construction!BO128*(1-Construction!BO128/(E128-Explore!S128*20)))-Q128*SUM(Techs!AY128:BY128),0)</f>
        <v>0</v>
      </c>
      <c r="Q128" s="166">
        <f>MAX(min_tech_cost,ROUNDDOWN(tech_cost_per_acre*Construction!E128,0))</f>
        <v>5000</v>
      </c>
      <c r="S128" s="152">
        <f t="shared" ca="1" si="46"/>
        <v>4981</v>
      </c>
      <c r="T128" s="164">
        <f t="shared" ca="1" si="35"/>
        <v>1439</v>
      </c>
      <c r="U128" s="164">
        <f t="shared" ca="1" si="36"/>
        <v>-299</v>
      </c>
      <c r="V128" s="164">
        <f t="shared" ca="1" si="37"/>
        <v>68</v>
      </c>
      <c r="W128" s="164">
        <f t="shared" ca="1" si="47"/>
        <v>0</v>
      </c>
      <c r="X128" s="164">
        <f t="shared" ca="1" si="48"/>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4">
        <f ca="1">race_food_bonus + IF(Magic!AO128&gt;0,gaias_blessing_food,IF(Magic!AG128&gt;0,gaias_watch_bonus)) + Imps!AD128+tech_production_food*Techs!W128 + O128/100*prestige_food_bonus</f>
        <v>0.1</v>
      </c>
      <c r="AJ128" s="267">
        <f ca="1">race_lumber_bonus+ IF(Magic!AO128&gt;0,gaias_blessing_lumber)+tech_fruits_of_labor1*Techs!AP128</f>
        <v>0</v>
      </c>
      <c r="AK128" s="267">
        <f ca="1">race_mana_bonus+tech_enchanted_lands_mana*Techs!AT128</f>
        <v>0</v>
      </c>
      <c r="AL128" s="267">
        <f ca="1">race_ore_bonus + IF(Magic!AL128&gt;0,miners_sight_bonus,IF(Magic!AH128&gt;0,mining_strength_bonus))+tech_fruits_of_labor1*Techs!AP128</f>
        <v>0</v>
      </c>
      <c r="AM128" s="193">
        <f ca="1">race_gem_bonus+MAX(tech_production_gems*Techs!X128,tech_fruits_of_labor_gems*Techs!AP128)</f>
        <v>0</v>
      </c>
      <c r="AO128" s="56">
        <f ca="1">I128*food_decay*IF(Magic!AZ128&gt;0,0.5,1)</f>
        <v>3815.71</v>
      </c>
      <c r="AP128" s="26">
        <f ca="1">(1+race_food_consumption)*Population!F128*food_per_person</f>
        <v>1785</v>
      </c>
      <c r="AQ128" s="26">
        <f t="shared" ca="1" si="57"/>
        <v>2798.94</v>
      </c>
      <c r="AR128" s="57">
        <f t="shared" ca="1" si="58"/>
        <v>1181.98</v>
      </c>
      <c r="AS128" s="26"/>
      <c r="AT128" s="56">
        <f ca="1">Explore!AH128+Construction!AP128+Military!AU128+Rezone!Y128+Imps!AQ128-BE128</f>
        <v>0</v>
      </c>
      <c r="AU128" s="26">
        <f>Construction!AQ128+Imps!AR128-BF128</f>
        <v>0</v>
      </c>
      <c r="AV128" s="26">
        <f>Magic!AD128</f>
        <v>0</v>
      </c>
      <c r="AW128" s="26">
        <f ca="1">Military!AV128+Imps!AS128-BG128</f>
        <v>0</v>
      </c>
      <c r="AX128" s="26">
        <f>Imps!AT128-BH128</f>
        <v>0</v>
      </c>
      <c r="AY128" s="26">
        <f ca="1">Military!AZ128</f>
        <v>0</v>
      </c>
      <c r="AZ128" s="57">
        <f ca="1">Military!BA128</f>
        <v>0</v>
      </c>
      <c r="BB128" s="56" t="b">
        <f t="shared" si="56"/>
        <v>0</v>
      </c>
      <c r="BC128" s="332"/>
      <c r="BD128" s="974">
        <v>54</v>
      </c>
      <c r="BE128" s="332"/>
      <c r="BF128" s="370"/>
      <c r="BG128" s="370"/>
      <c r="BH128" s="740"/>
      <c r="BI128" s="1031">
        <f t="shared" si="40"/>
        <v>43769.30208333303</v>
      </c>
      <c r="BJ128" s="159" t="str">
        <f t="shared" si="53"/>
        <v/>
      </c>
      <c r="BK128" s="26">
        <f t="shared" ca="1" si="49"/>
        <v>5099984</v>
      </c>
      <c r="BL128" s="26">
        <f t="shared" ca="1" si="41"/>
        <v>381571</v>
      </c>
      <c r="BM128" s="26">
        <f t="shared" ca="1" si="42"/>
        <v>279894</v>
      </c>
      <c r="BN128" s="26">
        <f t="shared" ca="1" si="43"/>
        <v>59099</v>
      </c>
      <c r="BO128" s="57">
        <f t="shared" ca="1" si="44"/>
        <v>300000</v>
      </c>
    </row>
    <row r="129" spans="1:67" s="16" customFormat="1" x14ac:dyDescent="0.25">
      <c r="A129" s="982">
        <v>55</v>
      </c>
      <c r="B129" s="812">
        <f>Imps!L129</f>
        <v>43769.312499999694</v>
      </c>
      <c r="C129" s="332"/>
      <c r="D129" s="830"/>
      <c r="E129" s="56">
        <f>Construction!E129</f>
        <v>1000</v>
      </c>
      <c r="F129" s="26">
        <f ca="1">Population!$C129</f>
        <v>1845</v>
      </c>
      <c r="G129" s="26">
        <f ca="1">Military!EM129</f>
        <v>20900</v>
      </c>
      <c r="H129" s="26">
        <f ca="1">H128+S128 - AT129 + IF(AND(C128=1,ISNUMBER(MATCH(race,plat_db,0))),Population!C128*4)</f>
        <v>5104965</v>
      </c>
      <c r="I129" s="26">
        <f ca="1">I128+T128-AY129 +  IF(AND(C128=1,ISNUMBER(MATCH(race,food_db,0))),Population!C128*4)</f>
        <v>383010</v>
      </c>
      <c r="J129" s="26">
        <f t="shared" ca="1" si="50"/>
        <v>279595</v>
      </c>
      <c r="K129" s="26">
        <f ca="1">K128+V128 - AV129 + IF(AND(C128=1,ISNUMBER(MATCH(race,mana_db,0))),Population!C128*4)</f>
        <v>59167</v>
      </c>
      <c r="L129" s="26">
        <f ca="1">L128+W128 - AW129 + IF(AND(C128=1,ISNUMBER(MATCH(race,ore_db,0))),Population!C128*4)</f>
        <v>300000</v>
      </c>
      <c r="M129" s="26">
        <f t="shared" ca="1" si="59"/>
        <v>20000</v>
      </c>
      <c r="N129" s="26">
        <f t="shared" ca="1" si="51"/>
        <v>200</v>
      </c>
      <c r="O129" s="26">
        <f t="shared" si="54"/>
        <v>500</v>
      </c>
      <c r="P129" s="26">
        <f>ROUNDDOWN(P128+MAX(Construction!BO129/2,Construction!BO129*(1-Construction!BO129/(E129-Explore!S129*20)))-Q129*SUM(Techs!AY129:BY129),0)</f>
        <v>0</v>
      </c>
      <c r="Q129" s="166">
        <f>MAX(min_tech_cost,ROUNDDOWN(tech_cost_per_acre*Construction!E129,0))</f>
        <v>5000</v>
      </c>
      <c r="S129" s="152">
        <f t="shared" ca="1" si="46"/>
        <v>4981</v>
      </c>
      <c r="T129" s="164">
        <f t="shared" ca="1" si="35"/>
        <v>1425</v>
      </c>
      <c r="U129" s="164">
        <f t="shared" ca="1" si="36"/>
        <v>-296</v>
      </c>
      <c r="V129" s="164">
        <f t="shared" ca="1" si="37"/>
        <v>67</v>
      </c>
      <c r="W129" s="164">
        <f t="shared" ca="1" si="47"/>
        <v>0</v>
      </c>
      <c r="X129" s="164">
        <f t="shared" ca="1" si="48"/>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4">
        <f ca="1">race_food_bonus + IF(Magic!AO129&gt;0,gaias_blessing_food,IF(Magic!AG129&gt;0,gaias_watch_bonus)) + Imps!AD129+tech_production_food*Techs!W129 + O129/100*prestige_food_bonus</f>
        <v>0.1</v>
      </c>
      <c r="AJ129" s="267">
        <f ca="1">race_lumber_bonus+ IF(Magic!AO129&gt;0,gaias_blessing_lumber)+tech_fruits_of_labor1*Techs!AP129</f>
        <v>0</v>
      </c>
      <c r="AK129" s="267">
        <f ca="1">race_mana_bonus+tech_enchanted_lands_mana*Techs!AT129</f>
        <v>0</v>
      </c>
      <c r="AL129" s="267">
        <f ca="1">race_ore_bonus + IF(Magic!AL129&gt;0,miners_sight_bonus,IF(Magic!AH129&gt;0,mining_strength_bonus))+tech_fruits_of_labor1*Techs!AP129</f>
        <v>0</v>
      </c>
      <c r="AM129" s="193">
        <f ca="1">race_gem_bonus+MAX(tech_production_gems*Techs!X129,tech_fruits_of_labor_gems*Techs!AP129)</f>
        <v>0</v>
      </c>
      <c r="AO129" s="56">
        <f ca="1">I129*food_decay*IF(Magic!AZ129&gt;0,0.5,1)</f>
        <v>3830.1</v>
      </c>
      <c r="AP129" s="26">
        <f ca="1">(1+race_food_consumption)*Population!F129*food_per_person</f>
        <v>1785</v>
      </c>
      <c r="AQ129" s="26">
        <f t="shared" ca="1" si="57"/>
        <v>2795.9500000000003</v>
      </c>
      <c r="AR129" s="57">
        <f t="shared" ca="1" si="58"/>
        <v>1183.3399999999999</v>
      </c>
      <c r="AS129" s="26"/>
      <c r="AT129" s="56">
        <f ca="1">Explore!AH129+Construction!AP129+Military!AU129+Rezone!Y129+Imps!AQ129-BE129</f>
        <v>0</v>
      </c>
      <c r="AU129" s="26">
        <f>Construction!AQ129+Imps!AR129-BF129</f>
        <v>0</v>
      </c>
      <c r="AV129" s="26">
        <f>Magic!AD129</f>
        <v>0</v>
      </c>
      <c r="AW129" s="26">
        <f ca="1">Military!AV129+Imps!AS129-BG129</f>
        <v>0</v>
      </c>
      <c r="AX129" s="26">
        <f>Imps!AT129-BH129</f>
        <v>0</v>
      </c>
      <c r="AY129" s="26">
        <f ca="1">Military!AZ129</f>
        <v>0</v>
      </c>
      <c r="AZ129" s="57">
        <f ca="1">Military!BA129</f>
        <v>0</v>
      </c>
      <c r="BB129" s="56" t="b">
        <f t="shared" si="56"/>
        <v>0</v>
      </c>
      <c r="BC129" s="332"/>
      <c r="BD129" s="974">
        <v>55</v>
      </c>
      <c r="BE129" s="332"/>
      <c r="BF129" s="370"/>
      <c r="BG129" s="370"/>
      <c r="BH129" s="740"/>
      <c r="BI129" s="1031">
        <f t="shared" si="40"/>
        <v>43769.312499999694</v>
      </c>
      <c r="BJ129" s="159" t="str">
        <f t="shared" si="53"/>
        <v/>
      </c>
      <c r="BK129" s="26">
        <f t="shared" ca="1" si="49"/>
        <v>5104965</v>
      </c>
      <c r="BL129" s="26">
        <f t="shared" ca="1" si="41"/>
        <v>383010</v>
      </c>
      <c r="BM129" s="26">
        <f t="shared" ca="1" si="42"/>
        <v>279595</v>
      </c>
      <c r="BN129" s="26">
        <f t="shared" ca="1" si="43"/>
        <v>59167</v>
      </c>
      <c r="BO129" s="57">
        <f t="shared" ca="1" si="44"/>
        <v>300000</v>
      </c>
    </row>
    <row r="130" spans="1:67" s="16" customFormat="1" x14ac:dyDescent="0.25">
      <c r="A130" s="982">
        <v>56</v>
      </c>
      <c r="B130" s="812">
        <f>Imps!L130</f>
        <v>43769.322916666359</v>
      </c>
      <c r="C130" s="332"/>
      <c r="D130" s="830"/>
      <c r="E130" s="56">
        <f>Construction!E130</f>
        <v>1000</v>
      </c>
      <c r="F130" s="26">
        <f ca="1">Population!$C130</f>
        <v>1845</v>
      </c>
      <c r="G130" s="26">
        <f ca="1">Military!EM130</f>
        <v>20900</v>
      </c>
      <c r="H130" s="26">
        <f ca="1">H129+S129 - AT130 + IF(AND(C129=1,ISNUMBER(MATCH(race,plat_db,0))),Population!C129*4)</f>
        <v>5109946</v>
      </c>
      <c r="I130" s="26">
        <f ca="1">I129+T129-AY130 +  IF(AND(C129=1,ISNUMBER(MATCH(race,food_db,0))),Population!C129*4)</f>
        <v>384435</v>
      </c>
      <c r="J130" s="26">
        <f t="shared" ca="1" si="50"/>
        <v>279299</v>
      </c>
      <c r="K130" s="26">
        <f ca="1">K129+V129 - AV130 + IF(AND(C129=1,ISNUMBER(MATCH(race,mana_db,0))),Population!C129*4)</f>
        <v>59234</v>
      </c>
      <c r="L130" s="26">
        <f ca="1">L129+W129 - AW130 + IF(AND(C129=1,ISNUMBER(MATCH(race,ore_db,0))),Population!C129*4)</f>
        <v>300000</v>
      </c>
      <c r="M130" s="26">
        <f t="shared" ca="1" si="59"/>
        <v>20000</v>
      </c>
      <c r="N130" s="26">
        <f t="shared" ca="1" si="51"/>
        <v>200</v>
      </c>
      <c r="O130" s="26">
        <f t="shared" si="54"/>
        <v>500</v>
      </c>
      <c r="P130" s="26">
        <f>ROUNDDOWN(P129+MAX(Construction!BO130/2,Construction!BO130*(1-Construction!BO130/(E130-Explore!S130*20)))-Q130*SUM(Techs!AY130:BY130),0)</f>
        <v>0</v>
      </c>
      <c r="Q130" s="166">
        <f>MAX(min_tech_cost,ROUNDDOWN(tech_cost_per_acre*Construction!E130,0))</f>
        <v>5000</v>
      </c>
      <c r="S130" s="152">
        <f t="shared" ca="1" si="46"/>
        <v>4981</v>
      </c>
      <c r="T130" s="164">
        <f t="shared" ca="1" si="35"/>
        <v>1411</v>
      </c>
      <c r="U130" s="164">
        <f t="shared" ca="1" si="36"/>
        <v>-293</v>
      </c>
      <c r="V130" s="164">
        <f t="shared" ca="1" si="37"/>
        <v>65</v>
      </c>
      <c r="W130" s="164">
        <f t="shared" ca="1" si="47"/>
        <v>0</v>
      </c>
      <c r="X130" s="164">
        <f t="shared" ca="1" si="48"/>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4">
        <f ca="1">race_food_bonus + IF(Magic!AO130&gt;0,gaias_blessing_food,IF(Magic!AG130&gt;0,gaias_watch_bonus)) + Imps!AD130+tech_production_food*Techs!W130 + O130/100*prestige_food_bonus</f>
        <v>0.1</v>
      </c>
      <c r="AJ130" s="267">
        <f ca="1">race_lumber_bonus+ IF(Magic!AO130&gt;0,gaias_blessing_lumber)+tech_fruits_of_labor1*Techs!AP130</f>
        <v>0</v>
      </c>
      <c r="AK130" s="267">
        <f ca="1">race_mana_bonus+tech_enchanted_lands_mana*Techs!AT130</f>
        <v>0</v>
      </c>
      <c r="AL130" s="267">
        <f ca="1">race_ore_bonus + IF(Magic!AL130&gt;0,miners_sight_bonus,IF(Magic!AH130&gt;0,mining_strength_bonus))+tech_fruits_of_labor1*Techs!AP130</f>
        <v>0</v>
      </c>
      <c r="AM130" s="193">
        <f ca="1">race_gem_bonus+MAX(tech_production_gems*Techs!X130,tech_fruits_of_labor_gems*Techs!AP130)</f>
        <v>0</v>
      </c>
      <c r="AO130" s="56">
        <f ca="1">I130*food_decay*IF(Magic!AZ130&gt;0,0.5,1)</f>
        <v>3844.35</v>
      </c>
      <c r="AP130" s="26">
        <f ca="1">(1+race_food_consumption)*Population!F130*food_per_person</f>
        <v>1785</v>
      </c>
      <c r="AQ130" s="26">
        <f t="shared" ca="1" si="57"/>
        <v>2792.9900000000002</v>
      </c>
      <c r="AR130" s="57">
        <f t="shared" ca="1" si="58"/>
        <v>1184.68</v>
      </c>
      <c r="AS130" s="26"/>
      <c r="AT130" s="56">
        <f ca="1">Explore!AH130+Construction!AP130+Military!AU130+Rezone!Y130+Imps!AQ130-BE130</f>
        <v>0</v>
      </c>
      <c r="AU130" s="26">
        <f>Construction!AQ130+Imps!AR130-BF130</f>
        <v>0</v>
      </c>
      <c r="AV130" s="26">
        <f>Magic!AD130</f>
        <v>0</v>
      </c>
      <c r="AW130" s="26">
        <f ca="1">Military!AV130+Imps!AS130-BG130</f>
        <v>0</v>
      </c>
      <c r="AX130" s="26">
        <f>Imps!AT130-BH130</f>
        <v>0</v>
      </c>
      <c r="AY130" s="26">
        <f ca="1">Military!AZ130</f>
        <v>0</v>
      </c>
      <c r="AZ130" s="57">
        <f ca="1">Military!BA130</f>
        <v>0</v>
      </c>
      <c r="BB130" s="56" t="b">
        <f t="shared" si="56"/>
        <v>0</v>
      </c>
      <c r="BC130" s="332"/>
      <c r="BD130" s="974">
        <v>56</v>
      </c>
      <c r="BE130" s="332"/>
      <c r="BF130" s="370"/>
      <c r="BG130" s="370"/>
      <c r="BH130" s="740"/>
      <c r="BI130" s="1031">
        <f t="shared" si="40"/>
        <v>43769.322916666359</v>
      </c>
      <c r="BJ130" s="159" t="str">
        <f t="shared" si="53"/>
        <v/>
      </c>
      <c r="BK130" s="26">
        <f t="shared" ca="1" si="49"/>
        <v>5109946</v>
      </c>
      <c r="BL130" s="26">
        <f t="shared" ca="1" si="41"/>
        <v>384435</v>
      </c>
      <c r="BM130" s="26">
        <f t="shared" ca="1" si="42"/>
        <v>279299</v>
      </c>
      <c r="BN130" s="26">
        <f t="shared" ca="1" si="43"/>
        <v>59234</v>
      </c>
      <c r="BO130" s="57">
        <f t="shared" ca="1" si="44"/>
        <v>300000</v>
      </c>
    </row>
    <row r="131" spans="1:67" s="16" customFormat="1" x14ac:dyDescent="0.25">
      <c r="A131" s="982">
        <v>57</v>
      </c>
      <c r="B131" s="812">
        <f>Imps!L131</f>
        <v>43769.333333333023</v>
      </c>
      <c r="C131" s="332"/>
      <c r="D131" s="830"/>
      <c r="E131" s="56">
        <f>Construction!E131</f>
        <v>1000</v>
      </c>
      <c r="F131" s="26">
        <f ca="1">Population!$C131</f>
        <v>1845</v>
      </c>
      <c r="G131" s="26">
        <f ca="1">Military!EM131</f>
        <v>20900</v>
      </c>
      <c r="H131" s="26">
        <f ca="1">H130+S130 - AT131 + IF(AND(C130=1,ISNUMBER(MATCH(race,plat_db,0))),Population!C130*4)</f>
        <v>5114927</v>
      </c>
      <c r="I131" s="26">
        <f ca="1">I130+T130-AY131 +  IF(AND(C130=1,ISNUMBER(MATCH(race,food_db,0))),Population!C130*4)</f>
        <v>385846</v>
      </c>
      <c r="J131" s="26">
        <f t="shared" ca="1" si="50"/>
        <v>279006</v>
      </c>
      <c r="K131" s="26">
        <f ca="1">K130+V130 - AV131 + IF(AND(C130=1,ISNUMBER(MATCH(race,mana_db,0))),Population!C130*4)</f>
        <v>59299</v>
      </c>
      <c r="L131" s="26">
        <f ca="1">L130+W130 - AW131 + IF(AND(C130=1,ISNUMBER(MATCH(race,ore_db,0))),Population!C130*4)</f>
        <v>300000</v>
      </c>
      <c r="M131" s="26">
        <f t="shared" ca="1" si="59"/>
        <v>20000</v>
      </c>
      <c r="N131" s="26">
        <f t="shared" ca="1" si="51"/>
        <v>200</v>
      </c>
      <c r="O131" s="26">
        <f t="shared" si="54"/>
        <v>500</v>
      </c>
      <c r="P131" s="26">
        <f>ROUNDDOWN(P130+MAX(Construction!BO131/2,Construction!BO131*(1-Construction!BO131/(E131-Explore!S131*20)))-Q131*SUM(Techs!AY131:BY131),0)</f>
        <v>0</v>
      </c>
      <c r="Q131" s="166">
        <f>MAX(min_tech_cost,ROUNDDOWN(tech_cost_per_acre*Construction!E131,0))</f>
        <v>5000</v>
      </c>
      <c r="S131" s="152">
        <f t="shared" ca="1" si="46"/>
        <v>4981</v>
      </c>
      <c r="T131" s="164">
        <f ca="1">ROUND(AB131*(1+AI131)-AO131-AP131,0)</f>
        <v>1397</v>
      </c>
      <c r="U131" s="164">
        <f t="shared" ref="U131:V135" ca="1" si="60">ROUND(AC131*(1+AJ131)-AQ131,0)</f>
        <v>-290</v>
      </c>
      <c r="V131" s="164">
        <f t="shared" ca="1" si="60"/>
        <v>64</v>
      </c>
      <c r="W131" s="164">
        <f t="shared" ca="1" si="47"/>
        <v>0</v>
      </c>
      <c r="X131" s="164">
        <f t="shared" ca="1" si="48"/>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4">
        <f ca="1">race_food_bonus + IF(Magic!AO131&gt;0,gaias_blessing_food,IF(Magic!AG131&gt;0,gaias_watch_bonus)) + Imps!AD131+tech_production_food*Techs!W131 + O131/100*prestige_food_bonus</f>
        <v>0.1</v>
      </c>
      <c r="AJ131" s="267">
        <f ca="1">race_lumber_bonus+ IF(Magic!AO131&gt;0,gaias_blessing_lumber)+tech_fruits_of_labor1*Techs!AP131</f>
        <v>0</v>
      </c>
      <c r="AK131" s="267">
        <f ca="1">race_mana_bonus+tech_enchanted_lands_mana*Techs!AT131</f>
        <v>0</v>
      </c>
      <c r="AL131" s="267">
        <f ca="1">race_ore_bonus + IF(Magic!AL131&gt;0,miners_sight_bonus,IF(Magic!AH131&gt;0,mining_strength_bonus))+tech_fruits_of_labor1*Techs!AP131</f>
        <v>0</v>
      </c>
      <c r="AM131" s="193">
        <f ca="1">race_gem_bonus+MAX(tech_production_gems*Techs!X131,tech_fruits_of_labor_gems*Techs!AP131)</f>
        <v>0</v>
      </c>
      <c r="AO131" s="56">
        <f ca="1">I131*food_decay*IF(Magic!AZ131&gt;0,0.5,1)</f>
        <v>3858.46</v>
      </c>
      <c r="AP131" s="26">
        <f ca="1">(1+race_food_consumption)*Population!F131*food_per_person</f>
        <v>1785</v>
      </c>
      <c r="AQ131" s="26">
        <f t="shared" ca="1" si="57"/>
        <v>2790.06</v>
      </c>
      <c r="AR131" s="57">
        <f t="shared" ca="1" si="58"/>
        <v>1185.98</v>
      </c>
      <c r="AS131" s="26"/>
      <c r="AT131" s="56">
        <f ca="1">Explore!AH131+Construction!AP131+Military!AU131+Rezone!Y131+Imps!AQ131-BE131</f>
        <v>0</v>
      </c>
      <c r="AU131" s="26">
        <f>Construction!AQ131+Imps!AR131-BF131</f>
        <v>0</v>
      </c>
      <c r="AV131" s="26">
        <f>Magic!AD131</f>
        <v>0</v>
      </c>
      <c r="AW131" s="26">
        <f ca="1">Military!AV131+Imps!AS131-BG131</f>
        <v>0</v>
      </c>
      <c r="AX131" s="26">
        <f>Imps!AT131-BH131</f>
        <v>0</v>
      </c>
      <c r="AY131" s="26">
        <f ca="1">Military!AZ131</f>
        <v>0</v>
      </c>
      <c r="AZ131" s="57">
        <f ca="1">Military!BA131</f>
        <v>0</v>
      </c>
      <c r="BB131" s="56" t="b">
        <f t="shared" si="56"/>
        <v>0</v>
      </c>
      <c r="BC131" s="332"/>
      <c r="BD131" s="974">
        <v>57</v>
      </c>
      <c r="BE131" s="332"/>
      <c r="BF131" s="370"/>
      <c r="BG131" s="370"/>
      <c r="BH131" s="740"/>
      <c r="BI131" s="1031">
        <f>B131</f>
        <v>43769.333333333023</v>
      </c>
      <c r="BJ131" s="159" t="str">
        <f t="shared" si="53"/>
        <v/>
      </c>
      <c r="BK131" s="26">
        <f t="shared" ca="1" si="49"/>
        <v>5114927</v>
      </c>
      <c r="BL131" s="26">
        <f t="shared" ref="BL131:BO135" ca="1" si="61">I131</f>
        <v>385846</v>
      </c>
      <c r="BM131" s="26">
        <f t="shared" ca="1" si="61"/>
        <v>279006</v>
      </c>
      <c r="BN131" s="26">
        <f t="shared" ca="1" si="61"/>
        <v>59299</v>
      </c>
      <c r="BO131" s="57">
        <f t="shared" ca="1" si="61"/>
        <v>300000</v>
      </c>
    </row>
    <row r="132" spans="1:67" s="16" customFormat="1" x14ac:dyDescent="0.25">
      <c r="A132" s="982">
        <v>58</v>
      </c>
      <c r="B132" s="812">
        <f>Imps!L132</f>
        <v>43769.343749999687</v>
      </c>
      <c r="C132" s="332"/>
      <c r="D132" s="830"/>
      <c r="E132" s="56">
        <f>Construction!E132</f>
        <v>1000</v>
      </c>
      <c r="F132" s="26">
        <f ca="1">Population!$C132</f>
        <v>1845</v>
      </c>
      <c r="G132" s="26">
        <f ca="1">Military!EM132</f>
        <v>20900</v>
      </c>
      <c r="H132" s="26">
        <f ca="1">H131+S131 - AT132 + IF(AND(C131=1,ISNUMBER(MATCH(race,plat_db,0))),Population!C131*4)</f>
        <v>5119908</v>
      </c>
      <c r="I132" s="26">
        <f ca="1">I131+T131-AY132 +  IF(AND(C131=1,ISNUMBER(MATCH(race,food_db,0))),Population!C131*4)</f>
        <v>387243</v>
      </c>
      <c r="J132" s="26">
        <f t="shared" ca="1" si="50"/>
        <v>278716</v>
      </c>
      <c r="K132" s="26">
        <f ca="1">K131+V131 - AV132 + IF(AND(C131=1,ISNUMBER(MATCH(race,mana_db,0))),Population!C131*4)</f>
        <v>59363</v>
      </c>
      <c r="L132" s="26">
        <f ca="1">L131+W131 - AW132 + IF(AND(C131=1,ISNUMBER(MATCH(race,ore_db,0))),Population!C131*4)</f>
        <v>300000</v>
      </c>
      <c r="M132" s="26">
        <f t="shared" ca="1" si="59"/>
        <v>20000</v>
      </c>
      <c r="N132" s="26">
        <f t="shared" ca="1" si="51"/>
        <v>200</v>
      </c>
      <c r="O132" s="26">
        <f t="shared" si="54"/>
        <v>500</v>
      </c>
      <c r="P132" s="26">
        <f>ROUNDDOWN(P131+MAX(Construction!BO132/2,Construction!BO132*(1-Construction!BO132/(E132-Explore!S132*20)))-Q132*SUM(Techs!AY132:BY132),0)</f>
        <v>0</v>
      </c>
      <c r="Q132" s="166">
        <f>MAX(min_tech_cost,ROUNDDOWN(tech_cost_per_acre*Construction!E132,0))</f>
        <v>5000</v>
      </c>
      <c r="S132" s="152">
        <f ca="1">ROUNDDOWN(AA132*(1+AH132),0)</f>
        <v>4981</v>
      </c>
      <c r="T132" s="164">
        <f ca="1">ROUND(AB132*(1+AI132)-AO132-AP132,0)</f>
        <v>1383</v>
      </c>
      <c r="U132" s="164">
        <f t="shared" ca="1" si="60"/>
        <v>-287</v>
      </c>
      <c r="V132" s="164">
        <f t="shared" ca="1" si="60"/>
        <v>63</v>
      </c>
      <c r="W132" s="164">
        <f t="shared" ref="W132:X135" ca="1" si="62">ROUNDDOWN(AE132*(1+AL132),0)</f>
        <v>0</v>
      </c>
      <c r="X132" s="164">
        <f t="shared" ca="1" si="62"/>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4">
        <f ca="1">race_food_bonus + IF(Magic!AO132&gt;0,gaias_blessing_food,IF(Magic!AG132&gt;0,gaias_watch_bonus)) + Imps!AD132+tech_production_food*Techs!W132 + O132/100*prestige_food_bonus</f>
        <v>0.1</v>
      </c>
      <c r="AJ132" s="267">
        <f ca="1">race_lumber_bonus+ IF(Magic!AO132&gt;0,gaias_blessing_lumber)+tech_fruits_of_labor1*Techs!AP132</f>
        <v>0</v>
      </c>
      <c r="AK132" s="267">
        <f ca="1">race_mana_bonus+tech_enchanted_lands_mana*Techs!AT132</f>
        <v>0</v>
      </c>
      <c r="AL132" s="267">
        <f ca="1">race_ore_bonus + IF(Magic!AL132&gt;0,miners_sight_bonus,IF(Magic!AH132&gt;0,mining_strength_bonus))+tech_fruits_of_labor1*Techs!AP132</f>
        <v>0</v>
      </c>
      <c r="AM132" s="193">
        <f ca="1">race_gem_bonus+MAX(tech_production_gems*Techs!X132,tech_fruits_of_labor_gems*Techs!AP132)</f>
        <v>0</v>
      </c>
      <c r="AO132" s="56">
        <f ca="1">I132*food_decay*IF(Magic!AZ132&gt;0,0.5,1)</f>
        <v>3872.4300000000003</v>
      </c>
      <c r="AP132" s="26">
        <f ca="1">(1+race_food_consumption)*Population!F132*food_per_person</f>
        <v>1785</v>
      </c>
      <c r="AQ132" s="26">
        <f t="shared" ca="1" si="57"/>
        <v>2787.16</v>
      </c>
      <c r="AR132" s="57">
        <f t="shared" ca="1" si="58"/>
        <v>1187.26</v>
      </c>
      <c r="AS132" s="26"/>
      <c r="AT132" s="56">
        <f ca="1">Explore!AH132+Construction!AP132+Military!AU132+Rezone!Y132+Imps!AQ132-BE132</f>
        <v>0</v>
      </c>
      <c r="AU132" s="26">
        <f>Construction!AQ132+Imps!AR132-BF132</f>
        <v>0</v>
      </c>
      <c r="AV132" s="26">
        <f>Magic!AD132</f>
        <v>0</v>
      </c>
      <c r="AW132" s="26">
        <f ca="1">Military!AV132+Imps!AS132-BG132</f>
        <v>0</v>
      </c>
      <c r="AX132" s="26">
        <f>Imps!AT132-BH132</f>
        <v>0</v>
      </c>
      <c r="AY132" s="26">
        <f ca="1">Military!AZ132</f>
        <v>0</v>
      </c>
      <c r="AZ132" s="57">
        <f ca="1">Military!BA132</f>
        <v>0</v>
      </c>
      <c r="BB132" s="56" t="b">
        <f t="shared" si="56"/>
        <v>0</v>
      </c>
      <c r="BC132" s="332"/>
      <c r="BD132" s="974">
        <v>58</v>
      </c>
      <c r="BE132" s="332"/>
      <c r="BF132" s="370"/>
      <c r="BG132" s="370"/>
      <c r="BH132" s="740"/>
      <c r="BI132" s="1031">
        <f>B132</f>
        <v>43769.343749999687</v>
      </c>
      <c r="BJ132" s="159" t="str">
        <f t="shared" si="53"/>
        <v/>
      </c>
      <c r="BK132" s="26">
        <f ca="1">H132</f>
        <v>5119908</v>
      </c>
      <c r="BL132" s="26">
        <f t="shared" ca="1" si="61"/>
        <v>387243</v>
      </c>
      <c r="BM132" s="26">
        <f t="shared" ca="1" si="61"/>
        <v>278716</v>
      </c>
      <c r="BN132" s="26">
        <f t="shared" ca="1" si="61"/>
        <v>59363</v>
      </c>
      <c r="BO132" s="57">
        <f t="shared" ca="1" si="61"/>
        <v>300000</v>
      </c>
    </row>
    <row r="133" spans="1:67" s="16" customFormat="1" x14ac:dyDescent="0.25">
      <c r="A133" s="982">
        <v>59</v>
      </c>
      <c r="B133" s="812">
        <f>Imps!L133</f>
        <v>43769.354166666351</v>
      </c>
      <c r="C133" s="332"/>
      <c r="D133" s="830"/>
      <c r="E133" s="56">
        <f>Construction!E133</f>
        <v>1000</v>
      </c>
      <c r="F133" s="26">
        <f ca="1">Population!$C133</f>
        <v>1845</v>
      </c>
      <c r="G133" s="26">
        <f ca="1">Military!EM133</f>
        <v>20900</v>
      </c>
      <c r="H133" s="26">
        <f ca="1">H132+S132 - AT133 + IF(AND(C132=1,ISNUMBER(MATCH(race,plat_db,0))),Population!C132*4)</f>
        <v>5124889</v>
      </c>
      <c r="I133" s="26">
        <f ca="1">I132+T132-AY133 +  IF(AND(C132=1,ISNUMBER(MATCH(race,food_db,0))),Population!C132*4)</f>
        <v>388626</v>
      </c>
      <c r="J133" s="26">
        <f t="shared" ref="J133:J135" ca="1" si="63">J132+U132 - AU133</f>
        <v>278429</v>
      </c>
      <c r="K133" s="26">
        <f ca="1">K132+V132 - AV133 + IF(AND(C132=1,ISNUMBER(MATCH(race,mana_db,0))),Population!C132*4)</f>
        <v>59426</v>
      </c>
      <c r="L133" s="26">
        <f ca="1">L132+W132 - AW133 + IF(AND(C132=1,ISNUMBER(MATCH(race,ore_db,0))),Population!C132*4)</f>
        <v>300000</v>
      </c>
      <c r="M133" s="26">
        <f t="shared" ca="1" si="59"/>
        <v>20000</v>
      </c>
      <c r="N133" s="26">
        <f t="shared" ref="N133:N135" ca="1" si="64">N132+Y132-AZ133</f>
        <v>200</v>
      </c>
      <c r="O133" s="26">
        <f t="shared" si="54"/>
        <v>500</v>
      </c>
      <c r="P133" s="26">
        <f>ROUNDDOWN(P132+MAX(Construction!BO133/2,Construction!BO133*(1-Construction!BO133/(E133-Explore!S133*20)))-Q133*SUM(Techs!AY133:BY133),0)</f>
        <v>0</v>
      </c>
      <c r="Q133" s="166">
        <f>MAX(min_tech_cost,ROUNDDOWN(tech_cost_per_acre*Construction!E133,0))</f>
        <v>5000</v>
      </c>
      <c r="S133" s="152">
        <f ca="1">ROUNDDOWN(AA133*(1+AH133),0)</f>
        <v>4981</v>
      </c>
      <c r="T133" s="164">
        <f ca="1">ROUND(AB133*(1+AI133)-AO133-AP133,0)</f>
        <v>1369</v>
      </c>
      <c r="U133" s="164">
        <f t="shared" ca="1" si="60"/>
        <v>-284</v>
      </c>
      <c r="V133" s="164">
        <f t="shared" ca="1" si="60"/>
        <v>61</v>
      </c>
      <c r="W133" s="164">
        <f t="shared" ca="1" si="62"/>
        <v>0</v>
      </c>
      <c r="X133" s="164">
        <f t="shared" ca="1" si="62"/>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4">
        <f ca="1">race_food_bonus + IF(Magic!AO133&gt;0,gaias_blessing_food,IF(Magic!AG133&gt;0,gaias_watch_bonus)) + Imps!AD133+tech_production_food*Techs!W133 + O133/100*prestige_food_bonus</f>
        <v>0.1</v>
      </c>
      <c r="AJ133" s="267">
        <f ca="1">race_lumber_bonus+ IF(Magic!AO133&gt;0,gaias_blessing_lumber)+tech_fruits_of_labor1*Techs!AP133</f>
        <v>0</v>
      </c>
      <c r="AK133" s="267">
        <f ca="1">race_mana_bonus+tech_enchanted_lands_mana*Techs!AT133</f>
        <v>0</v>
      </c>
      <c r="AL133" s="267">
        <f ca="1">race_ore_bonus + IF(Magic!AL133&gt;0,miners_sight_bonus,IF(Magic!AH133&gt;0,mining_strength_bonus))+tech_fruits_of_labor1*Techs!AP133</f>
        <v>0</v>
      </c>
      <c r="AM133" s="193">
        <f ca="1">race_gem_bonus+MAX(tech_production_gems*Techs!X133,tech_fruits_of_labor_gems*Techs!AP133)</f>
        <v>0</v>
      </c>
      <c r="AO133" s="56">
        <f ca="1">I133*food_decay*IF(Magic!AZ133&gt;0,0.5,1)</f>
        <v>3886.26</v>
      </c>
      <c r="AP133" s="26">
        <f ca="1">(1+race_food_consumption)*Population!F133*food_per_person</f>
        <v>1785</v>
      </c>
      <c r="AQ133" s="26">
        <f t="shared" ca="1" si="57"/>
        <v>2784.29</v>
      </c>
      <c r="AR133" s="57">
        <f t="shared" ca="1" si="58"/>
        <v>1188.52</v>
      </c>
      <c r="AS133" s="26"/>
      <c r="AT133" s="56">
        <f ca="1">Explore!AH133+Construction!AP133+Military!AU133+Rezone!Y133+Imps!AQ133-BE133</f>
        <v>0</v>
      </c>
      <c r="AU133" s="26">
        <f>Construction!AQ133+Imps!AR133-BF133</f>
        <v>0</v>
      </c>
      <c r="AV133" s="26">
        <f>Magic!AD133</f>
        <v>0</v>
      </c>
      <c r="AW133" s="26">
        <f ca="1">Military!AV133+Imps!AS133-BG133</f>
        <v>0</v>
      </c>
      <c r="AX133" s="26">
        <f>Imps!AT133-BH133</f>
        <v>0</v>
      </c>
      <c r="AY133" s="26">
        <f ca="1">Military!AZ133</f>
        <v>0</v>
      </c>
      <c r="AZ133" s="57">
        <f ca="1">Military!BA133</f>
        <v>0</v>
      </c>
      <c r="BB133" s="56" t="b">
        <f t="shared" si="56"/>
        <v>0</v>
      </c>
      <c r="BC133" s="332"/>
      <c r="BD133" s="974">
        <v>59</v>
      </c>
      <c r="BE133" s="332"/>
      <c r="BF133" s="370"/>
      <c r="BG133" s="370"/>
      <c r="BH133" s="740"/>
      <c r="BI133" s="1031">
        <f>B133</f>
        <v>43769.354166666351</v>
      </c>
      <c r="BJ133" s="159" t="str">
        <f t="shared" si="53"/>
        <v/>
      </c>
      <c r="BK133" s="26">
        <f ca="1">H133</f>
        <v>5124889</v>
      </c>
      <c r="BL133" s="26">
        <f t="shared" ca="1" si="61"/>
        <v>388626</v>
      </c>
      <c r="BM133" s="26">
        <f t="shared" ca="1" si="61"/>
        <v>278429</v>
      </c>
      <c r="BN133" s="26">
        <f t="shared" ca="1" si="61"/>
        <v>59426</v>
      </c>
      <c r="BO133" s="57">
        <f t="shared" ca="1" si="61"/>
        <v>300000</v>
      </c>
    </row>
    <row r="134" spans="1:67" s="16" customFormat="1" x14ac:dyDescent="0.25">
      <c r="A134" s="982">
        <v>60</v>
      </c>
      <c r="B134" s="530">
        <f>Imps!L134</f>
        <v>43769.364583333016</v>
      </c>
      <c r="C134" s="332"/>
      <c r="D134" s="830"/>
      <c r="E134" s="56">
        <f>Construction!E134</f>
        <v>1000</v>
      </c>
      <c r="F134" s="26">
        <f ca="1">Population!$C134</f>
        <v>1845</v>
      </c>
      <c r="G134" s="26">
        <f ca="1">Military!EM134</f>
        <v>20900</v>
      </c>
      <c r="H134" s="26">
        <f ca="1">H133+S133 - AT134 + IF(AND(C133=1,ISNUMBER(MATCH(race,plat_db,0))),Population!C133*4)</f>
        <v>5129870</v>
      </c>
      <c r="I134" s="26">
        <f ca="1">I133+T133-AY134 +  IF(AND(C133=1,ISNUMBER(MATCH(race,food_db,0))),Population!C133*4)</f>
        <v>389995</v>
      </c>
      <c r="J134" s="26">
        <f t="shared" ca="1" si="63"/>
        <v>278145</v>
      </c>
      <c r="K134" s="26">
        <f ca="1">K133+V133 - AV134 + IF(AND(C133=1,ISNUMBER(MATCH(race,mana_db,0))),Population!C133*4)</f>
        <v>59487</v>
      </c>
      <c r="L134" s="26">
        <f ca="1">L133+W133 - AW134 + IF(AND(C133=1,ISNUMBER(MATCH(race,ore_db,0))),Population!C133*4)</f>
        <v>300000</v>
      </c>
      <c r="M134" s="26">
        <f t="shared" ca="1" si="59"/>
        <v>20000</v>
      </c>
      <c r="N134" s="26">
        <f t="shared" ca="1" si="64"/>
        <v>200</v>
      </c>
      <c r="O134" s="26">
        <f t="shared" si="54"/>
        <v>500</v>
      </c>
      <c r="P134" s="26">
        <f>ROUNDDOWN(P133+MAX(Construction!BO134/2,Construction!BO134*(1-Construction!BO134/(E134-Explore!S134*20)))-Q134*SUM(Techs!AY134:BY134),0)</f>
        <v>0</v>
      </c>
      <c r="Q134" s="166">
        <f>MAX(min_tech_cost,ROUNDDOWN(tech_cost_per_acre*Construction!E134,0))</f>
        <v>5000</v>
      </c>
      <c r="S134" s="152">
        <f ca="1">ROUNDDOWN(AA134*(1+AH134),0)</f>
        <v>4981</v>
      </c>
      <c r="T134" s="164">
        <f ca="1">ROUND(AB134*(1+AI134)-AO134-AP134,0)</f>
        <v>1355</v>
      </c>
      <c r="U134" s="164">
        <f t="shared" ca="1" si="60"/>
        <v>-281</v>
      </c>
      <c r="V134" s="164">
        <f t="shared" ca="1" si="60"/>
        <v>60</v>
      </c>
      <c r="W134" s="164">
        <f t="shared" ca="1" si="62"/>
        <v>0</v>
      </c>
      <c r="X134" s="164">
        <f t="shared" ca="1" si="62"/>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4">
        <f ca="1">race_food_bonus + IF(Magic!AO134&gt;0,gaias_blessing_food,IF(Magic!AG134&gt;0,gaias_watch_bonus)) + Imps!AD134+tech_production_food*Techs!W134 + O134/100*prestige_food_bonus</f>
        <v>0.1</v>
      </c>
      <c r="AJ134" s="267">
        <f ca="1">race_lumber_bonus+ IF(Magic!AO134&gt;0,gaias_blessing_lumber)+tech_fruits_of_labor1*Techs!AP134</f>
        <v>0</v>
      </c>
      <c r="AK134" s="267">
        <f ca="1">race_mana_bonus+tech_enchanted_lands_mana*Techs!AT134</f>
        <v>0</v>
      </c>
      <c r="AL134" s="267">
        <f ca="1">race_ore_bonus + IF(Magic!AL134&gt;0,miners_sight_bonus,IF(Magic!AH134&gt;0,mining_strength_bonus))+tech_fruits_of_labor1*Techs!AP134</f>
        <v>0</v>
      </c>
      <c r="AM134" s="193">
        <f ca="1">race_gem_bonus+MAX(tech_production_gems*Techs!X134,tech_fruits_of_labor_gems*Techs!AP134)</f>
        <v>0</v>
      </c>
      <c r="AO134" s="56">
        <f ca="1">I134*food_decay*IF(Magic!AZ134&gt;0,0.5,1)</f>
        <v>3899.9500000000003</v>
      </c>
      <c r="AP134" s="26">
        <f ca="1">(1+race_food_consumption)*Population!F134*food_per_person</f>
        <v>1785</v>
      </c>
      <c r="AQ134" s="26">
        <f t="shared" ca="1" si="57"/>
        <v>2781.4500000000003</v>
      </c>
      <c r="AR134" s="57">
        <f t="shared" ca="1" si="58"/>
        <v>1189.74</v>
      </c>
      <c r="AS134" s="26"/>
      <c r="AT134" s="56">
        <f ca="1">Explore!AH134+Construction!AP134+Military!AU134+Rezone!Y134+Imps!AQ134-BE134</f>
        <v>0</v>
      </c>
      <c r="AU134" s="26">
        <f>Construction!AQ134+Imps!AR134-BF134</f>
        <v>0</v>
      </c>
      <c r="AV134" s="26">
        <f>Magic!AD134</f>
        <v>0</v>
      </c>
      <c r="AW134" s="26">
        <f ca="1">Military!AV134+Imps!AS134-BG134</f>
        <v>0</v>
      </c>
      <c r="AX134" s="26">
        <f>Imps!AT134-BH134</f>
        <v>0</v>
      </c>
      <c r="AY134" s="26">
        <f ca="1">Military!AZ134</f>
        <v>0</v>
      </c>
      <c r="AZ134" s="57">
        <f ca="1">Military!BA134</f>
        <v>0</v>
      </c>
      <c r="BB134" s="56" t="b">
        <f t="shared" si="56"/>
        <v>0</v>
      </c>
      <c r="BC134" s="332"/>
      <c r="BD134" s="974">
        <v>60</v>
      </c>
      <c r="BE134" s="332"/>
      <c r="BF134" s="370"/>
      <c r="BG134" s="370"/>
      <c r="BH134" s="740"/>
      <c r="BI134" s="1031">
        <f>B134</f>
        <v>43769.364583333016</v>
      </c>
      <c r="BJ134" s="159" t="str">
        <f>IF(AND(BE134=0,BF134=0,BG134=0,BH134=0),"",IF(BE134&gt;0,IF((BF134+BG134)/2+BH134*2+BE134=0,"Ok","Nope"),IF(BF134&gt;0,IF((BE134+BG134)/2+BH134*2+BF134=0,"Ok","Nope"),IF(BG134&gt;0,IF((BE134+BF134)/2+BH134*2+BG134=0,"Ok","Nope")))))</f>
        <v/>
      </c>
      <c r="BK134" s="26">
        <f ca="1">H134</f>
        <v>5129870</v>
      </c>
      <c r="BL134" s="26">
        <f t="shared" ca="1" si="61"/>
        <v>389995</v>
      </c>
      <c r="BM134" s="26">
        <f t="shared" ca="1" si="61"/>
        <v>278145</v>
      </c>
      <c r="BN134" s="26">
        <f t="shared" ca="1" si="61"/>
        <v>59487</v>
      </c>
      <c r="BO134" s="57">
        <f t="shared" ca="1" si="61"/>
        <v>300000</v>
      </c>
    </row>
    <row r="135" spans="1:67" s="12" customFormat="1" x14ac:dyDescent="0.25">
      <c r="A135" s="985">
        <v>61</v>
      </c>
      <c r="B135" s="674">
        <f>Imps!L135</f>
        <v>43769.37499999968</v>
      </c>
      <c r="C135" s="333"/>
      <c r="D135" s="833"/>
      <c r="E135" s="54">
        <f>Construction!E135</f>
        <v>1000</v>
      </c>
      <c r="F135" s="153">
        <f ca="1">Population!$C135</f>
        <v>1845</v>
      </c>
      <c r="G135" s="153">
        <f ca="1">Military!EM135</f>
        <v>20900</v>
      </c>
      <c r="H135" s="13">
        <f ca="1">H134+S134 - AT135 + IF(AND(C134=1,ISNUMBER(MATCH(race,plat_db,0))),Population!C134*4)</f>
        <v>5134851</v>
      </c>
      <c r="I135" s="13">
        <f ca="1">I134+T134-AY135 +  IF(AND(C134=1,ISNUMBER(MATCH(race,food_db,0))),Population!C134*4)</f>
        <v>391350</v>
      </c>
      <c r="J135" s="13">
        <f t="shared" ca="1" si="63"/>
        <v>277864</v>
      </c>
      <c r="K135" s="13">
        <f ca="1">K134+V134 - AV135 + IF(AND(C134=1,ISNUMBER(MATCH(race,mana_db,0))),Population!C134*4)</f>
        <v>59547</v>
      </c>
      <c r="L135" s="13">
        <f ca="1">L134+W134 - AW135 + IF(AND(C134=1,ISNUMBER(MATCH(race,ore_db,0))),Population!C134*4)</f>
        <v>300000</v>
      </c>
      <c r="M135" s="13">
        <f t="shared" ca="1" si="59"/>
        <v>20000</v>
      </c>
      <c r="N135" s="13">
        <f t="shared" ca="1" si="64"/>
        <v>200</v>
      </c>
      <c r="O135" s="13">
        <f t="shared" si="54"/>
        <v>500</v>
      </c>
      <c r="P135" s="13">
        <f>ROUNDDOWN(P134+MAX(Construction!BO135/2,Construction!BO135*(1-Construction!BO135/(E135-Explore!S135*20)))-Q135*SUM(Techs!AY135:BY135),0)</f>
        <v>0</v>
      </c>
      <c r="Q135" s="55">
        <f>MAX(min_tech_cost,ROUNDDOWN(tech_cost_per_acre*Construction!E135,0))</f>
        <v>5000</v>
      </c>
      <c r="S135" s="151">
        <f ca="1">ROUNDDOWN(AA135*(1+AH135),0)</f>
        <v>0</v>
      </c>
      <c r="T135" s="153">
        <f ca="1">ROUND(AB135*(1+AI135)-AO135-AP135,0)</f>
        <v>1342</v>
      </c>
      <c r="U135" s="153">
        <f t="shared" ca="1" si="60"/>
        <v>-279</v>
      </c>
      <c r="V135" s="153">
        <f t="shared" ca="1" si="60"/>
        <v>-1191</v>
      </c>
      <c r="W135" s="153">
        <f t="shared" ca="1" si="62"/>
        <v>0</v>
      </c>
      <c r="X135" s="153">
        <f t="shared" ca="1" si="62"/>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6">
        <f ca="1">race_food_bonus + IF(Magic!AO135&gt;0,gaias_blessing_food,IF(Magic!AG135&gt;0,gaias_watch_bonus)) + Imps!AD135+tech_production_food*Techs!W135 + O135/100*prestige_food_bonus</f>
        <v>0.1</v>
      </c>
      <c r="AJ135" s="264">
        <f ca="1">race_lumber_bonus+ IF(Magic!AO135&gt;0,gaias_blessing_lumber)+tech_fruits_of_labor1*Techs!AP135</f>
        <v>0</v>
      </c>
      <c r="AK135" s="264">
        <f ca="1">race_mana_bonus+tech_enchanted_lands_mana*Techs!AT135</f>
        <v>0</v>
      </c>
      <c r="AL135" s="264">
        <f ca="1">race_ore_bonus + IF(Magic!AL135&gt;0,miners_sight_bonus,IF(Magic!AH135&gt;0,mining_strength_bonus))+tech_fruits_of_labor1*Techs!AP135</f>
        <v>0</v>
      </c>
      <c r="AM135" s="194">
        <f ca="1">race_gem_bonus+MAX(tech_production_gems*Techs!X135,tech_fruits_of_labor_gems*Techs!AP135)</f>
        <v>0</v>
      </c>
      <c r="AO135" s="54">
        <f ca="1">I135*food_decay*IF(Magic!AZ135&gt;0,0.5,1)</f>
        <v>3913.5</v>
      </c>
      <c r="AP135" s="13">
        <f ca="1">(1+race_food_consumption)*Population!F135*food_per_person</f>
        <v>1785</v>
      </c>
      <c r="AQ135" s="13">
        <f t="shared" ca="1" si="57"/>
        <v>2778.64</v>
      </c>
      <c r="AR135" s="55">
        <f t="shared" ca="1" si="58"/>
        <v>1190.94</v>
      </c>
      <c r="AS135" s="13"/>
      <c r="AT135" s="54">
        <f ca="1">Explore!AH135+Construction!AP135+Military!AU135+Rezone!Y135+Imps!AQ135-BE135</f>
        <v>0</v>
      </c>
      <c r="AU135" s="13">
        <f>Construction!AQ135+Imps!AR135-BF135</f>
        <v>0</v>
      </c>
      <c r="AV135" s="13">
        <f>Magic!AD135</f>
        <v>0</v>
      </c>
      <c r="AW135" s="13">
        <f ca="1">Military!AV135+Imps!AS135-BG135</f>
        <v>0</v>
      </c>
      <c r="AX135" s="13">
        <f>Imps!AT135-BH135</f>
        <v>0</v>
      </c>
      <c r="AY135" s="13">
        <f ca="1">Military!AZ135</f>
        <v>0</v>
      </c>
      <c r="AZ135" s="55">
        <f ca="1">Military!BA135</f>
        <v>0</v>
      </c>
      <c r="BB135" s="54" t="b">
        <f t="shared" si="56"/>
        <v>0</v>
      </c>
      <c r="BC135" s="333"/>
      <c r="BD135" s="977">
        <v>61</v>
      </c>
      <c r="BE135" s="333"/>
      <c r="BF135" s="428"/>
      <c r="BG135" s="428"/>
      <c r="BH135" s="743"/>
      <c r="BI135" s="1033">
        <f>B135</f>
        <v>43769.37499999968</v>
      </c>
      <c r="BJ135" s="287" t="str">
        <f>IF(AND(BE135=0,BF135=0,BG135=0,BH135=0),"",IF(BE135&gt;0,IF((BF135+BG135)/2+BH135*2+BE135=0,"Ok","Nope"),IF(BF135&gt;0,IF((BE135+BG135)/2+BH135*2+BF135=0,"Ok","Nope"),IF(BG135&gt;0,IF((BE135+BF135)/2+BH135*2+BG135=0,"Ok","Nope")))))</f>
        <v/>
      </c>
      <c r="BK135" s="13">
        <f ca="1">H135</f>
        <v>5134851</v>
      </c>
      <c r="BL135" s="13">
        <f t="shared" ca="1" si="61"/>
        <v>391350</v>
      </c>
      <c r="BM135" s="13">
        <f t="shared" ca="1" si="61"/>
        <v>277864</v>
      </c>
      <c r="BN135" s="13">
        <f t="shared" ca="1" si="61"/>
        <v>59547</v>
      </c>
      <c r="BO135" s="55">
        <f t="shared" ca="1" si="61"/>
        <v>300000</v>
      </c>
    </row>
    <row r="1268" spans="3:12" x14ac:dyDescent="0.25">
      <c r="C1268" s="1464" t="s">
        <v>330</v>
      </c>
      <c r="D1268" s="1415"/>
      <c r="L1268" s="320"/>
    </row>
    <row r="1269" spans="3:12" x14ac:dyDescent="0.25">
      <c r="C1269" s="669">
        <f ca="1">Overview!E17</f>
        <v>-42</v>
      </c>
      <c r="D1269" s="669"/>
      <c r="E1269" s="576"/>
      <c r="F1269" s="576"/>
      <c r="G1269" s="576"/>
      <c r="H1269" s="576"/>
      <c r="I1269" s="576"/>
      <c r="J1269" s="576"/>
      <c r="K1269" s="575"/>
      <c r="L1269" s="574"/>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255" priority="13" stopIfTrue="1">
      <formula>ROW()-2=#REF!</formula>
    </cfRule>
  </conditionalFormatting>
  <conditionalFormatting sqref="A1268:XFD1269">
    <cfRule type="expression" dxfId="254" priority="14" stopIfTrue="1">
      <formula>$C$1269&gt;144</formula>
    </cfRule>
  </conditionalFormatting>
  <conditionalFormatting sqref="A3:B18 BP3:IX18 R3:BI18 R32:BI135 BP32:IX135 A32:B135 R28:BI30 BP28:IX30 A28:B30 R20:BI26 BP20:IX26 A20:B26">
    <cfRule type="expression" dxfId="253" priority="15" stopIfTrue="1">
      <formula>ROW()-3=$C$1269</formula>
    </cfRule>
  </conditionalFormatting>
  <conditionalFormatting sqref="BK3:BO18 E3:Q18 E32:Q135 BK32:BO135 E28:Q30 BK28:BO30 E20:Q26 BK20:BO26">
    <cfRule type="expression" dxfId="252" priority="16" stopIfTrue="1">
      <formula>OR(ROW()-3=$C$1269,E3&lt;0)</formula>
    </cfRule>
  </conditionalFormatting>
  <conditionalFormatting sqref="C3:D18 C32:D135 C28:D30 C20:D26">
    <cfRule type="expression" dxfId="251" priority="17" stopIfTrue="1">
      <formula>OR(ROW()-3=$C$1269,AND(C3&lt;&gt;1,C3&lt;&gt;""))</formula>
    </cfRule>
  </conditionalFormatting>
  <conditionalFormatting sqref="A1:XFD2">
    <cfRule type="expression" dxfId="250" priority="18" stopIfTrue="1">
      <formula>$C$1269&lt;1</formula>
    </cfRule>
  </conditionalFormatting>
  <conditionalFormatting sqref="BJ3:BJ18 BJ32:BJ135 BJ28:BJ30 BJ20:BJ26">
    <cfRule type="cellIs" dxfId="249" priority="19" stopIfTrue="1" operator="equal">
      <formula>"Nope"</formula>
    </cfRule>
  </conditionalFormatting>
  <conditionalFormatting sqref="A19:B19 BP19:IX19 R19:BI19">
    <cfRule type="expression" dxfId="248" priority="1" stopIfTrue="1">
      <formula>ROW()-3=$C$1269</formula>
    </cfRule>
  </conditionalFormatting>
  <conditionalFormatting sqref="A31:B31 BP31:IX31 R31:BI31">
    <cfRule type="expression" dxfId="247" priority="9" stopIfTrue="1">
      <formula>ROW()-3=$C$1269</formula>
    </cfRule>
  </conditionalFormatting>
  <conditionalFormatting sqref="BK31:BO31 E31:Q31">
    <cfRule type="expression" dxfId="246" priority="10" stopIfTrue="1">
      <formula>OR(ROW()-3=$C$1269,E31&lt;0)</formula>
    </cfRule>
  </conditionalFormatting>
  <conditionalFormatting sqref="C31:D31">
    <cfRule type="expression" dxfId="245" priority="11" stopIfTrue="1">
      <formula>OR(ROW()-3=$C$1269,AND(C31&lt;&gt;1,C31&lt;&gt;""))</formula>
    </cfRule>
  </conditionalFormatting>
  <conditionalFormatting sqref="BJ31">
    <cfRule type="cellIs" dxfId="244" priority="12" stopIfTrue="1" operator="equal">
      <formula>"Nope"</formula>
    </cfRule>
  </conditionalFormatting>
  <conditionalFormatting sqref="A27:B27 BP27:IX27 R27:BI27">
    <cfRule type="expression" dxfId="243" priority="5" stopIfTrue="1">
      <formula>ROW()-3=$C$1269</formula>
    </cfRule>
  </conditionalFormatting>
  <conditionalFormatting sqref="BK27:BO27 E27:Q27">
    <cfRule type="expression" dxfId="242" priority="6" stopIfTrue="1">
      <formula>OR(ROW()-3=$C$1269,E27&lt;0)</formula>
    </cfRule>
  </conditionalFormatting>
  <conditionalFormatting sqref="C27:D27">
    <cfRule type="expression" dxfId="241" priority="7" stopIfTrue="1">
      <formula>OR(ROW()-3=$C$1269,AND(C27&lt;&gt;1,C27&lt;&gt;""))</formula>
    </cfRule>
  </conditionalFormatting>
  <conditionalFormatting sqref="BJ27">
    <cfRule type="cellIs" dxfId="240" priority="8" stopIfTrue="1" operator="equal">
      <formula>"Nope"</formula>
    </cfRule>
  </conditionalFormatting>
  <conditionalFormatting sqref="BK19:BO19 E19:Q19">
    <cfRule type="expression" dxfId="239" priority="2" stopIfTrue="1">
      <formula>OR(ROW()-3=$C$1269,E19&lt;0)</formula>
    </cfRule>
  </conditionalFormatting>
  <conditionalFormatting sqref="C19:D19">
    <cfRule type="expression" dxfId="238" priority="3" stopIfTrue="1">
      <formula>OR(ROW()-3=$C$1269,AND(C19&lt;&gt;1,C19&lt;&gt;""))</formula>
    </cfRule>
  </conditionalFormatting>
  <conditionalFormatting sqref="BJ19">
    <cfRule type="cellIs" dxfId="237" priority="4" stopIfTrue="1" operator="equal">
      <formula>"Nope"</formula>
    </cfRule>
  </conditionalFormatting>
  <dataValidations disablePrompts="1" count="1">
    <dataValidation type="whole" operator="equal" allowBlank="1" showInputMessage="1" showErrorMessage="1" sqref="C3:D135 BC3:BC135" xr:uid="{00000000-0002-0000-0200-000000000000}">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J1269"/>
  <sheetViews>
    <sheetView zoomScale="80" workbookViewId="0">
      <pane ySplit="2" topLeftCell="A3" activePane="bottomLeft" state="frozenSplit"/>
      <selection activeCell="S34" sqref="S34"/>
      <selection pane="bottomLeft" activeCell="A3" sqref="A3"/>
    </sheetView>
  </sheetViews>
  <sheetFormatPr defaultRowHeight="13.2" x14ac:dyDescent="0.25"/>
  <cols>
    <col min="1" max="1" width="6.6640625" style="1" bestFit="1" customWidth="1"/>
    <col min="2" max="2" width="8.5546875" style="1" bestFit="1" customWidth="1"/>
    <col min="3" max="3" width="9.44140625" style="1" customWidth="1"/>
    <col min="4" max="4" width="5.6640625" bestFit="1" customWidth="1"/>
    <col min="5" max="5" width="5.109375" style="16" bestFit="1" customWidth="1"/>
    <col min="6" max="6" width="5.109375" style="2" bestFit="1" customWidth="1"/>
    <col min="7" max="7" width="6.44140625" style="3" bestFit="1" customWidth="1"/>
    <col min="8" max="8" width="8.5546875" style="4" customWidth="1"/>
    <col min="9" max="9" width="4.44140625" style="5" bestFit="1" customWidth="1"/>
    <col min="10" max="10" width="7.44140625" style="6" bestFit="1" customWidth="1"/>
    <col min="11" max="11" width="7" style="7" bestFit="1" customWidth="1"/>
    <col min="12" max="12" width="6" style="8" customWidth="1"/>
    <col min="13" max="13" width="4.6640625" style="633" customWidth="1"/>
    <col min="14" max="14" width="4.88671875" style="35" bestFit="1" customWidth="1"/>
    <col min="15" max="15" width="4.44140625" style="35" bestFit="1" customWidth="1"/>
    <col min="16" max="16" width="4.109375" style="35" bestFit="1" customWidth="1"/>
    <col min="17" max="17" width="4.88671875" style="35" bestFit="1" customWidth="1"/>
    <col min="18" max="18" width="4.5546875" style="35" customWidth="1"/>
    <col min="19" max="19" width="4.109375" style="35" bestFit="1" customWidth="1"/>
    <col min="20" max="20" width="4.33203125" style="35" customWidth="1"/>
    <col min="21" max="21" width="4.109375" style="35" bestFit="1" customWidth="1"/>
    <col min="22" max="22" width="3.6640625" style="35" customWidth="1"/>
    <col min="23" max="23" width="4.109375" style="35" customWidth="1"/>
    <col min="24" max="24" width="3.5546875" style="35" bestFit="1" customWidth="1"/>
    <col min="25" max="25" width="3.6640625" style="35" customWidth="1"/>
    <col min="26" max="26" width="3.5546875" style="35" customWidth="1"/>
    <col min="27" max="27" width="4.88671875" style="35" bestFit="1" customWidth="1"/>
    <col min="28" max="28" width="4.88671875" style="35" customWidth="1"/>
    <col min="29" max="29" width="4.33203125" style="35" customWidth="1"/>
    <col min="30" max="30" width="3.88671875" style="35" customWidth="1"/>
    <col min="31" max="31" width="4" style="35" customWidth="1"/>
    <col min="32" max="32" width="4.33203125" style="35" customWidth="1"/>
    <col min="33" max="33" width="6" bestFit="1" customWidth="1"/>
    <col min="36" max="36" width="9.88671875" bestFit="1" customWidth="1"/>
    <col min="37" max="37" width="8.109375" bestFit="1" customWidth="1"/>
    <col min="38" max="38" width="8.44140625" customWidth="1"/>
    <col min="39" max="39" width="11.5546875" bestFit="1" customWidth="1"/>
    <col min="40" max="40" width="8.44140625" customWidth="1"/>
    <col min="41" max="41" width="11.5546875" bestFit="1" customWidth="1"/>
    <col min="42" max="42" width="8.33203125" customWidth="1"/>
    <col min="43" max="43" width="7.109375" customWidth="1"/>
    <col min="44" max="44" width="8.5546875" bestFit="1" customWidth="1"/>
    <col min="45" max="45" width="7.109375" customWidth="1"/>
    <col min="46" max="46" width="6.5546875" bestFit="1" customWidth="1"/>
    <col min="47" max="47" width="8.44140625" customWidth="1"/>
    <col min="48" max="48" width="11.5546875" bestFit="1" customWidth="1"/>
    <col min="49" max="49" width="3" style="16" customWidth="1"/>
    <col min="50" max="50" width="5" style="297" bestFit="1" customWidth="1"/>
    <col min="51" max="52" width="4" style="2" bestFit="1" customWidth="1"/>
    <col min="53" max="53" width="4.44140625" style="2" bestFit="1" customWidth="1"/>
    <col min="54" max="54" width="4.6640625" style="2" bestFit="1" customWidth="1"/>
    <col min="55" max="55" width="3.44140625" style="3" bestFit="1" customWidth="1"/>
    <col min="56" max="56" width="4.44140625" style="3" bestFit="1" customWidth="1"/>
    <col min="57" max="57" width="4.109375" style="4" bestFit="1" customWidth="1"/>
    <col min="58" max="58" width="3.6640625" style="4" bestFit="1" customWidth="1"/>
    <col min="59" max="59" width="4.109375" style="5" bestFit="1" customWidth="1"/>
    <col min="60" max="60" width="3.5546875" style="5" bestFit="1" customWidth="1"/>
    <col min="61" max="61" width="3.6640625" style="5" customWidth="1"/>
    <col min="62" max="62" width="4.33203125" style="5" bestFit="1" customWidth="1"/>
    <col min="63" max="63" width="4.88671875" style="6" bestFit="1" customWidth="1"/>
    <col min="64" max="64" width="4.88671875" style="6" customWidth="1"/>
    <col min="65" max="65" width="4.33203125" style="6" bestFit="1" customWidth="1"/>
    <col min="66" max="66" width="4.109375" style="7" customWidth="1"/>
    <col min="67" max="67" width="4.5546875" style="7" customWidth="1"/>
    <col min="68" max="68" width="8.44140625" style="8" bestFit="1" customWidth="1"/>
    <col min="69" max="69" width="4.6640625" customWidth="1"/>
    <col min="70" max="70" width="6" style="35" customWidth="1"/>
    <col min="71" max="71" width="5.109375" bestFit="1" customWidth="1"/>
    <col min="72" max="72" width="5.6640625" bestFit="1" customWidth="1"/>
    <col min="73" max="73" width="2.109375" bestFit="1" customWidth="1"/>
    <col min="74" max="74" width="4.88671875" style="297" bestFit="1" customWidth="1"/>
    <col min="75" max="76" width="3.88671875" style="2" bestFit="1" customWidth="1"/>
    <col min="77" max="77" width="4.33203125" style="2" customWidth="1"/>
    <col min="78" max="78" width="4.5546875" style="2" customWidth="1"/>
    <col min="79" max="79" width="3.44140625" style="3" bestFit="1" customWidth="1"/>
    <col min="80" max="80" width="4.33203125" style="3" customWidth="1"/>
    <col min="81" max="81" width="4" style="4" customWidth="1"/>
    <col min="82" max="82" width="3.6640625" style="4" customWidth="1"/>
    <col min="83" max="83" width="4.109375" style="5" customWidth="1"/>
    <col min="84" max="84" width="3.5546875" style="5" bestFit="1" customWidth="1"/>
    <col min="85" max="85" width="3.6640625" style="4" customWidth="1"/>
    <col min="86" max="86" width="3.5546875" style="5" customWidth="1"/>
    <col min="87" max="88" width="4.88671875" style="6" customWidth="1"/>
    <col min="89" max="89" width="4.33203125" style="6" customWidth="1"/>
    <col min="90" max="90" width="3.88671875" style="7" customWidth="1"/>
    <col min="91" max="91" width="3.88671875" style="7" bestFit="1" customWidth="1"/>
    <col min="92" max="92" width="4.33203125" style="8" customWidth="1"/>
    <col min="93" max="93" width="2.109375" bestFit="1" customWidth="1"/>
    <col min="94" max="94" width="5.109375" style="2" bestFit="1" customWidth="1"/>
    <col min="95" max="95" width="6.44140625" style="3" bestFit="1" customWidth="1"/>
    <col min="96" max="96" width="8.5546875" style="4" bestFit="1" customWidth="1"/>
    <col min="97" max="97" width="3.5546875" style="5" bestFit="1" customWidth="1"/>
    <col min="98" max="98" width="7.44140625" style="6" bestFit="1" customWidth="1"/>
    <col min="99" max="99" width="7" style="7" bestFit="1" customWidth="1"/>
    <col min="100" max="100" width="6" style="8" bestFit="1" customWidth="1"/>
    <col min="101" max="101" width="10.44140625" bestFit="1" customWidth="1"/>
    <col min="102" max="102" width="2.109375" bestFit="1" customWidth="1"/>
    <col min="103" max="103" width="5.109375" bestFit="1" customWidth="1"/>
    <col min="104" max="104" width="6.44140625" bestFit="1" customWidth="1"/>
    <col min="105" max="105" width="8.5546875" bestFit="1" customWidth="1"/>
    <col min="106" max="106" width="3.5546875" bestFit="1" customWidth="1"/>
    <col min="107" max="107" width="7.44140625" bestFit="1" customWidth="1"/>
    <col min="108" max="108" width="7" bestFit="1" customWidth="1"/>
    <col min="109" max="109" width="6" bestFit="1" customWidth="1"/>
    <col min="110" max="110" width="8.5546875" bestFit="1" customWidth="1"/>
    <col min="111" max="111" width="6.88671875" bestFit="1" customWidth="1"/>
    <col min="112" max="112" width="5" bestFit="1" customWidth="1"/>
    <col min="113" max="113" width="7.33203125" bestFit="1" customWidth="1"/>
  </cols>
  <sheetData>
    <row r="1" spans="1:114" s="106" customFormat="1" x14ac:dyDescent="0.25">
      <c r="A1" s="137"/>
      <c r="B1" s="137"/>
      <c r="C1" s="137"/>
      <c r="E1" s="443"/>
      <c r="F1" s="1470" t="s">
        <v>56</v>
      </c>
      <c r="G1" s="1470"/>
      <c r="M1" s="669"/>
      <c r="N1" s="1470" t="s">
        <v>58</v>
      </c>
      <c r="O1" s="1470"/>
      <c r="P1" s="1415"/>
      <c r="AH1" s="1183" t="s">
        <v>588</v>
      </c>
      <c r="AI1" s="1183" t="s">
        <v>591</v>
      </c>
      <c r="AJ1" s="1470" t="s">
        <v>80</v>
      </c>
      <c r="AK1" s="1470"/>
      <c r="AL1" s="1469" t="s">
        <v>589</v>
      </c>
      <c r="AM1" s="1469"/>
      <c r="AN1" s="1469" t="s">
        <v>590</v>
      </c>
      <c r="AO1" s="1469"/>
      <c r="AP1" s="1469" t="s">
        <v>587</v>
      </c>
      <c r="AQ1" s="1469"/>
      <c r="AU1" s="106" t="s">
        <v>586</v>
      </c>
      <c r="AW1" s="443"/>
      <c r="AX1" s="1471" t="s">
        <v>54</v>
      </c>
      <c r="AY1" s="1471"/>
      <c r="AZ1" s="1471"/>
      <c r="BV1" s="1470" t="s">
        <v>87</v>
      </c>
      <c r="BW1" s="1470"/>
      <c r="CP1" s="1470" t="s">
        <v>18</v>
      </c>
      <c r="CQ1" s="1470"/>
      <c r="CY1" s="1470" t="s">
        <v>306</v>
      </c>
      <c r="CZ1" s="1470"/>
      <c r="DA1" s="1470"/>
      <c r="DB1" s="1470"/>
      <c r="DC1" s="1470"/>
      <c r="DF1" s="1470" t="s">
        <v>271</v>
      </c>
      <c r="DG1" s="1470"/>
    </row>
    <row r="2" spans="1:114" s="820" customFormat="1" ht="13.8" thickBot="1" x14ac:dyDescent="0.3">
      <c r="A2" s="820" t="s">
        <v>56</v>
      </c>
      <c r="B2" s="820" t="s">
        <v>54</v>
      </c>
      <c r="C2" s="820" t="s">
        <v>55</v>
      </c>
      <c r="E2" s="820" t="s">
        <v>1</v>
      </c>
      <c r="F2" s="1130" t="s">
        <v>257</v>
      </c>
      <c r="G2" s="1131" t="s">
        <v>60</v>
      </c>
      <c r="H2" s="1132" t="s">
        <v>259</v>
      </c>
      <c r="I2" s="1133" t="s">
        <v>258</v>
      </c>
      <c r="J2" s="1134" t="s">
        <v>63</v>
      </c>
      <c r="K2" s="1135" t="s">
        <v>256</v>
      </c>
      <c r="L2" s="1136" t="s">
        <v>65</v>
      </c>
      <c r="M2" s="820" t="s">
        <v>0</v>
      </c>
      <c r="N2" s="1137" t="s">
        <v>75</v>
      </c>
      <c r="O2" s="1138" t="s">
        <v>74</v>
      </c>
      <c r="P2" s="1138" t="s">
        <v>73</v>
      </c>
      <c r="Q2" s="1138" t="s">
        <v>72</v>
      </c>
      <c r="R2" s="1138" t="s">
        <v>71</v>
      </c>
      <c r="S2" s="1131" t="s">
        <v>66</v>
      </c>
      <c r="T2" s="1131" t="s">
        <v>362</v>
      </c>
      <c r="U2" s="1132" t="s">
        <v>67</v>
      </c>
      <c r="V2" s="1132" t="s">
        <v>68</v>
      </c>
      <c r="W2" s="1133" t="s">
        <v>69</v>
      </c>
      <c r="X2" s="1133" t="s">
        <v>70</v>
      </c>
      <c r="Y2" s="1133" t="s">
        <v>364</v>
      </c>
      <c r="Z2" s="1133" t="s">
        <v>367</v>
      </c>
      <c r="AA2" s="1134" t="s">
        <v>77</v>
      </c>
      <c r="AB2" s="1134" t="s">
        <v>365</v>
      </c>
      <c r="AC2" s="1134" t="s">
        <v>310</v>
      </c>
      <c r="AD2" s="1135" t="s">
        <v>78</v>
      </c>
      <c r="AE2" s="1135" t="s">
        <v>383</v>
      </c>
      <c r="AF2" s="1136" t="s">
        <v>79</v>
      </c>
      <c r="AG2" s="1346" t="s">
        <v>325</v>
      </c>
      <c r="AH2" s="820" t="s">
        <v>202</v>
      </c>
      <c r="AI2" s="1181" t="s">
        <v>202</v>
      </c>
      <c r="AJ2" s="820" t="s">
        <v>2</v>
      </c>
      <c r="AK2" s="820" t="s">
        <v>7</v>
      </c>
      <c r="AL2" s="820" t="s">
        <v>2</v>
      </c>
      <c r="AM2" s="820" t="s">
        <v>7</v>
      </c>
      <c r="AN2" s="820" t="s">
        <v>2</v>
      </c>
      <c r="AO2" s="820" t="s">
        <v>7</v>
      </c>
      <c r="AP2" s="820" t="s">
        <v>2</v>
      </c>
      <c r="AQ2" s="820" t="s">
        <v>7</v>
      </c>
      <c r="AR2" s="820" t="s">
        <v>592</v>
      </c>
      <c r="AS2" s="820" t="s">
        <v>593</v>
      </c>
      <c r="AU2" s="820" t="s">
        <v>2</v>
      </c>
      <c r="AV2" s="820" t="s">
        <v>7</v>
      </c>
      <c r="AX2" s="1139" t="s">
        <v>75</v>
      </c>
      <c r="AY2" s="1138" t="s">
        <v>74</v>
      </c>
      <c r="AZ2" s="1138" t="s">
        <v>73</v>
      </c>
      <c r="BA2" s="1138" t="s">
        <v>72</v>
      </c>
      <c r="BB2" s="1138" t="s">
        <v>71</v>
      </c>
      <c r="BC2" s="1131" t="s">
        <v>66</v>
      </c>
      <c r="BD2" s="1131" t="s">
        <v>362</v>
      </c>
      <c r="BE2" s="1132" t="s">
        <v>67</v>
      </c>
      <c r="BF2" s="1132" t="s">
        <v>68</v>
      </c>
      <c r="BG2" s="1133" t="s">
        <v>69</v>
      </c>
      <c r="BH2" s="1133" t="s">
        <v>70</v>
      </c>
      <c r="BI2" s="1133" t="s">
        <v>364</v>
      </c>
      <c r="BJ2" s="1133" t="s">
        <v>367</v>
      </c>
      <c r="BK2" s="1134" t="s">
        <v>77</v>
      </c>
      <c r="BL2" s="1134" t="s">
        <v>365</v>
      </c>
      <c r="BM2" s="1134" t="s">
        <v>310</v>
      </c>
      <c r="BN2" s="1135" t="s">
        <v>78</v>
      </c>
      <c r="BO2" s="1135" t="s">
        <v>383</v>
      </c>
      <c r="BP2" s="1140" t="s">
        <v>79</v>
      </c>
      <c r="BR2" s="1141"/>
      <c r="BS2" s="820" t="s">
        <v>1</v>
      </c>
      <c r="BT2" s="820" t="s">
        <v>325</v>
      </c>
      <c r="BV2" s="1142" t="s">
        <v>75</v>
      </c>
      <c r="BW2" s="1138" t="s">
        <v>74</v>
      </c>
      <c r="BX2" s="1138" t="s">
        <v>73</v>
      </c>
      <c r="BY2" s="1138" t="s">
        <v>72</v>
      </c>
      <c r="BZ2" s="1138" t="s">
        <v>71</v>
      </c>
      <c r="CA2" s="1131" t="s">
        <v>66</v>
      </c>
      <c r="CB2" s="1131" t="s">
        <v>362</v>
      </c>
      <c r="CC2" s="1132" t="s">
        <v>67</v>
      </c>
      <c r="CD2" s="1132" t="s">
        <v>68</v>
      </c>
      <c r="CE2" s="1133" t="s">
        <v>69</v>
      </c>
      <c r="CF2" s="1133" t="s">
        <v>70</v>
      </c>
      <c r="CG2" s="1132" t="s">
        <v>364</v>
      </c>
      <c r="CH2" s="1133" t="s">
        <v>367</v>
      </c>
      <c r="CI2" s="1134" t="s">
        <v>77</v>
      </c>
      <c r="CJ2" s="1134" t="s">
        <v>365</v>
      </c>
      <c r="CK2" s="1134" t="s">
        <v>310</v>
      </c>
      <c r="CL2" s="1135" t="s">
        <v>78</v>
      </c>
      <c r="CM2" s="1135" t="s">
        <v>383</v>
      </c>
      <c r="CN2" s="1136" t="s">
        <v>79</v>
      </c>
      <c r="CP2" s="1138" t="s">
        <v>257</v>
      </c>
      <c r="CQ2" s="1131" t="s">
        <v>60</v>
      </c>
      <c r="CR2" s="1132" t="s">
        <v>259</v>
      </c>
      <c r="CS2" s="1133" t="s">
        <v>258</v>
      </c>
      <c r="CT2" s="1134" t="s">
        <v>63</v>
      </c>
      <c r="CU2" s="1135" t="s">
        <v>256</v>
      </c>
      <c r="CV2" s="1136" t="s">
        <v>65</v>
      </c>
      <c r="CW2" s="820" t="s">
        <v>271</v>
      </c>
      <c r="CY2" s="820" t="s">
        <v>257</v>
      </c>
      <c r="CZ2" s="820" t="s">
        <v>60</v>
      </c>
      <c r="DA2" s="820" t="s">
        <v>259</v>
      </c>
      <c r="DB2" s="820" t="s">
        <v>258</v>
      </c>
      <c r="DC2" s="820" t="s">
        <v>63</v>
      </c>
      <c r="DD2" s="820" t="s">
        <v>256</v>
      </c>
      <c r="DE2" s="820" t="s">
        <v>65</v>
      </c>
      <c r="DF2" s="820" t="str">
        <f>Overview!$B$67</f>
        <v>Plain</v>
      </c>
      <c r="DG2" s="820" t="s">
        <v>307</v>
      </c>
      <c r="DH2" s="820" t="s">
        <v>309</v>
      </c>
      <c r="DI2" s="820" t="s">
        <v>308</v>
      </c>
    </row>
    <row r="3" spans="1:114" s="1006" customFormat="1" x14ac:dyDescent="0.25">
      <c r="A3" s="1110">
        <f t="shared" ref="A3:A14" si="0">SUM(F3:L3)</f>
        <v>820</v>
      </c>
      <c r="B3" s="1110">
        <f t="shared" ref="B3:B14" si="1">SUM(AX3:BP3)</f>
        <v>180</v>
      </c>
      <c r="C3" s="1111">
        <f>SUM(N$3:AF3)</f>
        <v>0</v>
      </c>
      <c r="D3" s="792"/>
      <c r="E3" s="1006">
        <f t="shared" ref="E3:E34" si="2">A3+B3+C3</f>
        <v>1000</v>
      </c>
      <c r="F3" s="1112">
        <f>start_plains+CP3</f>
        <v>70</v>
      </c>
      <c r="G3" s="1113">
        <f>start_forest+CQ3</f>
        <v>100</v>
      </c>
      <c r="H3" s="1114">
        <f>start_mountains+CR3</f>
        <v>150</v>
      </c>
      <c r="I3" s="1115">
        <f>start_hills+CS3</f>
        <v>150</v>
      </c>
      <c r="J3" s="1116">
        <f>start_swamp+CT3</f>
        <v>100</v>
      </c>
      <c r="K3" s="1117">
        <f>start_caverns+CU3</f>
        <v>150</v>
      </c>
      <c r="L3" s="1118">
        <f>start_water+CV3</f>
        <v>100</v>
      </c>
      <c r="M3" s="817">
        <f>Rezone!J3</f>
        <v>1</v>
      </c>
      <c r="N3" s="1076"/>
      <c r="O3" s="1081"/>
      <c r="P3" s="1077"/>
      <c r="Q3" s="1077"/>
      <c r="R3" s="1077"/>
      <c r="S3" s="1077"/>
      <c r="T3" s="1077"/>
      <c r="U3" s="1077"/>
      <c r="V3" s="1077"/>
      <c r="W3" s="1081"/>
      <c r="X3" s="1077"/>
      <c r="Y3" s="1077"/>
      <c r="Z3" s="1077"/>
      <c r="AA3" s="1077"/>
      <c r="AB3" s="1081"/>
      <c r="AC3" s="1077"/>
      <c r="AD3" s="1077"/>
      <c r="AE3" s="1077"/>
      <c r="AF3" s="1109"/>
      <c r="AG3" s="792">
        <f>Imps!L3</f>
        <v>43768</v>
      </c>
      <c r="AH3" s="826">
        <f>MIN(25%,(BG3+CE3)/(E3-Explore!S3*20))</f>
        <v>0</v>
      </c>
      <c r="AI3" s="1176">
        <f>MIN(25%,(BG3+CE3)/E3)</f>
        <v>0</v>
      </c>
      <c r="AJ3" s="1063">
        <f ca="1">Production!$H3</f>
        <v>4350000</v>
      </c>
      <c r="AK3" s="236">
        <f ca="1">Production!$J3</f>
        <v>355000</v>
      </c>
      <c r="AL3" s="682">
        <f ca="1">ROUND( (1 - MIN(facs_constr_factor*$AH3,facs_constr_max)) * (1+MIN(tech_construction*Techs!AC3,tech_conquerors_crafts*Techs!AS3)) * AU3*(1+race_construction_cost),0)</f>
        <v>1615</v>
      </c>
      <c r="AM3" s="684">
        <f t="shared" ref="AM3:AM34" si="3">ROUND( (1 - MIN(facs_constr_factor*$AH3,facs_constr_max)) * AV3,0)</f>
        <v>263</v>
      </c>
      <c r="AN3" s="682">
        <f ca="1">ROUND( (1 - MIN(facs_constr_factor*$AI3,facs_constr_max)) * (1+MIN(tech_construction*Techs!AC3,tech_conquerors_crafts*Techs!AS3)) * AU3*(1+race_construction_cost),0)</f>
        <v>1615</v>
      </c>
      <c r="AO3" s="684">
        <f>ROUND( (1 - MIN(facs_constr_factor*$AI3,facs_constr_max)) * AV3,0)</f>
        <v>263</v>
      </c>
      <c r="AP3" s="1006">
        <f ca="1">SUM($N3:$AF3)*AL3</f>
        <v>0</v>
      </c>
      <c r="AQ3" s="1065">
        <f>SUM($N3:$AF3)*AM3</f>
        <v>0</v>
      </c>
      <c r="AR3" s="1006">
        <f>MIN(SUM(Constants!A27:G27)+SUM(BV3:CN3),SUM($N3:$AF3))</f>
        <v>0</v>
      </c>
      <c r="AS3" s="1006">
        <f>IF(Explore!S3&lt;&gt;0,MAX(0, MIN(20, 20 + SUM(N3:AF3) - SUM(BV3:CN3) - SUM(Constants!A27:G27)-20*Explore!S3)),0)</f>
        <v>0</v>
      </c>
      <c r="AU3" s="1063">
        <f>(MAX($B3,250,0.75*E3)-250) * 1.53 + 850</f>
        <v>1615</v>
      </c>
      <c r="AV3" s="236">
        <f>(MAX($B3,250,0.75*E3)-250) * 0.35+87.5</f>
        <v>262.5</v>
      </c>
      <c r="AW3" s="1074"/>
      <c r="AX3" s="1119">
        <f>start_homes-BV3</f>
        <v>0</v>
      </c>
      <c r="AY3" s="1120">
        <f>start_alchs-BW3</f>
        <v>0</v>
      </c>
      <c r="AZ3" s="1120">
        <f>start_farms-BX3</f>
        <v>80</v>
      </c>
      <c r="BA3" s="1120">
        <f>start_smithies-BY3</f>
        <v>0</v>
      </c>
      <c r="BB3" s="1120">
        <f>start_masons-BZ3</f>
        <v>0</v>
      </c>
      <c r="BC3" s="1121">
        <f>start_ly-CA3</f>
        <v>50</v>
      </c>
      <c r="BD3" s="1121">
        <f>start_havens-CB3</f>
        <v>0</v>
      </c>
      <c r="BE3" s="1122">
        <f>start_om-CC3</f>
        <v>0</v>
      </c>
      <c r="BF3" s="1122">
        <f>start_gn-CD3</f>
        <v>0</v>
      </c>
      <c r="BG3" s="1123">
        <f>start_facs-CE3</f>
        <v>0</v>
      </c>
      <c r="BH3" s="1123">
        <f>start_gt-CF3</f>
        <v>0</v>
      </c>
      <c r="BI3" s="1123">
        <f>start_rax-CG3</f>
        <v>0</v>
      </c>
      <c r="BJ3" s="1123">
        <f>start_shrines-CH3</f>
        <v>0</v>
      </c>
      <c r="BK3" s="1124">
        <f>start_towers-CI3</f>
        <v>50</v>
      </c>
      <c r="BL3" s="1124">
        <f>start_temples-CJ3</f>
        <v>0</v>
      </c>
      <c r="BM3" s="1124">
        <f>start_temples-CK3</f>
        <v>0</v>
      </c>
      <c r="BN3" s="1125">
        <f>start_dm-CL3</f>
        <v>0</v>
      </c>
      <c r="BO3" s="1125">
        <f>start_schools-CM3</f>
        <v>0</v>
      </c>
      <c r="BP3" s="1126">
        <f>start_docks-CN3</f>
        <v>0</v>
      </c>
      <c r="BR3" s="1127"/>
      <c r="BS3" s="536">
        <f t="shared" ref="BS3:BS34" si="4">E3</f>
        <v>1000</v>
      </c>
      <c r="BT3" s="792">
        <f>Imps!L3</f>
        <v>43768</v>
      </c>
      <c r="BU3" s="1128"/>
      <c r="BV3" s="1076"/>
      <c r="BW3" s="1077"/>
      <c r="BX3" s="1077"/>
      <c r="BY3" s="1077"/>
      <c r="BZ3" s="1077"/>
      <c r="CA3" s="1077"/>
      <c r="CB3" s="1077"/>
      <c r="CC3" s="1077"/>
      <c r="CD3" s="1077"/>
      <c r="CE3" s="1077"/>
      <c r="CF3" s="1077"/>
      <c r="CG3" s="1077"/>
      <c r="CH3" s="1077"/>
      <c r="CI3" s="1077"/>
      <c r="CJ3" s="1077"/>
      <c r="CK3" s="1077"/>
      <c r="CL3" s="1077"/>
      <c r="CM3" s="1129"/>
      <c r="CN3" s="1078"/>
      <c r="CP3" s="1112">
        <f>-SUM($O3:$R3)+SUM($BW3:BZ3)+Rezone!L3+IF(home_land=CP$2,CW3)</f>
        <v>0</v>
      </c>
      <c r="CQ3" s="1113">
        <f>-SUM($S3:$T3)+SUM($CA3:$CB3) +Rezone!M3 + IF(home_land=CQ$2,CW3)</f>
        <v>0</v>
      </c>
      <c r="CR3" s="1122">
        <f>-SUM($U3:$V3)+SUM($CC3:$CD3) +Rezone!N3 + IF(home_land=CR$2,CW3)</f>
        <v>0</v>
      </c>
      <c r="CS3" s="1115">
        <f>-SUM($W3:$Z3)+SUM($CE3:$CH3) +Rezone!O3 + IF(home_land=CS$2,CW3)</f>
        <v>0</v>
      </c>
      <c r="CT3" s="1116">
        <f>-SUM($AA3:$AC3)+SUM($CI3:$CK3) +Rezone!P3 + IF(home_land=CT$2,CW3)</f>
        <v>0</v>
      </c>
      <c r="CU3" s="1117">
        <f xml:space="preserve"> - SUM($AD3,$AE3)+SUM($CL3,$CM3) +Rezone!Q3 + IF(home_land=CU$2,CW3)</f>
        <v>0</v>
      </c>
      <c r="CV3" s="1180">
        <f>-$AF3+$CN3 +Rezone!R3 + IF(home_land=CV$2,CW3)</f>
        <v>0</v>
      </c>
      <c r="CW3" s="1037">
        <f>IF(Explore!S3=1,25) - N3 + BV3</f>
        <v>0</v>
      </c>
      <c r="CY3" s="1063">
        <f>F3+SUM(O$3:R3)+SUM(AY3:BB3)</f>
        <v>150</v>
      </c>
      <c r="CZ3" s="1074">
        <f>G3+SUM(S$3:T3)+SUM(BC3:BD3)</f>
        <v>150</v>
      </c>
      <c r="DA3" s="1006">
        <f>H3+SUM(U$3:V3)+SUM(BE3:BF3)</f>
        <v>150</v>
      </c>
      <c r="DB3" s="1074">
        <f>I3+SUM(W$3:X3)+SUM(BG3:BH3)</f>
        <v>150</v>
      </c>
      <c r="DC3" s="1074">
        <f>J3+SUM(AA$3:AC3)+SUM(BK3:BM3)</f>
        <v>150</v>
      </c>
      <c r="DD3" s="1006">
        <f>K3+SUM(AD$3:AD3)+BN3</f>
        <v>150</v>
      </c>
      <c r="DE3" s="236">
        <f>L3+SUM(AF$3:AF3)+BP3</f>
        <v>100</v>
      </c>
      <c r="DF3" s="1074">
        <f ca="1">INDIRECT(ADDRESS(DH3,$DI$4))+DG3</f>
        <v>150</v>
      </c>
      <c r="DG3" s="1006">
        <f>SUM(N$3:N3)+AX3</f>
        <v>0</v>
      </c>
      <c r="DH3" s="1063">
        <v>3</v>
      </c>
      <c r="DI3" s="236">
        <f>MATCH(DF2,CY2:DE2,0)</f>
        <v>1</v>
      </c>
      <c r="DJ3" s="1074"/>
    </row>
    <row r="4" spans="1:114" s="170" customFormat="1" x14ac:dyDescent="0.25">
      <c r="A4" s="242">
        <f t="shared" si="0"/>
        <v>820</v>
      </c>
      <c r="B4" s="242">
        <f t="shared" si="1"/>
        <v>180</v>
      </c>
      <c r="C4" s="243">
        <f>SUM(N$3:AF4)</f>
        <v>0</v>
      </c>
      <c r="D4" s="530"/>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6">
        <f t="shared" ref="L4:L35" si="11">L3+CV4</f>
        <v>100</v>
      </c>
      <c r="M4" s="632">
        <f>Rezone!J4</f>
        <v>2</v>
      </c>
      <c r="N4" s="352"/>
      <c r="O4" s="345"/>
      <c r="P4" s="345"/>
      <c r="Q4" s="345"/>
      <c r="R4" s="345"/>
      <c r="S4" s="345"/>
      <c r="T4" s="345"/>
      <c r="U4" s="345"/>
      <c r="V4" s="345"/>
      <c r="W4" s="345"/>
      <c r="X4" s="345"/>
      <c r="Y4" s="345"/>
      <c r="Z4" s="345"/>
      <c r="AA4" s="345"/>
      <c r="AB4" s="345"/>
      <c r="AC4" s="345"/>
      <c r="AD4" s="345"/>
      <c r="AE4" s="345"/>
      <c r="AF4" s="336"/>
      <c r="AG4" s="530">
        <f>Imps!L4</f>
        <v>43768.010416666664</v>
      </c>
      <c r="AH4" s="251">
        <f>MIN(25%,(BG4+CE4)/(E4-Explore!S4*20))</f>
        <v>0</v>
      </c>
      <c r="AI4" s="187">
        <f t="shared" ref="AI4:AI67" si="12">MIN(25%,(BG4+CE4)/E4)</f>
        <v>0</v>
      </c>
      <c r="AJ4" s="152">
        <f ca="1">Production!$H4</f>
        <v>4359720</v>
      </c>
      <c r="AK4" s="166">
        <f ca="1">Production!$J4</f>
        <v>353950</v>
      </c>
      <c r="AL4" s="152">
        <f ca="1">ROUND( (1 - MIN(facs_constr_factor*$AH4,facs_constr_max)) * (1+MIN(tech_construction*Techs!AC4,tech_conquerors_crafts*Techs!AS4)) * AU4*(1+race_construction_cost),0)</f>
        <v>1615</v>
      </c>
      <c r="AM4" s="166">
        <f t="shared" si="3"/>
        <v>263</v>
      </c>
      <c r="AN4" s="152">
        <f ca="1">ROUND( (1 - MIN(facs_constr_factor*$AI4,facs_constr_max)) * (1+MIN(tech_construction*Techs!AE4,tech_conquerors_crafts*Techs!AU4)) * AU4*(1+race_construction_cost),0)</f>
        <v>1615</v>
      </c>
      <c r="AO4" s="166">
        <f t="shared" ref="AO4:AO35" si="13">ROUND( (1 - MIN(facs_constr_factor*$AH4,facs_constr_max)) * AV4,0)</f>
        <v>263</v>
      </c>
      <c r="AP4" s="170">
        <f t="shared" ref="AP4:AP17" ca="1" si="14">AR4*AL4 + AS4*AN4</f>
        <v>0</v>
      </c>
      <c r="AQ4" s="157">
        <f t="shared" ref="AQ4:AQ16" si="15">AR4*AM4+AS4*AO4</f>
        <v>0</v>
      </c>
      <c r="AR4" s="164">
        <f>MIN(SUM(F3:L3)+SUM(BV4:CN4),SUM($N4:$AF4))</f>
        <v>0</v>
      </c>
      <c r="AS4" s="170">
        <f>IF(Explore!S4&lt;&gt;0,MAX(0, MIN(20, 20 + SUM(N4:AF4) - SUM(BV4:CN4) - SUM(F3:L3)-20*Explore!S4)),0)</f>
        <v>0</v>
      </c>
      <c r="AU4" s="152">
        <f t="shared" ref="AU4:AU67" si="16">(MAX($B4,250,0.75*E4)-250) * 1.53 + 850</f>
        <v>1615</v>
      </c>
      <c r="AV4" s="166">
        <f t="shared" ref="AV4:AV67" si="17">(MAX($B4,250,0.75*E4)-250) * 0.35+87.5</f>
        <v>262.5</v>
      </c>
      <c r="AW4" s="164"/>
      <c r="AX4" s="293">
        <f t="shared" ref="AX4:AX11" si="18">AX3 -BV4</f>
        <v>0</v>
      </c>
      <c r="AY4" s="244">
        <f t="shared" ref="AY4:AY11" si="19">AY3 -BW4</f>
        <v>0</v>
      </c>
      <c r="AZ4" s="244">
        <f t="shared" ref="AZ4:AZ11" si="20">AZ3 -BX4</f>
        <v>80</v>
      </c>
      <c r="BA4" s="244">
        <f t="shared" ref="BA4:BA11" si="21">BA3 -BY4</f>
        <v>0</v>
      </c>
      <c r="BB4" s="244">
        <f t="shared" ref="BB4:BB11" si="22">BB3 -BZ4</f>
        <v>0</v>
      </c>
      <c r="BC4" s="206">
        <f t="shared" ref="BC4:BC11" si="23">BC3  -CA4</f>
        <v>50</v>
      </c>
      <c r="BD4" s="206">
        <f t="shared" ref="BD4:BD11" si="24">BD3  -CB4</f>
        <v>0</v>
      </c>
      <c r="BE4" s="207">
        <f t="shared" ref="BE4:BE11" si="25">BE3  -CC4</f>
        <v>0</v>
      </c>
      <c r="BF4" s="207">
        <f t="shared" ref="BF4:BF11" si="26">BF3  -CD4</f>
        <v>0</v>
      </c>
      <c r="BG4" s="208">
        <f t="shared" ref="BG4:BG11" si="27">BG3  -CE4</f>
        <v>0</v>
      </c>
      <c r="BH4" s="208">
        <f t="shared" ref="BH4:BH11" si="28">BH3  -CF4</f>
        <v>0</v>
      </c>
      <c r="BI4" s="208">
        <f t="shared" ref="BI4:BI11" si="29">BI3  -CG4</f>
        <v>0</v>
      </c>
      <c r="BJ4" s="208">
        <f t="shared" ref="BJ4:BJ11" si="30">BJ3  -CH4</f>
        <v>0</v>
      </c>
      <c r="BK4" s="209">
        <f t="shared" ref="BK4:BK11" si="31">BK3  -CI4</f>
        <v>50</v>
      </c>
      <c r="BL4" s="209">
        <f t="shared" ref="BL4:BL11" si="32">BL3  -CJ4</f>
        <v>0</v>
      </c>
      <c r="BM4" s="209">
        <f t="shared" ref="BM4:BM11" si="33">BM3  -CK4</f>
        <v>0</v>
      </c>
      <c r="BN4" s="210">
        <f t="shared" ref="BN4:BO11" si="34">BN3  -CL4</f>
        <v>0</v>
      </c>
      <c r="BO4" s="210">
        <f t="shared" si="34"/>
        <v>0</v>
      </c>
      <c r="BP4" s="211">
        <f t="shared" ref="BP4:BP11" si="35">BP3  -CN4</f>
        <v>0</v>
      </c>
      <c r="BR4" s="439"/>
      <c r="BS4" s="156">
        <f t="shared" si="4"/>
        <v>1000</v>
      </c>
      <c r="BT4" s="530">
        <f t="shared" ref="BT4:BT14" si="36">BT3+1/24</f>
        <v>43768.041666666664</v>
      </c>
      <c r="BV4" s="352"/>
      <c r="BW4" s="345"/>
      <c r="BX4" s="345"/>
      <c r="BY4" s="345"/>
      <c r="BZ4" s="345"/>
      <c r="CA4" s="345"/>
      <c r="CB4" s="345"/>
      <c r="CC4" s="345"/>
      <c r="CD4" s="345"/>
      <c r="CE4" s="345"/>
      <c r="CF4" s="345"/>
      <c r="CG4" s="345"/>
      <c r="CH4" s="345"/>
      <c r="CI4" s="345"/>
      <c r="CJ4" s="345"/>
      <c r="CK4" s="345"/>
      <c r="CL4" s="345"/>
      <c r="CM4" s="759"/>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5">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7">INDIRECT(ADDRESS(DH4,$DI$4))+DG4</f>
        <v>150</v>
      </c>
      <c r="DG4" s="170">
        <f>SUM(N$3:N4)+AX4</f>
        <v>0</v>
      </c>
      <c r="DH4" s="152">
        <f>DH3+1</f>
        <v>4</v>
      </c>
      <c r="DI4" s="166">
        <f>COLUMN(CY4)+DI3-1</f>
        <v>103</v>
      </c>
      <c r="DJ4" s="164"/>
    </row>
    <row r="5" spans="1:114" s="170" customFormat="1" x14ac:dyDescent="0.25">
      <c r="A5" s="242">
        <f t="shared" si="0"/>
        <v>820</v>
      </c>
      <c r="B5" s="242">
        <f t="shared" si="1"/>
        <v>180</v>
      </c>
      <c r="C5" s="243">
        <f>SUM(N$3:AF5)</f>
        <v>0</v>
      </c>
      <c r="D5" s="530"/>
      <c r="E5" s="170">
        <f t="shared" si="2"/>
        <v>1000</v>
      </c>
      <c r="F5" s="245">
        <f t="shared" si="5"/>
        <v>70</v>
      </c>
      <c r="G5" s="246">
        <f t="shared" si="6"/>
        <v>100</v>
      </c>
      <c r="H5" s="247">
        <f t="shared" si="7"/>
        <v>150</v>
      </c>
      <c r="I5" s="248">
        <f t="shared" si="8"/>
        <v>150</v>
      </c>
      <c r="J5" s="249">
        <f t="shared" si="9"/>
        <v>100</v>
      </c>
      <c r="K5" s="250">
        <f t="shared" si="10"/>
        <v>150</v>
      </c>
      <c r="L5" s="496">
        <f t="shared" si="11"/>
        <v>100</v>
      </c>
      <c r="M5" s="632">
        <f>Rezone!J5</f>
        <v>3</v>
      </c>
      <c r="N5" s="352"/>
      <c r="O5" s="345"/>
      <c r="P5" s="345"/>
      <c r="Q5" s="345"/>
      <c r="R5" s="345"/>
      <c r="S5" s="345"/>
      <c r="T5" s="345"/>
      <c r="U5" s="345"/>
      <c r="V5" s="345"/>
      <c r="W5" s="345"/>
      <c r="X5" s="345"/>
      <c r="Y5" s="345"/>
      <c r="Z5" s="345"/>
      <c r="AA5" s="345"/>
      <c r="AB5" s="345"/>
      <c r="AC5" s="345"/>
      <c r="AD5" s="345"/>
      <c r="AE5" s="345"/>
      <c r="AF5" s="336"/>
      <c r="AG5" s="530">
        <f>Imps!L5</f>
        <v>43768.020833333328</v>
      </c>
      <c r="AH5" s="251">
        <f>MIN(25%,(BG5+CE5)/(E5-Explore!S5*20))</f>
        <v>0</v>
      </c>
      <c r="AI5" s="187">
        <f t="shared" si="12"/>
        <v>0</v>
      </c>
      <c r="AJ5" s="152">
        <f ca="1">Production!$H5</f>
        <v>4369440</v>
      </c>
      <c r="AK5" s="166">
        <f ca="1">Production!$J5</f>
        <v>352910</v>
      </c>
      <c r="AL5" s="152">
        <f ca="1">ROUND( (1 - MIN(facs_constr_factor*$AH5,facs_constr_max)) * (1+MIN(tech_construction*Techs!AC5,tech_conquerors_crafts*Techs!AS5)) * AU5*(1+race_construction_cost),0)</f>
        <v>1615</v>
      </c>
      <c r="AM5" s="166">
        <f t="shared" si="3"/>
        <v>263</v>
      </c>
      <c r="AN5" s="152">
        <f ca="1">ROUND( (1 - MIN(facs_constr_factor*$AI5,facs_constr_max)) * (1+MIN(tech_construction*Techs!AE5,tech_conquerors_crafts*Techs!AU5)) * AU5*(1+race_construction_cost),0)</f>
        <v>1615</v>
      </c>
      <c r="AO5" s="166">
        <f t="shared" si="13"/>
        <v>263</v>
      </c>
      <c r="AP5" s="170">
        <f t="shared" ca="1" si="14"/>
        <v>0</v>
      </c>
      <c r="AQ5" s="157">
        <f t="shared" si="15"/>
        <v>0</v>
      </c>
      <c r="AR5" s="170">
        <f t="shared" ref="AR5:AR13" si="38">MIN(SUM(F4:L4)+SUM(BV5:CN5),SUM($N5:$AF5))</f>
        <v>0</v>
      </c>
      <c r="AS5" s="170">
        <f>IF(Explore!S5&lt;&gt;0,MAX(0, MIN(20, 20 + SUM(N5:AF5) - SUM(BV5:CN5) - SUM(F4:L4)-20*Explore!S5)),0)</f>
        <v>0</v>
      </c>
      <c r="AU5" s="152">
        <f t="shared" si="16"/>
        <v>1615</v>
      </c>
      <c r="AV5" s="166">
        <f t="shared" si="17"/>
        <v>262.5</v>
      </c>
      <c r="AW5" s="164"/>
      <c r="AX5" s="293">
        <f>AX4 -BV5</f>
        <v>0</v>
      </c>
      <c r="AY5" s="244">
        <f t="shared" si="19"/>
        <v>0</v>
      </c>
      <c r="AZ5" s="244">
        <f t="shared" si="20"/>
        <v>80</v>
      </c>
      <c r="BA5" s="244">
        <f t="shared" si="21"/>
        <v>0</v>
      </c>
      <c r="BB5" s="244">
        <f t="shared" si="22"/>
        <v>0</v>
      </c>
      <c r="BC5" s="206">
        <f t="shared" si="23"/>
        <v>50</v>
      </c>
      <c r="BD5" s="206">
        <f t="shared" si="24"/>
        <v>0</v>
      </c>
      <c r="BE5" s="207">
        <f t="shared" si="25"/>
        <v>0</v>
      </c>
      <c r="BF5" s="207">
        <f t="shared" si="26"/>
        <v>0</v>
      </c>
      <c r="BG5" s="208">
        <f t="shared" si="27"/>
        <v>0</v>
      </c>
      <c r="BH5" s="208">
        <f t="shared" si="28"/>
        <v>0</v>
      </c>
      <c r="BI5" s="208">
        <f t="shared" si="29"/>
        <v>0</v>
      </c>
      <c r="BJ5" s="208">
        <f t="shared" si="30"/>
        <v>0</v>
      </c>
      <c r="BK5" s="209">
        <f t="shared" si="31"/>
        <v>50</v>
      </c>
      <c r="BL5" s="209">
        <f t="shared" si="32"/>
        <v>0</v>
      </c>
      <c r="BM5" s="209">
        <f t="shared" si="33"/>
        <v>0</v>
      </c>
      <c r="BN5" s="210">
        <f t="shared" si="34"/>
        <v>0</v>
      </c>
      <c r="BO5" s="210">
        <f t="shared" si="34"/>
        <v>0</v>
      </c>
      <c r="BP5" s="211">
        <f t="shared" si="35"/>
        <v>0</v>
      </c>
      <c r="BR5" s="439"/>
      <c r="BS5" s="156">
        <f t="shared" si="4"/>
        <v>1000</v>
      </c>
      <c r="BT5" s="530">
        <f t="shared" si="36"/>
        <v>43768.083333333328</v>
      </c>
      <c r="BV5" s="352"/>
      <c r="BW5" s="345"/>
      <c r="BX5" s="345"/>
      <c r="BY5" s="345"/>
      <c r="BZ5" s="345"/>
      <c r="CA5" s="345"/>
      <c r="CB5" s="345"/>
      <c r="CC5" s="345"/>
      <c r="CD5" s="345"/>
      <c r="CE5" s="345"/>
      <c r="CF5" s="345"/>
      <c r="CG5" s="345"/>
      <c r="CH5" s="345"/>
      <c r="CI5" s="345"/>
      <c r="CJ5" s="345"/>
      <c r="CK5" s="345"/>
      <c r="CL5" s="345"/>
      <c r="CM5" s="759"/>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5">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7"/>
        <v>150</v>
      </c>
      <c r="DG5" s="170">
        <f>SUM(N$3:N5)+AX5</f>
        <v>0</v>
      </c>
      <c r="DH5" s="152">
        <f t="shared" ref="DH5:DH14" si="39">DH4+1</f>
        <v>5</v>
      </c>
      <c r="DI5" s="166"/>
    </row>
    <row r="6" spans="1:114" s="16" customFormat="1" x14ac:dyDescent="0.25">
      <c r="A6" s="36">
        <f t="shared" si="0"/>
        <v>820</v>
      </c>
      <c r="B6" s="36">
        <f t="shared" si="1"/>
        <v>180</v>
      </c>
      <c r="C6" s="83">
        <f>SUM(N$3:AF6)</f>
        <v>0</v>
      </c>
      <c r="D6" s="572"/>
      <c r="E6" s="16">
        <f t="shared" si="2"/>
        <v>1000</v>
      </c>
      <c r="F6" s="86">
        <f t="shared" si="5"/>
        <v>70</v>
      </c>
      <c r="G6" s="37">
        <f t="shared" si="6"/>
        <v>100</v>
      </c>
      <c r="H6" s="247">
        <f t="shared" si="7"/>
        <v>150</v>
      </c>
      <c r="I6" s="38">
        <f t="shared" si="8"/>
        <v>150</v>
      </c>
      <c r="J6" s="39">
        <f t="shared" si="9"/>
        <v>100</v>
      </c>
      <c r="K6" s="40">
        <f t="shared" si="10"/>
        <v>150</v>
      </c>
      <c r="L6" s="498">
        <f t="shared" si="11"/>
        <v>100</v>
      </c>
      <c r="M6" s="633">
        <f>Rezone!J6</f>
        <v>4</v>
      </c>
      <c r="N6" s="356"/>
      <c r="O6" s="345"/>
      <c r="P6" s="348"/>
      <c r="Q6" s="348"/>
      <c r="R6" s="345"/>
      <c r="S6" s="348"/>
      <c r="T6" s="348"/>
      <c r="U6" s="348"/>
      <c r="V6" s="348"/>
      <c r="W6" s="345"/>
      <c r="X6" s="345"/>
      <c r="Y6" s="348"/>
      <c r="Z6" s="345"/>
      <c r="AA6" s="348"/>
      <c r="AB6" s="348"/>
      <c r="AC6" s="345"/>
      <c r="AD6" s="348"/>
      <c r="AE6" s="348"/>
      <c r="AF6" s="336"/>
      <c r="AG6" s="530">
        <f>Imps!L6</f>
        <v>43768.031249999993</v>
      </c>
      <c r="AH6" s="91">
        <f>MIN(25%,(BG6+CE6)/(E6-Explore!S6*20))</f>
        <v>0</v>
      </c>
      <c r="AI6" s="59">
        <f t="shared" si="12"/>
        <v>0</v>
      </c>
      <c r="AJ6" s="56">
        <f ca="1">Production!$H6</f>
        <v>4379160</v>
      </c>
      <c r="AK6" s="57">
        <f ca="1">Production!$J6</f>
        <v>351881</v>
      </c>
      <c r="AL6" s="152">
        <f ca="1">ROUND( (1 - MIN(facs_constr_factor*$AH6,facs_constr_max)) * (1+MIN(tech_construction*Techs!AC6,tech_conquerors_crafts*Techs!AS6)) * AU6*(1+race_construction_cost),0)</f>
        <v>1615</v>
      </c>
      <c r="AM6" s="166">
        <f t="shared" si="3"/>
        <v>263</v>
      </c>
      <c r="AN6" s="152">
        <f ca="1">ROUND( (1 - MIN(facs_constr_factor*$AI6,facs_constr_max)) * (1+MIN(tech_construction*Techs!AE6,tech_conquerors_crafts*Techs!AU6)) * AU6*(1+race_construction_cost),0)</f>
        <v>1615</v>
      </c>
      <c r="AO6" s="166">
        <f t="shared" si="13"/>
        <v>263</v>
      </c>
      <c r="AP6" s="16">
        <f t="shared" ca="1" si="14"/>
        <v>0</v>
      </c>
      <c r="AQ6" s="53">
        <f t="shared" si="15"/>
        <v>0</v>
      </c>
      <c r="AR6" s="16">
        <f t="shared" si="38"/>
        <v>0</v>
      </c>
      <c r="AS6" s="16">
        <f>IF(Explore!S6&lt;&gt;0,MAX(0, MIN(20, 20 + SUM(N6:AF6) - SUM(BV6:CN6) - SUM(F5:L5)-20*Explore!S6)),0)</f>
        <v>0</v>
      </c>
      <c r="AU6" s="152">
        <f t="shared" si="16"/>
        <v>1615</v>
      </c>
      <c r="AV6" s="166">
        <f t="shared" si="17"/>
        <v>262.5</v>
      </c>
      <c r="AW6" s="164"/>
      <c r="AX6" s="295">
        <f t="shared" si="18"/>
        <v>0</v>
      </c>
      <c r="AY6" s="28">
        <f t="shared" si="19"/>
        <v>0</v>
      </c>
      <c r="AZ6" s="28">
        <f t="shared" si="20"/>
        <v>80</v>
      </c>
      <c r="BA6" s="28">
        <f t="shared" si="21"/>
        <v>0</v>
      </c>
      <c r="BB6" s="28">
        <f t="shared" si="22"/>
        <v>0</v>
      </c>
      <c r="BC6" s="29">
        <f t="shared" si="23"/>
        <v>50</v>
      </c>
      <c r="BD6" s="29">
        <f t="shared" si="24"/>
        <v>0</v>
      </c>
      <c r="BE6" s="30">
        <f t="shared" si="25"/>
        <v>0</v>
      </c>
      <c r="BF6" s="30">
        <f t="shared" si="26"/>
        <v>0</v>
      </c>
      <c r="BG6" s="31">
        <f t="shared" si="27"/>
        <v>0</v>
      </c>
      <c r="BH6" s="31">
        <f t="shared" si="28"/>
        <v>0</v>
      </c>
      <c r="BI6" s="31">
        <f t="shared" si="29"/>
        <v>0</v>
      </c>
      <c r="BJ6" s="31">
        <f t="shared" si="30"/>
        <v>0</v>
      </c>
      <c r="BK6" s="32">
        <f t="shared" si="31"/>
        <v>50</v>
      </c>
      <c r="BL6" s="32">
        <f t="shared" si="32"/>
        <v>0</v>
      </c>
      <c r="BM6" s="32">
        <f t="shared" si="33"/>
        <v>0</v>
      </c>
      <c r="BN6" s="33">
        <f t="shared" si="34"/>
        <v>0</v>
      </c>
      <c r="BO6" s="33">
        <f t="shared" si="34"/>
        <v>0</v>
      </c>
      <c r="BP6" s="69">
        <f t="shared" si="35"/>
        <v>0</v>
      </c>
      <c r="BR6" s="441"/>
      <c r="BS6" s="156">
        <f t="shared" si="4"/>
        <v>1000</v>
      </c>
      <c r="BT6" s="572">
        <f t="shared" si="36"/>
        <v>43768.124999999993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5">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7"/>
        <v>150</v>
      </c>
      <c r="DG6" s="170">
        <f>SUM(N$3:N6)+AX6</f>
        <v>0</v>
      </c>
      <c r="DH6" s="152">
        <f t="shared" si="39"/>
        <v>6</v>
      </c>
      <c r="DI6" s="166"/>
    </row>
    <row r="7" spans="1:114" s="16" customFormat="1" x14ac:dyDescent="0.25">
      <c r="A7" s="36">
        <f t="shared" si="0"/>
        <v>820</v>
      </c>
      <c r="B7" s="36">
        <f t="shared" si="1"/>
        <v>180</v>
      </c>
      <c r="C7" s="83">
        <f>SUM(N$3:AF7)</f>
        <v>0</v>
      </c>
      <c r="D7" s="572"/>
      <c r="E7" s="16">
        <f t="shared" si="2"/>
        <v>1000</v>
      </c>
      <c r="F7" s="86">
        <f t="shared" si="5"/>
        <v>70</v>
      </c>
      <c r="G7" s="37">
        <f t="shared" si="6"/>
        <v>100</v>
      </c>
      <c r="H7" s="247">
        <f t="shared" si="7"/>
        <v>150</v>
      </c>
      <c r="I7" s="38">
        <f t="shared" si="8"/>
        <v>150</v>
      </c>
      <c r="J7" s="39">
        <f t="shared" si="9"/>
        <v>100</v>
      </c>
      <c r="K7" s="40">
        <f t="shared" si="10"/>
        <v>150</v>
      </c>
      <c r="L7" s="498">
        <f t="shared" si="11"/>
        <v>100</v>
      </c>
      <c r="M7" s="633">
        <f>Rezone!J7</f>
        <v>5</v>
      </c>
      <c r="N7" s="356"/>
      <c r="O7" s="345"/>
      <c r="P7" s="348"/>
      <c r="Q7" s="348"/>
      <c r="R7" s="345"/>
      <c r="S7" s="348"/>
      <c r="T7" s="348"/>
      <c r="U7" s="348"/>
      <c r="V7" s="348"/>
      <c r="W7" s="345"/>
      <c r="X7" s="345"/>
      <c r="Y7" s="348"/>
      <c r="Z7" s="345"/>
      <c r="AA7" s="348"/>
      <c r="AB7" s="348"/>
      <c r="AC7" s="345"/>
      <c r="AD7" s="348"/>
      <c r="AE7" s="348"/>
      <c r="AF7" s="336"/>
      <c r="AG7" s="530">
        <f>Imps!L7</f>
        <v>43768.041666666657</v>
      </c>
      <c r="AH7" s="91">
        <f>MIN(25%,(BG7+CE7)/(E7-Explore!S7*20))</f>
        <v>0</v>
      </c>
      <c r="AI7" s="59">
        <f t="shared" si="12"/>
        <v>0</v>
      </c>
      <c r="AJ7" s="56">
        <f ca="1">Production!$H7</f>
        <v>4388880</v>
      </c>
      <c r="AK7" s="57">
        <f ca="1">Production!$J7</f>
        <v>350862</v>
      </c>
      <c r="AL7" s="152">
        <f ca="1">ROUND( (1 - MIN(facs_constr_factor*$AH7,facs_constr_max)) * (1+MIN(tech_construction*Techs!AC7,tech_conquerors_crafts*Techs!AS7)) * AU7*(1+race_construction_cost),0)</f>
        <v>1615</v>
      </c>
      <c r="AM7" s="166">
        <f t="shared" si="3"/>
        <v>263</v>
      </c>
      <c r="AN7" s="152">
        <f ca="1">ROUND( (1 - MIN(facs_constr_factor*$AI7,facs_constr_max)) * (1+MIN(tech_construction*Techs!AE7,tech_conquerors_crafts*Techs!AU7)) * AU7*(1+race_construction_cost),0)</f>
        <v>1615</v>
      </c>
      <c r="AO7" s="166">
        <f t="shared" si="13"/>
        <v>263</v>
      </c>
      <c r="AP7" s="16">
        <f t="shared" ca="1" si="14"/>
        <v>0</v>
      </c>
      <c r="AQ7" s="53">
        <f t="shared" si="15"/>
        <v>0</v>
      </c>
      <c r="AR7" s="16">
        <f t="shared" si="38"/>
        <v>0</v>
      </c>
      <c r="AS7" s="16">
        <f>IF(Explore!S7&lt;&gt;0,MAX(0, MIN(20, 20 + SUM(N7:AF7) - SUM(BV7:CN7) - SUM(F6:L6)-20*Explore!S7)),0)</f>
        <v>0</v>
      </c>
      <c r="AU7" s="152">
        <f t="shared" si="16"/>
        <v>1615</v>
      </c>
      <c r="AV7" s="166">
        <f t="shared" si="17"/>
        <v>262.5</v>
      </c>
      <c r="AW7" s="164"/>
      <c r="AX7" s="295">
        <f t="shared" si="18"/>
        <v>0</v>
      </c>
      <c r="AY7" s="28">
        <f t="shared" si="19"/>
        <v>0</v>
      </c>
      <c r="AZ7" s="28">
        <f t="shared" si="20"/>
        <v>80</v>
      </c>
      <c r="BA7" s="28">
        <f t="shared" si="21"/>
        <v>0</v>
      </c>
      <c r="BB7" s="28">
        <f t="shared" si="22"/>
        <v>0</v>
      </c>
      <c r="BC7" s="29">
        <f t="shared" si="23"/>
        <v>50</v>
      </c>
      <c r="BD7" s="29">
        <f t="shared" si="24"/>
        <v>0</v>
      </c>
      <c r="BE7" s="30">
        <f t="shared" si="25"/>
        <v>0</v>
      </c>
      <c r="BF7" s="30">
        <f t="shared" si="26"/>
        <v>0</v>
      </c>
      <c r="BG7" s="31">
        <f t="shared" si="27"/>
        <v>0</v>
      </c>
      <c r="BH7" s="31">
        <f t="shared" si="28"/>
        <v>0</v>
      </c>
      <c r="BI7" s="31">
        <f t="shared" si="29"/>
        <v>0</v>
      </c>
      <c r="BJ7" s="31">
        <f t="shared" si="30"/>
        <v>0</v>
      </c>
      <c r="BK7" s="32">
        <f t="shared" si="31"/>
        <v>50</v>
      </c>
      <c r="BL7" s="32">
        <f t="shared" si="32"/>
        <v>0</v>
      </c>
      <c r="BM7" s="32">
        <f t="shared" si="33"/>
        <v>0</v>
      </c>
      <c r="BN7" s="33">
        <f t="shared" si="34"/>
        <v>0</v>
      </c>
      <c r="BO7" s="33">
        <f t="shared" si="34"/>
        <v>0</v>
      </c>
      <c r="BP7" s="69">
        <f t="shared" si="35"/>
        <v>0</v>
      </c>
      <c r="BR7" s="441"/>
      <c r="BS7" s="156">
        <f t="shared" si="4"/>
        <v>1000</v>
      </c>
      <c r="BT7" s="572">
        <f t="shared" si="36"/>
        <v>43768.166666666657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5">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7"/>
        <v>150</v>
      </c>
      <c r="DG7" s="170">
        <f>SUM(N$3:N7)+AX7</f>
        <v>0</v>
      </c>
      <c r="DH7" s="152">
        <f t="shared" si="39"/>
        <v>7</v>
      </c>
      <c r="DI7" s="166"/>
    </row>
    <row r="8" spans="1:114" s="16" customFormat="1" x14ac:dyDescent="0.25">
      <c r="A8" s="36">
        <f t="shared" si="0"/>
        <v>820</v>
      </c>
      <c r="B8" s="36">
        <f t="shared" si="1"/>
        <v>180</v>
      </c>
      <c r="C8" s="83">
        <f>SUM(N$3:AF8)</f>
        <v>0</v>
      </c>
      <c r="D8" s="572"/>
      <c r="E8" s="16">
        <f t="shared" si="2"/>
        <v>1000</v>
      </c>
      <c r="F8" s="86">
        <f t="shared" si="5"/>
        <v>70</v>
      </c>
      <c r="G8" s="37">
        <f t="shared" si="6"/>
        <v>100</v>
      </c>
      <c r="H8" s="247">
        <f t="shared" si="7"/>
        <v>150</v>
      </c>
      <c r="I8" s="38">
        <f t="shared" si="8"/>
        <v>150</v>
      </c>
      <c r="J8" s="39">
        <f t="shared" si="9"/>
        <v>100</v>
      </c>
      <c r="K8" s="40">
        <f t="shared" si="10"/>
        <v>150</v>
      </c>
      <c r="L8" s="498">
        <f t="shared" si="11"/>
        <v>100</v>
      </c>
      <c r="M8" s="633">
        <f>Rezone!J8</f>
        <v>6</v>
      </c>
      <c r="N8" s="356"/>
      <c r="O8" s="345"/>
      <c r="P8" s="348"/>
      <c r="Q8" s="348"/>
      <c r="R8" s="345"/>
      <c r="S8" s="348"/>
      <c r="T8" s="348"/>
      <c r="U8" s="348"/>
      <c r="V8" s="348"/>
      <c r="W8" s="345"/>
      <c r="X8" s="345"/>
      <c r="Y8" s="348"/>
      <c r="Z8" s="345"/>
      <c r="AA8" s="348"/>
      <c r="AB8" s="348"/>
      <c r="AC8" s="345"/>
      <c r="AD8" s="348"/>
      <c r="AE8" s="348"/>
      <c r="AF8" s="336"/>
      <c r="AG8" s="530">
        <f>Imps!L8</f>
        <v>43768.052083333321</v>
      </c>
      <c r="AH8" s="91">
        <f>MIN(25%,(BG8+CE8)/(E8-Explore!S8*20))</f>
        <v>0</v>
      </c>
      <c r="AI8" s="59">
        <f t="shared" si="12"/>
        <v>0</v>
      </c>
      <c r="AJ8" s="56">
        <f ca="1">Production!$H8</f>
        <v>4398600</v>
      </c>
      <c r="AK8" s="57">
        <f ca="1">Production!$J8</f>
        <v>349853</v>
      </c>
      <c r="AL8" s="152">
        <f ca="1">ROUND( (1 - MIN(facs_constr_factor*$AH8,facs_constr_max)) * (1+MIN(tech_construction*Techs!AC8,tech_conquerors_crafts*Techs!AS8)) * AU8*(1+race_construction_cost),0)</f>
        <v>1615</v>
      </c>
      <c r="AM8" s="166">
        <f t="shared" si="3"/>
        <v>263</v>
      </c>
      <c r="AN8" s="152">
        <f ca="1">ROUND( (1 - MIN(facs_constr_factor*$AI8,facs_constr_max)) * (1+MIN(tech_construction*Techs!AE8,tech_conquerors_crafts*Techs!AU8)) * AU8*(1+race_construction_cost),0)</f>
        <v>1615</v>
      </c>
      <c r="AO8" s="166">
        <f t="shared" si="13"/>
        <v>263</v>
      </c>
      <c r="AP8" s="16">
        <f t="shared" ca="1" si="14"/>
        <v>0</v>
      </c>
      <c r="AQ8" s="53">
        <f t="shared" si="15"/>
        <v>0</v>
      </c>
      <c r="AR8" s="16">
        <f t="shared" si="38"/>
        <v>0</v>
      </c>
      <c r="AS8" s="16">
        <f>IF(Explore!S8&lt;&gt;0,MAX(0, MIN(20, 20 + SUM(N8:AF8) - SUM(BV8:CN8) - SUM(F7:L7)-20*Explore!S8)),0)</f>
        <v>0</v>
      </c>
      <c r="AU8" s="152">
        <f t="shared" si="16"/>
        <v>1615</v>
      </c>
      <c r="AV8" s="166">
        <f t="shared" si="17"/>
        <v>262.5</v>
      </c>
      <c r="AW8" s="164"/>
      <c r="AX8" s="295">
        <f t="shared" si="18"/>
        <v>0</v>
      </c>
      <c r="AY8" s="28">
        <f t="shared" si="19"/>
        <v>0</v>
      </c>
      <c r="AZ8" s="28">
        <f t="shared" si="20"/>
        <v>80</v>
      </c>
      <c r="BA8" s="28">
        <f t="shared" si="21"/>
        <v>0</v>
      </c>
      <c r="BB8" s="28">
        <f t="shared" si="22"/>
        <v>0</v>
      </c>
      <c r="BC8" s="29">
        <f t="shared" si="23"/>
        <v>50</v>
      </c>
      <c r="BD8" s="29">
        <f t="shared" si="24"/>
        <v>0</v>
      </c>
      <c r="BE8" s="30">
        <f t="shared" si="25"/>
        <v>0</v>
      </c>
      <c r="BF8" s="30">
        <f t="shared" si="26"/>
        <v>0</v>
      </c>
      <c r="BG8" s="31">
        <f t="shared" si="27"/>
        <v>0</v>
      </c>
      <c r="BH8" s="31">
        <f t="shared" si="28"/>
        <v>0</v>
      </c>
      <c r="BI8" s="31">
        <f t="shared" si="29"/>
        <v>0</v>
      </c>
      <c r="BJ8" s="31">
        <f t="shared" si="30"/>
        <v>0</v>
      </c>
      <c r="BK8" s="32">
        <f t="shared" si="31"/>
        <v>50</v>
      </c>
      <c r="BL8" s="32">
        <f t="shared" si="32"/>
        <v>0</v>
      </c>
      <c r="BM8" s="32">
        <f t="shared" si="33"/>
        <v>0</v>
      </c>
      <c r="BN8" s="33">
        <f t="shared" si="34"/>
        <v>0</v>
      </c>
      <c r="BO8" s="33">
        <f t="shared" si="34"/>
        <v>0</v>
      </c>
      <c r="BP8" s="69">
        <f t="shared" si="35"/>
        <v>0</v>
      </c>
      <c r="BR8" s="441"/>
      <c r="BS8" s="156">
        <f t="shared" si="4"/>
        <v>1000</v>
      </c>
      <c r="BT8" s="572">
        <f t="shared" si="36"/>
        <v>43768.208333333321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5">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7"/>
        <v>150</v>
      </c>
      <c r="DG8" s="170">
        <f>SUM(N$3:N8)+AX8</f>
        <v>0</v>
      </c>
      <c r="DH8" s="152">
        <f t="shared" si="39"/>
        <v>8</v>
      </c>
      <c r="DI8" s="166"/>
    </row>
    <row r="9" spans="1:114" s="16" customFormat="1" x14ac:dyDescent="0.25">
      <c r="A9" s="36">
        <f t="shared" si="0"/>
        <v>820</v>
      </c>
      <c r="B9" s="36">
        <f t="shared" si="1"/>
        <v>180</v>
      </c>
      <c r="C9" s="83">
        <f>SUM(N$3:AF9)</f>
        <v>0</v>
      </c>
      <c r="D9" s="572"/>
      <c r="E9" s="16">
        <f t="shared" si="2"/>
        <v>1000</v>
      </c>
      <c r="F9" s="86">
        <f t="shared" si="5"/>
        <v>70</v>
      </c>
      <c r="G9" s="37">
        <f t="shared" si="6"/>
        <v>100</v>
      </c>
      <c r="H9" s="247">
        <f t="shared" si="7"/>
        <v>150</v>
      </c>
      <c r="I9" s="38">
        <f t="shared" si="8"/>
        <v>150</v>
      </c>
      <c r="J9" s="39">
        <f t="shared" si="9"/>
        <v>100</v>
      </c>
      <c r="K9" s="40">
        <f t="shared" si="10"/>
        <v>150</v>
      </c>
      <c r="L9" s="498">
        <f t="shared" si="11"/>
        <v>100</v>
      </c>
      <c r="M9" s="633">
        <f>Rezone!J9</f>
        <v>7</v>
      </c>
      <c r="N9" s="356"/>
      <c r="O9" s="345"/>
      <c r="P9" s="348"/>
      <c r="Q9" s="348"/>
      <c r="R9" s="345"/>
      <c r="S9" s="348"/>
      <c r="T9" s="348"/>
      <c r="U9" s="348"/>
      <c r="V9" s="348"/>
      <c r="W9" s="345"/>
      <c r="X9" s="345"/>
      <c r="Y9" s="348"/>
      <c r="Z9" s="345"/>
      <c r="AA9" s="348"/>
      <c r="AB9" s="348"/>
      <c r="AC9" s="345"/>
      <c r="AD9" s="348"/>
      <c r="AE9" s="348"/>
      <c r="AF9" s="336"/>
      <c r="AG9" s="530">
        <f>Imps!L9</f>
        <v>43768.062499999985</v>
      </c>
      <c r="AH9" s="91">
        <f>MIN(25%,(BG9+CE9)/(E9-Explore!S9*20))</f>
        <v>0</v>
      </c>
      <c r="AI9" s="59">
        <f t="shared" si="12"/>
        <v>0</v>
      </c>
      <c r="AJ9" s="56">
        <f ca="1">Production!$H9</f>
        <v>4408320</v>
      </c>
      <c r="AK9" s="57">
        <f ca="1">Production!$J9</f>
        <v>348854</v>
      </c>
      <c r="AL9" s="152">
        <f ca="1">ROUND( (1 - MIN(facs_constr_factor*$AH9,facs_constr_max)) * (1+MIN(tech_construction*Techs!AC9,tech_conquerors_crafts*Techs!AS9)) * AU9*(1+race_construction_cost),0)</f>
        <v>1615</v>
      </c>
      <c r="AM9" s="166">
        <f t="shared" si="3"/>
        <v>263</v>
      </c>
      <c r="AN9" s="152">
        <f ca="1">ROUND( (1 - MIN(facs_constr_factor*$AI9,facs_constr_max)) * (1+MIN(tech_construction*Techs!AE9,tech_conquerors_crafts*Techs!AU9)) * AU9*(1+race_construction_cost),0)</f>
        <v>1615</v>
      </c>
      <c r="AO9" s="166">
        <f t="shared" si="13"/>
        <v>263</v>
      </c>
      <c r="AP9" s="16">
        <f t="shared" ca="1" si="14"/>
        <v>0</v>
      </c>
      <c r="AQ9" s="53">
        <f t="shared" si="15"/>
        <v>0</v>
      </c>
      <c r="AR9" s="16">
        <f t="shared" si="38"/>
        <v>0</v>
      </c>
      <c r="AS9" s="16">
        <f>IF(Explore!S9&lt;&gt;0,MAX(0, MIN(20, 20 + SUM(N9:AF9) - SUM(BV9:CN9) - SUM(F8:L8)-20*Explore!S9)),0)</f>
        <v>0</v>
      </c>
      <c r="AU9" s="152">
        <f t="shared" si="16"/>
        <v>1615</v>
      </c>
      <c r="AV9" s="166">
        <f t="shared" si="17"/>
        <v>262.5</v>
      </c>
      <c r="AW9" s="164"/>
      <c r="AX9" s="295">
        <f t="shared" si="18"/>
        <v>0</v>
      </c>
      <c r="AY9" s="28">
        <f t="shared" si="19"/>
        <v>0</v>
      </c>
      <c r="AZ9" s="28">
        <f t="shared" si="20"/>
        <v>80</v>
      </c>
      <c r="BA9" s="28">
        <f t="shared" si="21"/>
        <v>0</v>
      </c>
      <c r="BB9" s="28">
        <f t="shared" si="22"/>
        <v>0</v>
      </c>
      <c r="BC9" s="29">
        <f t="shared" si="23"/>
        <v>50</v>
      </c>
      <c r="BD9" s="29">
        <f t="shared" si="24"/>
        <v>0</v>
      </c>
      <c r="BE9" s="30">
        <f t="shared" si="25"/>
        <v>0</v>
      </c>
      <c r="BF9" s="30">
        <f t="shared" si="26"/>
        <v>0</v>
      </c>
      <c r="BG9" s="31">
        <f t="shared" si="27"/>
        <v>0</v>
      </c>
      <c r="BH9" s="31">
        <f t="shared" si="28"/>
        <v>0</v>
      </c>
      <c r="BI9" s="31">
        <f t="shared" si="29"/>
        <v>0</v>
      </c>
      <c r="BJ9" s="31">
        <f t="shared" si="30"/>
        <v>0</v>
      </c>
      <c r="BK9" s="32">
        <f t="shared" si="31"/>
        <v>50</v>
      </c>
      <c r="BL9" s="32">
        <f t="shared" si="32"/>
        <v>0</v>
      </c>
      <c r="BM9" s="32">
        <f t="shared" si="33"/>
        <v>0</v>
      </c>
      <c r="BN9" s="33">
        <f t="shared" si="34"/>
        <v>0</v>
      </c>
      <c r="BO9" s="33">
        <f t="shared" si="34"/>
        <v>0</v>
      </c>
      <c r="BP9" s="69">
        <f t="shared" si="35"/>
        <v>0</v>
      </c>
      <c r="BR9" s="441"/>
      <c r="BS9" s="156">
        <f t="shared" si="4"/>
        <v>1000</v>
      </c>
      <c r="BT9" s="572">
        <f t="shared" si="36"/>
        <v>43768.249999999985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5">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7"/>
        <v>150</v>
      </c>
      <c r="DG9" s="170">
        <f>SUM(N$3:N9)+AX9</f>
        <v>0</v>
      </c>
      <c r="DH9" s="152">
        <f t="shared" si="39"/>
        <v>9</v>
      </c>
      <c r="DI9" s="166"/>
    </row>
    <row r="10" spans="1:114" s="16" customFormat="1" x14ac:dyDescent="0.25">
      <c r="A10" s="36">
        <f t="shared" si="0"/>
        <v>820</v>
      </c>
      <c r="B10" s="36">
        <f t="shared" si="1"/>
        <v>180</v>
      </c>
      <c r="C10" s="83">
        <f>SUM(N$3:AF10)</f>
        <v>0</v>
      </c>
      <c r="D10" s="572"/>
      <c r="E10" s="16">
        <f t="shared" si="2"/>
        <v>1000</v>
      </c>
      <c r="F10" s="86">
        <f t="shared" si="5"/>
        <v>70</v>
      </c>
      <c r="G10" s="37">
        <f t="shared" si="6"/>
        <v>100</v>
      </c>
      <c r="H10" s="247">
        <f t="shared" si="7"/>
        <v>150</v>
      </c>
      <c r="I10" s="38">
        <f t="shared" si="8"/>
        <v>150</v>
      </c>
      <c r="J10" s="39">
        <f t="shared" si="9"/>
        <v>100</v>
      </c>
      <c r="K10" s="40">
        <f t="shared" si="10"/>
        <v>150</v>
      </c>
      <c r="L10" s="498">
        <f t="shared" si="11"/>
        <v>100</v>
      </c>
      <c r="M10" s="633">
        <f>Rezone!J10</f>
        <v>8</v>
      </c>
      <c r="N10" s="356"/>
      <c r="O10" s="345"/>
      <c r="P10" s="348"/>
      <c r="Q10" s="348"/>
      <c r="R10" s="345"/>
      <c r="S10" s="348"/>
      <c r="T10" s="348"/>
      <c r="U10" s="348"/>
      <c r="V10" s="348"/>
      <c r="W10" s="345"/>
      <c r="X10" s="345"/>
      <c r="Y10" s="348"/>
      <c r="Z10" s="345"/>
      <c r="AA10" s="348"/>
      <c r="AB10" s="348"/>
      <c r="AC10" s="345"/>
      <c r="AD10" s="348"/>
      <c r="AE10" s="348"/>
      <c r="AF10" s="336"/>
      <c r="AG10" s="530">
        <f>Imps!L10</f>
        <v>43768.07291666665</v>
      </c>
      <c r="AH10" s="91">
        <f>MIN(25%,(BG10+CE10)/(E10-Explore!S10*20))</f>
        <v>0</v>
      </c>
      <c r="AI10" s="59">
        <f t="shared" si="12"/>
        <v>0</v>
      </c>
      <c r="AJ10" s="56">
        <f ca="1">Production!$H10</f>
        <v>4418040</v>
      </c>
      <c r="AK10" s="57">
        <f ca="1">Production!$J10</f>
        <v>347865</v>
      </c>
      <c r="AL10" s="152">
        <f ca="1">ROUND( (1 - MIN(facs_constr_factor*$AH10,facs_constr_max)) * (1+MIN(tech_construction*Techs!AC10,tech_conquerors_crafts*Techs!AS10)) * AU10*(1+race_construction_cost),0)</f>
        <v>1615</v>
      </c>
      <c r="AM10" s="166">
        <f t="shared" si="3"/>
        <v>263</v>
      </c>
      <c r="AN10" s="152">
        <f ca="1">ROUND( (1 - MIN(facs_constr_factor*$AI10,facs_constr_max)) * (1+MIN(tech_construction*Techs!AE10,tech_conquerors_crafts*Techs!AU10)) * AU10*(1+race_construction_cost),0)</f>
        <v>1615</v>
      </c>
      <c r="AO10" s="166">
        <f t="shared" si="13"/>
        <v>263</v>
      </c>
      <c r="AP10" s="16">
        <f t="shared" ca="1" si="14"/>
        <v>0</v>
      </c>
      <c r="AQ10" s="53">
        <f t="shared" si="15"/>
        <v>0</v>
      </c>
      <c r="AR10" s="16">
        <f t="shared" si="38"/>
        <v>0</v>
      </c>
      <c r="AS10" s="16">
        <f>IF(Explore!S10&lt;&gt;0,MAX(0, MIN(20, 20 + SUM(N10:AF10) - SUM(BV10:CN10) - SUM(F9:L9)-20*Explore!S10)),0)</f>
        <v>0</v>
      </c>
      <c r="AU10" s="152">
        <f t="shared" si="16"/>
        <v>1615</v>
      </c>
      <c r="AV10" s="166">
        <f t="shared" si="17"/>
        <v>262.5</v>
      </c>
      <c r="AW10" s="164"/>
      <c r="AX10" s="295">
        <f t="shared" si="18"/>
        <v>0</v>
      </c>
      <c r="AY10" s="28">
        <f t="shared" si="19"/>
        <v>0</v>
      </c>
      <c r="AZ10" s="28">
        <f t="shared" si="20"/>
        <v>80</v>
      </c>
      <c r="BA10" s="28">
        <f t="shared" si="21"/>
        <v>0</v>
      </c>
      <c r="BB10" s="28">
        <f t="shared" si="22"/>
        <v>0</v>
      </c>
      <c r="BC10" s="29">
        <f t="shared" si="23"/>
        <v>50</v>
      </c>
      <c r="BD10" s="29">
        <f t="shared" si="24"/>
        <v>0</v>
      </c>
      <c r="BE10" s="30">
        <f t="shared" si="25"/>
        <v>0</v>
      </c>
      <c r="BF10" s="30">
        <f t="shared" si="26"/>
        <v>0</v>
      </c>
      <c r="BG10" s="31">
        <f t="shared" si="27"/>
        <v>0</v>
      </c>
      <c r="BH10" s="31">
        <f t="shared" si="28"/>
        <v>0</v>
      </c>
      <c r="BI10" s="31">
        <f t="shared" si="29"/>
        <v>0</v>
      </c>
      <c r="BJ10" s="31">
        <f t="shared" si="30"/>
        <v>0</v>
      </c>
      <c r="BK10" s="32">
        <f t="shared" si="31"/>
        <v>50</v>
      </c>
      <c r="BL10" s="32">
        <f t="shared" si="32"/>
        <v>0</v>
      </c>
      <c r="BM10" s="32">
        <f t="shared" si="33"/>
        <v>0</v>
      </c>
      <c r="BN10" s="33">
        <f t="shared" si="34"/>
        <v>0</v>
      </c>
      <c r="BO10" s="33">
        <f t="shared" si="34"/>
        <v>0</v>
      </c>
      <c r="BP10" s="69">
        <f t="shared" si="35"/>
        <v>0</v>
      </c>
      <c r="BR10" s="441"/>
      <c r="BS10" s="156">
        <f t="shared" si="4"/>
        <v>1000</v>
      </c>
      <c r="BT10" s="572">
        <f t="shared" si="36"/>
        <v>43768.29166666665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5">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7"/>
        <v>150</v>
      </c>
      <c r="DG10" s="170">
        <f>SUM(N$3:N10)+AX10</f>
        <v>0</v>
      </c>
      <c r="DH10" s="152">
        <f t="shared" si="39"/>
        <v>10</v>
      </c>
      <c r="DI10" s="166"/>
    </row>
    <row r="11" spans="1:114" s="16" customFormat="1" x14ac:dyDescent="0.25">
      <c r="A11" s="36">
        <f t="shared" si="0"/>
        <v>820</v>
      </c>
      <c r="B11" s="36">
        <f t="shared" si="1"/>
        <v>180</v>
      </c>
      <c r="C11" s="83">
        <f>SUM(N$3:AF11)</f>
        <v>0</v>
      </c>
      <c r="D11" s="572"/>
      <c r="E11" s="16">
        <f t="shared" si="2"/>
        <v>1000</v>
      </c>
      <c r="F11" s="86">
        <f t="shared" si="5"/>
        <v>70</v>
      </c>
      <c r="G11" s="37">
        <f t="shared" si="6"/>
        <v>100</v>
      </c>
      <c r="H11" s="247">
        <f t="shared" si="7"/>
        <v>150</v>
      </c>
      <c r="I11" s="38">
        <f t="shared" si="8"/>
        <v>150</v>
      </c>
      <c r="J11" s="39">
        <f t="shared" si="9"/>
        <v>100</v>
      </c>
      <c r="K11" s="40">
        <f t="shared" si="10"/>
        <v>150</v>
      </c>
      <c r="L11" s="498">
        <f t="shared" si="11"/>
        <v>100</v>
      </c>
      <c r="M11" s="633">
        <f>Rezone!J11</f>
        <v>9</v>
      </c>
      <c r="N11" s="356"/>
      <c r="O11" s="345"/>
      <c r="P11" s="348"/>
      <c r="Q11" s="376"/>
      <c r="R11" s="345"/>
      <c r="S11" s="348"/>
      <c r="T11" s="348"/>
      <c r="U11" s="348"/>
      <c r="V11" s="348"/>
      <c r="W11" s="345"/>
      <c r="X11" s="345"/>
      <c r="Y11" s="348"/>
      <c r="Z11" s="345"/>
      <c r="AA11" s="348"/>
      <c r="AB11" s="348"/>
      <c r="AC11" s="345"/>
      <c r="AD11" s="348"/>
      <c r="AE11" s="348"/>
      <c r="AF11" s="336"/>
      <c r="AG11" s="530">
        <f>Imps!L11</f>
        <v>43768.083333333314</v>
      </c>
      <c r="AH11" s="91">
        <f>MIN(25%,(BG11+CE11)/(E11-Explore!S11*20))</f>
        <v>0</v>
      </c>
      <c r="AI11" s="59">
        <f t="shared" si="12"/>
        <v>0</v>
      </c>
      <c r="AJ11" s="56">
        <f ca="1">Production!$H11</f>
        <v>4427760</v>
      </c>
      <c r="AK11" s="57">
        <f ca="1">Production!$J11</f>
        <v>346886</v>
      </c>
      <c r="AL11" s="152">
        <f ca="1">ROUND( (1 - MIN(facs_constr_factor*$AH11,facs_constr_max)) * (1+MIN(tech_construction*Techs!AC11,tech_conquerors_crafts*Techs!AS11)) * AU11*(1+race_construction_cost),0)</f>
        <v>1615</v>
      </c>
      <c r="AM11" s="166">
        <f t="shared" si="3"/>
        <v>263</v>
      </c>
      <c r="AN11" s="152">
        <f ca="1">ROUND( (1 - MIN(facs_constr_factor*$AI11,facs_constr_max)) * (1+MIN(tech_construction*Techs!AE11,tech_conquerors_crafts*Techs!AU11)) * AU11*(1+race_construction_cost),0)</f>
        <v>1615</v>
      </c>
      <c r="AO11" s="166">
        <f t="shared" si="13"/>
        <v>263</v>
      </c>
      <c r="AP11" s="16">
        <f t="shared" ca="1" si="14"/>
        <v>0</v>
      </c>
      <c r="AQ11" s="53">
        <f t="shared" si="15"/>
        <v>0</v>
      </c>
      <c r="AR11" s="16">
        <f t="shared" si="38"/>
        <v>0</v>
      </c>
      <c r="AS11" s="16">
        <f>IF(Explore!S11&lt;&gt;0,MAX(0, MIN(20, 20 + SUM(N11:AF11) - SUM(BV11:CN11) - SUM(F10:L10)-20*Explore!S11)),0)</f>
        <v>0</v>
      </c>
      <c r="AU11" s="152">
        <f t="shared" si="16"/>
        <v>1615</v>
      </c>
      <c r="AV11" s="166">
        <f t="shared" si="17"/>
        <v>262.5</v>
      </c>
      <c r="AW11" s="164"/>
      <c r="AX11" s="295">
        <f t="shared" si="18"/>
        <v>0</v>
      </c>
      <c r="AY11" s="28">
        <f t="shared" si="19"/>
        <v>0</v>
      </c>
      <c r="AZ11" s="28">
        <f t="shared" si="20"/>
        <v>80</v>
      </c>
      <c r="BA11" s="28">
        <f t="shared" si="21"/>
        <v>0</v>
      </c>
      <c r="BB11" s="28">
        <f t="shared" si="22"/>
        <v>0</v>
      </c>
      <c r="BC11" s="29">
        <f t="shared" si="23"/>
        <v>50</v>
      </c>
      <c r="BD11" s="29">
        <f t="shared" si="24"/>
        <v>0</v>
      </c>
      <c r="BE11" s="30">
        <f t="shared" si="25"/>
        <v>0</v>
      </c>
      <c r="BF11" s="30">
        <f t="shared" si="26"/>
        <v>0</v>
      </c>
      <c r="BG11" s="31">
        <f t="shared" si="27"/>
        <v>0</v>
      </c>
      <c r="BH11" s="31">
        <f t="shared" si="28"/>
        <v>0</v>
      </c>
      <c r="BI11" s="31">
        <f t="shared" si="29"/>
        <v>0</v>
      </c>
      <c r="BJ11" s="31">
        <f t="shared" si="30"/>
        <v>0</v>
      </c>
      <c r="BK11" s="32">
        <f t="shared" si="31"/>
        <v>50</v>
      </c>
      <c r="BL11" s="32">
        <f t="shared" si="32"/>
        <v>0</v>
      </c>
      <c r="BM11" s="32">
        <f t="shared" si="33"/>
        <v>0</v>
      </c>
      <c r="BN11" s="33">
        <f t="shared" si="34"/>
        <v>0</v>
      </c>
      <c r="BO11" s="33">
        <f t="shared" si="34"/>
        <v>0</v>
      </c>
      <c r="BP11" s="69">
        <f t="shared" si="35"/>
        <v>0</v>
      </c>
      <c r="BR11" s="441"/>
      <c r="BS11" s="156">
        <f t="shared" si="4"/>
        <v>1000</v>
      </c>
      <c r="BT11" s="572">
        <f t="shared" si="36"/>
        <v>43768.333333333314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5">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7"/>
        <v>150</v>
      </c>
      <c r="DG11" s="170">
        <f>SUM(N$3:N11)+AX11</f>
        <v>0</v>
      </c>
      <c r="DH11" s="152">
        <f t="shared" si="39"/>
        <v>11</v>
      </c>
      <c r="DI11" s="166"/>
    </row>
    <row r="12" spans="1:114" s="16" customFormat="1" x14ac:dyDescent="0.25">
      <c r="A12" s="36">
        <f t="shared" si="0"/>
        <v>820</v>
      </c>
      <c r="B12" s="36">
        <f t="shared" si="1"/>
        <v>180</v>
      </c>
      <c r="C12" s="83">
        <f>SUM(N$3:AF12)</f>
        <v>0</v>
      </c>
      <c r="D12" s="572"/>
      <c r="E12" s="16">
        <f t="shared" si="2"/>
        <v>1000</v>
      </c>
      <c r="F12" s="86">
        <f t="shared" si="5"/>
        <v>70</v>
      </c>
      <c r="G12" s="37">
        <f t="shared" si="6"/>
        <v>100</v>
      </c>
      <c r="H12" s="247">
        <f t="shared" si="7"/>
        <v>150</v>
      </c>
      <c r="I12" s="38">
        <f t="shared" si="8"/>
        <v>150</v>
      </c>
      <c r="J12" s="39">
        <f t="shared" si="9"/>
        <v>100</v>
      </c>
      <c r="K12" s="40">
        <f t="shared" si="10"/>
        <v>150</v>
      </c>
      <c r="L12" s="498">
        <f t="shared" si="11"/>
        <v>100</v>
      </c>
      <c r="M12" s="633">
        <f>Rezone!J12</f>
        <v>10</v>
      </c>
      <c r="N12" s="356"/>
      <c r="O12" s="345"/>
      <c r="P12" s="348"/>
      <c r="Q12" s="376"/>
      <c r="R12" s="345"/>
      <c r="S12" s="348"/>
      <c r="T12" s="348"/>
      <c r="U12" s="348"/>
      <c r="V12" s="348"/>
      <c r="W12" s="345"/>
      <c r="X12" s="345"/>
      <c r="Y12" s="348"/>
      <c r="Z12" s="345"/>
      <c r="AA12" s="348"/>
      <c r="AB12" s="348"/>
      <c r="AC12" s="345"/>
      <c r="AD12" s="348"/>
      <c r="AE12" s="348"/>
      <c r="AF12" s="336"/>
      <c r="AG12" s="530">
        <f>Imps!L12</f>
        <v>43768.093749999978</v>
      </c>
      <c r="AH12" s="91">
        <f>MIN(25%,(BG12+CE12)/(E12-Explore!S12*20))</f>
        <v>0</v>
      </c>
      <c r="AI12" s="59">
        <f t="shared" si="12"/>
        <v>0</v>
      </c>
      <c r="AJ12" s="56">
        <f ca="1">Production!$H12</f>
        <v>4437480</v>
      </c>
      <c r="AK12" s="57">
        <f ca="1">Production!$J12</f>
        <v>345917</v>
      </c>
      <c r="AL12" s="152">
        <f ca="1">ROUND( (1 - MIN(facs_constr_factor*$AH12,facs_constr_max)) * (1+MIN(tech_construction*Techs!AC12,tech_conquerors_crafts*Techs!AS12)) * AU12*(1+race_construction_cost),0)</f>
        <v>1615</v>
      </c>
      <c r="AM12" s="166">
        <f t="shared" si="3"/>
        <v>263</v>
      </c>
      <c r="AN12" s="152">
        <f ca="1">ROUND( (1 - MIN(facs_constr_factor*$AI12,facs_constr_max)) * (1+MIN(tech_construction*Techs!AE12,tech_conquerors_crafts*Techs!AU12)) * AU12*(1+race_construction_cost),0)</f>
        <v>1615</v>
      </c>
      <c r="AO12" s="166">
        <f t="shared" si="13"/>
        <v>263</v>
      </c>
      <c r="AP12" s="16">
        <f t="shared" ca="1" si="14"/>
        <v>0</v>
      </c>
      <c r="AQ12" s="53">
        <f t="shared" si="15"/>
        <v>0</v>
      </c>
      <c r="AR12" s="16">
        <f t="shared" si="38"/>
        <v>0</v>
      </c>
      <c r="AS12" s="16">
        <f>IF(Explore!S12&lt;&gt;0,MAX(0, MIN(20, 20 + SUM(N12:AF12) - SUM(BV12:CN12) - SUM(F11:L11)-20*Explore!S12)),0)</f>
        <v>0</v>
      </c>
      <c r="AU12" s="152">
        <f t="shared" si="16"/>
        <v>1615</v>
      </c>
      <c r="AV12" s="166">
        <f t="shared" si="17"/>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1"/>
      <c r="BS12" s="156">
        <f t="shared" si="4"/>
        <v>1000</v>
      </c>
      <c r="BT12" s="572">
        <f t="shared" si="36"/>
        <v>43768.374999999978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5">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7"/>
        <v>150</v>
      </c>
      <c r="DG12" s="170">
        <f>SUM(N$3:N12)+AX12</f>
        <v>0</v>
      </c>
      <c r="DH12" s="152">
        <f t="shared" si="39"/>
        <v>12</v>
      </c>
      <c r="DI12" s="166"/>
    </row>
    <row r="13" spans="1:114" s="16" customFormat="1" x14ac:dyDescent="0.25">
      <c r="A13" s="36">
        <f t="shared" si="0"/>
        <v>820</v>
      </c>
      <c r="B13" s="36">
        <f t="shared" si="1"/>
        <v>180</v>
      </c>
      <c r="C13" s="83">
        <f>SUM(N$3:AF13)</f>
        <v>0</v>
      </c>
      <c r="D13" s="572"/>
      <c r="E13" s="16">
        <f t="shared" si="2"/>
        <v>1000</v>
      </c>
      <c r="F13" s="86">
        <f t="shared" si="5"/>
        <v>70</v>
      </c>
      <c r="G13" s="37">
        <f t="shared" si="6"/>
        <v>100</v>
      </c>
      <c r="H13" s="247">
        <f t="shared" si="7"/>
        <v>150</v>
      </c>
      <c r="I13" s="38">
        <f t="shared" si="8"/>
        <v>150</v>
      </c>
      <c r="J13" s="39">
        <f t="shared" si="9"/>
        <v>100</v>
      </c>
      <c r="K13" s="40">
        <f t="shared" si="10"/>
        <v>150</v>
      </c>
      <c r="L13" s="498">
        <f t="shared" si="11"/>
        <v>100</v>
      </c>
      <c r="M13" s="633">
        <f>Rezone!J13</f>
        <v>11</v>
      </c>
      <c r="N13" s="356"/>
      <c r="O13" s="345"/>
      <c r="P13" s="348"/>
      <c r="Q13" s="376"/>
      <c r="R13" s="345"/>
      <c r="S13" s="348"/>
      <c r="T13" s="348"/>
      <c r="U13" s="348"/>
      <c r="V13" s="348"/>
      <c r="W13" s="345"/>
      <c r="X13" s="345"/>
      <c r="Y13" s="348"/>
      <c r="Z13" s="345"/>
      <c r="AA13" s="348"/>
      <c r="AB13" s="348"/>
      <c r="AC13" s="345"/>
      <c r="AD13" s="348"/>
      <c r="AE13" s="348"/>
      <c r="AF13" s="336"/>
      <c r="AG13" s="530">
        <f>Imps!L13</f>
        <v>43768.104166666642</v>
      </c>
      <c r="AH13" s="91">
        <f>MIN(25%,(BG13+CE13)/(E13-Explore!S13*20))</f>
        <v>0</v>
      </c>
      <c r="AI13" s="59">
        <f t="shared" si="12"/>
        <v>0</v>
      </c>
      <c r="AJ13" s="56">
        <f ca="1">Production!$H13</f>
        <v>4447200</v>
      </c>
      <c r="AK13" s="57">
        <f ca="1">Production!$J13</f>
        <v>344958</v>
      </c>
      <c r="AL13" s="152">
        <f ca="1">ROUND( (1 - MIN(facs_constr_factor*$AH13,facs_constr_max)) * (1+MIN(tech_construction*Techs!AC13,tech_conquerors_crafts*Techs!AS13)) * AU13*(1+race_construction_cost),0)</f>
        <v>1615</v>
      </c>
      <c r="AM13" s="166">
        <f t="shared" si="3"/>
        <v>263</v>
      </c>
      <c r="AN13" s="152">
        <f ca="1">ROUND( (1 - MIN(facs_constr_factor*$AI13,facs_constr_max)) * (1+MIN(tech_construction*Techs!AE13,tech_conquerors_crafts*Techs!AU13)) * AU13*(1+race_construction_cost),0)</f>
        <v>1615</v>
      </c>
      <c r="AO13" s="166">
        <f t="shared" si="13"/>
        <v>263</v>
      </c>
      <c r="AP13" s="16">
        <f t="shared" ca="1" si="14"/>
        <v>0</v>
      </c>
      <c r="AQ13" s="53">
        <f t="shared" si="15"/>
        <v>0</v>
      </c>
      <c r="AR13" s="16">
        <f t="shared" si="38"/>
        <v>0</v>
      </c>
      <c r="AS13" s="16">
        <f>IF(Explore!S13&lt;&gt;0,MAX(0, MIN(20, 20 + SUM(N13:AF13) - SUM(BV13:CN13) - SUM(F12:L12)-20*Explore!S13)),0)</f>
        <v>0</v>
      </c>
      <c r="AU13" s="152">
        <f t="shared" si="16"/>
        <v>1615</v>
      </c>
      <c r="AV13" s="166">
        <f t="shared" si="17"/>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1"/>
      <c r="BS13" s="156">
        <f t="shared" si="4"/>
        <v>1000</v>
      </c>
      <c r="BT13" s="572">
        <f t="shared" si="36"/>
        <v>43768.416666666642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5">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7"/>
        <v>150</v>
      </c>
      <c r="DG13" s="170">
        <f>SUM(N$3:N13)+AX13</f>
        <v>0</v>
      </c>
      <c r="DH13" s="152">
        <f t="shared" si="39"/>
        <v>13</v>
      </c>
      <c r="DI13" s="166"/>
    </row>
    <row r="14" spans="1:114" s="170" customFormat="1" x14ac:dyDescent="0.25">
      <c r="A14" s="242">
        <f t="shared" si="0"/>
        <v>820</v>
      </c>
      <c r="B14" s="242">
        <f t="shared" si="1"/>
        <v>180</v>
      </c>
      <c r="C14" s="243">
        <f>SUM(N$3:AF14)</f>
        <v>0</v>
      </c>
      <c r="D14" s="530"/>
      <c r="E14" s="170">
        <f t="shared" si="2"/>
        <v>1000</v>
      </c>
      <c r="F14" s="245">
        <f t="shared" si="5"/>
        <v>70</v>
      </c>
      <c r="G14" s="246">
        <f t="shared" si="6"/>
        <v>100</v>
      </c>
      <c r="H14" s="247">
        <f t="shared" si="7"/>
        <v>150</v>
      </c>
      <c r="I14" s="248">
        <f t="shared" si="8"/>
        <v>150</v>
      </c>
      <c r="J14" s="249">
        <f t="shared" si="9"/>
        <v>100</v>
      </c>
      <c r="K14" s="250">
        <f t="shared" si="10"/>
        <v>150</v>
      </c>
      <c r="L14" s="496">
        <f t="shared" si="11"/>
        <v>100</v>
      </c>
      <c r="M14" s="632">
        <f>Rezone!J14</f>
        <v>12</v>
      </c>
      <c r="N14" s="352"/>
      <c r="O14" s="345"/>
      <c r="P14" s="345"/>
      <c r="Q14" s="345"/>
      <c r="R14" s="345"/>
      <c r="S14" s="345"/>
      <c r="T14" s="345"/>
      <c r="U14" s="345"/>
      <c r="V14" s="345"/>
      <c r="W14" s="345"/>
      <c r="X14" s="345"/>
      <c r="Y14" s="345"/>
      <c r="Z14" s="345"/>
      <c r="AA14" s="345"/>
      <c r="AB14" s="345"/>
      <c r="AC14" s="345"/>
      <c r="AD14" s="345"/>
      <c r="AE14" s="345"/>
      <c r="AF14" s="336"/>
      <c r="AG14" s="530">
        <f>Imps!L14</f>
        <v>43768.114583333307</v>
      </c>
      <c r="AH14" s="251">
        <f>MIN(25%,(BG14+CE14)/(E14-Explore!S14*20))</f>
        <v>0</v>
      </c>
      <c r="AI14" s="187">
        <f t="shared" si="12"/>
        <v>0</v>
      </c>
      <c r="AJ14" s="152">
        <f ca="1">Production!$H14</f>
        <v>4456920</v>
      </c>
      <c r="AK14" s="166">
        <f ca="1">Production!$J14</f>
        <v>344008</v>
      </c>
      <c r="AL14" s="152">
        <f ca="1">ROUND( (1 - MIN(facs_constr_factor*$AH14,facs_constr_max)) * (1+MIN(tech_construction*Techs!AC14,tech_conquerors_crafts*Techs!AS14)) * AU14*(1+race_construction_cost),0)</f>
        <v>1615</v>
      </c>
      <c r="AM14" s="166">
        <f t="shared" si="3"/>
        <v>263</v>
      </c>
      <c r="AN14" s="152">
        <f ca="1">ROUND( (1 - MIN(facs_constr_factor*$AI14,facs_constr_max)) * (1+MIN(tech_construction*Techs!AE14,tech_conquerors_crafts*Techs!AU14)) * AU14*(1+race_construction_cost),0)</f>
        <v>1615</v>
      </c>
      <c r="AO14" s="166">
        <f t="shared" si="13"/>
        <v>263</v>
      </c>
      <c r="AP14" s="170">
        <f t="shared" ca="1" si="14"/>
        <v>0</v>
      </c>
      <c r="AQ14" s="157">
        <f t="shared" si="15"/>
        <v>0</v>
      </c>
      <c r="AR14" s="164">
        <f>MIN(SUM(F13:L13)+SUM(BV14:CN14),SUM($N14:$AF14))</f>
        <v>0</v>
      </c>
      <c r="AS14" s="170">
        <f>IF(Explore!S14&lt;&gt;0,MAX(0, MIN(20, 20 + SUM(N14:AF14) - SUM(BV14:CN14) - SUM(F13:L13)-20*Explore!S14)),0)</f>
        <v>0</v>
      </c>
      <c r="AU14" s="152">
        <f t="shared" si="16"/>
        <v>1615</v>
      </c>
      <c r="AV14" s="166">
        <f t="shared" si="17"/>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39"/>
      <c r="BS14" s="156">
        <f t="shared" si="4"/>
        <v>1000</v>
      </c>
      <c r="BT14" s="530">
        <f t="shared" si="36"/>
        <v>43768.458333333307</v>
      </c>
      <c r="BV14" s="352"/>
      <c r="BW14" s="345"/>
      <c r="BX14" s="345"/>
      <c r="BY14" s="345"/>
      <c r="BZ14" s="345"/>
      <c r="CA14" s="345"/>
      <c r="CB14" s="345"/>
      <c r="CC14" s="345"/>
      <c r="CD14" s="345"/>
      <c r="CE14" s="345"/>
      <c r="CF14" s="345"/>
      <c r="CG14" s="345"/>
      <c r="CH14" s="345"/>
      <c r="CI14" s="345"/>
      <c r="CJ14" s="345"/>
      <c r="CK14" s="345"/>
      <c r="CL14" s="345"/>
      <c r="CM14" s="759"/>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5">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7"/>
        <v>150</v>
      </c>
      <c r="DG14" s="170">
        <f>SUM(N$3:N14)+AX14</f>
        <v>0</v>
      </c>
      <c r="DH14" s="152">
        <f t="shared" si="39"/>
        <v>14</v>
      </c>
      <c r="DI14" s="166"/>
    </row>
    <row r="15" spans="1:114" s="163" customFormat="1" x14ac:dyDescent="0.25">
      <c r="A15" s="707">
        <f t="shared" ref="A15:A34" si="40">SUM(F15:L15)</f>
        <v>820</v>
      </c>
      <c r="B15" s="707">
        <f>SUM(AX15:BP15)</f>
        <v>180</v>
      </c>
      <c r="C15" s="708">
        <f t="shared" ref="C15:C45" si="41">SUM(N4:AF15)</f>
        <v>0</v>
      </c>
      <c r="D15" s="674"/>
      <c r="E15" s="163">
        <f t="shared" si="2"/>
        <v>1000</v>
      </c>
      <c r="F15" s="709">
        <f t="shared" si="5"/>
        <v>70</v>
      </c>
      <c r="G15" s="710">
        <f t="shared" si="6"/>
        <v>100</v>
      </c>
      <c r="H15" s="272">
        <f t="shared" si="7"/>
        <v>150</v>
      </c>
      <c r="I15" s="711">
        <f t="shared" si="8"/>
        <v>150</v>
      </c>
      <c r="J15" s="712">
        <f t="shared" si="9"/>
        <v>100</v>
      </c>
      <c r="K15" s="713">
        <f t="shared" si="10"/>
        <v>150</v>
      </c>
      <c r="L15" s="714">
        <f t="shared" si="11"/>
        <v>100</v>
      </c>
      <c r="M15" s="318">
        <f>Rezone!J15</f>
        <v>13</v>
      </c>
      <c r="N15" s="371"/>
      <c r="O15" s="767"/>
      <c r="P15" s="346"/>
      <c r="Q15" s="346"/>
      <c r="R15" s="346"/>
      <c r="S15" s="346"/>
      <c r="T15" s="346"/>
      <c r="U15" s="767"/>
      <c r="V15" s="346"/>
      <c r="W15" s="767"/>
      <c r="X15" s="346"/>
      <c r="Y15" s="346"/>
      <c r="Z15" s="346"/>
      <c r="AA15" s="346"/>
      <c r="AB15" s="346"/>
      <c r="AC15" s="346"/>
      <c r="AD15" s="346"/>
      <c r="AE15" s="346"/>
      <c r="AF15" s="741"/>
      <c r="AG15" s="674">
        <f>Imps!L15</f>
        <v>43768.124999999971</v>
      </c>
      <c r="AH15" s="305">
        <f>MIN(25%,(BG15+CE15)/(E15-Explore!S15*20))</f>
        <v>0</v>
      </c>
      <c r="AI15" s="186">
        <f t="shared" si="12"/>
        <v>0</v>
      </c>
      <c r="AJ15" s="151">
        <f ca="1">Production!$H15</f>
        <v>4466640</v>
      </c>
      <c r="AK15" s="158">
        <f ca="1">Production!$J15</f>
        <v>343068</v>
      </c>
      <c r="AL15" s="151">
        <f ca="1">ROUND( (1 - MIN(facs_constr_factor*$AH15,facs_constr_max)) * (1+MIN(tech_construction*Techs!AC15,tech_conquerors_crafts*Techs!AS15)) * AU15*(1+race_construction_cost),0)</f>
        <v>1615</v>
      </c>
      <c r="AM15" s="158">
        <f t="shared" si="3"/>
        <v>263</v>
      </c>
      <c r="AN15" s="151">
        <f ca="1">ROUND( (1 - MIN(facs_constr_factor*$AI15,facs_constr_max)) * (1+MIN(tech_construction*Techs!AE15,tech_conquerors_crafts*Techs!AU15)) * AU15*(1+race_construction_cost),0)</f>
        <v>1615</v>
      </c>
      <c r="AO15" s="158">
        <f t="shared" si="13"/>
        <v>263</v>
      </c>
      <c r="AP15" s="163">
        <f t="shared" ca="1" si="14"/>
        <v>0</v>
      </c>
      <c r="AQ15" s="185">
        <f t="shared" si="15"/>
        <v>0</v>
      </c>
      <c r="AR15" s="163">
        <f>MIN(SUM(F14:L14)+SUM(Explore!T3:Z3)+SUM(BV15:CN15),SUM($N15:$AF15))</f>
        <v>0</v>
      </c>
      <c r="AS15" s="163">
        <f>IF(Explore!S15&lt;&gt;0,MAX(0, MIN(20, 20 + SUM(N15:AF15) - SUM(BV15:CN15) - SUM(F14:L14)-SUM(Explore!T3:Z3)-20*Explore!S15)),0)</f>
        <v>0</v>
      </c>
      <c r="AU15" s="151">
        <f t="shared" si="16"/>
        <v>1615</v>
      </c>
      <c r="AV15" s="158">
        <f t="shared" si="17"/>
        <v>262.5</v>
      </c>
      <c r="AW15" s="153"/>
      <c r="AX15" s="715">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16"/>
      <c r="BS15" s="184">
        <f t="shared" si="4"/>
        <v>1000</v>
      </c>
      <c r="BT15" s="674">
        <f t="shared" ref="BT15:BT69" si="42">BT14+1/24</f>
        <v>43768.499999999971</v>
      </c>
      <c r="BU15" s="579"/>
      <c r="BV15" s="371"/>
      <c r="BW15" s="346"/>
      <c r="BX15" s="767"/>
      <c r="BY15" s="346"/>
      <c r="BZ15" s="346"/>
      <c r="CA15" s="346"/>
      <c r="CB15" s="346"/>
      <c r="CC15" s="346"/>
      <c r="CD15" s="346"/>
      <c r="CE15" s="346"/>
      <c r="CF15" s="346"/>
      <c r="CG15" s="346"/>
      <c r="CH15" s="346"/>
      <c r="CI15" s="346"/>
      <c r="CJ15" s="346"/>
      <c r="CK15" s="346"/>
      <c r="CL15" s="346"/>
      <c r="CM15" s="760"/>
      <c r="CN15" s="372"/>
      <c r="CP15" s="709">
        <f>-SUM($O15:$R15)+SUM($BW15:BZ15)+Rezone!L15+IF(home_land=CP$2,CW15) + Explore!T3</f>
        <v>0</v>
      </c>
      <c r="CQ15" s="710">
        <f>-SUM($S15:$T15)+SUM($CA15:$CB15) +Rezone!M15 + IF(home_land=CQ$2,CW15) + Explore!U3</f>
        <v>0</v>
      </c>
      <c r="CR15" s="272">
        <f>-SUM($U15:$V15)+SUM($CC15:$CD15) +Rezone!N15 + IF(home_land=CR$2,CW15) + Explore!V3</f>
        <v>0</v>
      </c>
      <c r="CS15" s="711">
        <f>-SUM($W15:$Z15)+SUM($CE15:$CH15) +Rezone!O15 + IF(home_land=CS$2,CW15) + Explore!W3</f>
        <v>0</v>
      </c>
      <c r="CT15" s="712">
        <f>-SUM($AA15:$AC15)+SUM($CI15:$CK15) +Rezone!P15 + IF(home_land=CT$2,CW15) + Explore!X3</f>
        <v>0</v>
      </c>
      <c r="CU15" s="713">
        <f xml:space="preserve"> - SUM($AD15,$AE15)+SUM($CL15,$CM15) +Rezone!Q15 + IF(home_land=CU$2,CW15)+Explore!Y3</f>
        <v>0</v>
      </c>
      <c r="CV15" s="714">
        <f>-$AF15+$CN15 +Rezone!R15 + IF(home_land=CV$2,CW15) + Explore!Z3</f>
        <v>0</v>
      </c>
      <c r="CW15" s="287">
        <f>IF(Explore!S15=1,25) - N15 + BV15</f>
        <v>0</v>
      </c>
      <c r="CY15" s="151">
        <f t="shared" ref="CY15:CY46" si="43">F15+SUM(O4:R15)+SUM(AY15:BB15)</f>
        <v>150</v>
      </c>
      <c r="CZ15" s="153">
        <f t="shared" ref="CZ15:CZ46" si="44">G15+SUM(S4:T15)+SUM(BC15:BD15)</f>
        <v>150</v>
      </c>
      <c r="DA15" s="163">
        <f t="shared" ref="DA15:DA46" si="45">H15+SUM(U4:V15)+SUM(BE15:BF15)</f>
        <v>150</v>
      </c>
      <c r="DB15" s="153">
        <f t="shared" ref="DB15:DB46" si="46">I15+SUM(W4:X15)+SUM(BG15:BH15)</f>
        <v>150</v>
      </c>
      <c r="DC15" s="153">
        <f t="shared" ref="DC15:DC46" si="47">J15+SUM(AA4:AC15)+SUM(BK15:BM15)</f>
        <v>150</v>
      </c>
      <c r="DD15" s="163">
        <f t="shared" ref="DD15:DD46" si="48">K15+SUM(AD4:AD15)+BN15</f>
        <v>150</v>
      </c>
      <c r="DE15" s="158">
        <f t="shared" ref="DE15:DE46" si="49">L15+SUM(AF4:AF15)+BP15</f>
        <v>100</v>
      </c>
      <c r="DF15" s="153">
        <f t="shared" ca="1" si="37"/>
        <v>150</v>
      </c>
      <c r="DG15" s="163">
        <f>SUM(N4:N15)+AX15</f>
        <v>0</v>
      </c>
      <c r="DH15" s="163">
        <f>DH14+1</f>
        <v>15</v>
      </c>
      <c r="DI15" s="158"/>
    </row>
    <row r="16" spans="1:114" s="170" customFormat="1" x14ac:dyDescent="0.25">
      <c r="A16" s="242">
        <f t="shared" si="40"/>
        <v>820</v>
      </c>
      <c r="B16" s="242">
        <f t="shared" ref="B16:B74" si="50">SUM(AX16:BP16)</f>
        <v>180</v>
      </c>
      <c r="C16" s="243">
        <f t="shared" si="41"/>
        <v>0</v>
      </c>
      <c r="D16" s="530"/>
      <c r="E16" s="170">
        <f t="shared" si="2"/>
        <v>1000</v>
      </c>
      <c r="F16" s="245">
        <f t="shared" si="5"/>
        <v>70</v>
      </c>
      <c r="G16" s="246">
        <f t="shared" si="6"/>
        <v>100</v>
      </c>
      <c r="H16" s="247">
        <f t="shared" si="7"/>
        <v>150</v>
      </c>
      <c r="I16" s="248">
        <f t="shared" si="8"/>
        <v>150</v>
      </c>
      <c r="J16" s="249">
        <f t="shared" si="9"/>
        <v>100</v>
      </c>
      <c r="K16" s="250">
        <f t="shared" si="10"/>
        <v>150</v>
      </c>
      <c r="L16" s="496">
        <f t="shared" si="11"/>
        <v>100</v>
      </c>
      <c r="M16" s="632">
        <f>Rezone!J16</f>
        <v>14</v>
      </c>
      <c r="N16" s="352"/>
      <c r="O16" s="345"/>
      <c r="P16" s="345"/>
      <c r="Q16" s="345"/>
      <c r="R16" s="345"/>
      <c r="S16" s="345"/>
      <c r="T16" s="345"/>
      <c r="U16" s="345"/>
      <c r="V16" s="345"/>
      <c r="W16" s="363"/>
      <c r="X16" s="345"/>
      <c r="Y16" s="345"/>
      <c r="Z16" s="345"/>
      <c r="AA16" s="345"/>
      <c r="AB16" s="345"/>
      <c r="AC16" s="345"/>
      <c r="AD16" s="345"/>
      <c r="AE16" s="345"/>
      <c r="AF16" s="336"/>
      <c r="AG16" s="530">
        <f>Imps!L16</f>
        <v>43768.135416666635</v>
      </c>
      <c r="AH16" s="251">
        <f>MIN(25%,(BG16+CE16)/(E16-Explore!S16*20))</f>
        <v>0</v>
      </c>
      <c r="AI16" s="187">
        <f t="shared" si="12"/>
        <v>0</v>
      </c>
      <c r="AJ16" s="152">
        <f ca="1">Production!$H16</f>
        <v>4476360</v>
      </c>
      <c r="AK16" s="166">
        <f ca="1">Production!$J16</f>
        <v>342137</v>
      </c>
      <c r="AL16" s="152">
        <f ca="1">ROUND( (1 - MIN(facs_constr_factor*$AH16,facs_constr_max)) * (1+MIN(tech_construction*Techs!AC16,tech_conquerors_crafts*Techs!AS16)) * AU16*(1+race_construction_cost),0)</f>
        <v>1615</v>
      </c>
      <c r="AM16" s="166">
        <f t="shared" si="3"/>
        <v>263</v>
      </c>
      <c r="AN16" s="152">
        <f ca="1">ROUND( (1 - MIN(facs_constr_factor*$AI16,facs_constr_max)) * (1+MIN(tech_construction*Techs!AE16,tech_conquerors_crafts*Techs!AU16)) * AU16*(1+race_construction_cost),0)</f>
        <v>1615</v>
      </c>
      <c r="AO16" s="166">
        <f t="shared" si="13"/>
        <v>263</v>
      </c>
      <c r="AP16" s="170">
        <f t="shared" ca="1" si="14"/>
        <v>0</v>
      </c>
      <c r="AQ16" s="157">
        <f t="shared" si="15"/>
        <v>0</v>
      </c>
      <c r="AR16" s="170">
        <f>MIN(SUM(F15:L15)+SUM(Explore!T4:Z4)+SUM(BV16:CN16),SUM($N16:$AF16))</f>
        <v>0</v>
      </c>
      <c r="AS16" s="170">
        <f>IF(Explore!S16&lt;&gt;0,MAX(0, MIN(20, 20 + SUM(N16:AF16) - SUM(BV16:CN16) - SUM(F15:L15)-SUM(Explore!T4:Z4)-20*Explore!S16)),0)</f>
        <v>0</v>
      </c>
      <c r="AT16" s="164"/>
      <c r="AU16" s="152">
        <f t="shared" si="16"/>
        <v>1615</v>
      </c>
      <c r="AV16" s="166">
        <f t="shared" si="17"/>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39"/>
      <c r="BS16" s="156">
        <f t="shared" si="4"/>
        <v>1000</v>
      </c>
      <c r="BT16" s="530">
        <f t="shared" si="42"/>
        <v>43768.541666666635</v>
      </c>
      <c r="BV16" s="352"/>
      <c r="BW16" s="345"/>
      <c r="BX16" s="345"/>
      <c r="BY16" s="345"/>
      <c r="BZ16" s="345"/>
      <c r="CA16" s="345"/>
      <c r="CB16" s="345"/>
      <c r="CC16" s="345"/>
      <c r="CD16" s="345"/>
      <c r="CE16" s="345"/>
      <c r="CF16" s="345"/>
      <c r="CG16" s="345"/>
      <c r="CH16" s="345"/>
      <c r="CI16" s="345"/>
      <c r="CJ16" s="345"/>
      <c r="CK16" s="345"/>
      <c r="CL16" s="345"/>
      <c r="CM16" s="759"/>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6">
        <f>-$AF16+$CN16 +Rezone!R16 + IF(home_land=CV$2,CW16) + Explore!Z4</f>
        <v>0</v>
      </c>
      <c r="CW16" s="159">
        <f>IF(Explore!S16=1,25) - N16 + BV16</f>
        <v>0</v>
      </c>
      <c r="CY16" s="152">
        <f t="shared" si="43"/>
        <v>150</v>
      </c>
      <c r="CZ16" s="164">
        <f t="shared" si="44"/>
        <v>150</v>
      </c>
      <c r="DA16" s="170">
        <f t="shared" si="45"/>
        <v>150</v>
      </c>
      <c r="DB16" s="164">
        <f t="shared" si="46"/>
        <v>150</v>
      </c>
      <c r="DC16" s="164">
        <f t="shared" si="47"/>
        <v>150</v>
      </c>
      <c r="DD16" s="170">
        <f t="shared" si="48"/>
        <v>150</v>
      </c>
      <c r="DE16" s="166">
        <f t="shared" si="49"/>
        <v>100</v>
      </c>
      <c r="DF16" s="164">
        <f t="shared" ref="DF16:DF74" ca="1" si="51">INDIRECT(ADDRESS(DH16,$DI$4))+DG16</f>
        <v>150</v>
      </c>
      <c r="DG16" s="170">
        <f t="shared" ref="DG16:DG74" si="52">SUM(N5:N16)+AX16</f>
        <v>0</v>
      </c>
      <c r="DH16" s="170">
        <f t="shared" ref="DH16:DH74" si="53">DH15+1</f>
        <v>16</v>
      </c>
      <c r="DI16" s="166"/>
    </row>
    <row r="17" spans="1:113" s="170" customFormat="1" x14ac:dyDescent="0.25">
      <c r="A17" s="242">
        <f t="shared" si="40"/>
        <v>820</v>
      </c>
      <c r="B17" s="242">
        <f t="shared" si="50"/>
        <v>180</v>
      </c>
      <c r="C17" s="243">
        <f t="shared" si="41"/>
        <v>0</v>
      </c>
      <c r="D17" s="530"/>
      <c r="E17" s="170">
        <f t="shared" si="2"/>
        <v>1000</v>
      </c>
      <c r="F17" s="245">
        <f t="shared" si="5"/>
        <v>70</v>
      </c>
      <c r="G17" s="246">
        <f t="shared" si="6"/>
        <v>100</v>
      </c>
      <c r="H17" s="247">
        <f t="shared" si="7"/>
        <v>150</v>
      </c>
      <c r="I17" s="248">
        <f t="shared" si="8"/>
        <v>150</v>
      </c>
      <c r="J17" s="249">
        <f t="shared" si="9"/>
        <v>100</v>
      </c>
      <c r="K17" s="250">
        <f t="shared" si="10"/>
        <v>150</v>
      </c>
      <c r="L17" s="496">
        <f t="shared" si="11"/>
        <v>100</v>
      </c>
      <c r="M17" s="632">
        <f>Rezone!J17</f>
        <v>15</v>
      </c>
      <c r="N17" s="352"/>
      <c r="O17" s="345"/>
      <c r="P17" s="345"/>
      <c r="Q17" s="345"/>
      <c r="R17" s="345"/>
      <c r="S17" s="345"/>
      <c r="T17" s="345"/>
      <c r="U17" s="345"/>
      <c r="V17" s="345"/>
      <c r="W17" s="345"/>
      <c r="X17" s="345"/>
      <c r="Y17" s="345"/>
      <c r="Z17" s="345"/>
      <c r="AA17" s="345"/>
      <c r="AB17" s="345"/>
      <c r="AC17" s="345"/>
      <c r="AD17" s="345"/>
      <c r="AE17" s="345"/>
      <c r="AF17" s="336"/>
      <c r="AG17" s="530">
        <f>Imps!L17</f>
        <v>43768.145833333299</v>
      </c>
      <c r="AH17" s="251">
        <f>MIN(25%,(BG17+CE17)/(E17-Explore!S17*20))</f>
        <v>0</v>
      </c>
      <c r="AI17" s="187">
        <f t="shared" si="12"/>
        <v>0</v>
      </c>
      <c r="AJ17" s="152">
        <f ca="1">Production!$H17</f>
        <v>4486080</v>
      </c>
      <c r="AK17" s="166">
        <f ca="1">Production!$J17</f>
        <v>341216</v>
      </c>
      <c r="AL17" s="152">
        <f ca="1">ROUND( (1 - MIN(facs_constr_factor*$AH17,facs_constr_max)) * (1+MIN(tech_construction*Techs!AC17,tech_conquerors_crafts*Techs!AS17)) * AU17*(1+race_construction_cost),0)</f>
        <v>1615</v>
      </c>
      <c r="AM17" s="166">
        <f t="shared" si="3"/>
        <v>263</v>
      </c>
      <c r="AN17" s="152">
        <f ca="1">ROUND( (1 - MIN(facs_constr_factor*$AI17,facs_constr_max)) * (1+MIN(tech_construction*Techs!AE17,tech_conquerors_crafts*Techs!AU17)) * AU17*(1+race_construction_cost),0)</f>
        <v>1615</v>
      </c>
      <c r="AO17" s="166">
        <f t="shared" si="13"/>
        <v>263</v>
      </c>
      <c r="AP17" s="170">
        <f t="shared" ca="1" si="14"/>
        <v>0</v>
      </c>
      <c r="AQ17" s="157">
        <f>AR17*AM17+AS17*AO17</f>
        <v>0</v>
      </c>
      <c r="AR17" s="164">
        <f>MIN(SUM(F16:L16)+SUM(Explore!T5:Z5)+SUM(BV17:CN17),SUM($N17:$AF17))</f>
        <v>0</v>
      </c>
      <c r="AS17" s="170">
        <f>IF(Explore!S17&lt;&gt;0,MAX(0, MIN(20, 20 + SUM(N17:AF17) - SUM(BV17:CN17) - SUM(F16:L16)-SUM(Explore!T5:Z5)-20*Explore!S17)),0)</f>
        <v>0</v>
      </c>
      <c r="AU17" s="152">
        <f t="shared" si="16"/>
        <v>1615</v>
      </c>
      <c r="AV17" s="166">
        <f t="shared" si="17"/>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39"/>
      <c r="BS17" s="156">
        <f t="shared" si="4"/>
        <v>1000</v>
      </c>
      <c r="BT17" s="530">
        <f t="shared" si="42"/>
        <v>43768.583333333299</v>
      </c>
      <c r="BV17" s="352"/>
      <c r="BW17" s="345"/>
      <c r="BX17" s="345"/>
      <c r="BY17" s="345"/>
      <c r="BZ17" s="345"/>
      <c r="CA17" s="345"/>
      <c r="CB17" s="345"/>
      <c r="CC17" s="345"/>
      <c r="CD17" s="345"/>
      <c r="CE17" s="345"/>
      <c r="CF17" s="345"/>
      <c r="CG17" s="345"/>
      <c r="CH17" s="345"/>
      <c r="CI17" s="345"/>
      <c r="CJ17" s="345"/>
      <c r="CK17" s="345"/>
      <c r="CL17" s="345"/>
      <c r="CM17" s="759"/>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6">
        <f>-$AF17+$CN17 +Rezone!R17 + IF(home_land=CV$2,CW17) + Explore!Z5</f>
        <v>0</v>
      </c>
      <c r="CW17" s="159">
        <f>IF(Explore!S17=1,25) - N17 + BV17</f>
        <v>0</v>
      </c>
      <c r="CY17" s="152">
        <f t="shared" si="43"/>
        <v>150</v>
      </c>
      <c r="CZ17" s="164">
        <f t="shared" si="44"/>
        <v>150</v>
      </c>
      <c r="DA17" s="170">
        <f t="shared" si="45"/>
        <v>150</v>
      </c>
      <c r="DB17" s="164">
        <f t="shared" si="46"/>
        <v>150</v>
      </c>
      <c r="DC17" s="164">
        <f t="shared" si="47"/>
        <v>150</v>
      </c>
      <c r="DD17" s="170">
        <f t="shared" si="48"/>
        <v>150</v>
      </c>
      <c r="DE17" s="166">
        <f t="shared" si="49"/>
        <v>100</v>
      </c>
      <c r="DF17" s="164">
        <f t="shared" ca="1" si="51"/>
        <v>150</v>
      </c>
      <c r="DG17" s="170">
        <f t="shared" si="52"/>
        <v>0</v>
      </c>
      <c r="DH17" s="170">
        <f t="shared" si="53"/>
        <v>17</v>
      </c>
      <c r="DI17" s="166"/>
    </row>
    <row r="18" spans="1:113" s="16" customFormat="1" x14ac:dyDescent="0.25">
      <c r="A18" s="36">
        <f t="shared" si="40"/>
        <v>820</v>
      </c>
      <c r="B18" s="36">
        <f t="shared" si="50"/>
        <v>180</v>
      </c>
      <c r="C18" s="83">
        <f t="shared" si="41"/>
        <v>0</v>
      </c>
      <c r="D18" s="572"/>
      <c r="E18" s="16">
        <f t="shared" si="2"/>
        <v>1000</v>
      </c>
      <c r="F18" s="86">
        <f t="shared" si="5"/>
        <v>70</v>
      </c>
      <c r="G18" s="37">
        <f t="shared" si="6"/>
        <v>100</v>
      </c>
      <c r="H18" s="247">
        <f t="shared" si="7"/>
        <v>150</v>
      </c>
      <c r="I18" s="38">
        <f t="shared" si="8"/>
        <v>150</v>
      </c>
      <c r="J18" s="39">
        <f t="shared" si="9"/>
        <v>100</v>
      </c>
      <c r="K18" s="40">
        <f t="shared" si="10"/>
        <v>150</v>
      </c>
      <c r="L18" s="498">
        <f t="shared" si="11"/>
        <v>100</v>
      </c>
      <c r="M18" s="633">
        <f>Rezone!J18</f>
        <v>16</v>
      </c>
      <c r="N18" s="356"/>
      <c r="O18" s="345"/>
      <c r="P18" s="348"/>
      <c r="Q18" s="348"/>
      <c r="R18" s="345"/>
      <c r="S18" s="348"/>
      <c r="T18" s="348"/>
      <c r="U18" s="348"/>
      <c r="V18" s="348"/>
      <c r="W18" s="345"/>
      <c r="X18" s="345"/>
      <c r="Y18" s="348"/>
      <c r="Z18" s="345"/>
      <c r="AA18" s="348"/>
      <c r="AB18" s="348"/>
      <c r="AC18" s="345"/>
      <c r="AD18" s="348"/>
      <c r="AE18" s="348"/>
      <c r="AF18" s="336"/>
      <c r="AG18" s="530">
        <f>Imps!L18</f>
        <v>43768.156249999964</v>
      </c>
      <c r="AH18" s="91">
        <f>MIN(25%,(BG18+CE18)/(E18-Explore!S18*20))</f>
        <v>0</v>
      </c>
      <c r="AI18" s="59">
        <f t="shared" si="12"/>
        <v>0</v>
      </c>
      <c r="AJ18" s="56">
        <f ca="1">Production!$H18</f>
        <v>4495800</v>
      </c>
      <c r="AK18" s="57">
        <f ca="1">Production!$J18</f>
        <v>340304</v>
      </c>
      <c r="AL18" s="152">
        <f ca="1">ROUND( (1 - MIN(facs_constr_factor*$AH18,facs_constr_max)) * (1+MIN(tech_construction*Techs!AC18,tech_conquerors_crafts*Techs!AS18)) * AU18*(1+race_construction_cost),0)</f>
        <v>1615</v>
      </c>
      <c r="AM18" s="166">
        <f t="shared" si="3"/>
        <v>263</v>
      </c>
      <c r="AN18" s="152">
        <f ca="1">ROUND( (1 - MIN(facs_constr_factor*$AI18,facs_constr_max)) * (1+MIN(tech_construction*Techs!AE18,tech_conquerors_crafts*Techs!AU18)) * AU18*(1+race_construction_cost),0)</f>
        <v>1615</v>
      </c>
      <c r="AO18" s="166">
        <f t="shared" si="13"/>
        <v>263</v>
      </c>
      <c r="AP18" s="16">
        <f t="shared" ref="AP18:AP81" ca="1" si="54">AR18*AL18 + AS18*AN18</f>
        <v>0</v>
      </c>
      <c r="AQ18" s="53">
        <f t="shared" ref="AQ18:AQ81" si="55">AR18*AM18+AS18*AO18</f>
        <v>0</v>
      </c>
      <c r="AR18" s="16">
        <f>MIN(SUM(F17:L17)+SUM(Explore!T6:Z6)+SUM(BV18:CN18),SUM($N18:$AF18))</f>
        <v>0</v>
      </c>
      <c r="AS18" s="16">
        <f>IF(Explore!S18&lt;&gt;0,MAX(0, MIN(20, 20 + SUM(N18:AF18) - SUM(BV18:CN18) - SUM(F17:L17)-SUM(Explore!T6:Z6)-20*Explore!S18)),0)</f>
        <v>0</v>
      </c>
      <c r="AU18" s="152">
        <f t="shared" si="16"/>
        <v>1615</v>
      </c>
      <c r="AV18" s="166">
        <f t="shared" si="17"/>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1"/>
      <c r="BS18" s="156">
        <f t="shared" si="4"/>
        <v>1000</v>
      </c>
      <c r="BT18" s="572">
        <f t="shared" si="42"/>
        <v>43768.624999999964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498">
        <f>-$AF18+$CN18 +Rezone!R18 + IF(home_land=CV$2,CW18) + Explore!Z6</f>
        <v>0</v>
      </c>
      <c r="CW18" s="159">
        <f>IF(Explore!S18=1,25) - N18 + BV18</f>
        <v>0</v>
      </c>
      <c r="CY18" s="152">
        <f t="shared" si="43"/>
        <v>150</v>
      </c>
      <c r="CZ18" s="164">
        <f t="shared" si="44"/>
        <v>150</v>
      </c>
      <c r="DA18" s="16">
        <f t="shared" si="45"/>
        <v>150</v>
      </c>
      <c r="DB18" s="164">
        <f t="shared" si="46"/>
        <v>150</v>
      </c>
      <c r="DC18" s="164">
        <f t="shared" si="47"/>
        <v>150</v>
      </c>
      <c r="DD18" s="16">
        <f t="shared" si="48"/>
        <v>150</v>
      </c>
      <c r="DE18" s="166">
        <f t="shared" si="49"/>
        <v>100</v>
      </c>
      <c r="DF18" s="164">
        <f t="shared" ca="1" si="51"/>
        <v>150</v>
      </c>
      <c r="DG18" s="16">
        <f t="shared" si="52"/>
        <v>0</v>
      </c>
      <c r="DH18" s="16">
        <f t="shared" si="53"/>
        <v>18</v>
      </c>
      <c r="DI18" s="166"/>
    </row>
    <row r="19" spans="1:113" s="163" customFormat="1" x14ac:dyDescent="0.25">
      <c r="A19" s="707">
        <f t="shared" si="40"/>
        <v>820</v>
      </c>
      <c r="B19" s="707">
        <f t="shared" si="50"/>
        <v>180</v>
      </c>
      <c r="C19" s="708">
        <f t="shared" si="41"/>
        <v>0</v>
      </c>
      <c r="D19" s="674"/>
      <c r="E19" s="163">
        <f t="shared" si="2"/>
        <v>1000</v>
      </c>
      <c r="F19" s="709">
        <f t="shared" si="5"/>
        <v>70</v>
      </c>
      <c r="G19" s="710">
        <f t="shared" si="6"/>
        <v>100</v>
      </c>
      <c r="H19" s="272">
        <f t="shared" si="7"/>
        <v>150</v>
      </c>
      <c r="I19" s="711">
        <f t="shared" si="8"/>
        <v>150</v>
      </c>
      <c r="J19" s="712">
        <f t="shared" si="9"/>
        <v>100</v>
      </c>
      <c r="K19" s="713">
        <f t="shared" si="10"/>
        <v>150</v>
      </c>
      <c r="L19" s="714">
        <f t="shared" si="11"/>
        <v>100</v>
      </c>
      <c r="M19" s="318">
        <f>Rezone!J19</f>
        <v>17</v>
      </c>
      <c r="N19" s="371"/>
      <c r="O19" s="767"/>
      <c r="P19" s="346"/>
      <c r="Q19" s="346"/>
      <c r="R19" s="346"/>
      <c r="S19" s="346"/>
      <c r="T19" s="346"/>
      <c r="U19" s="767"/>
      <c r="V19" s="346"/>
      <c r="W19" s="767"/>
      <c r="X19" s="346"/>
      <c r="Y19" s="346"/>
      <c r="Z19" s="346"/>
      <c r="AA19" s="346"/>
      <c r="AB19" s="346"/>
      <c r="AC19" s="346"/>
      <c r="AD19" s="346"/>
      <c r="AE19" s="346"/>
      <c r="AF19" s="741"/>
      <c r="AG19" s="674">
        <f>Imps!L19</f>
        <v>43768.166666666628</v>
      </c>
      <c r="AH19" s="305">
        <f>MIN(25%,(BG19+CE19)/(E19-Explore!S19*20))</f>
        <v>0</v>
      </c>
      <c r="AI19" s="186">
        <f t="shared" si="12"/>
        <v>0</v>
      </c>
      <c r="AJ19" s="151">
        <f ca="1">Production!$H19</f>
        <v>4505520</v>
      </c>
      <c r="AK19" s="158">
        <f ca="1">Production!$J19</f>
        <v>339401</v>
      </c>
      <c r="AL19" s="151">
        <f ca="1">ROUND( (1 - MIN(facs_constr_factor*$AH19,facs_constr_max)) * (1+MIN(tech_construction*Techs!AC19,tech_conquerors_crafts*Techs!AS19)) * AU19*(1+race_construction_cost),0)</f>
        <v>1615</v>
      </c>
      <c r="AM19" s="158">
        <f t="shared" si="3"/>
        <v>263</v>
      </c>
      <c r="AN19" s="151">
        <f ca="1">ROUND( (1 - MIN(facs_constr_factor*$AI19,facs_constr_max)) * (1+MIN(tech_construction*Techs!AE19,tech_conquerors_crafts*Techs!AU19)) * AU19*(1+race_construction_cost),0)</f>
        <v>1615</v>
      </c>
      <c r="AO19" s="158">
        <f t="shared" si="13"/>
        <v>263</v>
      </c>
      <c r="AP19" s="163">
        <f t="shared" ca="1" si="54"/>
        <v>0</v>
      </c>
      <c r="AQ19" s="185">
        <f t="shared" si="55"/>
        <v>0</v>
      </c>
      <c r="AR19" s="163">
        <f>MIN(SUM(F18:L18)+SUM(Explore!T7:Z7)+SUM(BV19:CN19),SUM($N19:$AF19))</f>
        <v>0</v>
      </c>
      <c r="AS19" s="163">
        <f>IF(Explore!S19&lt;&gt;0,MAX(0, MIN(20, 20 + SUM(N19:AF19) - SUM(BV19:CN19) - SUM(F18:L18)-SUM(Explore!T7:Z7)-20*Explore!S19)),0)</f>
        <v>0</v>
      </c>
      <c r="AU19" s="151">
        <f t="shared" si="16"/>
        <v>1615</v>
      </c>
      <c r="AV19" s="158">
        <f t="shared" si="17"/>
        <v>262.5</v>
      </c>
      <c r="AW19" s="153"/>
      <c r="AX19" s="715">
        <f>AX18 + IF(Overview!$B$14="Gnome",N10,N7) -BV19</f>
        <v>0</v>
      </c>
      <c r="AY19" s="288">
        <f>AY18 + IF(Overview!$B$14="Gnome",O10,O7) -BW19</f>
        <v>0</v>
      </c>
      <c r="AZ19" s="288">
        <f>AZ18 + IF(Overview!$B$14="Gnome",P10,P7) -BX19</f>
        <v>80</v>
      </c>
      <c r="BA19" s="288">
        <f>BA18 + IF(Overview!$B$14="Gnome",Q10,Q7) -BY19</f>
        <v>0</v>
      </c>
      <c r="BB19" s="288">
        <f>BB18 + IF(Overview!$B$14="Gnome",R10,R7) -BZ19</f>
        <v>0</v>
      </c>
      <c r="BC19" s="197">
        <f>BC18 + IF(Overview!$B$14="Gnome",S10,S7) -CA19</f>
        <v>50</v>
      </c>
      <c r="BD19" s="197">
        <f>BD18 + IF(Overview!$B$14="Gnome",T10,T7) -CB19</f>
        <v>0</v>
      </c>
      <c r="BE19" s="198">
        <f>BE18 + IF(Overview!$B$14="Gnome",U10,U7) -CC19</f>
        <v>0</v>
      </c>
      <c r="BF19" s="198">
        <f>BF18 + IF(Overview!$B$14="Gnome",V10,V7) -CD19</f>
        <v>0</v>
      </c>
      <c r="BG19" s="199">
        <f>BG18 + IF(Overview!$B$14="Gnome",W10,W7) -CE19</f>
        <v>0</v>
      </c>
      <c r="BH19" s="199">
        <f>BH18 + IF(Overview!$B$14="Gnome",X10,X7) -CF19</f>
        <v>0</v>
      </c>
      <c r="BI19" s="199">
        <f>BI18 + IF(Overview!$B$14="Gnome",Y10,Y7) -CG19</f>
        <v>0</v>
      </c>
      <c r="BJ19" s="199">
        <f>BJ18 + IF(Overview!$B$14="Gnome",Z10,Z7) -CH19</f>
        <v>0</v>
      </c>
      <c r="BK19" s="200">
        <f>BK18 + IF(Overview!$B$14="Gnome",AA10,AA7) -CI19</f>
        <v>50</v>
      </c>
      <c r="BL19" s="200">
        <f>BL18 + IF(Overview!$B$14="Gnome",AB10,AB7) -CJ19</f>
        <v>0</v>
      </c>
      <c r="BM19" s="200">
        <f>BM18 + IF(Overview!$B$14="Gnome",AC10,AC7) -CK19</f>
        <v>0</v>
      </c>
      <c r="BN19" s="201">
        <f>BN18 + IF(Overview!$B$14="Gnome",AD10,AD7) -CL19</f>
        <v>0</v>
      </c>
      <c r="BO19" s="201">
        <f>BO18 + IF(Overview!$B$14="Gnome",AE10,AE7) -CM19</f>
        <v>0</v>
      </c>
      <c r="BP19" s="202">
        <f>BP18 + IF(Overview!$B$14="Gnome",AF10,AF7) -CN19</f>
        <v>0</v>
      </c>
      <c r="BR19" s="716"/>
      <c r="BS19" s="184">
        <f t="shared" si="4"/>
        <v>1000</v>
      </c>
      <c r="BT19" s="674">
        <f t="shared" si="42"/>
        <v>43768.666666666628</v>
      </c>
      <c r="BU19" s="579"/>
      <c r="BV19" s="371"/>
      <c r="BW19" s="346"/>
      <c r="BX19" s="767"/>
      <c r="BY19" s="346"/>
      <c r="BZ19" s="346"/>
      <c r="CA19" s="346"/>
      <c r="CB19" s="346"/>
      <c r="CC19" s="346"/>
      <c r="CD19" s="346"/>
      <c r="CE19" s="346"/>
      <c r="CF19" s="346"/>
      <c r="CG19" s="346"/>
      <c r="CH19" s="346"/>
      <c r="CI19" s="346"/>
      <c r="CJ19" s="346"/>
      <c r="CK19" s="346"/>
      <c r="CL19" s="346"/>
      <c r="CM19" s="760"/>
      <c r="CN19" s="372"/>
      <c r="CP19" s="709">
        <f>-SUM($O19:$R19)+SUM($BW19:BZ19)+Rezone!L19+IF(home_land=CP$2,CW19) + Explore!T7</f>
        <v>0</v>
      </c>
      <c r="CQ19" s="710">
        <f>-SUM($S19:$T19)+SUM($CA19:$CB19) +Rezone!M19 + IF(home_land=CQ$2,CW19) + Explore!U7</f>
        <v>0</v>
      </c>
      <c r="CR19" s="272">
        <f>-SUM($U19:$V19)+SUM($CC19:$CD19) +Rezone!N19 + IF(home_land=CR$2,CW19) + Explore!V7</f>
        <v>0</v>
      </c>
      <c r="CS19" s="711">
        <f>-SUM($W19:$Z19)+SUM($CE19:$CH19) +Rezone!O19 + IF(home_land=CS$2,CW19) + Explore!W7</f>
        <v>0</v>
      </c>
      <c r="CT19" s="712">
        <f>-SUM($AA19:$AC19)+SUM($CI19:$CK19) +Rezone!P19 + IF(home_land=CT$2,CW19) + Explore!X7</f>
        <v>0</v>
      </c>
      <c r="CU19" s="713">
        <f xml:space="preserve"> - SUM($AD19,$AE19)+SUM($CL19,$CM19) +Rezone!Q19 + IF(home_land=CU$2,CW19)+Explore!Y7</f>
        <v>0</v>
      </c>
      <c r="CV19" s="714">
        <f>-$AF19+$CN19 +Rezone!R19 + IF(home_land=CV$2,CW19) + Explore!Z7</f>
        <v>0</v>
      </c>
      <c r="CW19" s="287">
        <f>IF(Explore!S19=1,25) - N19 + BV19</f>
        <v>0</v>
      </c>
      <c r="CY19" s="151">
        <f t="shared" si="43"/>
        <v>150</v>
      </c>
      <c r="CZ19" s="153">
        <f t="shared" si="44"/>
        <v>150</v>
      </c>
      <c r="DA19" s="163">
        <f t="shared" si="45"/>
        <v>150</v>
      </c>
      <c r="DB19" s="153">
        <f t="shared" si="46"/>
        <v>150</v>
      </c>
      <c r="DC19" s="153">
        <f t="shared" si="47"/>
        <v>150</v>
      </c>
      <c r="DD19" s="163">
        <f t="shared" si="48"/>
        <v>150</v>
      </c>
      <c r="DE19" s="158">
        <f t="shared" si="49"/>
        <v>100</v>
      </c>
      <c r="DF19" s="153">
        <f t="shared" ca="1" si="51"/>
        <v>150</v>
      </c>
      <c r="DG19" s="163">
        <f t="shared" si="52"/>
        <v>0</v>
      </c>
      <c r="DH19" s="163">
        <f t="shared" si="53"/>
        <v>19</v>
      </c>
      <c r="DI19" s="158"/>
    </row>
    <row r="20" spans="1:113" s="16" customFormat="1" x14ac:dyDescent="0.25">
      <c r="A20" s="36">
        <f t="shared" si="40"/>
        <v>820</v>
      </c>
      <c r="B20" s="36">
        <f t="shared" si="50"/>
        <v>180</v>
      </c>
      <c r="C20" s="83">
        <f t="shared" si="41"/>
        <v>0</v>
      </c>
      <c r="D20" s="572"/>
      <c r="E20" s="16">
        <f t="shared" si="2"/>
        <v>1000</v>
      </c>
      <c r="F20" s="86">
        <f t="shared" si="5"/>
        <v>70</v>
      </c>
      <c r="G20" s="37">
        <f t="shared" si="6"/>
        <v>100</v>
      </c>
      <c r="H20" s="247">
        <f t="shared" si="7"/>
        <v>150</v>
      </c>
      <c r="I20" s="38">
        <f t="shared" si="8"/>
        <v>150</v>
      </c>
      <c r="J20" s="39">
        <f t="shared" si="9"/>
        <v>100</v>
      </c>
      <c r="K20" s="40">
        <f t="shared" si="10"/>
        <v>150</v>
      </c>
      <c r="L20" s="498">
        <f t="shared" si="11"/>
        <v>100</v>
      </c>
      <c r="M20" s="633">
        <f>Rezone!J20</f>
        <v>18</v>
      </c>
      <c r="N20" s="356"/>
      <c r="O20" s="345"/>
      <c r="P20" s="348"/>
      <c r="Q20" s="348"/>
      <c r="R20" s="345"/>
      <c r="S20" s="348"/>
      <c r="T20" s="348"/>
      <c r="U20" s="348"/>
      <c r="V20" s="348"/>
      <c r="W20" s="345"/>
      <c r="X20" s="345"/>
      <c r="Y20" s="348"/>
      <c r="Z20" s="345"/>
      <c r="AA20" s="348"/>
      <c r="AB20" s="348"/>
      <c r="AC20" s="345"/>
      <c r="AD20" s="348"/>
      <c r="AE20" s="348"/>
      <c r="AF20" s="336"/>
      <c r="AG20" s="530">
        <f>Imps!L20</f>
        <v>43768.177083333292</v>
      </c>
      <c r="AH20" s="91">
        <f>MIN(25%,(BG20+CE20)/(E20-Explore!S20*20))</f>
        <v>0</v>
      </c>
      <c r="AI20" s="59">
        <f t="shared" si="12"/>
        <v>0</v>
      </c>
      <c r="AJ20" s="56">
        <f ca="1">Production!$H20</f>
        <v>4515240</v>
      </c>
      <c r="AK20" s="57">
        <f ca="1">Production!$J20</f>
        <v>338507</v>
      </c>
      <c r="AL20" s="152">
        <f ca="1">ROUND( (1 - MIN(facs_constr_factor*$AH20,facs_constr_max)) * (1+MIN(tech_construction*Techs!AC20,tech_conquerors_crafts*Techs!AS20)) * AU20*(1+race_construction_cost),0)</f>
        <v>1615</v>
      </c>
      <c r="AM20" s="166">
        <f t="shared" si="3"/>
        <v>263</v>
      </c>
      <c r="AN20" s="152">
        <f ca="1">ROUND( (1 - MIN(facs_constr_factor*$AI20,facs_constr_max)) * (1+MIN(tech_construction*Techs!AE20,tech_conquerors_crafts*Techs!AU20)) * AU20*(1+race_construction_cost),0)</f>
        <v>1615</v>
      </c>
      <c r="AO20" s="166">
        <f t="shared" si="13"/>
        <v>263</v>
      </c>
      <c r="AP20" s="16">
        <f t="shared" ca="1" si="54"/>
        <v>0</v>
      </c>
      <c r="AQ20" s="53">
        <f t="shared" si="55"/>
        <v>0</v>
      </c>
      <c r="AR20" s="16">
        <f>MIN(SUM(F19:L19)+SUM(Explore!T8:Z8)+SUM(BV20:CN20),SUM($N20:$AF20))</f>
        <v>0</v>
      </c>
      <c r="AS20" s="16">
        <f>IF(Explore!S20&lt;&gt;0,MAX(0, MIN(20, 20 + SUM(N20:AF20) - SUM(BV20:CN20) - SUM(F19:L19)-SUM(Explore!T8:Z8)-20*Explore!S20)),0)</f>
        <v>0</v>
      </c>
      <c r="AU20" s="152">
        <f t="shared" si="16"/>
        <v>1615</v>
      </c>
      <c r="AV20" s="166">
        <f t="shared" si="17"/>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1"/>
      <c r="BS20" s="156">
        <f t="shared" si="4"/>
        <v>1000</v>
      </c>
      <c r="BT20" s="572">
        <f t="shared" si="42"/>
        <v>43768.708333333292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498">
        <f>-$AF20+$CN20 +Rezone!R20 + IF(home_land=CV$2,CW20) + Explore!Z8</f>
        <v>0</v>
      </c>
      <c r="CW20" s="159">
        <f>IF(Explore!S20=1,25) - N20 + BV20</f>
        <v>0</v>
      </c>
      <c r="CY20" s="152">
        <f t="shared" si="43"/>
        <v>150</v>
      </c>
      <c r="CZ20" s="164">
        <f t="shared" si="44"/>
        <v>150</v>
      </c>
      <c r="DA20" s="16">
        <f t="shared" si="45"/>
        <v>150</v>
      </c>
      <c r="DB20" s="164">
        <f t="shared" si="46"/>
        <v>150</v>
      </c>
      <c r="DC20" s="164">
        <f t="shared" si="47"/>
        <v>150</v>
      </c>
      <c r="DD20" s="16">
        <f t="shared" si="48"/>
        <v>150</v>
      </c>
      <c r="DE20" s="166">
        <f t="shared" si="49"/>
        <v>100</v>
      </c>
      <c r="DF20" s="164">
        <f t="shared" ca="1" si="51"/>
        <v>150</v>
      </c>
      <c r="DG20" s="16">
        <f t="shared" si="52"/>
        <v>0</v>
      </c>
      <c r="DH20" s="16">
        <f t="shared" si="53"/>
        <v>20</v>
      </c>
      <c r="DI20" s="166"/>
    </row>
    <row r="21" spans="1:113" s="16" customFormat="1" x14ac:dyDescent="0.25">
      <c r="A21" s="36">
        <f t="shared" si="40"/>
        <v>820</v>
      </c>
      <c r="B21" s="36">
        <f t="shared" si="50"/>
        <v>180</v>
      </c>
      <c r="C21" s="83">
        <f t="shared" si="41"/>
        <v>0</v>
      </c>
      <c r="D21" s="572"/>
      <c r="E21" s="16">
        <f t="shared" si="2"/>
        <v>1000</v>
      </c>
      <c r="F21" s="86">
        <f t="shared" si="5"/>
        <v>70</v>
      </c>
      <c r="G21" s="37">
        <f t="shared" si="6"/>
        <v>100</v>
      </c>
      <c r="H21" s="247">
        <f t="shared" si="7"/>
        <v>150</v>
      </c>
      <c r="I21" s="38">
        <f t="shared" si="8"/>
        <v>150</v>
      </c>
      <c r="J21" s="39">
        <f t="shared" si="9"/>
        <v>100</v>
      </c>
      <c r="K21" s="40">
        <f t="shared" si="10"/>
        <v>150</v>
      </c>
      <c r="L21" s="498">
        <f t="shared" si="11"/>
        <v>100</v>
      </c>
      <c r="M21" s="633">
        <f>Rezone!J21</f>
        <v>19</v>
      </c>
      <c r="N21" s="356"/>
      <c r="O21" s="345"/>
      <c r="P21" s="348"/>
      <c r="Q21" s="348"/>
      <c r="R21" s="345"/>
      <c r="S21" s="348"/>
      <c r="T21" s="348"/>
      <c r="U21" s="348"/>
      <c r="V21" s="348"/>
      <c r="W21" s="345"/>
      <c r="X21" s="345"/>
      <c r="Y21" s="348"/>
      <c r="Z21" s="345"/>
      <c r="AA21" s="348"/>
      <c r="AB21" s="348"/>
      <c r="AC21" s="345"/>
      <c r="AD21" s="348"/>
      <c r="AE21" s="348"/>
      <c r="AF21" s="336"/>
      <c r="AG21" s="530">
        <f>Imps!L21</f>
        <v>43768.187499999956</v>
      </c>
      <c r="AH21" s="91">
        <f>MIN(25%,(BG21+CE21)/(E21-Explore!S21*20))</f>
        <v>0</v>
      </c>
      <c r="AI21" s="59">
        <f t="shared" si="12"/>
        <v>0</v>
      </c>
      <c r="AJ21" s="56">
        <f ca="1">Production!$H21</f>
        <v>4524960</v>
      </c>
      <c r="AK21" s="57">
        <f ca="1">Production!$J21</f>
        <v>337622</v>
      </c>
      <c r="AL21" s="152">
        <f ca="1">ROUND( (1 - MIN(facs_constr_factor*$AH21,facs_constr_max)) * (1+MIN(tech_construction*Techs!AC21,tech_conquerors_crafts*Techs!AS21)) * AU21*(1+race_construction_cost),0)</f>
        <v>1615</v>
      </c>
      <c r="AM21" s="166">
        <f t="shared" si="3"/>
        <v>263</v>
      </c>
      <c r="AN21" s="152">
        <f ca="1">ROUND( (1 - MIN(facs_constr_factor*$AI21,facs_constr_max)) * (1+MIN(tech_construction*Techs!AE21,tech_conquerors_crafts*Techs!AU21)) * AU21*(1+race_construction_cost),0)</f>
        <v>1615</v>
      </c>
      <c r="AO21" s="166">
        <f t="shared" si="13"/>
        <v>263</v>
      </c>
      <c r="AP21" s="16">
        <f t="shared" ca="1" si="54"/>
        <v>0</v>
      </c>
      <c r="AQ21" s="53">
        <f t="shared" si="55"/>
        <v>0</v>
      </c>
      <c r="AR21" s="16">
        <f>MIN(SUM(F20:L20)+SUM(Explore!T9:Z9)+SUM(BV21:CN21),SUM($N21:$AF21))</f>
        <v>0</v>
      </c>
      <c r="AS21" s="16">
        <f>IF(Explore!S21&lt;&gt;0,MAX(0, MIN(20, 20 + SUM(N21:AF21) - SUM(BV21:CN21) - SUM(F20:L20)-SUM(Explore!T9:Z9)-20*Explore!S21)),0)</f>
        <v>0</v>
      </c>
      <c r="AU21" s="152">
        <f t="shared" si="16"/>
        <v>1615</v>
      </c>
      <c r="AV21" s="166">
        <f t="shared" si="17"/>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1"/>
      <c r="BS21" s="156">
        <f t="shared" si="4"/>
        <v>1000</v>
      </c>
      <c r="BT21" s="572">
        <f t="shared" si="42"/>
        <v>43768.749999999956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498">
        <f>-$AF21+$CN21 +Rezone!R21 + IF(home_land=CV$2,CW21) + Explore!Z9</f>
        <v>0</v>
      </c>
      <c r="CW21" s="159">
        <f>IF(Explore!S21=1,25) - N21 + BV21</f>
        <v>0</v>
      </c>
      <c r="CY21" s="152">
        <f t="shared" si="43"/>
        <v>150</v>
      </c>
      <c r="CZ21" s="164">
        <f t="shared" si="44"/>
        <v>150</v>
      </c>
      <c r="DA21" s="16">
        <f t="shared" si="45"/>
        <v>150</v>
      </c>
      <c r="DB21" s="164">
        <f t="shared" si="46"/>
        <v>150</v>
      </c>
      <c r="DC21" s="164">
        <f t="shared" si="47"/>
        <v>150</v>
      </c>
      <c r="DD21" s="16">
        <f t="shared" si="48"/>
        <v>150</v>
      </c>
      <c r="DE21" s="166">
        <f t="shared" si="49"/>
        <v>100</v>
      </c>
      <c r="DF21" s="164">
        <f t="shared" ca="1" si="51"/>
        <v>150</v>
      </c>
      <c r="DG21" s="16">
        <f t="shared" si="52"/>
        <v>0</v>
      </c>
      <c r="DH21" s="16">
        <f t="shared" si="53"/>
        <v>21</v>
      </c>
      <c r="DI21" s="166"/>
    </row>
    <row r="22" spans="1:113" s="16" customFormat="1" x14ac:dyDescent="0.25">
      <c r="A22" s="36">
        <f t="shared" si="40"/>
        <v>820</v>
      </c>
      <c r="B22" s="36">
        <f t="shared" si="50"/>
        <v>180</v>
      </c>
      <c r="C22" s="83">
        <f t="shared" si="41"/>
        <v>0</v>
      </c>
      <c r="D22" s="572"/>
      <c r="E22" s="16">
        <f t="shared" si="2"/>
        <v>1000</v>
      </c>
      <c r="F22" s="86">
        <f t="shared" si="5"/>
        <v>70</v>
      </c>
      <c r="G22" s="37">
        <f t="shared" si="6"/>
        <v>100</v>
      </c>
      <c r="H22" s="247">
        <f t="shared" si="7"/>
        <v>150</v>
      </c>
      <c r="I22" s="38">
        <f t="shared" si="8"/>
        <v>150</v>
      </c>
      <c r="J22" s="39">
        <f t="shared" si="9"/>
        <v>100</v>
      </c>
      <c r="K22" s="40">
        <f t="shared" si="10"/>
        <v>150</v>
      </c>
      <c r="L22" s="498">
        <f t="shared" si="11"/>
        <v>100</v>
      </c>
      <c r="M22" s="633">
        <f>Rezone!J22</f>
        <v>20</v>
      </c>
      <c r="N22" s="356"/>
      <c r="O22" s="345"/>
      <c r="P22" s="348"/>
      <c r="Q22" s="348"/>
      <c r="R22" s="345"/>
      <c r="S22" s="348"/>
      <c r="T22" s="348"/>
      <c r="U22" s="348"/>
      <c r="V22" s="348"/>
      <c r="W22" s="345"/>
      <c r="X22" s="345"/>
      <c r="Y22" s="348"/>
      <c r="Z22" s="345"/>
      <c r="AA22" s="348"/>
      <c r="AB22" s="348"/>
      <c r="AC22" s="345"/>
      <c r="AD22" s="348"/>
      <c r="AE22" s="348"/>
      <c r="AF22" s="336"/>
      <c r="AG22" s="530">
        <f>Imps!L22</f>
        <v>43768.197916666621</v>
      </c>
      <c r="AH22" s="91">
        <f>MIN(25%,(BG22+CE22)/(E22-Explore!S22*20))</f>
        <v>0</v>
      </c>
      <c r="AI22" s="59">
        <f t="shared" si="12"/>
        <v>0</v>
      </c>
      <c r="AJ22" s="56">
        <f ca="1">Production!$H22</f>
        <v>4534680</v>
      </c>
      <c r="AK22" s="57">
        <f ca="1">Production!$J22</f>
        <v>336746</v>
      </c>
      <c r="AL22" s="152">
        <f ca="1">ROUND( (1 - MIN(facs_constr_factor*$AH22,facs_constr_max)) * (1+MIN(tech_construction*Techs!AC22,tech_conquerors_crafts*Techs!AS22)) * AU22*(1+race_construction_cost),0)</f>
        <v>1615</v>
      </c>
      <c r="AM22" s="166">
        <f t="shared" si="3"/>
        <v>263</v>
      </c>
      <c r="AN22" s="152">
        <f ca="1">ROUND( (1 - MIN(facs_constr_factor*$AI22,facs_constr_max)) * (1+MIN(tech_construction*Techs!AE22,tech_conquerors_crafts*Techs!AU22)) * AU22*(1+race_construction_cost),0)</f>
        <v>1615</v>
      </c>
      <c r="AO22" s="166">
        <f t="shared" si="13"/>
        <v>263</v>
      </c>
      <c r="AP22" s="16">
        <f t="shared" ca="1" si="54"/>
        <v>0</v>
      </c>
      <c r="AQ22" s="53">
        <f t="shared" si="55"/>
        <v>0</v>
      </c>
      <c r="AR22" s="16">
        <f>MIN(SUM(F21:L21)+SUM(Explore!T10:Z10)+SUM(BV22:CN22),SUM($N22:$AF22))</f>
        <v>0</v>
      </c>
      <c r="AS22" s="16">
        <f>IF(Explore!S22&lt;&gt;0,MAX(0, MIN(20, 20 + SUM(N22:AF22) - SUM(BV22:CN22) - SUM(F21:L21)-SUM(Explore!T10:Z10)-20*Explore!S22)),0)</f>
        <v>0</v>
      </c>
      <c r="AU22" s="152">
        <f t="shared" si="16"/>
        <v>1615</v>
      </c>
      <c r="AV22" s="166">
        <f t="shared" si="17"/>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1"/>
      <c r="BS22" s="156">
        <f t="shared" si="4"/>
        <v>1000</v>
      </c>
      <c r="BT22" s="572">
        <f t="shared" si="42"/>
        <v>43768.791666666621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498">
        <f>-$AF22+$CN22 +Rezone!R22 + IF(home_land=CV$2,CW22) + Explore!Z10</f>
        <v>0</v>
      </c>
      <c r="CW22" s="159">
        <f>IF(Explore!S22=1,25) - N22 + BV22</f>
        <v>0</v>
      </c>
      <c r="CY22" s="152">
        <f t="shared" si="43"/>
        <v>150</v>
      </c>
      <c r="CZ22" s="164">
        <f t="shared" si="44"/>
        <v>150</v>
      </c>
      <c r="DA22" s="16">
        <f t="shared" si="45"/>
        <v>150</v>
      </c>
      <c r="DB22" s="164">
        <f t="shared" si="46"/>
        <v>150</v>
      </c>
      <c r="DC22" s="164">
        <f t="shared" si="47"/>
        <v>150</v>
      </c>
      <c r="DD22" s="16">
        <f t="shared" si="48"/>
        <v>150</v>
      </c>
      <c r="DE22" s="166">
        <f t="shared" si="49"/>
        <v>100</v>
      </c>
      <c r="DF22" s="164">
        <f t="shared" ca="1" si="51"/>
        <v>150</v>
      </c>
      <c r="DG22" s="16">
        <f t="shared" si="52"/>
        <v>0</v>
      </c>
      <c r="DH22" s="16">
        <f t="shared" si="53"/>
        <v>22</v>
      </c>
      <c r="DI22" s="166"/>
    </row>
    <row r="23" spans="1:113" s="16" customFormat="1" x14ac:dyDescent="0.25">
      <c r="A23" s="36">
        <f t="shared" si="40"/>
        <v>820</v>
      </c>
      <c r="B23" s="36">
        <f t="shared" si="50"/>
        <v>180</v>
      </c>
      <c r="C23" s="83">
        <f t="shared" si="41"/>
        <v>0</v>
      </c>
      <c r="D23" s="572"/>
      <c r="E23" s="16">
        <f t="shared" si="2"/>
        <v>1000</v>
      </c>
      <c r="F23" s="86">
        <f t="shared" si="5"/>
        <v>70</v>
      </c>
      <c r="G23" s="37">
        <f t="shared" si="6"/>
        <v>100</v>
      </c>
      <c r="H23" s="247">
        <f t="shared" si="7"/>
        <v>150</v>
      </c>
      <c r="I23" s="38">
        <f t="shared" si="8"/>
        <v>150</v>
      </c>
      <c r="J23" s="39">
        <f t="shared" si="9"/>
        <v>100</v>
      </c>
      <c r="K23" s="40">
        <f t="shared" si="10"/>
        <v>150</v>
      </c>
      <c r="L23" s="498">
        <f t="shared" si="11"/>
        <v>100</v>
      </c>
      <c r="M23" s="633">
        <f>Rezone!J23</f>
        <v>21</v>
      </c>
      <c r="N23" s="356"/>
      <c r="O23" s="348"/>
      <c r="P23" s="348"/>
      <c r="Q23" s="376"/>
      <c r="R23" s="345"/>
      <c r="S23" s="348"/>
      <c r="T23" s="348"/>
      <c r="U23" s="348"/>
      <c r="V23" s="348"/>
      <c r="W23" s="345"/>
      <c r="X23" s="345"/>
      <c r="Y23" s="348"/>
      <c r="Z23" s="345"/>
      <c r="AA23" s="348"/>
      <c r="AB23" s="348"/>
      <c r="AC23" s="345"/>
      <c r="AD23" s="348"/>
      <c r="AE23" s="348"/>
      <c r="AF23" s="336"/>
      <c r="AG23" s="530">
        <f>Imps!L23</f>
        <v>43768.208333333285</v>
      </c>
      <c r="AH23" s="91">
        <f>MIN(25%,(BG23+CE23)/(E23-Explore!S23*20))</f>
        <v>0</v>
      </c>
      <c r="AI23" s="59">
        <f t="shared" si="12"/>
        <v>0</v>
      </c>
      <c r="AJ23" s="56">
        <f ca="1">Production!$H23</f>
        <v>4544400</v>
      </c>
      <c r="AK23" s="57">
        <f ca="1">Production!$J23</f>
        <v>335879</v>
      </c>
      <c r="AL23" s="152">
        <f ca="1">ROUND( (1 - MIN(facs_constr_factor*$AH23,facs_constr_max)) * (1+MIN(tech_construction*Techs!AC23,tech_conquerors_crafts*Techs!AS23)) * AU23*(1+race_construction_cost),0)</f>
        <v>1615</v>
      </c>
      <c r="AM23" s="166">
        <f t="shared" si="3"/>
        <v>263</v>
      </c>
      <c r="AN23" s="152">
        <f ca="1">ROUND( (1 - MIN(facs_constr_factor*$AI23,facs_constr_max)) * (1+MIN(tech_construction*Techs!AE23,tech_conquerors_crafts*Techs!AU23)) * AU23*(1+race_construction_cost),0)</f>
        <v>1615</v>
      </c>
      <c r="AO23" s="166">
        <f t="shared" si="13"/>
        <v>263</v>
      </c>
      <c r="AP23" s="16">
        <f t="shared" ca="1" si="54"/>
        <v>0</v>
      </c>
      <c r="AQ23" s="53">
        <f t="shared" si="55"/>
        <v>0</v>
      </c>
      <c r="AR23" s="16">
        <f>MIN(SUM(F22:L22)+SUM(Explore!T11:Z11)+SUM(BV23:CN23),SUM($N23:$AF23))</f>
        <v>0</v>
      </c>
      <c r="AS23" s="16">
        <f>IF(Explore!S23&lt;&gt;0,MAX(0, MIN(20, 20 + SUM(N23:AF23) - SUM(BV23:CN23) - SUM(F22:L22)-SUM(Explore!T11:Z11)-20*Explore!S23)),0)</f>
        <v>0</v>
      </c>
      <c r="AU23" s="152">
        <f t="shared" si="16"/>
        <v>1615</v>
      </c>
      <c r="AV23" s="166">
        <f t="shared" si="17"/>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1"/>
      <c r="BS23" s="156">
        <f t="shared" si="4"/>
        <v>1000</v>
      </c>
      <c r="BT23" s="572">
        <f t="shared" si="42"/>
        <v>43768.833333333285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498">
        <f>-$AF23+$CN23 +Rezone!R23 + IF(home_land=CV$2,CW23) + Explore!Z11</f>
        <v>0</v>
      </c>
      <c r="CW23" s="159">
        <f>IF(Explore!S23=1,25) - N23 + BV23</f>
        <v>0</v>
      </c>
      <c r="CY23" s="152">
        <f t="shared" si="43"/>
        <v>150</v>
      </c>
      <c r="CZ23" s="164">
        <f t="shared" si="44"/>
        <v>150</v>
      </c>
      <c r="DA23" s="16">
        <f t="shared" si="45"/>
        <v>150</v>
      </c>
      <c r="DB23" s="164">
        <f t="shared" si="46"/>
        <v>150</v>
      </c>
      <c r="DC23" s="164">
        <f t="shared" si="47"/>
        <v>150</v>
      </c>
      <c r="DD23" s="16">
        <f t="shared" si="48"/>
        <v>150</v>
      </c>
      <c r="DE23" s="166">
        <f t="shared" si="49"/>
        <v>100</v>
      </c>
      <c r="DF23" s="164">
        <f t="shared" ca="1" si="51"/>
        <v>150</v>
      </c>
      <c r="DG23" s="16">
        <f t="shared" si="52"/>
        <v>0</v>
      </c>
      <c r="DH23" s="16">
        <f t="shared" si="53"/>
        <v>23</v>
      </c>
      <c r="DI23" s="166"/>
    </row>
    <row r="24" spans="1:113" s="16" customFormat="1" x14ac:dyDescent="0.25">
      <c r="A24" s="36">
        <f t="shared" si="40"/>
        <v>820</v>
      </c>
      <c r="B24" s="36">
        <f t="shared" si="50"/>
        <v>180</v>
      </c>
      <c r="C24" s="83">
        <f t="shared" si="41"/>
        <v>0</v>
      </c>
      <c r="D24" s="572"/>
      <c r="E24" s="16">
        <f t="shared" si="2"/>
        <v>1000</v>
      </c>
      <c r="F24" s="86">
        <f t="shared" si="5"/>
        <v>70</v>
      </c>
      <c r="G24" s="37">
        <f t="shared" si="6"/>
        <v>100</v>
      </c>
      <c r="H24" s="247">
        <f t="shared" si="7"/>
        <v>150</v>
      </c>
      <c r="I24" s="38">
        <f t="shared" si="8"/>
        <v>150</v>
      </c>
      <c r="J24" s="39">
        <f t="shared" si="9"/>
        <v>100</v>
      </c>
      <c r="K24" s="40">
        <f t="shared" si="10"/>
        <v>150</v>
      </c>
      <c r="L24" s="498">
        <f t="shared" si="11"/>
        <v>100</v>
      </c>
      <c r="M24" s="633">
        <f>Rezone!J24</f>
        <v>22</v>
      </c>
      <c r="N24" s="356"/>
      <c r="O24" s="348"/>
      <c r="P24" s="348"/>
      <c r="Q24" s="376"/>
      <c r="R24" s="345"/>
      <c r="S24" s="348"/>
      <c r="T24" s="348"/>
      <c r="U24" s="348"/>
      <c r="V24" s="348"/>
      <c r="W24" s="345"/>
      <c r="X24" s="345"/>
      <c r="Y24" s="348"/>
      <c r="Z24" s="345"/>
      <c r="AA24" s="348"/>
      <c r="AB24" s="348"/>
      <c r="AC24" s="345"/>
      <c r="AD24" s="348"/>
      <c r="AE24" s="348"/>
      <c r="AF24" s="336"/>
      <c r="AG24" s="530">
        <f>Imps!L24</f>
        <v>43768.218749999949</v>
      </c>
      <c r="AH24" s="91">
        <f>MIN(25%,(BG24+CE24)/(E24-Explore!S24*20))</f>
        <v>0</v>
      </c>
      <c r="AI24" s="59">
        <f t="shared" si="12"/>
        <v>0</v>
      </c>
      <c r="AJ24" s="56">
        <f ca="1">Production!$H24</f>
        <v>4554120</v>
      </c>
      <c r="AK24" s="57">
        <f ca="1">Production!$J24</f>
        <v>335020</v>
      </c>
      <c r="AL24" s="152">
        <f ca="1">ROUND( (1 - MIN(facs_constr_factor*$AH24,facs_constr_max)) * (1+MIN(tech_construction*Techs!AC24,tech_conquerors_crafts*Techs!AS24)) * AU24*(1+race_construction_cost),0)</f>
        <v>1615</v>
      </c>
      <c r="AM24" s="166">
        <f t="shared" si="3"/>
        <v>263</v>
      </c>
      <c r="AN24" s="152">
        <f ca="1">ROUND( (1 - MIN(facs_constr_factor*$AI24,facs_constr_max)) * (1+MIN(tech_construction*Techs!AE24,tech_conquerors_crafts*Techs!AU24)) * AU24*(1+race_construction_cost),0)</f>
        <v>1615</v>
      </c>
      <c r="AO24" s="166">
        <f t="shared" si="13"/>
        <v>263</v>
      </c>
      <c r="AP24" s="16">
        <f t="shared" ca="1" si="54"/>
        <v>0</v>
      </c>
      <c r="AQ24" s="53">
        <f t="shared" si="55"/>
        <v>0</v>
      </c>
      <c r="AR24" s="16">
        <f>MIN(SUM(F23:L23)+SUM(Explore!T12:Z12)+SUM(BV24:CN24),SUM($N24:$AF24))</f>
        <v>0</v>
      </c>
      <c r="AS24" s="16">
        <f>IF(Explore!S24&lt;&gt;0,MAX(0, MIN(20, 20 + SUM(N24:AF24) - SUM(BV24:CN24) - SUM(F23:L23)-SUM(Explore!T12:Z12)-20*Explore!S24)),0)</f>
        <v>0</v>
      </c>
      <c r="AU24" s="152">
        <f t="shared" si="16"/>
        <v>1615</v>
      </c>
      <c r="AV24" s="166">
        <f t="shared" si="17"/>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1"/>
      <c r="BS24" s="156">
        <f t="shared" si="4"/>
        <v>1000</v>
      </c>
      <c r="BT24" s="572">
        <f t="shared" si="42"/>
        <v>43768.874999999949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498">
        <f>-$AF24+$CN24 +Rezone!R24 + IF(home_land=CV$2,CW24) + Explore!Z12</f>
        <v>0</v>
      </c>
      <c r="CW24" s="159">
        <f>IF(Explore!S24=1,25) - N24 + BV24</f>
        <v>0</v>
      </c>
      <c r="CY24" s="152">
        <f t="shared" si="43"/>
        <v>150</v>
      </c>
      <c r="CZ24" s="164">
        <f t="shared" si="44"/>
        <v>150</v>
      </c>
      <c r="DA24" s="16">
        <f t="shared" si="45"/>
        <v>150</v>
      </c>
      <c r="DB24" s="164">
        <f t="shared" si="46"/>
        <v>150</v>
      </c>
      <c r="DC24" s="164">
        <f t="shared" si="47"/>
        <v>150</v>
      </c>
      <c r="DD24" s="16">
        <f t="shared" si="48"/>
        <v>150</v>
      </c>
      <c r="DE24" s="166">
        <f t="shared" si="49"/>
        <v>100</v>
      </c>
      <c r="DF24" s="164">
        <f t="shared" ca="1" si="51"/>
        <v>150</v>
      </c>
      <c r="DG24" s="16">
        <f t="shared" si="52"/>
        <v>0</v>
      </c>
      <c r="DH24" s="16">
        <f t="shared" si="53"/>
        <v>24</v>
      </c>
      <c r="DI24" s="166"/>
    </row>
    <row r="25" spans="1:113" s="16" customFormat="1" x14ac:dyDescent="0.25">
      <c r="A25" s="36">
        <f t="shared" si="40"/>
        <v>820</v>
      </c>
      <c r="B25" s="36">
        <f t="shared" si="50"/>
        <v>180</v>
      </c>
      <c r="C25" s="83">
        <f t="shared" si="41"/>
        <v>0</v>
      </c>
      <c r="D25" s="572"/>
      <c r="E25" s="16">
        <f t="shared" si="2"/>
        <v>1000</v>
      </c>
      <c r="F25" s="86">
        <f t="shared" si="5"/>
        <v>70</v>
      </c>
      <c r="G25" s="37">
        <f t="shared" si="6"/>
        <v>100</v>
      </c>
      <c r="H25" s="247">
        <f t="shared" si="7"/>
        <v>150</v>
      </c>
      <c r="I25" s="38">
        <f t="shared" si="8"/>
        <v>150</v>
      </c>
      <c r="J25" s="39">
        <f t="shared" si="9"/>
        <v>100</v>
      </c>
      <c r="K25" s="40">
        <f t="shared" si="10"/>
        <v>150</v>
      </c>
      <c r="L25" s="498">
        <f t="shared" si="11"/>
        <v>100</v>
      </c>
      <c r="M25" s="633">
        <f>Rezone!J25</f>
        <v>23</v>
      </c>
      <c r="N25" s="356"/>
      <c r="O25" s="348"/>
      <c r="P25" s="348"/>
      <c r="Q25" s="376"/>
      <c r="R25" s="345"/>
      <c r="S25" s="348"/>
      <c r="T25" s="348"/>
      <c r="U25" s="348"/>
      <c r="V25" s="348"/>
      <c r="W25" s="345"/>
      <c r="X25" s="345"/>
      <c r="Y25" s="348"/>
      <c r="Z25" s="345"/>
      <c r="AA25" s="348"/>
      <c r="AB25" s="348"/>
      <c r="AC25" s="345"/>
      <c r="AD25" s="348"/>
      <c r="AE25" s="348"/>
      <c r="AF25" s="336"/>
      <c r="AG25" s="530">
        <f>Imps!L25</f>
        <v>43768.229166666613</v>
      </c>
      <c r="AH25" s="91">
        <f>MIN(25%,(BG25+CE25)/(E25-Explore!S25*20))</f>
        <v>0</v>
      </c>
      <c r="AI25" s="59">
        <f t="shared" si="12"/>
        <v>0</v>
      </c>
      <c r="AJ25" s="56">
        <f ca="1">Production!$H25</f>
        <v>4563633</v>
      </c>
      <c r="AK25" s="57">
        <f ca="1">Production!$J25</f>
        <v>334170</v>
      </c>
      <c r="AL25" s="152">
        <f ca="1">ROUND( (1 - MIN(facs_constr_factor*$AH25,facs_constr_max)) * (1+MIN(tech_construction*Techs!AC25,tech_conquerors_crafts*Techs!AS25)) * AU25*(1+race_construction_cost),0)</f>
        <v>1615</v>
      </c>
      <c r="AM25" s="166">
        <f t="shared" si="3"/>
        <v>263</v>
      </c>
      <c r="AN25" s="152">
        <f ca="1">ROUND( (1 - MIN(facs_constr_factor*$AI25,facs_constr_max)) * (1+MIN(tech_construction*Techs!AE25,tech_conquerors_crafts*Techs!AU25)) * AU25*(1+race_construction_cost),0)</f>
        <v>1615</v>
      </c>
      <c r="AO25" s="166">
        <f t="shared" si="13"/>
        <v>263</v>
      </c>
      <c r="AP25" s="16">
        <f t="shared" ca="1" si="54"/>
        <v>0</v>
      </c>
      <c r="AQ25" s="53">
        <f t="shared" si="55"/>
        <v>0</v>
      </c>
      <c r="AR25" s="16">
        <f>MIN(SUM(F24:L24)+SUM(Explore!T13:Z13)+SUM(BV25:CN25),SUM($N25:$AF25))</f>
        <v>0</v>
      </c>
      <c r="AS25" s="16">
        <f>IF(Explore!S25&lt;&gt;0,MAX(0, MIN(20, 20 + SUM(N25:AF25) - SUM(BV25:CN25) - SUM(F24:L24)-SUM(Explore!T13:Z13)-20*Explore!S25)),0)</f>
        <v>0</v>
      </c>
      <c r="AU25" s="152">
        <f t="shared" si="16"/>
        <v>1615</v>
      </c>
      <c r="AV25" s="166">
        <f t="shared" si="17"/>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1"/>
      <c r="BS25" s="156">
        <f t="shared" si="4"/>
        <v>1000</v>
      </c>
      <c r="BT25" s="572">
        <f t="shared" si="42"/>
        <v>43768.916666666613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498">
        <f>-$AF25+$CN25 +Rezone!R25 + IF(home_land=CV$2,CW25) + Explore!Z13</f>
        <v>0</v>
      </c>
      <c r="CW25" s="159">
        <f>IF(Explore!S25=1,25) - N25 + BV25</f>
        <v>0</v>
      </c>
      <c r="CY25" s="152">
        <f t="shared" si="43"/>
        <v>150</v>
      </c>
      <c r="CZ25" s="164">
        <f t="shared" si="44"/>
        <v>150</v>
      </c>
      <c r="DA25" s="16">
        <f t="shared" si="45"/>
        <v>150</v>
      </c>
      <c r="DB25" s="164">
        <f t="shared" si="46"/>
        <v>150</v>
      </c>
      <c r="DC25" s="164">
        <f t="shared" si="47"/>
        <v>150</v>
      </c>
      <c r="DD25" s="16">
        <f t="shared" si="48"/>
        <v>150</v>
      </c>
      <c r="DE25" s="166">
        <f t="shared" si="49"/>
        <v>100</v>
      </c>
      <c r="DF25" s="164">
        <f t="shared" ca="1" si="51"/>
        <v>150</v>
      </c>
      <c r="DG25" s="16">
        <f t="shared" si="52"/>
        <v>0</v>
      </c>
      <c r="DH25" s="16">
        <f t="shared" si="53"/>
        <v>25</v>
      </c>
      <c r="DI25" s="166"/>
    </row>
    <row r="26" spans="1:113" s="170" customFormat="1" x14ac:dyDescent="0.25">
      <c r="A26" s="242">
        <f t="shared" si="40"/>
        <v>820</v>
      </c>
      <c r="B26" s="242">
        <f>SUM(AX26:BP26)</f>
        <v>180</v>
      </c>
      <c r="C26" s="243">
        <f t="shared" si="41"/>
        <v>0</v>
      </c>
      <c r="D26" s="530"/>
      <c r="E26" s="170">
        <f t="shared" si="2"/>
        <v>1000</v>
      </c>
      <c r="F26" s="245">
        <f t="shared" si="5"/>
        <v>70</v>
      </c>
      <c r="G26" s="246">
        <f t="shared" si="6"/>
        <v>100</v>
      </c>
      <c r="H26" s="247">
        <f t="shared" si="7"/>
        <v>150</v>
      </c>
      <c r="I26" s="248">
        <f t="shared" si="8"/>
        <v>150</v>
      </c>
      <c r="J26" s="249">
        <f t="shared" si="9"/>
        <v>100</v>
      </c>
      <c r="K26" s="250">
        <f t="shared" si="10"/>
        <v>150</v>
      </c>
      <c r="L26" s="496">
        <f t="shared" si="11"/>
        <v>100</v>
      </c>
      <c r="M26" s="632">
        <f>Rezone!J26</f>
        <v>24</v>
      </c>
      <c r="N26" s="352"/>
      <c r="O26" s="363"/>
      <c r="P26" s="345"/>
      <c r="Q26" s="345"/>
      <c r="R26" s="345"/>
      <c r="S26" s="345"/>
      <c r="T26" s="345"/>
      <c r="U26" s="345"/>
      <c r="V26" s="345"/>
      <c r="W26" s="345"/>
      <c r="X26" s="345"/>
      <c r="Y26" s="345"/>
      <c r="Z26" s="345"/>
      <c r="AA26" s="345"/>
      <c r="AB26" s="345"/>
      <c r="AC26" s="345"/>
      <c r="AD26" s="345"/>
      <c r="AE26" s="345"/>
      <c r="AF26" s="336"/>
      <c r="AG26" s="530">
        <f>Imps!L26</f>
        <v>43768.239583333278</v>
      </c>
      <c r="AH26" s="251">
        <f>MIN(25%,(BG26+CE26)/(E26-Explore!S26*20))</f>
        <v>0</v>
      </c>
      <c r="AI26" s="187">
        <f t="shared" si="12"/>
        <v>0</v>
      </c>
      <c r="AJ26" s="152">
        <f ca="1">Production!$H26</f>
        <v>4572671</v>
      </c>
      <c r="AK26" s="166">
        <f ca="1">Production!$J26</f>
        <v>333328</v>
      </c>
      <c r="AL26" s="152">
        <f ca="1">ROUND( (1 - MIN(facs_constr_factor*$AH26,facs_constr_max)) * (1+MIN(tech_construction*Techs!AC26,tech_conquerors_crafts*Techs!AS26)) * AU26*(1+race_construction_cost),0)</f>
        <v>1615</v>
      </c>
      <c r="AM26" s="166">
        <f t="shared" si="3"/>
        <v>263</v>
      </c>
      <c r="AN26" s="152">
        <f ca="1">ROUND( (1 - MIN(facs_constr_factor*$AI26,facs_constr_max)) * (1+MIN(tech_construction*Techs!AE26,tech_conquerors_crafts*Techs!AU26)) * AU26*(1+race_construction_cost),0)</f>
        <v>1615</v>
      </c>
      <c r="AO26" s="166">
        <f t="shared" si="13"/>
        <v>263</v>
      </c>
      <c r="AP26" s="170">
        <f t="shared" ca="1" si="54"/>
        <v>0</v>
      </c>
      <c r="AQ26" s="157">
        <f t="shared" si="55"/>
        <v>0</v>
      </c>
      <c r="AR26" s="170">
        <f>MIN(SUM(F25:L25)+SUM(Explore!T14:Z14)+SUM(BV26:CN26),SUM($N26:$AF26))</f>
        <v>0</v>
      </c>
      <c r="AS26" s="170">
        <f>IF(Explore!S26&lt;&gt;0,MAX(0, MIN(20, 20 + SUM(N26:AF26) - SUM(BV26:CN26) - SUM(F25:L25)-SUM(Explore!T14:Z14)-20*Explore!S26)),0)</f>
        <v>0</v>
      </c>
      <c r="AU26" s="152">
        <f t="shared" si="16"/>
        <v>1615</v>
      </c>
      <c r="AV26" s="166">
        <f t="shared" si="17"/>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39"/>
      <c r="BS26" s="156">
        <f t="shared" si="4"/>
        <v>1000</v>
      </c>
      <c r="BT26" s="530">
        <f t="shared" si="42"/>
        <v>43768.958333333278</v>
      </c>
      <c r="BV26" s="352"/>
      <c r="BW26" s="345"/>
      <c r="BX26" s="345"/>
      <c r="BY26" s="345"/>
      <c r="BZ26" s="345"/>
      <c r="CA26" s="345"/>
      <c r="CB26" s="345"/>
      <c r="CC26" s="345"/>
      <c r="CD26" s="345"/>
      <c r="CE26" s="345"/>
      <c r="CF26" s="345"/>
      <c r="CG26" s="345"/>
      <c r="CH26" s="345"/>
      <c r="CI26" s="345"/>
      <c r="CJ26" s="345"/>
      <c r="CK26" s="345"/>
      <c r="CL26" s="345"/>
      <c r="CM26" s="759"/>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6">
        <f>-$AF26+$CN26 +Rezone!R26 + IF(home_land=CV$2,CW26) + Explore!Z14</f>
        <v>0</v>
      </c>
      <c r="CW26" s="159">
        <f>IF(Explore!S26=1,25) - N26 + BV26</f>
        <v>0</v>
      </c>
      <c r="CY26" s="152">
        <f t="shared" si="43"/>
        <v>150</v>
      </c>
      <c r="CZ26" s="164">
        <f t="shared" si="44"/>
        <v>150</v>
      </c>
      <c r="DA26" s="170">
        <f t="shared" si="45"/>
        <v>150</v>
      </c>
      <c r="DB26" s="164">
        <f t="shared" si="46"/>
        <v>150</v>
      </c>
      <c r="DC26" s="164">
        <f t="shared" si="47"/>
        <v>150</v>
      </c>
      <c r="DD26" s="170">
        <f t="shared" si="48"/>
        <v>150</v>
      </c>
      <c r="DE26" s="166">
        <f t="shared" si="49"/>
        <v>100</v>
      </c>
      <c r="DF26" s="164">
        <f t="shared" ca="1" si="51"/>
        <v>150</v>
      </c>
      <c r="DG26" s="170">
        <f t="shared" si="52"/>
        <v>0</v>
      </c>
      <c r="DH26" s="170">
        <f t="shared" si="53"/>
        <v>26</v>
      </c>
      <c r="DI26" s="166"/>
    </row>
    <row r="27" spans="1:113" s="16" customFormat="1" x14ac:dyDescent="0.25">
      <c r="A27" s="36">
        <f t="shared" si="40"/>
        <v>820</v>
      </c>
      <c r="B27" s="36">
        <f>SUM(AX27:BP27)</f>
        <v>180</v>
      </c>
      <c r="C27" s="83">
        <f t="shared" si="41"/>
        <v>0</v>
      </c>
      <c r="D27" s="572"/>
      <c r="E27" s="16">
        <f t="shared" si="2"/>
        <v>1000</v>
      </c>
      <c r="F27" s="86">
        <f t="shared" si="5"/>
        <v>70</v>
      </c>
      <c r="G27" s="37">
        <f t="shared" si="6"/>
        <v>100</v>
      </c>
      <c r="H27" s="247">
        <f t="shared" si="7"/>
        <v>150</v>
      </c>
      <c r="I27" s="38">
        <f t="shared" si="8"/>
        <v>150</v>
      </c>
      <c r="J27" s="39">
        <f t="shared" si="9"/>
        <v>100</v>
      </c>
      <c r="K27" s="40">
        <f t="shared" si="10"/>
        <v>150</v>
      </c>
      <c r="L27" s="498">
        <f t="shared" si="11"/>
        <v>100</v>
      </c>
      <c r="M27" s="633">
        <f>Rezone!J27</f>
        <v>25</v>
      </c>
      <c r="N27" s="356"/>
      <c r="O27" s="345"/>
      <c r="P27" s="348"/>
      <c r="Q27" s="348"/>
      <c r="R27" s="345"/>
      <c r="S27" s="348"/>
      <c r="T27" s="348"/>
      <c r="U27" s="348"/>
      <c r="V27" s="348"/>
      <c r="W27" s="345"/>
      <c r="X27" s="345"/>
      <c r="Y27" s="348"/>
      <c r="Z27" s="345"/>
      <c r="AA27" s="348"/>
      <c r="AB27" s="348"/>
      <c r="AC27" s="345"/>
      <c r="AD27" s="348"/>
      <c r="AE27" s="348"/>
      <c r="AF27" s="336"/>
      <c r="AG27" s="530">
        <f>Imps!L27</f>
        <v>43768.249999999942</v>
      </c>
      <c r="AH27" s="91">
        <f>MIN(25%,(BG27+CE27)/(E27-Explore!S27*20))</f>
        <v>0</v>
      </c>
      <c r="AI27" s="59">
        <f t="shared" si="12"/>
        <v>0</v>
      </c>
      <c r="AJ27" s="56">
        <f ca="1">Production!$H27</f>
        <v>4581257</v>
      </c>
      <c r="AK27" s="57">
        <f ca="1">Production!$J27</f>
        <v>332495</v>
      </c>
      <c r="AL27" s="152">
        <f ca="1">ROUND( (1 - MIN(facs_constr_factor*$AH27,facs_constr_max)) * (1+MIN(tech_construction*Techs!AC27,tech_conquerors_crafts*Techs!AS27)) * AU27*(1+race_construction_cost),0)</f>
        <v>1615</v>
      </c>
      <c r="AM27" s="166">
        <f t="shared" si="3"/>
        <v>263</v>
      </c>
      <c r="AN27" s="152">
        <f ca="1">ROUND( (1 - MIN(facs_constr_factor*$AI27,facs_constr_max)) * (1+MIN(tech_construction*Techs!AE27,tech_conquerors_crafts*Techs!AU27)) * AU27*(1+race_construction_cost),0)</f>
        <v>1615</v>
      </c>
      <c r="AO27" s="166">
        <f t="shared" si="13"/>
        <v>263</v>
      </c>
      <c r="AP27" s="16">
        <f t="shared" ca="1" si="54"/>
        <v>0</v>
      </c>
      <c r="AQ27" s="53">
        <f t="shared" si="55"/>
        <v>0</v>
      </c>
      <c r="AR27" s="16">
        <f>MIN(SUM(F26:L26)+SUM(Explore!T15:Z15)+SUM(BV27:CN27),SUM($N27:$AF27))</f>
        <v>0</v>
      </c>
      <c r="AS27" s="16">
        <f>IF(Explore!S27&lt;&gt;0,MAX(0, MIN(20, 20 + SUM(N27:AF27) - SUM(BV27:CN27) - SUM(F26:L26)-SUM(Explore!T15:Z15)-20*Explore!S27)),0)</f>
        <v>0</v>
      </c>
      <c r="AU27" s="152">
        <f t="shared" si="16"/>
        <v>1615</v>
      </c>
      <c r="AV27" s="166">
        <f t="shared" si="17"/>
        <v>262.5</v>
      </c>
      <c r="AW27" s="164"/>
      <c r="AX27" s="295">
        <f>AX26 + IF(Overview!$B$14="Gnome",N18,N15) -BV27</f>
        <v>0</v>
      </c>
      <c r="AY27" s="28">
        <f>AY26 + IF(Overview!$B$14="Gnome",O18,O15) -BW27</f>
        <v>0</v>
      </c>
      <c r="AZ27" s="28">
        <f>AZ26 + IF(Overview!$B$14="Gnome",P18,P15) -BX27</f>
        <v>80</v>
      </c>
      <c r="BA27" s="28">
        <f>BA26 + IF(Overview!$B$14="Gnome",Q18,Q15) -BY27</f>
        <v>0</v>
      </c>
      <c r="BB27" s="28">
        <f>BB26 + IF(Overview!$B$14="Gnome",R18,R15) -BZ27</f>
        <v>0</v>
      </c>
      <c r="BC27" s="29">
        <f>BC26 + IF(Overview!$B$14="Gnome",S18,S15) -CA27</f>
        <v>50</v>
      </c>
      <c r="BD27" s="29">
        <f>BD26 + IF(Overview!$B$14="Gnome",T18,T15) -CB27</f>
        <v>0</v>
      </c>
      <c r="BE27" s="30">
        <f>BE26 + IF(Overview!$B$14="Gnome",U18,U15) -CC27</f>
        <v>0</v>
      </c>
      <c r="BF27" s="30">
        <f>BF26 + IF(Overview!$B$14="Gnome",V18,V15) -CD27</f>
        <v>0</v>
      </c>
      <c r="BG27" s="31">
        <f>BG26 + IF(Overview!$B$14="Gnome",W18,W15) -CE27</f>
        <v>0</v>
      </c>
      <c r="BH27" s="31">
        <f>BH26 + IF(Overview!$B$14="Gnome",X18,X15) -CF27</f>
        <v>0</v>
      </c>
      <c r="BI27" s="31">
        <f>BI26 + IF(Overview!$B$14="Gnome",Y18,Y15) -CG27</f>
        <v>0</v>
      </c>
      <c r="BJ27" s="31">
        <f>BJ26 + IF(Overview!$B$14="Gnome",Z18,Z15) -CH27</f>
        <v>0</v>
      </c>
      <c r="BK27" s="32">
        <f>BK26 + IF(Overview!$B$14="Gnome",AA18,AA15) -CI27</f>
        <v>50</v>
      </c>
      <c r="BL27" s="32">
        <f>BL26 + IF(Overview!$B$14="Gnome",AB18,AB15) -CJ27</f>
        <v>0</v>
      </c>
      <c r="BM27" s="32">
        <f>BM26 + IF(Overview!$B$14="Gnome",AC18,AC15) -CK27</f>
        <v>0</v>
      </c>
      <c r="BN27" s="33">
        <f>BN26 + IF(Overview!$B$14="Gnome",AD18,AD15) -CL27</f>
        <v>0</v>
      </c>
      <c r="BO27" s="33">
        <f>BO26 + IF(Overview!$B$14="Gnome",AE18,AE15) -CM27</f>
        <v>0</v>
      </c>
      <c r="BP27" s="69">
        <f>BP26 + IF(Overview!$B$14="Gnome",AF18,AF15) -CN27</f>
        <v>0</v>
      </c>
      <c r="BR27" s="441"/>
      <c r="BS27" s="156">
        <f t="shared" si="4"/>
        <v>1000</v>
      </c>
      <c r="BT27" s="572">
        <f t="shared" si="42"/>
        <v>43768.999999999942</v>
      </c>
      <c r="BV27" s="356"/>
      <c r="BW27" s="348"/>
      <c r="BX27" s="348"/>
      <c r="BY27" s="348"/>
      <c r="BZ27" s="348"/>
      <c r="CA27" s="348"/>
      <c r="CB27" s="348"/>
      <c r="CC27" s="348"/>
      <c r="CD27" s="348"/>
      <c r="CE27" s="348"/>
      <c r="CF27" s="348"/>
      <c r="CG27" s="348"/>
      <c r="CH27" s="348"/>
      <c r="CI27" s="348"/>
      <c r="CJ27" s="348"/>
      <c r="CK27" s="348"/>
      <c r="CL27" s="348"/>
      <c r="CM27" s="360"/>
      <c r="CN27" s="357"/>
      <c r="CP27" s="86">
        <f>-SUM($O27:$R27)+SUM($BW27:BZ27)+Rezone!L27+IF(home_land=CP$2,CW27) + Explore!T15</f>
        <v>0</v>
      </c>
      <c r="CQ27" s="37">
        <f>-SUM($S27:$T27)+SUM($CA27:$CB27) +Rezone!M27 + IF(home_land=CQ$2,CW27) + Explore!U15</f>
        <v>0</v>
      </c>
      <c r="CR27" s="247">
        <f>-SUM($U27:$V27)+SUM($CC27:$CD27) +Rezone!N27 + IF(home_land=CR$2,CW27) + Explore!V15</f>
        <v>0</v>
      </c>
      <c r="CS27" s="38">
        <f>-SUM($W27:$Z27)+SUM($CE27:$CH27) +Rezone!O27 + IF(home_land=CS$2,CW27) + Explore!W15</f>
        <v>0</v>
      </c>
      <c r="CT27" s="39">
        <f>-SUM($AA27:$AC27)+SUM($CI27:$CK27) +Rezone!P27 + IF(home_land=CT$2,CW27) + Explore!X15</f>
        <v>0</v>
      </c>
      <c r="CU27" s="40">
        <f xml:space="preserve"> - SUM($AD27,$AE27)+SUM($CL27,$CM27) +Rezone!Q27 + IF(home_land=CU$2,CW27)+Explore!Y15</f>
        <v>0</v>
      </c>
      <c r="CV27" s="498">
        <f>-$AF27+$CN27 +Rezone!R27 + IF(home_land=CV$2,CW27) + Explore!Z15</f>
        <v>0</v>
      </c>
      <c r="CW27" s="159">
        <f>IF(Explore!S27=1,25) - N27 + BV27</f>
        <v>0</v>
      </c>
      <c r="CY27" s="152">
        <f t="shared" si="43"/>
        <v>150</v>
      </c>
      <c r="CZ27" s="164">
        <f t="shared" si="44"/>
        <v>150</v>
      </c>
      <c r="DA27" s="16">
        <f t="shared" si="45"/>
        <v>150</v>
      </c>
      <c r="DB27" s="164">
        <f t="shared" si="46"/>
        <v>150</v>
      </c>
      <c r="DC27" s="164">
        <f t="shared" si="47"/>
        <v>150</v>
      </c>
      <c r="DD27" s="16">
        <f t="shared" si="48"/>
        <v>150</v>
      </c>
      <c r="DE27" s="166">
        <f t="shared" si="49"/>
        <v>100</v>
      </c>
      <c r="DF27" s="164">
        <f t="shared" ca="1" si="51"/>
        <v>150</v>
      </c>
      <c r="DG27" s="16">
        <f t="shared" si="52"/>
        <v>0</v>
      </c>
      <c r="DH27" s="16">
        <f t="shared" si="53"/>
        <v>27</v>
      </c>
      <c r="DI27" s="166"/>
    </row>
    <row r="28" spans="1:113" s="170" customFormat="1" x14ac:dyDescent="0.25">
      <c r="A28" s="242">
        <f t="shared" si="40"/>
        <v>820</v>
      </c>
      <c r="B28" s="242">
        <f t="shared" si="50"/>
        <v>180</v>
      </c>
      <c r="C28" s="243">
        <f t="shared" si="41"/>
        <v>0</v>
      </c>
      <c r="D28" s="530"/>
      <c r="E28" s="170">
        <f t="shared" si="2"/>
        <v>1000</v>
      </c>
      <c r="F28" s="245">
        <f t="shared" si="5"/>
        <v>70</v>
      </c>
      <c r="G28" s="246">
        <f t="shared" si="6"/>
        <v>100</v>
      </c>
      <c r="H28" s="247">
        <f t="shared" si="7"/>
        <v>150</v>
      </c>
      <c r="I28" s="248">
        <f t="shared" si="8"/>
        <v>150</v>
      </c>
      <c r="J28" s="249">
        <f t="shared" si="9"/>
        <v>100</v>
      </c>
      <c r="K28" s="250">
        <f t="shared" si="10"/>
        <v>150</v>
      </c>
      <c r="L28" s="496">
        <f t="shared" si="11"/>
        <v>100</v>
      </c>
      <c r="M28" s="632">
        <f>Rezone!J28</f>
        <v>26</v>
      </c>
      <c r="N28" s="352"/>
      <c r="O28" s="345"/>
      <c r="P28" s="345"/>
      <c r="Q28" s="345"/>
      <c r="R28" s="345"/>
      <c r="S28" s="348"/>
      <c r="T28" s="345"/>
      <c r="U28" s="345"/>
      <c r="V28" s="345"/>
      <c r="W28" s="345"/>
      <c r="X28" s="345"/>
      <c r="Y28" s="345"/>
      <c r="Z28" s="345"/>
      <c r="AA28" s="345"/>
      <c r="AB28" s="345"/>
      <c r="AC28" s="345"/>
      <c r="AD28" s="345"/>
      <c r="AE28" s="345"/>
      <c r="AF28" s="336"/>
      <c r="AG28" s="530">
        <f>Imps!L28</f>
        <v>43768.260416666606</v>
      </c>
      <c r="AH28" s="251">
        <f>MIN(25%,(BG28+CE28)/(E28-Explore!S28*20))</f>
        <v>0</v>
      </c>
      <c r="AI28" s="187">
        <f t="shared" si="12"/>
        <v>0</v>
      </c>
      <c r="AJ28" s="152">
        <f ca="1">Production!$H28</f>
        <v>4589413</v>
      </c>
      <c r="AK28" s="166">
        <f ca="1">Production!$J28</f>
        <v>331670</v>
      </c>
      <c r="AL28" s="152">
        <f ca="1">ROUND( (1 - MIN(facs_constr_factor*$AH28,facs_constr_max)) * (1+MIN(tech_construction*Techs!AC28,tech_conquerors_crafts*Techs!AS28)) * AU28*(1+race_construction_cost),0)</f>
        <v>1615</v>
      </c>
      <c r="AM28" s="166">
        <f t="shared" si="3"/>
        <v>263</v>
      </c>
      <c r="AN28" s="152">
        <f ca="1">ROUND( (1 - MIN(facs_constr_factor*$AI28,facs_constr_max)) * (1+MIN(tech_construction*Techs!AE28,tech_conquerors_crafts*Techs!AU28)) * AU28*(1+race_construction_cost),0)</f>
        <v>1615</v>
      </c>
      <c r="AO28" s="166">
        <f t="shared" si="13"/>
        <v>263</v>
      </c>
      <c r="AP28" s="170">
        <f t="shared" ca="1" si="54"/>
        <v>0</v>
      </c>
      <c r="AQ28" s="157">
        <f t="shared" si="55"/>
        <v>0</v>
      </c>
      <c r="AR28" s="170">
        <f>MIN(SUM(F27:L27)+SUM(Explore!T16:Z16)+SUM(BV28:CN28),SUM($N28:$AF28))</f>
        <v>0</v>
      </c>
      <c r="AS28" s="170">
        <f>IF(Explore!S28&lt;&gt;0,MAX(0, MIN(20, 20 + SUM(N28:AF28) - SUM(BV28:CN28) - SUM(F27:L27)-SUM(Explore!T16:Z16)-20*Explore!S28)),0)</f>
        <v>0</v>
      </c>
      <c r="AU28" s="152">
        <f t="shared" si="16"/>
        <v>1615</v>
      </c>
      <c r="AV28" s="166">
        <f t="shared" si="17"/>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39"/>
      <c r="BS28" s="156">
        <f t="shared" si="4"/>
        <v>1000</v>
      </c>
      <c r="BT28" s="530">
        <f t="shared" si="42"/>
        <v>43769.041666666606</v>
      </c>
      <c r="BV28" s="352"/>
      <c r="BW28" s="345"/>
      <c r="BX28" s="345"/>
      <c r="BY28" s="345"/>
      <c r="BZ28" s="345"/>
      <c r="CA28" s="345"/>
      <c r="CB28" s="345"/>
      <c r="CC28" s="345"/>
      <c r="CD28" s="345"/>
      <c r="CE28" s="345"/>
      <c r="CF28" s="345"/>
      <c r="CG28" s="345"/>
      <c r="CH28" s="345"/>
      <c r="CI28" s="345"/>
      <c r="CJ28" s="345"/>
      <c r="CK28" s="345"/>
      <c r="CL28" s="345"/>
      <c r="CM28" s="759"/>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6">
        <f>-$AF28+$CN28 +Rezone!R28 + IF(home_land=CV$2,CW28) + Explore!Z16</f>
        <v>0</v>
      </c>
      <c r="CW28" s="159">
        <f>IF(Explore!S28=1,25) - N28 + BV28</f>
        <v>0</v>
      </c>
      <c r="CY28" s="152">
        <f t="shared" si="43"/>
        <v>150</v>
      </c>
      <c r="CZ28" s="164">
        <f t="shared" si="44"/>
        <v>150</v>
      </c>
      <c r="DA28" s="170">
        <f t="shared" si="45"/>
        <v>150</v>
      </c>
      <c r="DB28" s="164">
        <f t="shared" si="46"/>
        <v>150</v>
      </c>
      <c r="DC28" s="164">
        <f t="shared" si="47"/>
        <v>150</v>
      </c>
      <c r="DD28" s="170">
        <f t="shared" si="48"/>
        <v>150</v>
      </c>
      <c r="DE28" s="166">
        <f t="shared" si="49"/>
        <v>100</v>
      </c>
      <c r="DF28" s="164">
        <f t="shared" ca="1" si="51"/>
        <v>150</v>
      </c>
      <c r="DG28" s="170">
        <f t="shared" si="52"/>
        <v>0</v>
      </c>
      <c r="DH28" s="170">
        <f t="shared" si="53"/>
        <v>28</v>
      </c>
      <c r="DI28" s="166"/>
    </row>
    <row r="29" spans="1:113" s="170" customFormat="1" x14ac:dyDescent="0.25">
      <c r="A29" s="242">
        <f t="shared" si="40"/>
        <v>820</v>
      </c>
      <c r="B29" s="242">
        <f t="shared" si="50"/>
        <v>180</v>
      </c>
      <c r="C29" s="243">
        <f t="shared" si="41"/>
        <v>0</v>
      </c>
      <c r="D29" s="530"/>
      <c r="E29" s="170">
        <f t="shared" si="2"/>
        <v>1000</v>
      </c>
      <c r="F29" s="245">
        <f t="shared" si="5"/>
        <v>70</v>
      </c>
      <c r="G29" s="246">
        <f t="shared" si="6"/>
        <v>100</v>
      </c>
      <c r="H29" s="247">
        <f t="shared" si="7"/>
        <v>150</v>
      </c>
      <c r="I29" s="248">
        <f t="shared" si="8"/>
        <v>150</v>
      </c>
      <c r="J29" s="249">
        <f t="shared" si="9"/>
        <v>100</v>
      </c>
      <c r="K29" s="250">
        <f t="shared" si="10"/>
        <v>150</v>
      </c>
      <c r="L29" s="496">
        <f t="shared" si="11"/>
        <v>100</v>
      </c>
      <c r="M29" s="632">
        <f>Rezone!J29</f>
        <v>27</v>
      </c>
      <c r="N29" s="356"/>
      <c r="O29" s="345"/>
      <c r="P29" s="345"/>
      <c r="Q29" s="345"/>
      <c r="R29" s="345"/>
      <c r="S29" s="348"/>
      <c r="T29" s="345"/>
      <c r="U29" s="345"/>
      <c r="V29" s="345"/>
      <c r="W29" s="345"/>
      <c r="X29" s="345"/>
      <c r="Y29" s="345"/>
      <c r="Z29" s="345"/>
      <c r="AA29" s="345"/>
      <c r="AB29" s="345"/>
      <c r="AC29" s="345"/>
      <c r="AD29" s="345"/>
      <c r="AE29" s="345"/>
      <c r="AF29" s="336"/>
      <c r="AG29" s="530">
        <f>Imps!L29</f>
        <v>43768.27083333327</v>
      </c>
      <c r="AH29" s="251">
        <f>MIN(25%,(BG29+CE29)/(E29-Explore!S29*20))</f>
        <v>0</v>
      </c>
      <c r="AI29" s="187">
        <f t="shared" si="12"/>
        <v>0</v>
      </c>
      <c r="AJ29" s="152">
        <f ca="1">Production!$H29</f>
        <v>4597162</v>
      </c>
      <c r="AK29" s="166">
        <f ca="1">Production!$J29</f>
        <v>330853</v>
      </c>
      <c r="AL29" s="152">
        <f ca="1">ROUND( (1 - MIN(facs_constr_factor*$AH29,facs_constr_max)) * (1+MIN(tech_construction*Techs!AC29,tech_conquerors_crafts*Techs!AS29)) * AU29*(1+race_construction_cost),0)</f>
        <v>1615</v>
      </c>
      <c r="AM29" s="166">
        <f t="shared" si="3"/>
        <v>263</v>
      </c>
      <c r="AN29" s="152">
        <f ca="1">ROUND( (1 - MIN(facs_constr_factor*$AI29,facs_constr_max)) * (1+MIN(tech_construction*Techs!AE29,tech_conquerors_crafts*Techs!AU29)) * AU29*(1+race_construction_cost),0)</f>
        <v>1615</v>
      </c>
      <c r="AO29" s="166">
        <f t="shared" si="13"/>
        <v>263</v>
      </c>
      <c r="AP29" s="170">
        <f t="shared" ca="1" si="54"/>
        <v>0</v>
      </c>
      <c r="AQ29" s="157">
        <f t="shared" si="55"/>
        <v>0</v>
      </c>
      <c r="AR29" s="170">
        <f>MIN(SUM(F28:L28)+SUM(Explore!T17:Z17)+SUM(BV29:CN29),SUM($N29:$AF29))</f>
        <v>0</v>
      </c>
      <c r="AS29" s="170">
        <f>IF(Explore!S29&lt;&gt;0,MAX(0, MIN(20, 20 + SUM(N29:AF29) - SUM(BV29:CN29) - SUM(F28:L28)-SUM(Explore!T17:Z17)-20*Explore!S29)),0)</f>
        <v>0</v>
      </c>
      <c r="AU29" s="152">
        <f t="shared" si="16"/>
        <v>1615</v>
      </c>
      <c r="AV29" s="166">
        <f t="shared" si="17"/>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39"/>
      <c r="BS29" s="156">
        <f t="shared" si="4"/>
        <v>1000</v>
      </c>
      <c r="BT29" s="530">
        <f t="shared" si="42"/>
        <v>43769.08333333327</v>
      </c>
      <c r="BV29" s="352"/>
      <c r="BW29" s="345"/>
      <c r="BX29" s="345"/>
      <c r="BY29" s="345"/>
      <c r="BZ29" s="345"/>
      <c r="CA29" s="345"/>
      <c r="CB29" s="345"/>
      <c r="CC29" s="345"/>
      <c r="CD29" s="345"/>
      <c r="CE29" s="345"/>
      <c r="CF29" s="345"/>
      <c r="CG29" s="345"/>
      <c r="CH29" s="345"/>
      <c r="CI29" s="345"/>
      <c r="CJ29" s="345"/>
      <c r="CK29" s="345"/>
      <c r="CL29" s="345"/>
      <c r="CM29" s="759"/>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6">
        <f>-$AF29+$CN29 +Rezone!R29 + IF(home_land=CV$2,CW29) + Explore!Z17</f>
        <v>0</v>
      </c>
      <c r="CW29" s="159">
        <f>IF(Explore!S29=1,25) - N29 + BV29</f>
        <v>0</v>
      </c>
      <c r="CY29" s="152">
        <f t="shared" si="43"/>
        <v>150</v>
      </c>
      <c r="CZ29" s="164">
        <f t="shared" si="44"/>
        <v>150</v>
      </c>
      <c r="DA29" s="170">
        <f t="shared" si="45"/>
        <v>150</v>
      </c>
      <c r="DB29" s="164">
        <f t="shared" si="46"/>
        <v>150</v>
      </c>
      <c r="DC29" s="164">
        <f t="shared" si="47"/>
        <v>150</v>
      </c>
      <c r="DD29" s="170">
        <f t="shared" si="48"/>
        <v>150</v>
      </c>
      <c r="DE29" s="166">
        <f t="shared" si="49"/>
        <v>100</v>
      </c>
      <c r="DF29" s="164">
        <f t="shared" ca="1" si="51"/>
        <v>150</v>
      </c>
      <c r="DG29" s="170">
        <f t="shared" si="52"/>
        <v>0</v>
      </c>
      <c r="DH29" s="170">
        <f t="shared" si="53"/>
        <v>29</v>
      </c>
      <c r="DI29" s="166"/>
    </row>
    <row r="30" spans="1:113" s="16" customFormat="1" ht="13.8" thickBot="1" x14ac:dyDescent="0.3">
      <c r="A30" s="36">
        <f t="shared" si="40"/>
        <v>820</v>
      </c>
      <c r="B30" s="36">
        <f t="shared" si="50"/>
        <v>180</v>
      </c>
      <c r="C30" s="83">
        <f t="shared" si="41"/>
        <v>0</v>
      </c>
      <c r="D30" s="572"/>
      <c r="E30" s="16">
        <f t="shared" si="2"/>
        <v>1000</v>
      </c>
      <c r="F30" s="86">
        <f t="shared" si="5"/>
        <v>70</v>
      </c>
      <c r="G30" s="37">
        <f t="shared" si="6"/>
        <v>100</v>
      </c>
      <c r="H30" s="247">
        <f t="shared" si="7"/>
        <v>150</v>
      </c>
      <c r="I30" s="38">
        <f t="shared" si="8"/>
        <v>150</v>
      </c>
      <c r="J30" s="39">
        <f t="shared" si="9"/>
        <v>100</v>
      </c>
      <c r="K30" s="40">
        <f t="shared" si="10"/>
        <v>150</v>
      </c>
      <c r="L30" s="498">
        <f t="shared" si="11"/>
        <v>100</v>
      </c>
      <c r="M30" s="633">
        <f>Rezone!J30</f>
        <v>28</v>
      </c>
      <c r="N30" s="356"/>
      <c r="O30" s="363"/>
      <c r="P30" s="348"/>
      <c r="Q30" s="348"/>
      <c r="R30" s="345"/>
      <c r="S30" s="348"/>
      <c r="T30" s="348"/>
      <c r="U30" s="348"/>
      <c r="V30" s="348"/>
      <c r="W30" s="345"/>
      <c r="X30" s="345"/>
      <c r="Y30" s="348"/>
      <c r="Z30" s="345"/>
      <c r="AA30" s="348"/>
      <c r="AB30" s="348"/>
      <c r="AC30" s="345"/>
      <c r="AD30" s="348"/>
      <c r="AE30" s="348"/>
      <c r="AF30" s="336"/>
      <c r="AG30" s="530">
        <f>Imps!L30</f>
        <v>43768.281249999935</v>
      </c>
      <c r="AH30" s="91">
        <f>MIN(25%,(BG30+CE30)/(E30-Explore!S30*20))</f>
        <v>0</v>
      </c>
      <c r="AI30" s="59">
        <f t="shared" si="12"/>
        <v>0</v>
      </c>
      <c r="AJ30" s="56">
        <f ca="1">Production!$H30</f>
        <v>4604523</v>
      </c>
      <c r="AK30" s="57">
        <f ca="1">Production!$J30</f>
        <v>330044</v>
      </c>
      <c r="AL30" s="152">
        <f ca="1">ROUND( (1 - MIN(facs_constr_factor*$AH30,facs_constr_max)) * (1+MIN(tech_construction*Techs!AC30,tech_conquerors_crafts*Techs!AS30)) * AU30*(1+race_construction_cost),0)</f>
        <v>1615</v>
      </c>
      <c r="AM30" s="166">
        <f t="shared" si="3"/>
        <v>263</v>
      </c>
      <c r="AN30" s="152">
        <f ca="1">ROUND( (1 - MIN(facs_constr_factor*$AI30,facs_constr_max)) * (1+MIN(tech_construction*Techs!AE30,tech_conquerors_crafts*Techs!AU30)) * AU30*(1+race_construction_cost),0)</f>
        <v>1615</v>
      </c>
      <c r="AO30" s="166">
        <f t="shared" si="13"/>
        <v>263</v>
      </c>
      <c r="AP30" s="16">
        <f t="shared" ca="1" si="54"/>
        <v>0</v>
      </c>
      <c r="AQ30" s="53">
        <f t="shared" si="55"/>
        <v>0</v>
      </c>
      <c r="AR30" s="16">
        <f>MIN(SUM(F29:L29)+SUM(Explore!T18:Z18)+SUM(BV30:CN30),SUM($N30:$AF30))</f>
        <v>0</v>
      </c>
      <c r="AS30" s="16">
        <f>IF(Explore!S30&lt;&gt;0,MAX(0, MIN(20, 20 + SUM(N30:AF30) - SUM(BV30:CN30) - SUM(F29:L29)-SUM(Explore!T18:Z18)-20*Explore!S30)),0)</f>
        <v>0</v>
      </c>
      <c r="AU30" s="152">
        <f t="shared" si="16"/>
        <v>1615</v>
      </c>
      <c r="AV30" s="166">
        <f t="shared" si="17"/>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1"/>
      <c r="BS30" s="156">
        <f t="shared" si="4"/>
        <v>1000</v>
      </c>
      <c r="BT30" s="572">
        <f t="shared" si="42"/>
        <v>43769.124999999935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498">
        <f>-$AF30+$CN30 +Rezone!R30 + IF(home_land=CV$2,CW30) + Explore!Z18</f>
        <v>0</v>
      </c>
      <c r="CW30" s="159">
        <f>IF(Explore!S30=1,25) - N30 + BV30</f>
        <v>0</v>
      </c>
      <c r="CY30" s="152">
        <f t="shared" si="43"/>
        <v>150</v>
      </c>
      <c r="CZ30" s="164">
        <f t="shared" si="44"/>
        <v>150</v>
      </c>
      <c r="DA30" s="16">
        <f t="shared" si="45"/>
        <v>150</v>
      </c>
      <c r="DB30" s="164">
        <f t="shared" si="46"/>
        <v>150</v>
      </c>
      <c r="DC30" s="164">
        <f t="shared" si="47"/>
        <v>150</v>
      </c>
      <c r="DD30" s="16">
        <f t="shared" si="48"/>
        <v>150</v>
      </c>
      <c r="DE30" s="166">
        <f t="shared" si="49"/>
        <v>100</v>
      </c>
      <c r="DF30" s="164">
        <f t="shared" ca="1" si="51"/>
        <v>150</v>
      </c>
      <c r="DG30" s="16">
        <f t="shared" si="52"/>
        <v>0</v>
      </c>
      <c r="DH30" s="16">
        <f t="shared" si="53"/>
        <v>30</v>
      </c>
      <c r="DI30" s="166"/>
    </row>
    <row r="31" spans="1:113" s="1203" customFormat="1" ht="14.4" thickTop="1" thickBot="1" x14ac:dyDescent="0.3">
      <c r="A31" s="1215">
        <f t="shared" si="40"/>
        <v>820</v>
      </c>
      <c r="B31" s="1215">
        <f t="shared" si="50"/>
        <v>180</v>
      </c>
      <c r="C31" s="1216">
        <f t="shared" si="41"/>
        <v>0</v>
      </c>
      <c r="D31" s="1204"/>
      <c r="E31" s="1203">
        <f t="shared" si="2"/>
        <v>1000</v>
      </c>
      <c r="F31" s="1192">
        <f t="shared" si="5"/>
        <v>70</v>
      </c>
      <c r="G31" s="1193">
        <f t="shared" si="6"/>
        <v>100</v>
      </c>
      <c r="H31" s="1193">
        <f t="shared" si="7"/>
        <v>150</v>
      </c>
      <c r="I31" s="1193">
        <f t="shared" si="8"/>
        <v>150</v>
      </c>
      <c r="J31" s="1193">
        <f t="shared" si="9"/>
        <v>100</v>
      </c>
      <c r="K31" s="1193">
        <f t="shared" si="10"/>
        <v>150</v>
      </c>
      <c r="L31" s="1193">
        <f t="shared" si="11"/>
        <v>100</v>
      </c>
      <c r="M31" s="1197">
        <f>Rezone!J31</f>
        <v>29</v>
      </c>
      <c r="N31" s="1217"/>
      <c r="O31" s="1200"/>
      <c r="P31" s="1200"/>
      <c r="Q31" s="1200"/>
      <c r="R31" s="1200"/>
      <c r="S31" s="1218"/>
      <c r="T31" s="1200"/>
      <c r="U31" s="1200"/>
      <c r="V31" s="1200"/>
      <c r="W31" s="1200"/>
      <c r="X31" s="1200"/>
      <c r="Y31" s="1200"/>
      <c r="Z31" s="1200"/>
      <c r="AA31" s="1200"/>
      <c r="AB31" s="1200"/>
      <c r="AC31" s="1200"/>
      <c r="AD31" s="1200"/>
      <c r="AE31" s="1200"/>
      <c r="AF31" s="1219"/>
      <c r="AG31" s="1204">
        <f>Imps!L31</f>
        <v>43768.291666666599</v>
      </c>
      <c r="AH31" s="1220">
        <f>MIN(25%,(BG31+CE31)/(E31-Explore!S31*20))</f>
        <v>0</v>
      </c>
      <c r="AI31" s="1221">
        <f t="shared" si="12"/>
        <v>0</v>
      </c>
      <c r="AJ31" s="1192">
        <f ca="1">Production!$H31</f>
        <v>4611516</v>
      </c>
      <c r="AK31" s="1198">
        <f ca="1">Production!$J31</f>
        <v>329244</v>
      </c>
      <c r="AL31" s="1192">
        <f ca="1">ROUND( (1 - MIN(facs_constr_factor*$AH31,facs_constr_max)) * (1+MIN(tech_construction*Techs!AC31,tech_conquerors_crafts*Techs!AS31)) * AU31*(1+race_construction_cost),0)</f>
        <v>1615</v>
      </c>
      <c r="AM31" s="1198">
        <f t="shared" si="3"/>
        <v>263</v>
      </c>
      <c r="AN31" s="1192">
        <f ca="1">ROUND( (1 - MIN(facs_constr_factor*$AI31,facs_constr_max)) * (1+MIN(tech_construction*Techs!AE31,tech_conquerors_crafts*Techs!AU31)) * AU31*(1+race_construction_cost),0)</f>
        <v>1615</v>
      </c>
      <c r="AO31" s="1198">
        <f t="shared" si="13"/>
        <v>263</v>
      </c>
      <c r="AP31" s="1203">
        <f t="shared" ca="1" si="54"/>
        <v>0</v>
      </c>
      <c r="AQ31" s="1222">
        <f t="shared" si="55"/>
        <v>0</v>
      </c>
      <c r="AR31" s="1203">
        <f>MIN(SUM(F30:L30)+SUM(Explore!T19:Z19)+SUM(BV31:CN31),SUM($N31:$AF31))</f>
        <v>0</v>
      </c>
      <c r="AS31" s="1203">
        <f>IF(Explore!S31&lt;&gt;0,MAX(0, MIN(20, 20 + SUM(N31:AF31) - SUM(BV31:CN31) - SUM(F30:L30)-SUM(Explore!T19:Z19)-20*Explore!S31)),0)</f>
        <v>0</v>
      </c>
      <c r="AU31" s="1192">
        <f t="shared" si="16"/>
        <v>1615</v>
      </c>
      <c r="AV31" s="1198">
        <f t="shared" si="17"/>
        <v>262.5</v>
      </c>
      <c r="AW31" s="1193"/>
      <c r="AX31" s="1199">
        <f>AX30 + IF(Overview!$B$14="Gnome",N22,N19) -BV31</f>
        <v>0</v>
      </c>
      <c r="AY31" s="1203">
        <f>AY30 + IF(Overview!$B$14="Gnome",O22,O19) -BW31</f>
        <v>0</v>
      </c>
      <c r="AZ31" s="1203">
        <f>AZ30 + IF(Overview!$B$14="Gnome",P22,P19) -BX31</f>
        <v>80</v>
      </c>
      <c r="BA31" s="1203">
        <f>BA30 + IF(Overview!$B$14="Gnome",Q22,Q19) -BY31</f>
        <v>0</v>
      </c>
      <c r="BB31" s="1203">
        <f>BB30 + IF(Overview!$B$14="Gnome",R22,R19) -BZ31</f>
        <v>0</v>
      </c>
      <c r="BC31" s="1203">
        <f>BC30 + IF(Overview!$B$14="Gnome",S22,S19) -CA31</f>
        <v>50</v>
      </c>
      <c r="BD31" s="1203">
        <f>BD30 + IF(Overview!$B$14="Gnome",T22,T19) -CB31</f>
        <v>0</v>
      </c>
      <c r="BE31" s="1203">
        <f>BE30 + IF(Overview!$B$14="Gnome",U22,U19) -CC31</f>
        <v>0</v>
      </c>
      <c r="BF31" s="1203">
        <f>BF30 + IF(Overview!$B$14="Gnome",V22,V19) -CD31</f>
        <v>0</v>
      </c>
      <c r="BG31" s="1203">
        <f>BG30 + IF(Overview!$B$14="Gnome",W22,W19) -CE31</f>
        <v>0</v>
      </c>
      <c r="BH31" s="1203">
        <f>BH30 + IF(Overview!$B$14="Gnome",X22,X19) -CF31</f>
        <v>0</v>
      </c>
      <c r="BI31" s="1203">
        <f>BI30 + IF(Overview!$B$14="Gnome",Y22,Y19) -CG31</f>
        <v>0</v>
      </c>
      <c r="BJ31" s="1203">
        <f>BJ30 + IF(Overview!$B$14="Gnome",Z22,Z19) -CH31</f>
        <v>0</v>
      </c>
      <c r="BK31" s="1203">
        <f>BK30 + IF(Overview!$B$14="Gnome",AA22,AA19) -CI31</f>
        <v>50</v>
      </c>
      <c r="BL31" s="1203">
        <f>BL30 + IF(Overview!$B$14="Gnome",AB22,AB19) -CJ31</f>
        <v>0</v>
      </c>
      <c r="BM31" s="1203">
        <f>BM30 + IF(Overview!$B$14="Gnome",AC22,AC19) -CK31</f>
        <v>0</v>
      </c>
      <c r="BN31" s="1203">
        <f>BN30 + IF(Overview!$B$14="Gnome",AD22,AD19) -CL31</f>
        <v>0</v>
      </c>
      <c r="BO31" s="1203">
        <f>BO30 + IF(Overview!$B$14="Gnome",AE22,AE19) -CM31</f>
        <v>0</v>
      </c>
      <c r="BP31" s="1222">
        <f>BP30 + IF(Overview!$B$14="Gnome",AF22,AF19) -CN31</f>
        <v>0</v>
      </c>
      <c r="BR31" s="1193"/>
      <c r="BS31" s="1199">
        <f t="shared" si="4"/>
        <v>1000</v>
      </c>
      <c r="BT31" s="1204">
        <f t="shared" si="42"/>
        <v>43769.166666666599</v>
      </c>
      <c r="BV31" s="1217"/>
      <c r="BW31" s="1200"/>
      <c r="BX31" s="1200"/>
      <c r="BY31" s="1200"/>
      <c r="BZ31" s="1200"/>
      <c r="CA31" s="1200"/>
      <c r="CB31" s="1200"/>
      <c r="CC31" s="1200"/>
      <c r="CD31" s="1200"/>
      <c r="CE31" s="1200"/>
      <c r="CF31" s="1200"/>
      <c r="CG31" s="1200"/>
      <c r="CH31" s="1200"/>
      <c r="CI31" s="1200"/>
      <c r="CJ31" s="1200"/>
      <c r="CK31" s="1200"/>
      <c r="CL31" s="1200"/>
      <c r="CM31" s="1199"/>
      <c r="CN31" s="1223"/>
      <c r="CP31" s="1192">
        <f>-SUM($O31:$R31)+SUM($BW31:BZ31)+Rezone!L31+IF(home_land=CP$2,CW31) + Explore!T19</f>
        <v>0</v>
      </c>
      <c r="CQ31" s="1193">
        <f>-SUM($S31:$T31)+SUM($CA31:$CB31) +Rezone!M31 + IF(home_land=CQ$2,CW31) + Explore!U19</f>
        <v>0</v>
      </c>
      <c r="CR31" s="1193">
        <f>-SUM($U31:$V31)+SUM($CC31:$CD31) +Rezone!N31 + IF(home_land=CR$2,CW31) + Explore!V19</f>
        <v>0</v>
      </c>
      <c r="CS31" s="1193">
        <f>-SUM($W31:$Z31)+SUM($CE31:$CH31) +Rezone!O31 + IF(home_land=CS$2,CW31) + Explore!W19</f>
        <v>0</v>
      </c>
      <c r="CT31" s="1193">
        <f>-SUM($AA31:$AC31)+SUM($CI31:$CK31) +Rezone!P31 + IF(home_land=CT$2,CW31) + Explore!X19</f>
        <v>0</v>
      </c>
      <c r="CU31" s="1193">
        <f xml:space="preserve"> - SUM($AD31,$AE31)+SUM($CL31,$CM31) +Rezone!Q31 + IF(home_land=CU$2,CW31)+Explore!Y19</f>
        <v>0</v>
      </c>
      <c r="CV31" s="1193">
        <f>-$AF31+$CN31 +Rezone!R31 + IF(home_land=CV$2,CW31) + Explore!Z19</f>
        <v>0</v>
      </c>
      <c r="CW31" s="1200">
        <f>IF(Explore!S31=1,25) - N31 + BV31</f>
        <v>0</v>
      </c>
      <c r="CY31" s="1192">
        <f t="shared" si="43"/>
        <v>150</v>
      </c>
      <c r="CZ31" s="1193">
        <f t="shared" si="44"/>
        <v>150</v>
      </c>
      <c r="DA31" s="1203">
        <f t="shared" si="45"/>
        <v>150</v>
      </c>
      <c r="DB31" s="1193">
        <f t="shared" si="46"/>
        <v>150</v>
      </c>
      <c r="DC31" s="1193">
        <f t="shared" si="47"/>
        <v>150</v>
      </c>
      <c r="DD31" s="1203">
        <f t="shared" si="48"/>
        <v>150</v>
      </c>
      <c r="DE31" s="1198">
        <f t="shared" si="49"/>
        <v>100</v>
      </c>
      <c r="DF31" s="1193">
        <f t="shared" ca="1" si="51"/>
        <v>150</v>
      </c>
      <c r="DG31" s="1203">
        <f t="shared" si="52"/>
        <v>0</v>
      </c>
      <c r="DH31" s="1203">
        <f t="shared" si="53"/>
        <v>31</v>
      </c>
      <c r="DI31" s="1198"/>
    </row>
    <row r="32" spans="1:113" s="16" customFormat="1" ht="13.8" thickTop="1" x14ac:dyDescent="0.25">
      <c r="A32" s="36">
        <f t="shared" si="40"/>
        <v>820</v>
      </c>
      <c r="B32" s="36">
        <f t="shared" si="50"/>
        <v>180</v>
      </c>
      <c r="C32" s="83">
        <f t="shared" si="41"/>
        <v>0</v>
      </c>
      <c r="D32" s="572"/>
      <c r="E32" s="16">
        <f t="shared" si="2"/>
        <v>1000</v>
      </c>
      <c r="F32" s="86">
        <f t="shared" si="5"/>
        <v>70</v>
      </c>
      <c r="G32" s="37">
        <f t="shared" si="6"/>
        <v>100</v>
      </c>
      <c r="H32" s="247">
        <f t="shared" si="7"/>
        <v>150</v>
      </c>
      <c r="I32" s="38">
        <f t="shared" si="8"/>
        <v>150</v>
      </c>
      <c r="J32" s="39">
        <f t="shared" si="9"/>
        <v>100</v>
      </c>
      <c r="K32" s="40">
        <f t="shared" si="10"/>
        <v>150</v>
      </c>
      <c r="L32" s="498">
        <f t="shared" si="11"/>
        <v>100</v>
      </c>
      <c r="M32" s="633">
        <f>Rezone!J32</f>
        <v>30</v>
      </c>
      <c r="N32" s="356"/>
      <c r="O32" s="363"/>
      <c r="P32" s="348"/>
      <c r="Q32" s="348"/>
      <c r="R32" s="345"/>
      <c r="S32" s="348"/>
      <c r="T32" s="348"/>
      <c r="U32" s="348"/>
      <c r="V32" s="348"/>
      <c r="W32" s="345"/>
      <c r="X32" s="345"/>
      <c r="Y32" s="348"/>
      <c r="Z32" s="345"/>
      <c r="AA32" s="348"/>
      <c r="AB32" s="348"/>
      <c r="AC32" s="345"/>
      <c r="AD32" s="348"/>
      <c r="AE32" s="348"/>
      <c r="AF32" s="336"/>
      <c r="AG32" s="530">
        <f>Imps!L32</f>
        <v>43768.302083333263</v>
      </c>
      <c r="AH32" s="91">
        <f>MIN(25%,(BG32+CE32)/(E32-Explore!S32*20))</f>
        <v>0</v>
      </c>
      <c r="AI32" s="59">
        <f t="shared" si="12"/>
        <v>0</v>
      </c>
      <c r="AJ32" s="56">
        <f ca="1">Production!$H32</f>
        <v>4618159</v>
      </c>
      <c r="AK32" s="57">
        <f ca="1">Production!$J32</f>
        <v>328452</v>
      </c>
      <c r="AL32" s="152">
        <f ca="1">ROUND( (1 - MIN(facs_constr_factor*$AH32,facs_constr_max)) * (1+MIN(tech_construction*Techs!AC32,tech_conquerors_crafts*Techs!AS32)) * AU32*(1+race_construction_cost),0)</f>
        <v>1615</v>
      </c>
      <c r="AM32" s="166">
        <f t="shared" si="3"/>
        <v>263</v>
      </c>
      <c r="AN32" s="152">
        <f ca="1">ROUND( (1 - MIN(facs_constr_factor*$AI32,facs_constr_max)) * (1+MIN(tech_construction*Techs!AE32,tech_conquerors_crafts*Techs!AU32)) * AU32*(1+race_construction_cost),0)</f>
        <v>1615</v>
      </c>
      <c r="AO32" s="166">
        <f t="shared" si="13"/>
        <v>263</v>
      </c>
      <c r="AP32" s="16">
        <f t="shared" ca="1" si="54"/>
        <v>0</v>
      </c>
      <c r="AQ32" s="53">
        <f t="shared" si="55"/>
        <v>0</v>
      </c>
      <c r="AR32" s="16">
        <f>MIN(SUM(F31:L31)+SUM(Explore!T20:Z20)+SUM(BV32:CN32),SUM($N32:$AF32))</f>
        <v>0</v>
      </c>
      <c r="AS32" s="16">
        <f>IF(Explore!S32&lt;&gt;0,MAX(0, MIN(20, 20 + SUM(N32:AF32) - SUM(BV32:CN32) - SUM(F31:L31)-SUM(Explore!T20:Z20)-20*Explore!S32)),0)</f>
        <v>0</v>
      </c>
      <c r="AU32" s="152">
        <f t="shared" si="16"/>
        <v>1615</v>
      </c>
      <c r="AV32" s="166">
        <f t="shared" si="17"/>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1"/>
      <c r="BS32" s="156">
        <f t="shared" si="4"/>
        <v>1000</v>
      </c>
      <c r="BT32" s="572">
        <f t="shared" si="42"/>
        <v>43769.208333333263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498">
        <f>-$AF32+$CN32 +Rezone!R32 + IF(home_land=CV$2,CW32) + Explore!Z20</f>
        <v>0</v>
      </c>
      <c r="CW32" s="159">
        <f>IF(Explore!S32=1,25) - N32 + BV32</f>
        <v>0</v>
      </c>
      <c r="CY32" s="152">
        <f t="shared" si="43"/>
        <v>150</v>
      </c>
      <c r="CZ32" s="164">
        <f t="shared" si="44"/>
        <v>150</v>
      </c>
      <c r="DA32" s="16">
        <f t="shared" si="45"/>
        <v>150</v>
      </c>
      <c r="DB32" s="164">
        <f t="shared" si="46"/>
        <v>150</v>
      </c>
      <c r="DC32" s="164">
        <f t="shared" si="47"/>
        <v>150</v>
      </c>
      <c r="DD32" s="16">
        <f t="shared" si="48"/>
        <v>150</v>
      </c>
      <c r="DE32" s="166">
        <f t="shared" si="49"/>
        <v>100</v>
      </c>
      <c r="DF32" s="164">
        <f t="shared" ca="1" si="51"/>
        <v>150</v>
      </c>
      <c r="DG32" s="16">
        <f t="shared" si="52"/>
        <v>0</v>
      </c>
      <c r="DH32" s="16">
        <f t="shared" si="53"/>
        <v>32</v>
      </c>
      <c r="DI32" s="166"/>
    </row>
    <row r="33" spans="1:113" s="16" customFormat="1" x14ac:dyDescent="0.25">
      <c r="A33" s="36">
        <f t="shared" si="40"/>
        <v>820</v>
      </c>
      <c r="B33" s="36">
        <f t="shared" si="50"/>
        <v>180</v>
      </c>
      <c r="C33" s="83">
        <f t="shared" si="41"/>
        <v>0</v>
      </c>
      <c r="D33" s="572"/>
      <c r="E33" s="16">
        <f t="shared" si="2"/>
        <v>1000</v>
      </c>
      <c r="F33" s="86">
        <f t="shared" si="5"/>
        <v>70</v>
      </c>
      <c r="G33" s="37">
        <f t="shared" si="6"/>
        <v>100</v>
      </c>
      <c r="H33" s="247">
        <f t="shared" si="7"/>
        <v>150</v>
      </c>
      <c r="I33" s="38">
        <f t="shared" si="8"/>
        <v>150</v>
      </c>
      <c r="J33" s="39">
        <f t="shared" si="9"/>
        <v>100</v>
      </c>
      <c r="K33" s="40">
        <f t="shared" si="10"/>
        <v>150</v>
      </c>
      <c r="L33" s="498">
        <f t="shared" si="11"/>
        <v>100</v>
      </c>
      <c r="M33" s="633">
        <f>Rezone!J33</f>
        <v>31</v>
      </c>
      <c r="N33" s="356"/>
      <c r="O33" s="363"/>
      <c r="P33" s="348"/>
      <c r="Q33" s="348"/>
      <c r="R33" s="345"/>
      <c r="S33" s="348"/>
      <c r="T33" s="348"/>
      <c r="U33" s="348"/>
      <c r="V33" s="348"/>
      <c r="W33" s="345"/>
      <c r="X33" s="345"/>
      <c r="Y33" s="348"/>
      <c r="Z33" s="345"/>
      <c r="AA33" s="348"/>
      <c r="AB33" s="348"/>
      <c r="AC33" s="345"/>
      <c r="AD33" s="348"/>
      <c r="AE33" s="348"/>
      <c r="AF33" s="336"/>
      <c r="AG33" s="530">
        <f>Imps!L33</f>
        <v>43768.312499999927</v>
      </c>
      <c r="AH33" s="91">
        <f>MIN(25%,(BG33+CE33)/(E33-Explore!S33*20))</f>
        <v>0</v>
      </c>
      <c r="AI33" s="59">
        <f t="shared" si="12"/>
        <v>0</v>
      </c>
      <c r="AJ33" s="56">
        <f ca="1">Production!$H33</f>
        <v>4624470</v>
      </c>
      <c r="AK33" s="57">
        <f ca="1">Production!$J33</f>
        <v>327667</v>
      </c>
      <c r="AL33" s="152">
        <f ca="1">ROUND( (1 - MIN(facs_constr_factor*$AH33,facs_constr_max)) * (1+MIN(tech_construction*Techs!AC33,tech_conquerors_crafts*Techs!AS33)) * AU33*(1+race_construction_cost),0)</f>
        <v>1615</v>
      </c>
      <c r="AM33" s="166">
        <f t="shared" si="3"/>
        <v>263</v>
      </c>
      <c r="AN33" s="152">
        <f ca="1">ROUND( (1 - MIN(facs_constr_factor*$AI33,facs_constr_max)) * (1+MIN(tech_construction*Techs!AE33,tech_conquerors_crafts*Techs!AU33)) * AU33*(1+race_construction_cost),0)</f>
        <v>1615</v>
      </c>
      <c r="AO33" s="166">
        <f t="shared" si="13"/>
        <v>263</v>
      </c>
      <c r="AP33" s="16">
        <f t="shared" ca="1" si="54"/>
        <v>0</v>
      </c>
      <c r="AQ33" s="53">
        <f t="shared" si="55"/>
        <v>0</v>
      </c>
      <c r="AR33" s="16">
        <f>MIN(SUM(F32:L32)+SUM(Explore!T21:Z21)+SUM(BV33:CN33),SUM($N33:$AF33))</f>
        <v>0</v>
      </c>
      <c r="AS33" s="16">
        <f>IF(Explore!S33&lt;&gt;0,MAX(0, MIN(20, 20 + SUM(N33:AF33) - SUM(BV33:CN33) - SUM(F32:L32)-SUM(Explore!T21:Z21)-20*Explore!S33)),0)</f>
        <v>0</v>
      </c>
      <c r="AU33" s="152">
        <f t="shared" si="16"/>
        <v>1615</v>
      </c>
      <c r="AV33" s="166">
        <f t="shared" si="17"/>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1"/>
      <c r="BS33" s="156">
        <f t="shared" si="4"/>
        <v>1000</v>
      </c>
      <c r="BT33" s="572">
        <f t="shared" si="42"/>
        <v>43769.249999999927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498">
        <f>-$AF33+$CN33 +Rezone!R33 + IF(home_land=CV$2,CW33) + Explore!Z21</f>
        <v>0</v>
      </c>
      <c r="CW33" s="159">
        <f>IF(Explore!S33=1,25) - N33 + BV33</f>
        <v>0</v>
      </c>
      <c r="CY33" s="152">
        <f t="shared" si="43"/>
        <v>150</v>
      </c>
      <c r="CZ33" s="164">
        <f t="shared" si="44"/>
        <v>150</v>
      </c>
      <c r="DA33" s="16">
        <f t="shared" si="45"/>
        <v>150</v>
      </c>
      <c r="DB33" s="164">
        <f t="shared" si="46"/>
        <v>150</v>
      </c>
      <c r="DC33" s="164">
        <f t="shared" si="47"/>
        <v>150</v>
      </c>
      <c r="DD33" s="16">
        <f t="shared" si="48"/>
        <v>150</v>
      </c>
      <c r="DE33" s="166">
        <f t="shared" si="49"/>
        <v>100</v>
      </c>
      <c r="DF33" s="164">
        <f t="shared" ca="1" si="51"/>
        <v>150</v>
      </c>
      <c r="DG33" s="16">
        <f t="shared" si="52"/>
        <v>0</v>
      </c>
      <c r="DH33" s="16">
        <f t="shared" si="53"/>
        <v>33</v>
      </c>
      <c r="DI33" s="166"/>
    </row>
    <row r="34" spans="1:113" s="16" customFormat="1" x14ac:dyDescent="0.25">
      <c r="A34" s="36">
        <f t="shared" si="40"/>
        <v>820</v>
      </c>
      <c r="B34" s="36">
        <f t="shared" si="50"/>
        <v>180</v>
      </c>
      <c r="C34" s="83">
        <f t="shared" si="41"/>
        <v>0</v>
      </c>
      <c r="D34" s="572"/>
      <c r="E34" s="16">
        <f t="shared" si="2"/>
        <v>1000</v>
      </c>
      <c r="F34" s="86">
        <f t="shared" si="5"/>
        <v>70</v>
      </c>
      <c r="G34" s="37">
        <f t="shared" si="6"/>
        <v>100</v>
      </c>
      <c r="H34" s="247">
        <f t="shared" si="7"/>
        <v>150</v>
      </c>
      <c r="I34" s="38">
        <f t="shared" si="8"/>
        <v>150</v>
      </c>
      <c r="J34" s="39">
        <f t="shared" si="9"/>
        <v>100</v>
      </c>
      <c r="K34" s="40">
        <f t="shared" si="10"/>
        <v>150</v>
      </c>
      <c r="L34" s="498">
        <f t="shared" si="11"/>
        <v>100</v>
      </c>
      <c r="M34" s="633">
        <f>Rezone!J34</f>
        <v>32</v>
      </c>
      <c r="N34" s="356"/>
      <c r="O34" s="363"/>
      <c r="P34" s="348"/>
      <c r="Q34" s="348"/>
      <c r="R34" s="345"/>
      <c r="S34" s="348"/>
      <c r="T34" s="348"/>
      <c r="U34" s="348"/>
      <c r="V34" s="348"/>
      <c r="W34" s="363"/>
      <c r="X34" s="345"/>
      <c r="Y34" s="348"/>
      <c r="Z34" s="345"/>
      <c r="AA34" s="348"/>
      <c r="AB34" s="348"/>
      <c r="AC34" s="345"/>
      <c r="AD34" s="348"/>
      <c r="AE34" s="348"/>
      <c r="AF34" s="336"/>
      <c r="AG34" s="530">
        <f>Imps!L34</f>
        <v>43768.322916666591</v>
      </c>
      <c r="AH34" s="91">
        <f>MIN(25%,(BG34+CE34)/(E34-Explore!S34*20))</f>
        <v>0</v>
      </c>
      <c r="AI34" s="59">
        <f t="shared" si="12"/>
        <v>0</v>
      </c>
      <c r="AJ34" s="56">
        <f ca="1">Production!$H34</f>
        <v>4630466</v>
      </c>
      <c r="AK34" s="57">
        <f ca="1">Production!$J34</f>
        <v>326890</v>
      </c>
      <c r="AL34" s="152">
        <f ca="1">ROUND( (1 - MIN(facs_constr_factor*$AH34,facs_constr_max)) * (1+MIN(tech_construction*Techs!AC34,tech_conquerors_crafts*Techs!AS34)) * AU34*(1+race_construction_cost),0)</f>
        <v>1615</v>
      </c>
      <c r="AM34" s="166">
        <f t="shared" si="3"/>
        <v>263</v>
      </c>
      <c r="AN34" s="152">
        <f ca="1">ROUND( (1 - MIN(facs_constr_factor*$AI34,facs_constr_max)) * (1+MIN(tech_construction*Techs!AE34,tech_conquerors_crafts*Techs!AU34)) * AU34*(1+race_construction_cost),0)</f>
        <v>1615</v>
      </c>
      <c r="AO34" s="166">
        <f t="shared" si="13"/>
        <v>263</v>
      </c>
      <c r="AP34" s="16">
        <f t="shared" ca="1" si="54"/>
        <v>0</v>
      </c>
      <c r="AQ34" s="53">
        <f t="shared" si="55"/>
        <v>0</v>
      </c>
      <c r="AR34" s="16">
        <f>MIN(SUM(F33:L33)+SUM(Explore!T22:Z22)+SUM(BV34:CN34),SUM($N34:$AF34))</f>
        <v>0</v>
      </c>
      <c r="AS34" s="16">
        <f>IF(Explore!S34&lt;&gt;0,MAX(0, MIN(20, 20 + SUM(N34:AF34) - SUM(BV34:CN34) - SUM(F33:L33)-SUM(Explore!T22:Z22)-20*Explore!S34)),0)</f>
        <v>0</v>
      </c>
      <c r="AU34" s="152">
        <f t="shared" si="16"/>
        <v>1615</v>
      </c>
      <c r="AV34" s="166">
        <f t="shared" si="17"/>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1"/>
      <c r="BS34" s="156">
        <f t="shared" si="4"/>
        <v>1000</v>
      </c>
      <c r="BT34" s="572">
        <f t="shared" si="42"/>
        <v>43769.291666666591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498">
        <f>-$AF34+$CN34 +Rezone!R34 + IF(home_land=CV$2,CW34) + Explore!Z22</f>
        <v>0</v>
      </c>
      <c r="CW34" s="159">
        <f>IF(Explore!S34=1,25) - N34 + BV34</f>
        <v>0</v>
      </c>
      <c r="CY34" s="152">
        <f t="shared" si="43"/>
        <v>150</v>
      </c>
      <c r="CZ34" s="164">
        <f t="shared" si="44"/>
        <v>150</v>
      </c>
      <c r="DA34" s="16">
        <f t="shared" si="45"/>
        <v>150</v>
      </c>
      <c r="DB34" s="164">
        <f t="shared" si="46"/>
        <v>150</v>
      </c>
      <c r="DC34" s="164">
        <f t="shared" si="47"/>
        <v>150</v>
      </c>
      <c r="DD34" s="16">
        <f t="shared" si="48"/>
        <v>150</v>
      </c>
      <c r="DE34" s="166">
        <f t="shared" si="49"/>
        <v>100</v>
      </c>
      <c r="DF34" s="164">
        <f t="shared" ca="1" si="51"/>
        <v>150</v>
      </c>
      <c r="DG34" s="16">
        <f t="shared" si="52"/>
        <v>0</v>
      </c>
      <c r="DH34" s="16">
        <f t="shared" si="53"/>
        <v>34</v>
      </c>
      <c r="DI34" s="166"/>
    </row>
    <row r="35" spans="1:113" s="16" customFormat="1" x14ac:dyDescent="0.25">
      <c r="A35" s="36">
        <f t="shared" ref="A35:A66" si="56">SUM(F35:L35)</f>
        <v>820</v>
      </c>
      <c r="B35" s="36">
        <f t="shared" si="50"/>
        <v>180</v>
      </c>
      <c r="C35" s="83">
        <f t="shared" si="41"/>
        <v>0</v>
      </c>
      <c r="D35" s="572"/>
      <c r="E35" s="16">
        <f t="shared" ref="E35:E66" si="57">A35+B35+C35</f>
        <v>1000</v>
      </c>
      <c r="F35" s="86">
        <f t="shared" si="5"/>
        <v>70</v>
      </c>
      <c r="G35" s="37">
        <f t="shared" si="6"/>
        <v>100</v>
      </c>
      <c r="H35" s="247">
        <f t="shared" si="7"/>
        <v>150</v>
      </c>
      <c r="I35" s="38">
        <f t="shared" si="8"/>
        <v>150</v>
      </c>
      <c r="J35" s="39">
        <f t="shared" si="9"/>
        <v>100</v>
      </c>
      <c r="K35" s="40">
        <f t="shared" si="10"/>
        <v>150</v>
      </c>
      <c r="L35" s="498">
        <f t="shared" si="11"/>
        <v>100</v>
      </c>
      <c r="M35" s="633">
        <f>Rezone!J35</f>
        <v>33</v>
      </c>
      <c r="N35" s="356"/>
      <c r="O35" s="363"/>
      <c r="P35" s="348"/>
      <c r="Q35" s="348"/>
      <c r="R35" s="345"/>
      <c r="S35" s="348"/>
      <c r="T35" s="348"/>
      <c r="U35" s="348"/>
      <c r="V35" s="348"/>
      <c r="W35" s="345"/>
      <c r="X35" s="345"/>
      <c r="Y35" s="348"/>
      <c r="Z35" s="345"/>
      <c r="AA35" s="348"/>
      <c r="AB35" s="348"/>
      <c r="AC35" s="345"/>
      <c r="AD35" s="348"/>
      <c r="AE35" s="348"/>
      <c r="AF35" s="336"/>
      <c r="AG35" s="530">
        <f>Imps!L35</f>
        <v>43768.333333333256</v>
      </c>
      <c r="AH35" s="91">
        <f>MIN(25%,(BG35+CE35)/(E35-Explore!S35*20))</f>
        <v>0</v>
      </c>
      <c r="AI35" s="59">
        <f t="shared" si="12"/>
        <v>0</v>
      </c>
      <c r="AJ35" s="56">
        <f ca="1">Production!$H35</f>
        <v>4636162</v>
      </c>
      <c r="AK35" s="57">
        <f ca="1">Production!$J35</f>
        <v>326121</v>
      </c>
      <c r="AL35" s="152">
        <f ca="1">ROUND( (1 - MIN(facs_constr_factor*$AH35,facs_constr_max)) * (1+MIN(tech_construction*Techs!AC35,tech_conquerors_crafts*Techs!AS35)) * AU35*(1+race_construction_cost),0)</f>
        <v>1615</v>
      </c>
      <c r="AM35" s="166">
        <f t="shared" ref="AM35:AM66" si="58">ROUND( (1 - MIN(facs_constr_factor*$AH35,facs_constr_max)) * AV35,0)</f>
        <v>263</v>
      </c>
      <c r="AN35" s="152">
        <f ca="1">ROUND( (1 - MIN(facs_constr_factor*$AI35,facs_constr_max)) * (1+MIN(tech_construction*Techs!AE35,tech_conquerors_crafts*Techs!AU35)) * AU35*(1+race_construction_cost),0)</f>
        <v>1615</v>
      </c>
      <c r="AO35" s="166">
        <f t="shared" si="13"/>
        <v>263</v>
      </c>
      <c r="AP35" s="16">
        <f t="shared" ca="1" si="54"/>
        <v>0</v>
      </c>
      <c r="AQ35" s="53">
        <f t="shared" si="55"/>
        <v>0</v>
      </c>
      <c r="AR35" s="16">
        <f>MIN(SUM(F34:L34)+SUM(Explore!T23:Z23)+SUM(BV35:CN35),SUM($N35:$AF35))</f>
        <v>0</v>
      </c>
      <c r="AS35" s="16">
        <f>IF(Explore!S35&lt;&gt;0,MAX(0, MIN(20, 20 + SUM(N35:AF35) - SUM(BV35:CN35) - SUM(F34:L34)-SUM(Explore!T23:Z23)-20*Explore!S35)),0)</f>
        <v>0</v>
      </c>
      <c r="AU35" s="152">
        <f t="shared" si="16"/>
        <v>1615</v>
      </c>
      <c r="AV35" s="166">
        <f t="shared" si="17"/>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1"/>
      <c r="BS35" s="156">
        <f t="shared" ref="BS35:BS66" si="59">E35</f>
        <v>1000</v>
      </c>
      <c r="BT35" s="572">
        <f t="shared" si="42"/>
        <v>43769.333333333256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498">
        <f>-$AF35+$CN35 +Rezone!R35 + IF(home_land=CV$2,CW35) + Explore!Z23</f>
        <v>0</v>
      </c>
      <c r="CW35" s="159">
        <f>IF(Explore!S35=1,25) - N35 + BV35</f>
        <v>0</v>
      </c>
      <c r="CY35" s="152">
        <f t="shared" si="43"/>
        <v>150</v>
      </c>
      <c r="CZ35" s="164">
        <f t="shared" si="44"/>
        <v>150</v>
      </c>
      <c r="DA35" s="16">
        <f t="shared" si="45"/>
        <v>150</v>
      </c>
      <c r="DB35" s="164">
        <f t="shared" si="46"/>
        <v>150</v>
      </c>
      <c r="DC35" s="164">
        <f t="shared" si="47"/>
        <v>150</v>
      </c>
      <c r="DD35" s="16">
        <f t="shared" si="48"/>
        <v>150</v>
      </c>
      <c r="DE35" s="166">
        <f t="shared" si="49"/>
        <v>100</v>
      </c>
      <c r="DF35" s="164">
        <f t="shared" ca="1" si="51"/>
        <v>150</v>
      </c>
      <c r="DG35" s="16">
        <f t="shared" si="52"/>
        <v>0</v>
      </c>
      <c r="DH35" s="16">
        <f t="shared" si="53"/>
        <v>35</v>
      </c>
      <c r="DI35" s="166"/>
    </row>
    <row r="36" spans="1:113" s="16" customFormat="1" x14ac:dyDescent="0.25">
      <c r="A36" s="36">
        <f t="shared" si="56"/>
        <v>820</v>
      </c>
      <c r="B36" s="36">
        <f t="shared" si="50"/>
        <v>180</v>
      </c>
      <c r="C36" s="83">
        <f t="shared" si="41"/>
        <v>0</v>
      </c>
      <c r="D36" s="572"/>
      <c r="E36" s="16">
        <f t="shared" si="57"/>
        <v>1000</v>
      </c>
      <c r="F36" s="86">
        <f t="shared" ref="F36:F67" si="60">F35+CP36</f>
        <v>70</v>
      </c>
      <c r="G36" s="37">
        <f t="shared" ref="G36:G67" si="61">G35+CQ36</f>
        <v>100</v>
      </c>
      <c r="H36" s="247">
        <f t="shared" ref="H36:H67" si="62">H35+CR36</f>
        <v>150</v>
      </c>
      <c r="I36" s="38">
        <f t="shared" ref="I36:I67" si="63">I35+CS36</f>
        <v>150</v>
      </c>
      <c r="J36" s="39">
        <f t="shared" ref="J36:J67" si="64">J35+CT36</f>
        <v>100</v>
      </c>
      <c r="K36" s="40">
        <f t="shared" ref="K36:K67" si="65">K35+CU36</f>
        <v>150</v>
      </c>
      <c r="L36" s="498">
        <f t="shared" ref="L36:L67" si="66">L35+CV36</f>
        <v>100</v>
      </c>
      <c r="M36" s="633">
        <f>Rezone!J36</f>
        <v>34</v>
      </c>
      <c r="N36" s="356"/>
      <c r="O36" s="363"/>
      <c r="P36" s="348"/>
      <c r="Q36" s="348"/>
      <c r="R36" s="345"/>
      <c r="S36" s="348"/>
      <c r="T36" s="348"/>
      <c r="U36" s="348"/>
      <c r="V36" s="348"/>
      <c r="W36" s="345"/>
      <c r="X36" s="345"/>
      <c r="Y36" s="348"/>
      <c r="Z36" s="345"/>
      <c r="AA36" s="348"/>
      <c r="AB36" s="348"/>
      <c r="AC36" s="345"/>
      <c r="AD36" s="348"/>
      <c r="AE36" s="348"/>
      <c r="AF36" s="336"/>
      <c r="AG36" s="530">
        <f>Imps!L36</f>
        <v>43768.34374999992</v>
      </c>
      <c r="AH36" s="91">
        <f>MIN(25%,(BG36+CE36)/(E36-Explore!S36*20))</f>
        <v>0</v>
      </c>
      <c r="AI36" s="59">
        <f t="shared" si="12"/>
        <v>0</v>
      </c>
      <c r="AJ36" s="56">
        <f ca="1">Production!$H36</f>
        <v>4641573</v>
      </c>
      <c r="AK36" s="57">
        <f ca="1">Production!$J36</f>
        <v>325360</v>
      </c>
      <c r="AL36" s="152">
        <f ca="1">ROUND( (1 - MIN(facs_constr_factor*$AH36,facs_constr_max)) * (1+MIN(tech_construction*Techs!AC36,tech_conquerors_crafts*Techs!AS36)) * AU36*(1+race_construction_cost),0)</f>
        <v>1615</v>
      </c>
      <c r="AM36" s="166">
        <f t="shared" si="58"/>
        <v>263</v>
      </c>
      <c r="AN36" s="152">
        <f ca="1">ROUND( (1 - MIN(facs_constr_factor*$AI36,facs_constr_max)) * (1+MIN(tech_construction*Techs!AE36,tech_conquerors_crafts*Techs!AU36)) * AU36*(1+race_construction_cost),0)</f>
        <v>1615</v>
      </c>
      <c r="AO36" s="166">
        <f t="shared" ref="AO36:AO67" si="67">ROUND( (1 - MIN(facs_constr_factor*$AH36,facs_constr_max)) * AV36,0)</f>
        <v>263</v>
      </c>
      <c r="AP36" s="16">
        <f t="shared" ca="1" si="54"/>
        <v>0</v>
      </c>
      <c r="AQ36" s="53">
        <f t="shared" si="55"/>
        <v>0</v>
      </c>
      <c r="AR36" s="16">
        <f>MIN(SUM(F35:L35)+SUM(Explore!T24:Z24)+SUM(BV36:CN36),SUM($N36:$AF36))</f>
        <v>0</v>
      </c>
      <c r="AS36" s="16">
        <f>IF(Explore!S36&lt;&gt;0,MAX(0, MIN(20, 20 + SUM(N36:AF36) - SUM(BV36:CN36) - SUM(F35:L35)-SUM(Explore!T24:Z24)-20*Explore!S36)),0)</f>
        <v>0</v>
      </c>
      <c r="AU36" s="152">
        <f t="shared" si="16"/>
        <v>1615</v>
      </c>
      <c r="AV36" s="166">
        <f t="shared" si="17"/>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1"/>
      <c r="BS36" s="156">
        <f t="shared" si="59"/>
        <v>1000</v>
      </c>
      <c r="BT36" s="572">
        <f t="shared" si="42"/>
        <v>43769.37499999992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498">
        <f>-$AF36+$CN36 +Rezone!R36 + IF(home_land=CV$2,CW36) + Explore!Z24</f>
        <v>0</v>
      </c>
      <c r="CW36" s="159">
        <f>IF(Explore!S36=1,25) - N36 + BV36</f>
        <v>0</v>
      </c>
      <c r="CY36" s="152">
        <f t="shared" si="43"/>
        <v>150</v>
      </c>
      <c r="CZ36" s="164">
        <f t="shared" si="44"/>
        <v>150</v>
      </c>
      <c r="DA36" s="16">
        <f t="shared" si="45"/>
        <v>150</v>
      </c>
      <c r="DB36" s="164">
        <f t="shared" si="46"/>
        <v>150</v>
      </c>
      <c r="DC36" s="164">
        <f t="shared" si="47"/>
        <v>150</v>
      </c>
      <c r="DD36" s="16">
        <f t="shared" si="48"/>
        <v>150</v>
      </c>
      <c r="DE36" s="166">
        <f t="shared" si="49"/>
        <v>100</v>
      </c>
      <c r="DF36" s="164">
        <f t="shared" ca="1" si="51"/>
        <v>150</v>
      </c>
      <c r="DG36" s="16">
        <f t="shared" si="52"/>
        <v>0</v>
      </c>
      <c r="DH36" s="16">
        <f t="shared" si="53"/>
        <v>36</v>
      </c>
      <c r="DI36" s="166"/>
    </row>
    <row r="37" spans="1:113" s="16" customFormat="1" x14ac:dyDescent="0.25">
      <c r="A37" s="36">
        <f t="shared" si="56"/>
        <v>820</v>
      </c>
      <c r="B37" s="36">
        <f t="shared" si="50"/>
        <v>180</v>
      </c>
      <c r="C37" s="83">
        <f t="shared" si="41"/>
        <v>0</v>
      </c>
      <c r="D37" s="572"/>
      <c r="E37" s="16">
        <f t="shared" si="57"/>
        <v>1000</v>
      </c>
      <c r="F37" s="86">
        <f t="shared" si="60"/>
        <v>70</v>
      </c>
      <c r="G37" s="37">
        <f t="shared" si="61"/>
        <v>100</v>
      </c>
      <c r="H37" s="247">
        <f t="shared" si="62"/>
        <v>150</v>
      </c>
      <c r="I37" s="38">
        <f t="shared" si="63"/>
        <v>150</v>
      </c>
      <c r="J37" s="39">
        <f t="shared" si="64"/>
        <v>100</v>
      </c>
      <c r="K37" s="40">
        <f t="shared" si="65"/>
        <v>150</v>
      </c>
      <c r="L37" s="498">
        <f t="shared" si="66"/>
        <v>100</v>
      </c>
      <c r="M37" s="633">
        <f>Rezone!J37</f>
        <v>35</v>
      </c>
      <c r="N37" s="356"/>
      <c r="O37" s="363"/>
      <c r="P37" s="348"/>
      <c r="Q37" s="348"/>
      <c r="R37" s="345"/>
      <c r="S37" s="348"/>
      <c r="T37" s="348"/>
      <c r="U37" s="348"/>
      <c r="V37" s="348"/>
      <c r="W37" s="345"/>
      <c r="X37" s="345"/>
      <c r="Y37" s="348"/>
      <c r="Z37" s="345"/>
      <c r="AA37" s="348"/>
      <c r="AB37" s="348"/>
      <c r="AC37" s="345"/>
      <c r="AD37" s="348"/>
      <c r="AE37" s="376"/>
      <c r="AF37" s="336"/>
      <c r="AG37" s="530">
        <f>Imps!L37</f>
        <v>43768.354166666584</v>
      </c>
      <c r="AH37" s="91">
        <f>MIN(25%,(BG37+CE37)/(E37-Explore!S37*20))</f>
        <v>0</v>
      </c>
      <c r="AI37" s="59">
        <f t="shared" si="12"/>
        <v>0</v>
      </c>
      <c r="AJ37" s="56">
        <f ca="1">Production!$H37</f>
        <v>4646713</v>
      </c>
      <c r="AK37" s="57">
        <f ca="1">Production!$J37</f>
        <v>324606</v>
      </c>
      <c r="AL37" s="152">
        <f ca="1">ROUND( (1 - MIN(facs_constr_factor*$AH37,facs_constr_max)) * (1+MIN(tech_construction*Techs!AC37,tech_conquerors_crafts*Techs!AS37)) * AU37*(1+race_construction_cost),0)</f>
        <v>1615</v>
      </c>
      <c r="AM37" s="166">
        <f t="shared" si="58"/>
        <v>263</v>
      </c>
      <c r="AN37" s="152">
        <f ca="1">ROUND( (1 - MIN(facs_constr_factor*$AI37,facs_constr_max)) * (1+MIN(tech_construction*Techs!AE37,tech_conquerors_crafts*Techs!AU37)) * AU37*(1+race_construction_cost),0)</f>
        <v>1615</v>
      </c>
      <c r="AO37" s="166">
        <f t="shared" si="67"/>
        <v>263</v>
      </c>
      <c r="AP37" s="16">
        <f t="shared" ca="1" si="54"/>
        <v>0</v>
      </c>
      <c r="AQ37" s="53">
        <f t="shared" si="55"/>
        <v>0</v>
      </c>
      <c r="AR37" s="16">
        <f>MIN(SUM(F36:L36)+SUM(Explore!T25:Z25)+SUM(BV37:CN37),SUM($N37:$AF37))</f>
        <v>0</v>
      </c>
      <c r="AS37" s="16">
        <f>IF(Explore!S37&lt;&gt;0,MAX(0, MIN(20, 20 + SUM(N37:AF37) - SUM(BV37:CN37) - SUM(F36:L36)-SUM(Explore!T25:Z25)-20*Explore!S37)),0)</f>
        <v>0</v>
      </c>
      <c r="AU37" s="152">
        <f t="shared" si="16"/>
        <v>1615</v>
      </c>
      <c r="AV37" s="166">
        <f t="shared" si="17"/>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1"/>
      <c r="BS37" s="156">
        <f t="shared" si="59"/>
        <v>1000</v>
      </c>
      <c r="BT37" s="572">
        <f t="shared" si="42"/>
        <v>43769.416666666584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498">
        <f>-$AF37+$CN37 +Rezone!R37 + IF(home_land=CV$2,CW37) + Explore!Z25</f>
        <v>0</v>
      </c>
      <c r="CW37" s="159">
        <f>IF(Explore!S37=1,25) - N37 + BV37</f>
        <v>0</v>
      </c>
      <c r="CY37" s="152">
        <f t="shared" si="43"/>
        <v>150</v>
      </c>
      <c r="CZ37" s="164">
        <f t="shared" si="44"/>
        <v>150</v>
      </c>
      <c r="DA37" s="16">
        <f t="shared" si="45"/>
        <v>150</v>
      </c>
      <c r="DB37" s="164">
        <f t="shared" si="46"/>
        <v>150</v>
      </c>
      <c r="DC37" s="164">
        <f t="shared" si="47"/>
        <v>150</v>
      </c>
      <c r="DD37" s="16">
        <f t="shared" si="48"/>
        <v>150</v>
      </c>
      <c r="DE37" s="166">
        <f t="shared" si="49"/>
        <v>100</v>
      </c>
      <c r="DF37" s="164">
        <f t="shared" ca="1" si="51"/>
        <v>150</v>
      </c>
      <c r="DG37" s="16">
        <f t="shared" si="52"/>
        <v>0</v>
      </c>
      <c r="DH37" s="16">
        <f t="shared" si="53"/>
        <v>37</v>
      </c>
      <c r="DI37" s="166"/>
    </row>
    <row r="38" spans="1:113" s="16" customFormat="1" x14ac:dyDescent="0.25">
      <c r="A38" s="36">
        <f t="shared" si="56"/>
        <v>820</v>
      </c>
      <c r="B38" s="36">
        <f t="shared" si="50"/>
        <v>180</v>
      </c>
      <c r="C38" s="83">
        <f t="shared" si="41"/>
        <v>0</v>
      </c>
      <c r="D38" s="572"/>
      <c r="E38" s="16">
        <f t="shared" si="57"/>
        <v>1000</v>
      </c>
      <c r="F38" s="86">
        <f t="shared" si="60"/>
        <v>70</v>
      </c>
      <c r="G38" s="37">
        <f t="shared" si="61"/>
        <v>100</v>
      </c>
      <c r="H38" s="247">
        <f t="shared" si="62"/>
        <v>150</v>
      </c>
      <c r="I38" s="38">
        <f t="shared" si="63"/>
        <v>150</v>
      </c>
      <c r="J38" s="39">
        <f t="shared" si="64"/>
        <v>100</v>
      </c>
      <c r="K38" s="40">
        <f t="shared" si="65"/>
        <v>150</v>
      </c>
      <c r="L38" s="498">
        <f t="shared" si="66"/>
        <v>100</v>
      </c>
      <c r="M38" s="633">
        <f>Rezone!J38</f>
        <v>36</v>
      </c>
      <c r="N38" s="356"/>
      <c r="O38" s="363"/>
      <c r="P38" s="348"/>
      <c r="Q38" s="348"/>
      <c r="R38" s="345"/>
      <c r="S38" s="348"/>
      <c r="T38" s="348"/>
      <c r="U38" s="348"/>
      <c r="V38" s="348"/>
      <c r="W38" s="345"/>
      <c r="X38" s="345"/>
      <c r="Y38" s="348"/>
      <c r="Z38" s="345"/>
      <c r="AA38" s="348"/>
      <c r="AB38" s="348"/>
      <c r="AC38" s="345"/>
      <c r="AD38" s="348"/>
      <c r="AE38" s="348"/>
      <c r="AF38" s="336"/>
      <c r="AG38" s="530">
        <f>Imps!L38</f>
        <v>43768.364583333248</v>
      </c>
      <c r="AH38" s="91">
        <f>MIN(25%,(BG38+CE38)/(E38-Explore!S38*20))</f>
        <v>0</v>
      </c>
      <c r="AI38" s="59">
        <f t="shared" si="12"/>
        <v>0</v>
      </c>
      <c r="AJ38" s="56">
        <f ca="1">Production!$H38</f>
        <v>4651694</v>
      </c>
      <c r="AK38" s="57">
        <f ca="1">Production!$J38</f>
        <v>323860</v>
      </c>
      <c r="AL38" s="152">
        <f ca="1">ROUND( (1 - MIN(facs_constr_factor*$AH38,facs_constr_max)) * (1+MIN(tech_construction*Techs!AC38,tech_conquerors_crafts*Techs!AS38)) * AU38*(1+race_construction_cost),0)</f>
        <v>1615</v>
      </c>
      <c r="AM38" s="166">
        <f t="shared" si="58"/>
        <v>263</v>
      </c>
      <c r="AN38" s="152">
        <f ca="1">ROUND( (1 - MIN(facs_constr_factor*$AI38,facs_constr_max)) * (1+MIN(tech_construction*Techs!AE38,tech_conquerors_crafts*Techs!AU38)) * AU38*(1+race_construction_cost),0)</f>
        <v>1615</v>
      </c>
      <c r="AO38" s="166">
        <f t="shared" si="67"/>
        <v>263</v>
      </c>
      <c r="AP38" s="16">
        <f t="shared" ca="1" si="54"/>
        <v>0</v>
      </c>
      <c r="AQ38" s="53">
        <f t="shared" si="55"/>
        <v>0</v>
      </c>
      <c r="AR38" s="16">
        <f>MIN(SUM(F37:L37)+SUM(Explore!T26:Z26)+SUM(BV38:CN38),SUM($N38:$AF38))</f>
        <v>0</v>
      </c>
      <c r="AS38" s="16">
        <f>IF(Explore!S38&lt;&gt;0,MAX(0, MIN(20, 20 + SUM(N38:AF38) - SUM(BV38:CN38) - SUM(F37:L37)-SUM(Explore!T26:Z26)-20*Explore!S38)),0)</f>
        <v>0</v>
      </c>
      <c r="AU38" s="152">
        <f t="shared" si="16"/>
        <v>1615</v>
      </c>
      <c r="AV38" s="166">
        <f t="shared" si="17"/>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1"/>
      <c r="BS38" s="156">
        <f t="shared" si="59"/>
        <v>1000</v>
      </c>
      <c r="BT38" s="572">
        <f t="shared" si="42"/>
        <v>43769.458333333248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498">
        <f>-$AF38+$CN38 +Rezone!R38 + IF(home_land=CV$2,CW38) + Explore!Z26</f>
        <v>0</v>
      </c>
      <c r="CW38" s="159">
        <f>IF(Explore!S38=1,25) - N38 + BV38</f>
        <v>0</v>
      </c>
      <c r="CY38" s="152">
        <f t="shared" si="43"/>
        <v>150</v>
      </c>
      <c r="CZ38" s="164">
        <f t="shared" si="44"/>
        <v>150</v>
      </c>
      <c r="DA38" s="16">
        <f t="shared" si="45"/>
        <v>150</v>
      </c>
      <c r="DB38" s="164">
        <f t="shared" si="46"/>
        <v>150</v>
      </c>
      <c r="DC38" s="164">
        <f t="shared" si="47"/>
        <v>150</v>
      </c>
      <c r="DD38" s="16">
        <f t="shared" si="48"/>
        <v>150</v>
      </c>
      <c r="DE38" s="166">
        <f t="shared" si="49"/>
        <v>100</v>
      </c>
      <c r="DF38" s="164">
        <f t="shared" ca="1" si="51"/>
        <v>150</v>
      </c>
      <c r="DG38" s="16">
        <f t="shared" si="52"/>
        <v>0</v>
      </c>
      <c r="DH38" s="16">
        <f t="shared" si="53"/>
        <v>38</v>
      </c>
      <c r="DI38" s="166"/>
    </row>
    <row r="39" spans="1:113" s="12" customFormat="1" x14ac:dyDescent="0.25">
      <c r="A39" s="779">
        <f t="shared" si="56"/>
        <v>820</v>
      </c>
      <c r="B39" s="779">
        <f t="shared" si="50"/>
        <v>180</v>
      </c>
      <c r="C39" s="780">
        <f t="shared" si="41"/>
        <v>0</v>
      </c>
      <c r="D39" s="676"/>
      <c r="E39" s="12">
        <f t="shared" si="57"/>
        <v>1000</v>
      </c>
      <c r="F39" s="781">
        <f t="shared" si="60"/>
        <v>70</v>
      </c>
      <c r="G39" s="782">
        <f t="shared" si="61"/>
        <v>100</v>
      </c>
      <c r="H39" s="272">
        <f t="shared" si="62"/>
        <v>150</v>
      </c>
      <c r="I39" s="783">
        <f t="shared" si="63"/>
        <v>150</v>
      </c>
      <c r="J39" s="784">
        <f t="shared" si="64"/>
        <v>100</v>
      </c>
      <c r="K39" s="785">
        <f t="shared" si="65"/>
        <v>150</v>
      </c>
      <c r="L39" s="786">
        <f t="shared" si="66"/>
        <v>100</v>
      </c>
      <c r="M39" s="751">
        <f>Rezone!J39</f>
        <v>37</v>
      </c>
      <c r="N39" s="373"/>
      <c r="O39" s="349"/>
      <c r="P39" s="349"/>
      <c r="Q39" s="346"/>
      <c r="R39" s="346"/>
      <c r="S39" s="349"/>
      <c r="T39" s="349"/>
      <c r="U39" s="349"/>
      <c r="V39" s="349"/>
      <c r="W39" s="346"/>
      <c r="X39" s="346"/>
      <c r="Y39" s="349"/>
      <c r="Z39" s="346"/>
      <c r="AA39" s="349"/>
      <c r="AB39" s="349"/>
      <c r="AC39" s="346"/>
      <c r="AD39" s="349"/>
      <c r="AE39" s="349"/>
      <c r="AF39" s="337"/>
      <c r="AG39" s="674">
        <f>Imps!L39</f>
        <v>43768.374999999913</v>
      </c>
      <c r="AH39" s="306">
        <f>MIN(25%,(BG39+CE39)/(E39-Explore!S39*20))</f>
        <v>0</v>
      </c>
      <c r="AI39" s="58">
        <f t="shared" si="12"/>
        <v>0</v>
      </c>
      <c r="AJ39" s="54">
        <f ca="1">Production!$H39</f>
        <v>4656675</v>
      </c>
      <c r="AK39" s="55">
        <f ca="1">Production!$J39</f>
        <v>323121</v>
      </c>
      <c r="AL39" s="151">
        <f ca="1">ROUND( (1 - MIN(facs_constr_factor*$AH39,facs_constr_max)) * (1+MIN(tech_construction*Techs!AC39,tech_conquerors_crafts*Techs!AS39)) * AU39*(1+race_construction_cost),0)</f>
        <v>1615</v>
      </c>
      <c r="AM39" s="158">
        <f t="shared" si="58"/>
        <v>263</v>
      </c>
      <c r="AN39" s="151">
        <f ca="1">ROUND( (1 - MIN(facs_constr_factor*$AI39,facs_constr_max)) * (1+MIN(tech_construction*Techs!AE39,tech_conquerors_crafts*Techs!AU39)) * AU39*(1+race_construction_cost),0)</f>
        <v>1615</v>
      </c>
      <c r="AO39" s="158">
        <f t="shared" si="67"/>
        <v>263</v>
      </c>
      <c r="AP39" s="12">
        <f t="shared" ca="1" si="54"/>
        <v>0</v>
      </c>
      <c r="AQ39" s="51">
        <f t="shared" si="55"/>
        <v>0</v>
      </c>
      <c r="AR39" s="12">
        <f>MIN(SUM(F38:L38)+SUM(Explore!T27:Z27)+SUM(BV39:CN39),SUM($N39:$AF39))</f>
        <v>0</v>
      </c>
      <c r="AS39" s="12">
        <f>IF(Explore!S39&lt;&gt;0,MAX(0, MIN(20, 20 + SUM(N39:AF39) - SUM(BV39:CN39) - SUM(F38:L38)-SUM(Explore!T27:Z27)-20*Explore!S39)),0)</f>
        <v>0</v>
      </c>
      <c r="AU39" s="151">
        <f t="shared" si="16"/>
        <v>1615</v>
      </c>
      <c r="AV39" s="158">
        <f t="shared" si="17"/>
        <v>262.5</v>
      </c>
      <c r="AW39" s="153"/>
      <c r="AX39" s="787">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28"/>
      <c r="BS39" s="184">
        <f t="shared" si="59"/>
        <v>1000</v>
      </c>
      <c r="BT39" s="676">
        <f t="shared" si="42"/>
        <v>43769.499999999913</v>
      </c>
      <c r="BV39" s="373"/>
      <c r="BW39" s="349"/>
      <c r="BX39" s="349"/>
      <c r="BY39" s="349"/>
      <c r="BZ39" s="349"/>
      <c r="CA39" s="349"/>
      <c r="CB39" s="349"/>
      <c r="CC39" s="349"/>
      <c r="CD39" s="349"/>
      <c r="CE39" s="349"/>
      <c r="CF39" s="349"/>
      <c r="CG39" s="349"/>
      <c r="CH39" s="349"/>
      <c r="CI39" s="349"/>
      <c r="CJ39" s="349"/>
      <c r="CK39" s="349"/>
      <c r="CL39" s="349"/>
      <c r="CM39" s="788"/>
      <c r="CN39" s="374"/>
      <c r="CP39" s="781">
        <f>-SUM($O39:$R39)+SUM($BW39:BZ39)+Rezone!L39+IF(home_land=CP$2,CW39) + Explore!T27</f>
        <v>0</v>
      </c>
      <c r="CQ39" s="782">
        <f>-SUM($S39:$T39)+SUM($CA39:$CB39) +Rezone!M39 + IF(home_land=CQ$2,CW39) + Explore!U27</f>
        <v>0</v>
      </c>
      <c r="CR39" s="272">
        <f>-SUM($U39:$V39)+SUM($CC39:$CD39) +Rezone!N39 + IF(home_land=CR$2,CW39) + Explore!V27</f>
        <v>0</v>
      </c>
      <c r="CS39" s="783">
        <f>-SUM($W39:$Z39)+SUM($CE39:$CH39) +Rezone!O39 + IF(home_land=CS$2,CW39) + Explore!W27</f>
        <v>0</v>
      </c>
      <c r="CT39" s="784">
        <f>-SUM($AA39:$AC39)+SUM($CI39:$CK39) +Rezone!P39 + IF(home_land=CT$2,CW39) + Explore!X27</f>
        <v>0</v>
      </c>
      <c r="CU39" s="785">
        <f xml:space="preserve"> - SUM($AD39,$AE39)+SUM($CL39,$CM39) +Rezone!Q39 + IF(home_land=CU$2,CW39)+Explore!Y27</f>
        <v>0</v>
      </c>
      <c r="CV39" s="786">
        <f>-$AF39+$CN39 +Rezone!R39 + IF(home_land=CV$2,CW39) + Explore!Z27</f>
        <v>0</v>
      </c>
      <c r="CW39" s="287">
        <f>IF(Explore!S39=1,25) - N39 + BV39</f>
        <v>0</v>
      </c>
      <c r="CY39" s="151">
        <f t="shared" si="43"/>
        <v>150</v>
      </c>
      <c r="CZ39" s="153">
        <f t="shared" si="44"/>
        <v>150</v>
      </c>
      <c r="DA39" s="12">
        <f t="shared" si="45"/>
        <v>150</v>
      </c>
      <c r="DB39" s="153">
        <f t="shared" si="46"/>
        <v>150</v>
      </c>
      <c r="DC39" s="153">
        <f t="shared" si="47"/>
        <v>150</v>
      </c>
      <c r="DD39" s="12">
        <f t="shared" si="48"/>
        <v>150</v>
      </c>
      <c r="DE39" s="158">
        <f t="shared" si="49"/>
        <v>100</v>
      </c>
      <c r="DF39" s="153">
        <f t="shared" ca="1" si="51"/>
        <v>150</v>
      </c>
      <c r="DG39" s="12">
        <f t="shared" si="52"/>
        <v>0</v>
      </c>
      <c r="DH39" s="12">
        <f t="shared" si="53"/>
        <v>39</v>
      </c>
      <c r="DI39" s="158"/>
    </row>
    <row r="40" spans="1:113" s="16" customFormat="1" x14ac:dyDescent="0.25">
      <c r="A40" s="36">
        <f t="shared" si="56"/>
        <v>820</v>
      </c>
      <c r="B40" s="36">
        <f t="shared" si="50"/>
        <v>180</v>
      </c>
      <c r="C40" s="83">
        <f t="shared" si="41"/>
        <v>0</v>
      </c>
      <c r="D40" s="572"/>
      <c r="E40" s="16">
        <f t="shared" si="57"/>
        <v>1000</v>
      </c>
      <c r="F40" s="86">
        <f t="shared" si="60"/>
        <v>70</v>
      </c>
      <c r="G40" s="37">
        <f t="shared" si="61"/>
        <v>100</v>
      </c>
      <c r="H40" s="247">
        <f t="shared" si="62"/>
        <v>150</v>
      </c>
      <c r="I40" s="38">
        <f t="shared" si="63"/>
        <v>150</v>
      </c>
      <c r="J40" s="39">
        <f t="shared" si="64"/>
        <v>100</v>
      </c>
      <c r="K40" s="40">
        <f t="shared" si="65"/>
        <v>150</v>
      </c>
      <c r="L40" s="498">
        <f t="shared" si="66"/>
        <v>100</v>
      </c>
      <c r="M40" s="633">
        <f>Rezone!J40</f>
        <v>38</v>
      </c>
      <c r="N40" s="356"/>
      <c r="O40" s="348"/>
      <c r="P40" s="348"/>
      <c r="Q40" s="363"/>
      <c r="R40" s="345"/>
      <c r="S40" s="348"/>
      <c r="T40" s="348"/>
      <c r="U40" s="348"/>
      <c r="V40" s="348"/>
      <c r="W40" s="345"/>
      <c r="X40" s="345"/>
      <c r="Y40" s="348"/>
      <c r="Z40" s="345"/>
      <c r="AA40" s="348"/>
      <c r="AB40" s="348"/>
      <c r="AC40" s="345"/>
      <c r="AD40" s="348"/>
      <c r="AE40" s="348"/>
      <c r="AF40" s="336"/>
      <c r="AG40" s="530">
        <f>Imps!L40</f>
        <v>43768.385416666577</v>
      </c>
      <c r="AH40" s="91">
        <f>MIN(25%,(BG40+CE40)/(E40-Explore!S40*20))</f>
        <v>0</v>
      </c>
      <c r="AI40" s="59">
        <f t="shared" si="12"/>
        <v>0</v>
      </c>
      <c r="AJ40" s="56">
        <f ca="1">Production!$H40</f>
        <v>4661656</v>
      </c>
      <c r="AK40" s="57">
        <f ca="1">Production!$J40</f>
        <v>322390</v>
      </c>
      <c r="AL40" s="152">
        <f ca="1">ROUND( (1 - MIN(facs_constr_factor*$AH40,facs_constr_max)) * (1+MIN(tech_construction*Techs!AC40,tech_conquerors_crafts*Techs!AS40)) * AU40*(1+race_construction_cost),0)</f>
        <v>1615</v>
      </c>
      <c r="AM40" s="166">
        <f t="shared" si="58"/>
        <v>263</v>
      </c>
      <c r="AN40" s="152">
        <f ca="1">ROUND( (1 - MIN(facs_constr_factor*$AI40,facs_constr_max)) * (1+MIN(tech_construction*Techs!AE40,tech_conquerors_crafts*Techs!AU40)) * AU40*(1+race_construction_cost),0)</f>
        <v>1615</v>
      </c>
      <c r="AO40" s="166">
        <f t="shared" si="67"/>
        <v>263</v>
      </c>
      <c r="AP40" s="16">
        <f t="shared" ca="1" si="54"/>
        <v>0</v>
      </c>
      <c r="AQ40" s="53">
        <f t="shared" si="55"/>
        <v>0</v>
      </c>
      <c r="AR40" s="16">
        <f>MIN(SUM(F39:L39)+SUM(Explore!T28:Z28)+SUM(BV40:CN40),SUM($N40:$AF40))</f>
        <v>0</v>
      </c>
      <c r="AS40" s="16">
        <f>IF(Explore!S40&lt;&gt;0,MAX(0, MIN(20, 20 + SUM(N40:AF40) - SUM(BV40:CN40) - SUM(F39:L39)-SUM(Explore!T28:Z28)-20*Explore!S40)),0)</f>
        <v>0</v>
      </c>
      <c r="AU40" s="152">
        <f t="shared" si="16"/>
        <v>1615</v>
      </c>
      <c r="AV40" s="166">
        <f t="shared" si="17"/>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1"/>
      <c r="BS40" s="156">
        <f t="shared" si="59"/>
        <v>1000</v>
      </c>
      <c r="BT40" s="572">
        <f t="shared" si="42"/>
        <v>43769.541666666577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498">
        <f>-$AF40+$CN40 +Rezone!R40 + IF(home_land=CV$2,CW40) + Explore!Z28</f>
        <v>0</v>
      </c>
      <c r="CW40" s="159">
        <f>IF(Explore!S40=1,25) - N40 + BV40</f>
        <v>0</v>
      </c>
      <c r="CY40" s="152">
        <f t="shared" si="43"/>
        <v>150</v>
      </c>
      <c r="CZ40" s="164">
        <f t="shared" si="44"/>
        <v>150</v>
      </c>
      <c r="DA40" s="16">
        <f t="shared" si="45"/>
        <v>150</v>
      </c>
      <c r="DB40" s="164">
        <f t="shared" si="46"/>
        <v>150</v>
      </c>
      <c r="DC40" s="164">
        <f t="shared" si="47"/>
        <v>150</v>
      </c>
      <c r="DD40" s="16">
        <f t="shared" si="48"/>
        <v>150</v>
      </c>
      <c r="DE40" s="166">
        <f t="shared" si="49"/>
        <v>100</v>
      </c>
      <c r="DF40" s="164">
        <f t="shared" ca="1" si="51"/>
        <v>150</v>
      </c>
      <c r="DG40" s="16">
        <f t="shared" si="52"/>
        <v>0</v>
      </c>
      <c r="DH40" s="16">
        <f t="shared" si="53"/>
        <v>40</v>
      </c>
      <c r="DI40" s="166"/>
    </row>
    <row r="41" spans="1:113" s="16" customFormat="1" x14ac:dyDescent="0.25">
      <c r="A41" s="36">
        <f t="shared" si="56"/>
        <v>820</v>
      </c>
      <c r="B41" s="36">
        <f t="shared" si="50"/>
        <v>180</v>
      </c>
      <c r="C41" s="83">
        <f t="shared" si="41"/>
        <v>0</v>
      </c>
      <c r="D41" s="572"/>
      <c r="E41" s="16">
        <f t="shared" si="57"/>
        <v>1000</v>
      </c>
      <c r="F41" s="86">
        <f t="shared" si="60"/>
        <v>70</v>
      </c>
      <c r="G41" s="37">
        <f t="shared" si="61"/>
        <v>100</v>
      </c>
      <c r="H41" s="247">
        <f t="shared" si="62"/>
        <v>150</v>
      </c>
      <c r="I41" s="38">
        <f t="shared" si="63"/>
        <v>150</v>
      </c>
      <c r="J41" s="39">
        <f t="shared" si="64"/>
        <v>100</v>
      </c>
      <c r="K41" s="40">
        <f t="shared" si="65"/>
        <v>150</v>
      </c>
      <c r="L41" s="498">
        <f t="shared" si="66"/>
        <v>100</v>
      </c>
      <c r="M41" s="633">
        <f>Rezone!J41</f>
        <v>39</v>
      </c>
      <c r="N41" s="356"/>
      <c r="O41" s="348"/>
      <c r="P41" s="348"/>
      <c r="Q41" s="363"/>
      <c r="R41" s="345"/>
      <c r="S41" s="348"/>
      <c r="T41" s="348"/>
      <c r="U41" s="348"/>
      <c r="V41" s="348"/>
      <c r="W41" s="345"/>
      <c r="X41" s="345"/>
      <c r="Y41" s="348"/>
      <c r="Z41" s="345"/>
      <c r="AA41" s="348"/>
      <c r="AB41" s="348"/>
      <c r="AC41" s="345"/>
      <c r="AD41" s="348"/>
      <c r="AE41" s="348"/>
      <c r="AF41" s="336"/>
      <c r="AG41" s="530">
        <f>Imps!L41</f>
        <v>43768.395833333241</v>
      </c>
      <c r="AH41" s="91">
        <f>MIN(25%,(BG41+CE41)/(E41-Explore!S41*20))</f>
        <v>0</v>
      </c>
      <c r="AI41" s="59">
        <f t="shared" si="12"/>
        <v>0</v>
      </c>
      <c r="AJ41" s="56">
        <f ca="1">Production!$H41</f>
        <v>4666637</v>
      </c>
      <c r="AK41" s="57">
        <f ca="1">Production!$J41</f>
        <v>321666</v>
      </c>
      <c r="AL41" s="152">
        <f ca="1">ROUND( (1 - MIN(facs_constr_factor*$AH41,facs_constr_max)) * (1+MIN(tech_construction*Techs!AC41,tech_conquerors_crafts*Techs!AS41)) * AU41*(1+race_construction_cost),0)</f>
        <v>1615</v>
      </c>
      <c r="AM41" s="166">
        <f t="shared" si="58"/>
        <v>263</v>
      </c>
      <c r="AN41" s="152">
        <f ca="1">ROUND( (1 - MIN(facs_constr_factor*$AI41,facs_constr_max)) * (1+MIN(tech_construction*Techs!AE41,tech_conquerors_crafts*Techs!AU41)) * AU41*(1+race_construction_cost),0)</f>
        <v>1615</v>
      </c>
      <c r="AO41" s="166">
        <f t="shared" si="67"/>
        <v>263</v>
      </c>
      <c r="AP41" s="16">
        <f t="shared" ca="1" si="54"/>
        <v>0</v>
      </c>
      <c r="AQ41" s="53">
        <f t="shared" si="55"/>
        <v>0</v>
      </c>
      <c r="AR41" s="16">
        <f>MIN(SUM(F40:L40)+SUM(Explore!T29:Z29)+SUM(BV41:CN41),SUM($N41:$AF41))</f>
        <v>0</v>
      </c>
      <c r="AS41" s="16">
        <f>IF(Explore!S41&lt;&gt;0,MAX(0, MIN(20, 20 + SUM(N41:AF41) - SUM(BV41:CN41) - SUM(F40:L40)-SUM(Explore!T29:Z29)-20*Explore!S41)),0)</f>
        <v>0</v>
      </c>
      <c r="AU41" s="152">
        <f t="shared" si="16"/>
        <v>1615</v>
      </c>
      <c r="AV41" s="166">
        <f t="shared" si="17"/>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1"/>
      <c r="BS41" s="156">
        <f t="shared" si="59"/>
        <v>1000</v>
      </c>
      <c r="BT41" s="572">
        <f t="shared" si="42"/>
        <v>43769.583333333241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498">
        <f>-$AF41+$CN41 +Rezone!R41 + IF(home_land=CV$2,CW41) + Explore!Z29</f>
        <v>0</v>
      </c>
      <c r="CW41" s="159">
        <f>IF(Explore!S41=1,25) - N41 + BV41</f>
        <v>0</v>
      </c>
      <c r="CY41" s="152">
        <f t="shared" si="43"/>
        <v>150</v>
      </c>
      <c r="CZ41" s="164">
        <f t="shared" si="44"/>
        <v>150</v>
      </c>
      <c r="DA41" s="16">
        <f t="shared" si="45"/>
        <v>150</v>
      </c>
      <c r="DB41" s="164">
        <f t="shared" si="46"/>
        <v>150</v>
      </c>
      <c r="DC41" s="164">
        <f t="shared" si="47"/>
        <v>150</v>
      </c>
      <c r="DD41" s="16">
        <f t="shared" si="48"/>
        <v>150</v>
      </c>
      <c r="DE41" s="166">
        <f t="shared" si="49"/>
        <v>100</v>
      </c>
      <c r="DF41" s="164">
        <f t="shared" ca="1" si="51"/>
        <v>150</v>
      </c>
      <c r="DG41" s="16">
        <f t="shared" si="52"/>
        <v>0</v>
      </c>
      <c r="DH41" s="16">
        <f t="shared" si="53"/>
        <v>41</v>
      </c>
      <c r="DI41" s="166"/>
    </row>
    <row r="42" spans="1:113" s="16" customFormat="1" x14ac:dyDescent="0.25">
      <c r="A42" s="36">
        <f t="shared" si="56"/>
        <v>820</v>
      </c>
      <c r="B42" s="36">
        <f t="shared" si="50"/>
        <v>180</v>
      </c>
      <c r="C42" s="83">
        <f t="shared" si="41"/>
        <v>0</v>
      </c>
      <c r="D42" s="572"/>
      <c r="E42" s="16">
        <f t="shared" si="57"/>
        <v>1000</v>
      </c>
      <c r="F42" s="86">
        <f t="shared" si="60"/>
        <v>70</v>
      </c>
      <c r="G42" s="37">
        <f t="shared" si="61"/>
        <v>100</v>
      </c>
      <c r="H42" s="247">
        <f t="shared" si="62"/>
        <v>150</v>
      </c>
      <c r="I42" s="38">
        <f t="shared" si="63"/>
        <v>150</v>
      </c>
      <c r="J42" s="39">
        <f t="shared" si="64"/>
        <v>100</v>
      </c>
      <c r="K42" s="40">
        <f t="shared" si="65"/>
        <v>150</v>
      </c>
      <c r="L42" s="498">
        <f t="shared" si="66"/>
        <v>100</v>
      </c>
      <c r="M42" s="633">
        <f>Rezone!J42</f>
        <v>40</v>
      </c>
      <c r="N42" s="356"/>
      <c r="O42" s="348"/>
      <c r="P42" s="348"/>
      <c r="Q42" s="363"/>
      <c r="R42" s="345"/>
      <c r="S42" s="348"/>
      <c r="T42" s="348"/>
      <c r="U42" s="348"/>
      <c r="V42" s="348"/>
      <c r="W42" s="345"/>
      <c r="X42" s="345"/>
      <c r="Y42" s="348"/>
      <c r="Z42" s="345"/>
      <c r="AA42" s="348"/>
      <c r="AB42" s="348"/>
      <c r="AC42" s="345"/>
      <c r="AD42" s="348"/>
      <c r="AE42" s="348"/>
      <c r="AF42" s="336"/>
      <c r="AG42" s="530">
        <f>Imps!L42</f>
        <v>43768.406249999905</v>
      </c>
      <c r="AH42" s="91">
        <f>MIN(25%,(BG42+CE42)/(E42-Explore!S42*20))</f>
        <v>0</v>
      </c>
      <c r="AI42" s="59">
        <f t="shared" si="12"/>
        <v>0</v>
      </c>
      <c r="AJ42" s="56">
        <f ca="1">Production!$H42</f>
        <v>4671618</v>
      </c>
      <c r="AK42" s="57">
        <f ca="1">Production!$J42</f>
        <v>320949</v>
      </c>
      <c r="AL42" s="152">
        <f ca="1">ROUND( (1 - MIN(facs_constr_factor*$AH42,facs_constr_max)) * (1+MIN(tech_construction*Techs!AC42,tech_conquerors_crafts*Techs!AS42)) * AU42*(1+race_construction_cost),0)</f>
        <v>1615</v>
      </c>
      <c r="AM42" s="166">
        <f t="shared" si="58"/>
        <v>263</v>
      </c>
      <c r="AN42" s="152">
        <f ca="1">ROUND( (1 - MIN(facs_constr_factor*$AI42,facs_constr_max)) * (1+MIN(tech_construction*Techs!AE42,tech_conquerors_crafts*Techs!AU42)) * AU42*(1+race_construction_cost),0)</f>
        <v>1615</v>
      </c>
      <c r="AO42" s="166">
        <f t="shared" si="67"/>
        <v>263</v>
      </c>
      <c r="AP42" s="16">
        <f t="shared" ca="1" si="54"/>
        <v>0</v>
      </c>
      <c r="AQ42" s="53">
        <f t="shared" si="55"/>
        <v>0</v>
      </c>
      <c r="AR42" s="16">
        <f>MIN(SUM(F41:L41)+SUM(Explore!T30:Z30)+SUM(BV42:CN42),SUM($N42:$AF42))</f>
        <v>0</v>
      </c>
      <c r="AS42" s="16">
        <f>IF(Explore!S42&lt;&gt;0,MAX(0, MIN(20, 20 + SUM(N42:AF42) - SUM(BV42:CN42) - SUM(F41:L41)-SUM(Explore!T30:Z30)-20*Explore!S42)),0)</f>
        <v>0</v>
      </c>
      <c r="AU42" s="152">
        <f t="shared" si="16"/>
        <v>1615</v>
      </c>
      <c r="AV42" s="166">
        <f t="shared" si="17"/>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1"/>
      <c r="BS42" s="156">
        <f t="shared" si="59"/>
        <v>1000</v>
      </c>
      <c r="BT42" s="572">
        <f t="shared" si="42"/>
        <v>43769.624999999905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498">
        <f>-$AF42+$CN42 +Rezone!R42 + IF(home_land=CV$2,CW42) + Explore!Z30</f>
        <v>0</v>
      </c>
      <c r="CW42" s="159">
        <f>IF(Explore!S42=1,25) - N42 + BV42</f>
        <v>0</v>
      </c>
      <c r="CY42" s="152">
        <f t="shared" si="43"/>
        <v>150</v>
      </c>
      <c r="CZ42" s="164">
        <f t="shared" si="44"/>
        <v>150</v>
      </c>
      <c r="DA42" s="16">
        <f t="shared" si="45"/>
        <v>150</v>
      </c>
      <c r="DB42" s="164">
        <f t="shared" si="46"/>
        <v>150</v>
      </c>
      <c r="DC42" s="164">
        <f t="shared" si="47"/>
        <v>150</v>
      </c>
      <c r="DD42" s="16">
        <f t="shared" si="48"/>
        <v>150</v>
      </c>
      <c r="DE42" s="166">
        <f t="shared" si="49"/>
        <v>100</v>
      </c>
      <c r="DF42" s="164">
        <f t="shared" ca="1" si="51"/>
        <v>150</v>
      </c>
      <c r="DG42" s="16">
        <f t="shared" si="52"/>
        <v>0</v>
      </c>
      <c r="DH42" s="16">
        <f t="shared" si="53"/>
        <v>42</v>
      </c>
      <c r="DI42" s="166"/>
    </row>
    <row r="43" spans="1:113" s="16" customFormat="1" x14ac:dyDescent="0.25">
      <c r="A43" s="36">
        <f t="shared" si="56"/>
        <v>820</v>
      </c>
      <c r="B43" s="36">
        <f t="shared" si="50"/>
        <v>180</v>
      </c>
      <c r="C43" s="83">
        <f t="shared" si="41"/>
        <v>0</v>
      </c>
      <c r="D43" s="572"/>
      <c r="E43" s="16">
        <f t="shared" si="57"/>
        <v>1000</v>
      </c>
      <c r="F43" s="86">
        <f t="shared" si="60"/>
        <v>70</v>
      </c>
      <c r="G43" s="37">
        <f t="shared" si="61"/>
        <v>100</v>
      </c>
      <c r="H43" s="247">
        <f t="shared" si="62"/>
        <v>150</v>
      </c>
      <c r="I43" s="38">
        <f t="shared" si="63"/>
        <v>150</v>
      </c>
      <c r="J43" s="39">
        <f t="shared" si="64"/>
        <v>100</v>
      </c>
      <c r="K43" s="40">
        <f t="shared" si="65"/>
        <v>150</v>
      </c>
      <c r="L43" s="498">
        <f t="shared" si="66"/>
        <v>100</v>
      </c>
      <c r="M43" s="633">
        <f>Rezone!J43</f>
        <v>41</v>
      </c>
      <c r="N43" s="356"/>
      <c r="O43" s="348"/>
      <c r="P43" s="348"/>
      <c r="Q43" s="363"/>
      <c r="R43" s="345"/>
      <c r="S43" s="348"/>
      <c r="T43" s="348"/>
      <c r="U43" s="348"/>
      <c r="V43" s="348"/>
      <c r="W43" s="345"/>
      <c r="X43" s="345"/>
      <c r="Y43" s="348"/>
      <c r="Z43" s="345"/>
      <c r="AA43" s="348"/>
      <c r="AB43" s="348"/>
      <c r="AC43" s="345"/>
      <c r="AD43" s="348"/>
      <c r="AE43" s="348"/>
      <c r="AF43" s="336"/>
      <c r="AG43" s="530">
        <f>Imps!L43</f>
        <v>43768.41666666657</v>
      </c>
      <c r="AH43" s="91">
        <f>MIN(25%,(BG43+CE43)/(E43-Explore!S43*20))</f>
        <v>0</v>
      </c>
      <c r="AI43" s="59">
        <f t="shared" si="12"/>
        <v>0</v>
      </c>
      <c r="AJ43" s="56">
        <f ca="1">Production!$H43</f>
        <v>4676599</v>
      </c>
      <c r="AK43" s="57">
        <f ca="1">Production!$J43</f>
        <v>320240</v>
      </c>
      <c r="AL43" s="152">
        <f ca="1">ROUND( (1 - MIN(facs_constr_factor*$AH43,facs_constr_max)) * (1+MIN(tech_construction*Techs!AC43,tech_conquerors_crafts*Techs!AS43)) * AU43*(1+race_construction_cost),0)</f>
        <v>1615</v>
      </c>
      <c r="AM43" s="166">
        <f t="shared" si="58"/>
        <v>263</v>
      </c>
      <c r="AN43" s="152">
        <f ca="1">ROUND( (1 - MIN(facs_constr_factor*$AI43,facs_constr_max)) * (1+MIN(tech_construction*Techs!AE43,tech_conquerors_crafts*Techs!AU43)) * AU43*(1+race_construction_cost),0)</f>
        <v>1615</v>
      </c>
      <c r="AO43" s="166">
        <f t="shared" si="67"/>
        <v>263</v>
      </c>
      <c r="AP43" s="16">
        <f t="shared" ca="1" si="54"/>
        <v>0</v>
      </c>
      <c r="AQ43" s="53">
        <f t="shared" si="55"/>
        <v>0</v>
      </c>
      <c r="AR43" s="16">
        <f>MIN(SUM(F42:L42)+SUM(Explore!T31:Z31)+SUM(BV43:CN43),SUM($N43:$AF43))</f>
        <v>0</v>
      </c>
      <c r="AS43" s="16">
        <f>IF(Explore!S43&lt;&gt;0,MAX(0, MIN(20, 20 + SUM(N43:AF43) - SUM(BV43:CN43) - SUM(F42:L42)-SUM(Explore!T31:Z31)-20*Explore!S43)),0)</f>
        <v>0</v>
      </c>
      <c r="AU43" s="152">
        <f t="shared" si="16"/>
        <v>1615</v>
      </c>
      <c r="AV43" s="166">
        <f t="shared" si="17"/>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1"/>
      <c r="BS43" s="156">
        <f t="shared" si="59"/>
        <v>1000</v>
      </c>
      <c r="BT43" s="572">
        <f t="shared" si="42"/>
        <v>43769.66666666657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498">
        <f>-$AF43+$CN43 +Rezone!R43 + IF(home_land=CV$2,CW43) + Explore!Z31</f>
        <v>0</v>
      </c>
      <c r="CW43" s="159">
        <f>IF(Explore!S43=1,25) - N43 + BV43</f>
        <v>0</v>
      </c>
      <c r="CY43" s="152">
        <f t="shared" si="43"/>
        <v>150</v>
      </c>
      <c r="CZ43" s="164">
        <f t="shared" si="44"/>
        <v>150</v>
      </c>
      <c r="DA43" s="16">
        <f t="shared" si="45"/>
        <v>150</v>
      </c>
      <c r="DB43" s="164">
        <f t="shared" si="46"/>
        <v>150</v>
      </c>
      <c r="DC43" s="164">
        <f t="shared" si="47"/>
        <v>150</v>
      </c>
      <c r="DD43" s="16">
        <f t="shared" si="48"/>
        <v>150</v>
      </c>
      <c r="DE43" s="166">
        <f t="shared" si="49"/>
        <v>100</v>
      </c>
      <c r="DF43" s="164">
        <f t="shared" ca="1" si="51"/>
        <v>150</v>
      </c>
      <c r="DG43" s="16">
        <f t="shared" si="52"/>
        <v>0</v>
      </c>
      <c r="DH43" s="16">
        <f t="shared" si="53"/>
        <v>43</v>
      </c>
      <c r="DI43" s="166"/>
    </row>
    <row r="44" spans="1:113" s="16" customFormat="1" x14ac:dyDescent="0.25">
      <c r="A44" s="36">
        <f t="shared" si="56"/>
        <v>820</v>
      </c>
      <c r="B44" s="36">
        <f t="shared" si="50"/>
        <v>180</v>
      </c>
      <c r="C44" s="83">
        <f t="shared" si="41"/>
        <v>0</v>
      </c>
      <c r="D44" s="572"/>
      <c r="E44" s="16">
        <f t="shared" si="57"/>
        <v>1000</v>
      </c>
      <c r="F44" s="86">
        <f t="shared" si="60"/>
        <v>70</v>
      </c>
      <c r="G44" s="37">
        <f t="shared" si="61"/>
        <v>100</v>
      </c>
      <c r="H44" s="247">
        <f t="shared" si="62"/>
        <v>150</v>
      </c>
      <c r="I44" s="38">
        <f t="shared" si="63"/>
        <v>150</v>
      </c>
      <c r="J44" s="39">
        <f t="shared" si="64"/>
        <v>100</v>
      </c>
      <c r="K44" s="40">
        <f t="shared" si="65"/>
        <v>150</v>
      </c>
      <c r="L44" s="498">
        <f t="shared" si="66"/>
        <v>100</v>
      </c>
      <c r="M44" s="633">
        <f>Rezone!J44</f>
        <v>42</v>
      </c>
      <c r="N44" s="356"/>
      <c r="O44" s="348"/>
      <c r="P44" s="348"/>
      <c r="Q44" s="363"/>
      <c r="R44" s="345"/>
      <c r="S44" s="348"/>
      <c r="T44" s="348"/>
      <c r="U44" s="348"/>
      <c r="V44" s="348"/>
      <c r="W44" s="345"/>
      <c r="X44" s="345"/>
      <c r="Y44" s="348"/>
      <c r="Z44" s="345"/>
      <c r="AA44" s="348"/>
      <c r="AB44" s="348"/>
      <c r="AC44" s="345"/>
      <c r="AD44" s="348"/>
      <c r="AE44" s="348"/>
      <c r="AF44" s="336"/>
      <c r="AG44" s="530">
        <f>Imps!L44</f>
        <v>43768.427083333234</v>
      </c>
      <c r="AH44" s="91">
        <f>MIN(25%,(BG44+CE44)/(E44-Explore!S44*20))</f>
        <v>0</v>
      </c>
      <c r="AI44" s="59">
        <f t="shared" si="12"/>
        <v>0</v>
      </c>
      <c r="AJ44" s="56">
        <f ca="1">Production!$H44</f>
        <v>4681580</v>
      </c>
      <c r="AK44" s="57">
        <f ca="1">Production!$J44</f>
        <v>319538</v>
      </c>
      <c r="AL44" s="152">
        <f ca="1">ROUND( (1 - MIN(facs_constr_factor*$AH44,facs_constr_max)) * (1+MIN(tech_construction*Techs!AC44,tech_conquerors_crafts*Techs!AS44)) * AU44*(1+race_construction_cost),0)</f>
        <v>1615</v>
      </c>
      <c r="AM44" s="166">
        <f t="shared" si="58"/>
        <v>263</v>
      </c>
      <c r="AN44" s="152">
        <f ca="1">ROUND( (1 - MIN(facs_constr_factor*$AI44,facs_constr_max)) * (1+MIN(tech_construction*Techs!AE44,tech_conquerors_crafts*Techs!AU44)) * AU44*(1+race_construction_cost),0)</f>
        <v>1615</v>
      </c>
      <c r="AO44" s="166">
        <f t="shared" si="67"/>
        <v>263</v>
      </c>
      <c r="AP44" s="16">
        <f t="shared" ca="1" si="54"/>
        <v>0</v>
      </c>
      <c r="AQ44" s="53">
        <f t="shared" si="55"/>
        <v>0</v>
      </c>
      <c r="AR44" s="16">
        <f>MIN(SUM(F43:L43)+SUM(Explore!T32:Z32)+SUM(BV44:CN44),SUM($N44:$AF44))</f>
        <v>0</v>
      </c>
      <c r="AS44" s="16">
        <f>IF(Explore!S44&lt;&gt;0,MAX(0, MIN(20, 20 + SUM(N44:AF44) - SUM(BV44:CN44) - SUM(F43:L43)-SUM(Explore!T32:Z32)-20*Explore!S44)),0)</f>
        <v>0</v>
      </c>
      <c r="AU44" s="152">
        <f t="shared" si="16"/>
        <v>1615</v>
      </c>
      <c r="AV44" s="166">
        <f t="shared" si="17"/>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1"/>
      <c r="BS44" s="156">
        <f t="shared" si="59"/>
        <v>1000</v>
      </c>
      <c r="BT44" s="572">
        <f t="shared" si="42"/>
        <v>43769.708333333234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498">
        <f>-$AF44+$CN44 +Rezone!R44 + IF(home_land=CV$2,CW44) + Explore!Z32</f>
        <v>0</v>
      </c>
      <c r="CW44" s="159">
        <f>IF(Explore!S44=1,25) - N44 + BV44</f>
        <v>0</v>
      </c>
      <c r="CY44" s="152">
        <f t="shared" si="43"/>
        <v>150</v>
      </c>
      <c r="CZ44" s="164">
        <f t="shared" si="44"/>
        <v>150</v>
      </c>
      <c r="DA44" s="16">
        <f t="shared" si="45"/>
        <v>150</v>
      </c>
      <c r="DB44" s="164">
        <f t="shared" si="46"/>
        <v>150</v>
      </c>
      <c r="DC44" s="164">
        <f t="shared" si="47"/>
        <v>150</v>
      </c>
      <c r="DD44" s="16">
        <f t="shared" si="48"/>
        <v>150</v>
      </c>
      <c r="DE44" s="166">
        <f t="shared" si="49"/>
        <v>100</v>
      </c>
      <c r="DF44" s="164">
        <f t="shared" ca="1" si="51"/>
        <v>150</v>
      </c>
      <c r="DG44" s="16">
        <f t="shared" si="52"/>
        <v>0</v>
      </c>
      <c r="DH44" s="16">
        <f t="shared" si="53"/>
        <v>44</v>
      </c>
      <c r="DI44" s="166"/>
    </row>
    <row r="45" spans="1:113" s="16" customFormat="1" x14ac:dyDescent="0.25">
      <c r="A45" s="36">
        <f t="shared" si="56"/>
        <v>820</v>
      </c>
      <c r="B45" s="36">
        <f t="shared" si="50"/>
        <v>180</v>
      </c>
      <c r="C45" s="83">
        <f t="shared" si="41"/>
        <v>0</v>
      </c>
      <c r="D45" s="572"/>
      <c r="E45" s="16">
        <f t="shared" si="57"/>
        <v>1000</v>
      </c>
      <c r="F45" s="86">
        <f t="shared" si="60"/>
        <v>70</v>
      </c>
      <c r="G45" s="37">
        <f t="shared" si="61"/>
        <v>100</v>
      </c>
      <c r="H45" s="247">
        <f t="shared" si="62"/>
        <v>150</v>
      </c>
      <c r="I45" s="38">
        <f t="shared" si="63"/>
        <v>150</v>
      </c>
      <c r="J45" s="39">
        <f t="shared" si="64"/>
        <v>100</v>
      </c>
      <c r="K45" s="40">
        <f t="shared" si="65"/>
        <v>150</v>
      </c>
      <c r="L45" s="498">
        <f t="shared" si="66"/>
        <v>100</v>
      </c>
      <c r="M45" s="633">
        <f>Rezone!J45</f>
        <v>43</v>
      </c>
      <c r="N45" s="356"/>
      <c r="O45" s="348"/>
      <c r="P45" s="348"/>
      <c r="Q45" s="363"/>
      <c r="R45" s="345"/>
      <c r="S45" s="348"/>
      <c r="T45" s="348"/>
      <c r="U45" s="348"/>
      <c r="V45" s="348"/>
      <c r="W45" s="345"/>
      <c r="X45" s="345"/>
      <c r="Y45" s="348"/>
      <c r="Z45" s="345"/>
      <c r="AA45" s="348"/>
      <c r="AB45" s="348"/>
      <c r="AC45" s="345"/>
      <c r="AD45" s="348"/>
      <c r="AE45" s="348"/>
      <c r="AF45" s="336"/>
      <c r="AG45" s="530">
        <f>Imps!L45</f>
        <v>43768.437499999898</v>
      </c>
      <c r="AH45" s="91">
        <f>MIN(25%,(BG45+CE45)/(E45-Explore!S45*20))</f>
        <v>0</v>
      </c>
      <c r="AI45" s="59">
        <f t="shared" si="12"/>
        <v>0</v>
      </c>
      <c r="AJ45" s="56">
        <f ca="1">Production!$H45</f>
        <v>4686561</v>
      </c>
      <c r="AK45" s="57">
        <f ca="1">Production!$J45</f>
        <v>318843</v>
      </c>
      <c r="AL45" s="152">
        <f ca="1">ROUND( (1 - MIN(facs_constr_factor*$AH45,facs_constr_max)) * (1+MIN(tech_construction*Techs!AC45,tech_conquerors_crafts*Techs!AS45)) * AU45*(1+race_construction_cost),0)</f>
        <v>1615</v>
      </c>
      <c r="AM45" s="166">
        <f t="shared" si="58"/>
        <v>263</v>
      </c>
      <c r="AN45" s="152">
        <f ca="1">ROUND( (1 - MIN(facs_constr_factor*$AI45,facs_constr_max)) * (1+MIN(tech_construction*Techs!AE45,tech_conquerors_crafts*Techs!AU45)) * AU45*(1+race_construction_cost),0)</f>
        <v>1615</v>
      </c>
      <c r="AO45" s="166">
        <f t="shared" si="67"/>
        <v>263</v>
      </c>
      <c r="AP45" s="16">
        <f t="shared" ca="1" si="54"/>
        <v>0</v>
      </c>
      <c r="AQ45" s="53">
        <f t="shared" si="55"/>
        <v>0</v>
      </c>
      <c r="AR45" s="16">
        <f>MIN(SUM(F44:L44)+SUM(Explore!T33:Z33)+SUM(BV45:CN45),SUM($N45:$AF45))</f>
        <v>0</v>
      </c>
      <c r="AS45" s="16">
        <f>IF(Explore!S45&lt;&gt;0,MAX(0, MIN(20, 20 + SUM(N45:AF45) - SUM(BV45:CN45) - SUM(F44:L44)-SUM(Explore!T33:Z33)-20*Explore!S45)),0)</f>
        <v>0</v>
      </c>
      <c r="AU45" s="152">
        <f t="shared" si="16"/>
        <v>1615</v>
      </c>
      <c r="AV45" s="166">
        <f t="shared" si="17"/>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1"/>
      <c r="BS45" s="156">
        <f t="shared" si="59"/>
        <v>1000</v>
      </c>
      <c r="BT45" s="572">
        <f t="shared" si="42"/>
        <v>43769.749999999898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498">
        <f>-$AF45+$CN45 +Rezone!R45 + IF(home_land=CV$2,CW45) + Explore!Z33</f>
        <v>0</v>
      </c>
      <c r="CW45" s="159">
        <f>IF(Explore!S45=1,25) - N45 + BV45</f>
        <v>0</v>
      </c>
      <c r="CY45" s="152">
        <f t="shared" si="43"/>
        <v>150</v>
      </c>
      <c r="CZ45" s="164">
        <f t="shared" si="44"/>
        <v>150</v>
      </c>
      <c r="DA45" s="16">
        <f t="shared" si="45"/>
        <v>150</v>
      </c>
      <c r="DB45" s="164">
        <f t="shared" si="46"/>
        <v>150</v>
      </c>
      <c r="DC45" s="164">
        <f t="shared" si="47"/>
        <v>150</v>
      </c>
      <c r="DD45" s="16">
        <f t="shared" si="48"/>
        <v>150</v>
      </c>
      <c r="DE45" s="166">
        <f t="shared" si="49"/>
        <v>100</v>
      </c>
      <c r="DF45" s="164">
        <f t="shared" ca="1" si="51"/>
        <v>150</v>
      </c>
      <c r="DG45" s="16">
        <f t="shared" si="52"/>
        <v>0</v>
      </c>
      <c r="DH45" s="16">
        <f t="shared" si="53"/>
        <v>45</v>
      </c>
      <c r="DI45" s="166"/>
    </row>
    <row r="46" spans="1:113" s="16" customFormat="1" x14ac:dyDescent="0.25">
      <c r="A46" s="36">
        <f t="shared" si="56"/>
        <v>820</v>
      </c>
      <c r="B46" s="36">
        <f t="shared" si="50"/>
        <v>180</v>
      </c>
      <c r="C46" s="83">
        <f t="shared" ref="C46:C74" si="68">SUM(N35:AF46)</f>
        <v>0</v>
      </c>
      <c r="D46" s="572"/>
      <c r="E46" s="16">
        <f t="shared" si="57"/>
        <v>1000</v>
      </c>
      <c r="F46" s="86">
        <f t="shared" si="60"/>
        <v>70</v>
      </c>
      <c r="G46" s="37">
        <f t="shared" si="61"/>
        <v>100</v>
      </c>
      <c r="H46" s="247">
        <f t="shared" si="62"/>
        <v>150</v>
      </c>
      <c r="I46" s="38">
        <f t="shared" si="63"/>
        <v>150</v>
      </c>
      <c r="J46" s="39">
        <f t="shared" si="64"/>
        <v>100</v>
      </c>
      <c r="K46" s="40">
        <f t="shared" si="65"/>
        <v>150</v>
      </c>
      <c r="L46" s="498">
        <f t="shared" si="66"/>
        <v>100</v>
      </c>
      <c r="M46" s="633">
        <f>Rezone!J46</f>
        <v>44</v>
      </c>
      <c r="N46" s="356"/>
      <c r="O46" s="348"/>
      <c r="P46" s="348"/>
      <c r="Q46" s="363"/>
      <c r="R46" s="345"/>
      <c r="S46" s="360"/>
      <c r="T46" s="348"/>
      <c r="U46" s="348"/>
      <c r="V46" s="348"/>
      <c r="W46" s="345"/>
      <c r="X46" s="345"/>
      <c r="Y46" s="348"/>
      <c r="Z46" s="345"/>
      <c r="AA46" s="348"/>
      <c r="AB46" s="348"/>
      <c r="AC46" s="345"/>
      <c r="AD46" s="348"/>
      <c r="AE46" s="348"/>
      <c r="AF46" s="336"/>
      <c r="AG46" s="530">
        <f>Imps!L46</f>
        <v>43768.447916666562</v>
      </c>
      <c r="AH46" s="91">
        <f>MIN(25%,(BG46+CE46)/(E46-Explore!S46*20))</f>
        <v>0</v>
      </c>
      <c r="AI46" s="59">
        <f t="shared" si="12"/>
        <v>0</v>
      </c>
      <c r="AJ46" s="56">
        <f ca="1">Production!$H46</f>
        <v>4691542</v>
      </c>
      <c r="AK46" s="57">
        <f ca="1">Production!$J46</f>
        <v>318155</v>
      </c>
      <c r="AL46" s="152">
        <f ca="1">ROUND( (1 - MIN(facs_constr_factor*$AH46,facs_constr_max)) * (1+MIN(tech_construction*Techs!AC46,tech_conquerors_crafts*Techs!AS46)) * AU46*(1+race_construction_cost),0)</f>
        <v>1615</v>
      </c>
      <c r="AM46" s="166">
        <f t="shared" si="58"/>
        <v>263</v>
      </c>
      <c r="AN46" s="152">
        <f ca="1">ROUND( (1 - MIN(facs_constr_factor*$AI46,facs_constr_max)) * (1+MIN(tech_construction*Techs!AE46,tech_conquerors_crafts*Techs!AU46)) * AU46*(1+race_construction_cost),0)</f>
        <v>1615</v>
      </c>
      <c r="AO46" s="166">
        <f t="shared" si="67"/>
        <v>263</v>
      </c>
      <c r="AP46" s="16">
        <f t="shared" ca="1" si="54"/>
        <v>0</v>
      </c>
      <c r="AQ46" s="53">
        <f t="shared" si="55"/>
        <v>0</v>
      </c>
      <c r="AR46" s="16">
        <f>MIN(SUM(F45:L45)+SUM(Explore!T34:Z34)+SUM(BV46:CN46),SUM($N46:$AF46))</f>
        <v>0</v>
      </c>
      <c r="AS46" s="16">
        <f>IF(Explore!S46&lt;&gt;0,MAX(0, MIN(20, 20 + SUM(N46:AF46) - SUM(BV46:CN46) - SUM(F45:L45)-SUM(Explore!T34:Z34)-20*Explore!S46)),0)</f>
        <v>0</v>
      </c>
      <c r="AU46" s="152">
        <f t="shared" si="16"/>
        <v>1615</v>
      </c>
      <c r="AV46" s="166">
        <f t="shared" si="17"/>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1"/>
      <c r="BS46" s="156">
        <f t="shared" si="59"/>
        <v>1000</v>
      </c>
      <c r="BT46" s="572">
        <f t="shared" si="42"/>
        <v>43769.791666666562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498">
        <f>-$AF46+$CN46 +Rezone!R46 + IF(home_land=CV$2,CW46) + Explore!Z34</f>
        <v>0</v>
      </c>
      <c r="CW46" s="159">
        <f>IF(Explore!S46=1,25) - N46 + BV46</f>
        <v>0</v>
      </c>
      <c r="CY46" s="152">
        <f t="shared" si="43"/>
        <v>150</v>
      </c>
      <c r="CZ46" s="164">
        <f t="shared" si="44"/>
        <v>150</v>
      </c>
      <c r="DA46" s="16">
        <f t="shared" si="45"/>
        <v>150</v>
      </c>
      <c r="DB46" s="164">
        <f t="shared" si="46"/>
        <v>150</v>
      </c>
      <c r="DC46" s="164">
        <f t="shared" si="47"/>
        <v>150</v>
      </c>
      <c r="DD46" s="16">
        <f t="shared" si="48"/>
        <v>150</v>
      </c>
      <c r="DE46" s="166">
        <f t="shared" si="49"/>
        <v>100</v>
      </c>
      <c r="DF46" s="164">
        <f t="shared" ca="1" si="51"/>
        <v>150</v>
      </c>
      <c r="DG46" s="16">
        <f t="shared" si="52"/>
        <v>0</v>
      </c>
      <c r="DH46" s="16">
        <f t="shared" si="53"/>
        <v>46</v>
      </c>
      <c r="DI46" s="166"/>
    </row>
    <row r="47" spans="1:113" s="16" customFormat="1" x14ac:dyDescent="0.25">
      <c r="A47" s="36">
        <f t="shared" si="56"/>
        <v>820</v>
      </c>
      <c r="B47" s="36">
        <f t="shared" si="50"/>
        <v>180</v>
      </c>
      <c r="C47" s="83">
        <f t="shared" si="68"/>
        <v>0</v>
      </c>
      <c r="D47" s="572"/>
      <c r="E47" s="16">
        <f t="shared" si="57"/>
        <v>1000</v>
      </c>
      <c r="F47" s="86">
        <f t="shared" si="60"/>
        <v>70</v>
      </c>
      <c r="G47" s="37">
        <f t="shared" si="61"/>
        <v>100</v>
      </c>
      <c r="H47" s="247">
        <f t="shared" si="62"/>
        <v>150</v>
      </c>
      <c r="I47" s="38">
        <f t="shared" si="63"/>
        <v>150</v>
      </c>
      <c r="J47" s="39">
        <f t="shared" si="64"/>
        <v>100</v>
      </c>
      <c r="K47" s="40">
        <f t="shared" si="65"/>
        <v>150</v>
      </c>
      <c r="L47" s="498">
        <f t="shared" si="66"/>
        <v>100</v>
      </c>
      <c r="M47" s="633">
        <f>Rezone!J47</f>
        <v>45</v>
      </c>
      <c r="N47" s="356"/>
      <c r="O47" s="348"/>
      <c r="P47" s="348"/>
      <c r="Q47" s="363"/>
      <c r="R47" s="345"/>
      <c r="S47" s="360"/>
      <c r="T47" s="348"/>
      <c r="U47" s="348"/>
      <c r="V47" s="348"/>
      <c r="W47" s="345"/>
      <c r="X47" s="345"/>
      <c r="Y47" s="348"/>
      <c r="Z47" s="345"/>
      <c r="AA47" s="348"/>
      <c r="AB47" s="348"/>
      <c r="AC47" s="345"/>
      <c r="AD47" s="348"/>
      <c r="AE47" s="348"/>
      <c r="AF47" s="336"/>
      <c r="AG47" s="530">
        <f>Imps!L47</f>
        <v>43768.458333333227</v>
      </c>
      <c r="AH47" s="91">
        <f>MIN(25%,(BG47+CE47)/(E47-Explore!S47*20))</f>
        <v>0</v>
      </c>
      <c r="AI47" s="59">
        <f t="shared" si="12"/>
        <v>0</v>
      </c>
      <c r="AJ47" s="56">
        <f ca="1">Production!$H47</f>
        <v>4696523</v>
      </c>
      <c r="AK47" s="57">
        <f ca="1">Production!$J47</f>
        <v>317473</v>
      </c>
      <c r="AL47" s="152">
        <f ca="1">ROUND( (1 - MIN(facs_constr_factor*$AH47,facs_constr_max)) * (1+MIN(tech_construction*Techs!AC47,tech_conquerors_crafts*Techs!AS47)) * AU47*(1+race_construction_cost),0)</f>
        <v>1615</v>
      </c>
      <c r="AM47" s="166">
        <f t="shared" si="58"/>
        <v>263</v>
      </c>
      <c r="AN47" s="152">
        <f ca="1">ROUND( (1 - MIN(facs_constr_factor*$AI47,facs_constr_max)) * (1+MIN(tech_construction*Techs!AE47,tech_conquerors_crafts*Techs!AU47)) * AU47*(1+race_construction_cost),0)</f>
        <v>1615</v>
      </c>
      <c r="AO47" s="166">
        <f t="shared" si="67"/>
        <v>263</v>
      </c>
      <c r="AP47" s="16">
        <f t="shared" ca="1" si="54"/>
        <v>0</v>
      </c>
      <c r="AQ47" s="53">
        <f t="shared" si="55"/>
        <v>0</v>
      </c>
      <c r="AR47" s="16">
        <f>MIN(SUM(F46:L46)+SUM(Explore!T35:Z35)+SUM(BV47:CN47),SUM($N47:$AF47))</f>
        <v>0</v>
      </c>
      <c r="AS47" s="16">
        <f>IF(Explore!S47&lt;&gt;0,MAX(0, MIN(20, 20 + SUM(N47:AF47) - SUM(BV47:CN47) - SUM(F46:L46)-SUM(Explore!T35:Z35)-20*Explore!S47)),0)</f>
        <v>0</v>
      </c>
      <c r="AU47" s="152">
        <f t="shared" si="16"/>
        <v>1615</v>
      </c>
      <c r="AV47" s="166">
        <f t="shared" si="17"/>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1"/>
      <c r="BS47" s="156">
        <f t="shared" si="59"/>
        <v>1000</v>
      </c>
      <c r="BT47" s="572">
        <f t="shared" si="42"/>
        <v>43769.833333333227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498">
        <f>-$AF47+$CN47 +Rezone!R47 + IF(home_land=CV$2,CW47) + Explore!Z35</f>
        <v>0</v>
      </c>
      <c r="CW47" s="159">
        <f>IF(Explore!S47=1,25) - N47 + BV47</f>
        <v>0</v>
      </c>
      <c r="CY47" s="152">
        <f t="shared" ref="CY47:CY74" si="69">F47+SUM(O36:R47)+SUM(AY47:BB47)</f>
        <v>150</v>
      </c>
      <c r="CZ47" s="164">
        <f t="shared" ref="CZ47:CZ74" si="70">G47+SUM(S36:T47)+SUM(BC47:BD47)</f>
        <v>150</v>
      </c>
      <c r="DA47" s="16">
        <f t="shared" ref="DA47:DA74" si="71">H47+SUM(U36:V47)+SUM(BE47:BF47)</f>
        <v>150</v>
      </c>
      <c r="DB47" s="164">
        <f t="shared" ref="DB47:DB74" si="72">I47+SUM(W36:X47)+SUM(BG47:BH47)</f>
        <v>150</v>
      </c>
      <c r="DC47" s="164">
        <f t="shared" ref="DC47:DC74" si="73">J47+SUM(AA36:AC47)+SUM(BK47:BM47)</f>
        <v>150</v>
      </c>
      <c r="DD47" s="16">
        <f t="shared" ref="DD47:DD74" si="74">K47+SUM(AD36:AD47)+BN47</f>
        <v>150</v>
      </c>
      <c r="DE47" s="166">
        <f t="shared" ref="DE47:DE74" si="75">L47+SUM(AF36:AF47)+BP47</f>
        <v>100</v>
      </c>
      <c r="DF47" s="164">
        <f t="shared" ca="1" si="51"/>
        <v>150</v>
      </c>
      <c r="DG47" s="16">
        <f t="shared" si="52"/>
        <v>0</v>
      </c>
      <c r="DH47" s="16">
        <f t="shared" si="53"/>
        <v>47</v>
      </c>
      <c r="DI47" s="166"/>
    </row>
    <row r="48" spans="1:113" s="16" customFormat="1" x14ac:dyDescent="0.25">
      <c r="A48" s="36">
        <f t="shared" si="56"/>
        <v>820</v>
      </c>
      <c r="B48" s="36">
        <f t="shared" si="50"/>
        <v>180</v>
      </c>
      <c r="C48" s="83">
        <f t="shared" si="68"/>
        <v>0</v>
      </c>
      <c r="D48" s="572"/>
      <c r="E48" s="16">
        <f t="shared" si="57"/>
        <v>1000</v>
      </c>
      <c r="F48" s="86">
        <f t="shared" si="60"/>
        <v>70</v>
      </c>
      <c r="G48" s="37">
        <f t="shared" si="61"/>
        <v>100</v>
      </c>
      <c r="H48" s="247">
        <f t="shared" si="62"/>
        <v>150</v>
      </c>
      <c r="I48" s="38">
        <f t="shared" si="63"/>
        <v>150</v>
      </c>
      <c r="J48" s="39">
        <f t="shared" si="64"/>
        <v>100</v>
      </c>
      <c r="K48" s="40">
        <f t="shared" si="65"/>
        <v>150</v>
      </c>
      <c r="L48" s="498">
        <f t="shared" si="66"/>
        <v>100</v>
      </c>
      <c r="M48" s="633">
        <f>Rezone!J48</f>
        <v>46</v>
      </c>
      <c r="N48" s="356"/>
      <c r="O48" s="348"/>
      <c r="P48" s="348"/>
      <c r="Q48" s="363"/>
      <c r="R48" s="345"/>
      <c r="S48" s="360"/>
      <c r="T48" s="348"/>
      <c r="U48" s="348"/>
      <c r="V48" s="348"/>
      <c r="W48" s="345"/>
      <c r="X48" s="345"/>
      <c r="Y48" s="348"/>
      <c r="Z48" s="345"/>
      <c r="AA48" s="348"/>
      <c r="AB48" s="348"/>
      <c r="AC48" s="345"/>
      <c r="AD48" s="348"/>
      <c r="AE48" s="348"/>
      <c r="AF48" s="336"/>
      <c r="AG48" s="530">
        <f>Imps!L48</f>
        <v>43768.468749999891</v>
      </c>
      <c r="AH48" s="91">
        <f>MIN(25%,(BG48+CE48)/(E48-Explore!S48*20))</f>
        <v>0</v>
      </c>
      <c r="AI48" s="59">
        <f t="shared" si="12"/>
        <v>0</v>
      </c>
      <c r="AJ48" s="56">
        <f ca="1">Production!$H48</f>
        <v>4701504</v>
      </c>
      <c r="AK48" s="57">
        <f ca="1">Production!$J48</f>
        <v>316798</v>
      </c>
      <c r="AL48" s="152">
        <f ca="1">ROUND( (1 - MIN(facs_constr_factor*$AH48,facs_constr_max)) * (1+MIN(tech_construction*Techs!AC48,tech_conquerors_crafts*Techs!AS48)) * AU48*(1+race_construction_cost),0)</f>
        <v>1615</v>
      </c>
      <c r="AM48" s="166">
        <f t="shared" si="58"/>
        <v>263</v>
      </c>
      <c r="AN48" s="152">
        <f ca="1">ROUND( (1 - MIN(facs_constr_factor*$AI48,facs_constr_max)) * (1+MIN(tech_construction*Techs!AE48,tech_conquerors_crafts*Techs!AU48)) * AU48*(1+race_construction_cost),0)</f>
        <v>1615</v>
      </c>
      <c r="AO48" s="166">
        <f t="shared" si="67"/>
        <v>263</v>
      </c>
      <c r="AP48" s="16">
        <f t="shared" ca="1" si="54"/>
        <v>0</v>
      </c>
      <c r="AQ48" s="53">
        <f t="shared" si="55"/>
        <v>0</v>
      </c>
      <c r="AR48" s="16">
        <f>MIN(SUM(F47:L47)+SUM(Explore!T36:Z36)+SUM(BV48:CN48),SUM($N48:$AF48))</f>
        <v>0</v>
      </c>
      <c r="AS48" s="16">
        <f>IF(Explore!S48&lt;&gt;0,MAX(0, MIN(20, 20 + SUM(N48:AF48) - SUM(BV48:CN48) - SUM(F47:L47)-SUM(Explore!T36:Z36)-20*Explore!S48)),0)</f>
        <v>0</v>
      </c>
      <c r="AU48" s="152">
        <f t="shared" si="16"/>
        <v>1615</v>
      </c>
      <c r="AV48" s="166">
        <f t="shared" si="17"/>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1"/>
      <c r="BS48" s="156">
        <f t="shared" si="59"/>
        <v>1000</v>
      </c>
      <c r="BT48" s="572">
        <f t="shared" si="42"/>
        <v>43769.874999999891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498">
        <f>-$AF48+$CN48 +Rezone!R48 + IF(home_land=CV$2,CW48) + Explore!Z36</f>
        <v>0</v>
      </c>
      <c r="CW48" s="159">
        <f>IF(Explore!S48=1,25) - N48 + BV48</f>
        <v>0</v>
      </c>
      <c r="CY48" s="152">
        <f t="shared" si="69"/>
        <v>150</v>
      </c>
      <c r="CZ48" s="164">
        <f t="shared" si="70"/>
        <v>150</v>
      </c>
      <c r="DA48" s="16">
        <f t="shared" si="71"/>
        <v>150</v>
      </c>
      <c r="DB48" s="164">
        <f t="shared" si="72"/>
        <v>150</v>
      </c>
      <c r="DC48" s="164">
        <f t="shared" si="73"/>
        <v>150</v>
      </c>
      <c r="DD48" s="16">
        <f t="shared" si="74"/>
        <v>150</v>
      </c>
      <c r="DE48" s="166">
        <f t="shared" si="75"/>
        <v>100</v>
      </c>
      <c r="DF48" s="164">
        <f t="shared" ca="1" si="51"/>
        <v>150</v>
      </c>
      <c r="DG48" s="16">
        <f t="shared" si="52"/>
        <v>0</v>
      </c>
      <c r="DH48" s="16">
        <f t="shared" si="53"/>
        <v>48</v>
      </c>
      <c r="DI48" s="166"/>
    </row>
    <row r="49" spans="1:113" s="16" customFormat="1" x14ac:dyDescent="0.25">
      <c r="A49" s="36">
        <f t="shared" si="56"/>
        <v>820</v>
      </c>
      <c r="B49" s="36">
        <f t="shared" si="50"/>
        <v>180</v>
      </c>
      <c r="C49" s="83">
        <f t="shared" si="68"/>
        <v>0</v>
      </c>
      <c r="D49" s="572"/>
      <c r="E49" s="16">
        <f t="shared" si="57"/>
        <v>1000</v>
      </c>
      <c r="F49" s="86">
        <f t="shared" si="60"/>
        <v>70</v>
      </c>
      <c r="G49" s="37">
        <f t="shared" si="61"/>
        <v>100</v>
      </c>
      <c r="H49" s="247">
        <f t="shared" si="62"/>
        <v>150</v>
      </c>
      <c r="I49" s="38">
        <f t="shared" si="63"/>
        <v>150</v>
      </c>
      <c r="J49" s="39">
        <f t="shared" si="64"/>
        <v>100</v>
      </c>
      <c r="K49" s="40">
        <f t="shared" si="65"/>
        <v>150</v>
      </c>
      <c r="L49" s="498">
        <f t="shared" si="66"/>
        <v>100</v>
      </c>
      <c r="M49" s="633">
        <f>Rezone!J49</f>
        <v>47</v>
      </c>
      <c r="N49" s="356"/>
      <c r="O49" s="348"/>
      <c r="P49" s="348"/>
      <c r="Q49" s="363"/>
      <c r="R49" s="345"/>
      <c r="S49" s="360"/>
      <c r="T49" s="348"/>
      <c r="U49" s="348"/>
      <c r="V49" s="348"/>
      <c r="W49" s="345"/>
      <c r="X49" s="345"/>
      <c r="Y49" s="348"/>
      <c r="Z49" s="345"/>
      <c r="AA49" s="348"/>
      <c r="AB49" s="348"/>
      <c r="AC49" s="345"/>
      <c r="AD49" s="348"/>
      <c r="AE49" s="348"/>
      <c r="AF49" s="336"/>
      <c r="AG49" s="530">
        <f>Imps!L49</f>
        <v>43768.479166666555</v>
      </c>
      <c r="AH49" s="91">
        <f>MIN(25%,(BG49+CE49)/(E49-Explore!S49*20))</f>
        <v>0</v>
      </c>
      <c r="AI49" s="59">
        <f t="shared" si="12"/>
        <v>0</v>
      </c>
      <c r="AJ49" s="56">
        <f ca="1">Production!$H49</f>
        <v>4706485</v>
      </c>
      <c r="AK49" s="57">
        <f ca="1">Production!$J49</f>
        <v>316130</v>
      </c>
      <c r="AL49" s="152">
        <f ca="1">ROUND( (1 - MIN(facs_constr_factor*$AH49,facs_constr_max)) * (1+MIN(tech_construction*Techs!AC49,tech_conquerors_crafts*Techs!AS49)) * AU49*(1+race_construction_cost),0)</f>
        <v>1615</v>
      </c>
      <c r="AM49" s="166">
        <f t="shared" si="58"/>
        <v>263</v>
      </c>
      <c r="AN49" s="152">
        <f ca="1">ROUND( (1 - MIN(facs_constr_factor*$AI49,facs_constr_max)) * (1+MIN(tech_construction*Techs!AE49,tech_conquerors_crafts*Techs!AU49)) * AU49*(1+race_construction_cost),0)</f>
        <v>1615</v>
      </c>
      <c r="AO49" s="166">
        <f t="shared" si="67"/>
        <v>263</v>
      </c>
      <c r="AP49" s="16">
        <f t="shared" ca="1" si="54"/>
        <v>0</v>
      </c>
      <c r="AQ49" s="53">
        <f t="shared" si="55"/>
        <v>0</v>
      </c>
      <c r="AR49" s="16">
        <f>MIN(SUM(F48:L48)+SUM(Explore!T37:Z37)+SUM(BV49:CN49),SUM($N49:$AF49))</f>
        <v>0</v>
      </c>
      <c r="AS49" s="16">
        <f>IF(Explore!S49&lt;&gt;0,MAX(0, MIN(20, 20 + SUM(N49:AF49) - SUM(BV49:CN49) - SUM(F48:L48)-SUM(Explore!T37:Z37)-20*Explore!S49)),0)</f>
        <v>0</v>
      </c>
      <c r="AU49" s="152">
        <f t="shared" si="16"/>
        <v>1615</v>
      </c>
      <c r="AV49" s="166">
        <f t="shared" si="17"/>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1"/>
      <c r="BS49" s="156">
        <f t="shared" si="59"/>
        <v>1000</v>
      </c>
      <c r="BT49" s="572">
        <f t="shared" si="42"/>
        <v>43769.916666666555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498">
        <f>-$AF49+$CN49 +Rezone!R49 + IF(home_land=CV$2,CW49) + Explore!Z37</f>
        <v>0</v>
      </c>
      <c r="CW49" s="159">
        <f>IF(Explore!S49=1,25) - N49 + BV49</f>
        <v>0</v>
      </c>
      <c r="CY49" s="152">
        <f t="shared" si="69"/>
        <v>150</v>
      </c>
      <c r="CZ49" s="164">
        <f t="shared" si="70"/>
        <v>150</v>
      </c>
      <c r="DA49" s="16">
        <f t="shared" si="71"/>
        <v>150</v>
      </c>
      <c r="DB49" s="164">
        <f t="shared" si="72"/>
        <v>150</v>
      </c>
      <c r="DC49" s="164">
        <f t="shared" si="73"/>
        <v>150</v>
      </c>
      <c r="DD49" s="16">
        <f t="shared" si="74"/>
        <v>150</v>
      </c>
      <c r="DE49" s="166">
        <f t="shared" si="75"/>
        <v>100</v>
      </c>
      <c r="DF49" s="164">
        <f t="shared" ca="1" si="51"/>
        <v>150</v>
      </c>
      <c r="DG49" s="16">
        <f t="shared" si="52"/>
        <v>0</v>
      </c>
      <c r="DH49" s="16">
        <f t="shared" si="53"/>
        <v>49</v>
      </c>
      <c r="DI49" s="166"/>
    </row>
    <row r="50" spans="1:113" s="16" customFormat="1" ht="13.8" thickBot="1" x14ac:dyDescent="0.3">
      <c r="A50" s="36">
        <f t="shared" si="56"/>
        <v>820</v>
      </c>
      <c r="B50" s="36">
        <f t="shared" si="50"/>
        <v>180</v>
      </c>
      <c r="C50" s="83">
        <f t="shared" si="68"/>
        <v>0</v>
      </c>
      <c r="D50" s="572"/>
      <c r="E50" s="16">
        <f t="shared" si="57"/>
        <v>1000</v>
      </c>
      <c r="F50" s="86">
        <f t="shared" si="60"/>
        <v>70</v>
      </c>
      <c r="G50" s="37">
        <f t="shared" si="61"/>
        <v>100</v>
      </c>
      <c r="H50" s="247">
        <f t="shared" si="62"/>
        <v>150</v>
      </c>
      <c r="I50" s="38">
        <f t="shared" si="63"/>
        <v>150</v>
      </c>
      <c r="J50" s="39">
        <f t="shared" si="64"/>
        <v>100</v>
      </c>
      <c r="K50" s="40">
        <f t="shared" si="65"/>
        <v>150</v>
      </c>
      <c r="L50" s="498">
        <f t="shared" si="66"/>
        <v>100</v>
      </c>
      <c r="M50" s="633">
        <f>Rezone!J50</f>
        <v>48</v>
      </c>
      <c r="N50" s="356"/>
      <c r="O50" s="348"/>
      <c r="P50" s="348"/>
      <c r="Q50" s="363"/>
      <c r="R50" s="345"/>
      <c r="S50" s="360"/>
      <c r="T50" s="348"/>
      <c r="U50" s="348"/>
      <c r="V50" s="348"/>
      <c r="W50" s="345"/>
      <c r="X50" s="345"/>
      <c r="Y50" s="348"/>
      <c r="Z50" s="345"/>
      <c r="AA50" s="348"/>
      <c r="AB50" s="348"/>
      <c r="AC50" s="345"/>
      <c r="AD50" s="348"/>
      <c r="AE50" s="348"/>
      <c r="AF50" s="336"/>
      <c r="AG50" s="530">
        <f>Imps!L50</f>
        <v>43768.489583333219</v>
      </c>
      <c r="AH50" s="91">
        <f>MIN(25%,(BG50+CE50)/(E50-Explore!S50*20))</f>
        <v>0</v>
      </c>
      <c r="AI50" s="59">
        <f t="shared" si="12"/>
        <v>0</v>
      </c>
      <c r="AJ50" s="56">
        <f ca="1">Production!$H50</f>
        <v>4711466</v>
      </c>
      <c r="AK50" s="57">
        <f ca="1">Production!$J50</f>
        <v>315469</v>
      </c>
      <c r="AL50" s="152">
        <f ca="1">ROUND( (1 - MIN(facs_constr_factor*$AH50,facs_constr_max)) * (1+MIN(tech_construction*Techs!AC50,tech_conquerors_crafts*Techs!AS50)) * AU50*(1+race_construction_cost),0)</f>
        <v>1615</v>
      </c>
      <c r="AM50" s="166">
        <f t="shared" si="58"/>
        <v>263</v>
      </c>
      <c r="AN50" s="152">
        <f ca="1">ROUND( (1 - MIN(facs_constr_factor*$AI50,facs_constr_max)) * (1+MIN(tech_construction*Techs!AE50,tech_conquerors_crafts*Techs!AU50)) * AU50*(1+race_construction_cost),0)</f>
        <v>1615</v>
      </c>
      <c r="AO50" s="166">
        <f t="shared" si="67"/>
        <v>263</v>
      </c>
      <c r="AP50" s="16">
        <f t="shared" ca="1" si="54"/>
        <v>0</v>
      </c>
      <c r="AQ50" s="53">
        <f t="shared" si="55"/>
        <v>0</v>
      </c>
      <c r="AR50" s="16">
        <f>MIN(SUM(F49:L49)+SUM(Explore!T38:Z38)+SUM(BV50:CN50),SUM($N50:$AF50))</f>
        <v>0</v>
      </c>
      <c r="AS50" s="16">
        <f>IF(Explore!S50&lt;&gt;0,MAX(0, MIN(20, 20 + SUM(N50:AF50) - SUM(BV50:CN50) - SUM(F49:L49)-SUM(Explore!T38:Z38)-20*Explore!S50)),0)</f>
        <v>0</v>
      </c>
      <c r="AU50" s="152">
        <f t="shared" si="16"/>
        <v>1615</v>
      </c>
      <c r="AV50" s="166">
        <f t="shared" si="17"/>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1"/>
      <c r="BS50" s="156">
        <f t="shared" si="59"/>
        <v>1000</v>
      </c>
      <c r="BT50" s="572">
        <f t="shared" si="42"/>
        <v>43769.958333333219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498">
        <f>-$AF50+$CN50 +Rezone!R50 + IF(home_land=CV$2,CW50) + Explore!Z38</f>
        <v>0</v>
      </c>
      <c r="CW50" s="159">
        <f>IF(Explore!S50=1,25) - N50 + BV50</f>
        <v>0</v>
      </c>
      <c r="CY50" s="152">
        <f t="shared" si="69"/>
        <v>150</v>
      </c>
      <c r="CZ50" s="164">
        <f t="shared" si="70"/>
        <v>150</v>
      </c>
      <c r="DA50" s="16">
        <f t="shared" si="71"/>
        <v>150</v>
      </c>
      <c r="DB50" s="164">
        <f t="shared" si="72"/>
        <v>150</v>
      </c>
      <c r="DC50" s="164">
        <f t="shared" si="73"/>
        <v>150</v>
      </c>
      <c r="DD50" s="16">
        <f t="shared" si="74"/>
        <v>150</v>
      </c>
      <c r="DE50" s="166">
        <f t="shared" si="75"/>
        <v>100</v>
      </c>
      <c r="DF50" s="164">
        <f t="shared" ca="1" si="51"/>
        <v>150</v>
      </c>
      <c r="DG50" s="16">
        <f t="shared" si="52"/>
        <v>0</v>
      </c>
      <c r="DH50" s="16">
        <f t="shared" si="53"/>
        <v>50</v>
      </c>
      <c r="DI50" s="166"/>
    </row>
    <row r="51" spans="1:113" s="111" customFormat="1" ht="14.4" thickTop="1" thickBot="1" x14ac:dyDescent="0.3">
      <c r="A51" s="125">
        <f t="shared" si="56"/>
        <v>820</v>
      </c>
      <c r="B51" s="125">
        <f t="shared" si="50"/>
        <v>180</v>
      </c>
      <c r="C51" s="126">
        <f t="shared" si="68"/>
        <v>0</v>
      </c>
      <c r="D51" s="573"/>
      <c r="E51" s="111">
        <f t="shared" si="57"/>
        <v>1000</v>
      </c>
      <c r="F51" s="127">
        <f t="shared" si="60"/>
        <v>70</v>
      </c>
      <c r="G51" s="128">
        <f t="shared" si="61"/>
        <v>100</v>
      </c>
      <c r="H51" s="276">
        <f t="shared" si="62"/>
        <v>150</v>
      </c>
      <c r="I51" s="129">
        <f t="shared" si="63"/>
        <v>150</v>
      </c>
      <c r="J51" s="130">
        <f t="shared" si="64"/>
        <v>100</v>
      </c>
      <c r="K51" s="131">
        <f t="shared" si="65"/>
        <v>150</v>
      </c>
      <c r="L51" s="499">
        <f t="shared" si="66"/>
        <v>100</v>
      </c>
      <c r="M51" s="635">
        <f>Rezone!J51</f>
        <v>49</v>
      </c>
      <c r="N51" s="358"/>
      <c r="O51" s="350"/>
      <c r="P51" s="350"/>
      <c r="Q51" s="351"/>
      <c r="R51" s="351"/>
      <c r="S51" s="362"/>
      <c r="T51" s="350"/>
      <c r="U51" s="350"/>
      <c r="V51" s="350"/>
      <c r="W51" s="351"/>
      <c r="X51" s="351"/>
      <c r="Y51" s="350"/>
      <c r="Z51" s="351"/>
      <c r="AA51" s="350"/>
      <c r="AB51" s="350"/>
      <c r="AC51" s="351"/>
      <c r="AD51" s="350"/>
      <c r="AE51" s="350"/>
      <c r="AF51" s="342"/>
      <c r="AG51" s="778">
        <f>Imps!L51</f>
        <v>43768.499999999884</v>
      </c>
      <c r="AH51" s="133">
        <f>MIN(25%,(BG51+CE51)/(E51-Explore!S51*20))</f>
        <v>0</v>
      </c>
      <c r="AI51" s="136">
        <f t="shared" si="12"/>
        <v>0</v>
      </c>
      <c r="AJ51" s="110">
        <f ca="1">Production!$H51</f>
        <v>4716447</v>
      </c>
      <c r="AK51" s="109">
        <f ca="1">Production!$J51</f>
        <v>314814</v>
      </c>
      <c r="AL51" s="273">
        <f ca="1">ROUND( (1 - MIN(facs_constr_factor*$AH51,facs_constr_max)) * (1+MIN(tech_construction*Techs!AC51,tech_conquerors_crafts*Techs!AS51)) * AU51*(1+race_construction_cost),0)</f>
        <v>1615</v>
      </c>
      <c r="AM51" s="274">
        <f t="shared" si="58"/>
        <v>263</v>
      </c>
      <c r="AN51" s="273">
        <f ca="1">ROUND( (1 - MIN(facs_constr_factor*$AI51,facs_constr_max)) * (1+MIN(tech_construction*Techs!AE51,tech_conquerors_crafts*Techs!AU51)) * AU51*(1+race_construction_cost),0)</f>
        <v>1615</v>
      </c>
      <c r="AO51" s="274">
        <f t="shared" si="67"/>
        <v>263</v>
      </c>
      <c r="AP51" s="111">
        <f t="shared" ca="1" si="54"/>
        <v>0</v>
      </c>
      <c r="AQ51" s="115">
        <f t="shared" si="55"/>
        <v>0</v>
      </c>
      <c r="AR51" s="111">
        <f>MIN(SUM(F50:L50)+SUM(Explore!T39:Z39)+SUM(BV51:CN51),SUM($N51:$AF51))</f>
        <v>0</v>
      </c>
      <c r="AS51" s="111">
        <f>IF(Explore!S51&lt;&gt;0,MAX(0, MIN(20, 20 + SUM(N51:AF51) - SUM(BV51:CN51) - SUM(F50:L50)-SUM(Explore!T39:Z39)-20*Explore!S51)),0)</f>
        <v>0</v>
      </c>
      <c r="AU51" s="273">
        <f t="shared" si="16"/>
        <v>1615</v>
      </c>
      <c r="AV51" s="274">
        <f t="shared" si="17"/>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2"/>
      <c r="BS51" s="275">
        <f t="shared" si="59"/>
        <v>1000</v>
      </c>
      <c r="BT51" s="573">
        <f t="shared" si="42"/>
        <v>43769.999999999884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499">
        <f>-$AF51+$CN51 +Rezone!R51 + IF(home_land=CV$2,CW51) + Explore!Z39</f>
        <v>0</v>
      </c>
      <c r="CW51" s="290">
        <f>IF(Explore!S51=1,25) - N51 + BV51</f>
        <v>0</v>
      </c>
      <c r="CY51" s="273">
        <f t="shared" si="69"/>
        <v>150</v>
      </c>
      <c r="CZ51" s="277">
        <f t="shared" si="70"/>
        <v>150</v>
      </c>
      <c r="DA51" s="111">
        <f t="shared" si="71"/>
        <v>150</v>
      </c>
      <c r="DB51" s="277">
        <f t="shared" si="72"/>
        <v>150</v>
      </c>
      <c r="DC51" s="277">
        <f t="shared" si="73"/>
        <v>150</v>
      </c>
      <c r="DD51" s="111">
        <f t="shared" si="74"/>
        <v>150</v>
      </c>
      <c r="DE51" s="274">
        <f t="shared" si="75"/>
        <v>100</v>
      </c>
      <c r="DF51" s="277">
        <f t="shared" ca="1" si="51"/>
        <v>150</v>
      </c>
      <c r="DG51" s="111">
        <f t="shared" si="52"/>
        <v>0</v>
      </c>
      <c r="DH51" s="111">
        <f t="shared" si="53"/>
        <v>51</v>
      </c>
      <c r="DI51" s="274"/>
    </row>
    <row r="52" spans="1:113" s="16" customFormat="1" ht="13.8" thickTop="1" x14ac:dyDescent="0.25">
      <c r="A52" s="36">
        <f t="shared" si="56"/>
        <v>820</v>
      </c>
      <c r="B52" s="36">
        <f t="shared" si="50"/>
        <v>180</v>
      </c>
      <c r="C52" s="83">
        <f t="shared" si="68"/>
        <v>0</v>
      </c>
      <c r="D52" s="572"/>
      <c r="E52" s="16">
        <f t="shared" si="57"/>
        <v>1000</v>
      </c>
      <c r="F52" s="86">
        <f t="shared" si="60"/>
        <v>70</v>
      </c>
      <c r="G52" s="37">
        <f t="shared" si="61"/>
        <v>100</v>
      </c>
      <c r="H52" s="247">
        <f t="shared" si="62"/>
        <v>150</v>
      </c>
      <c r="I52" s="38">
        <f t="shared" si="63"/>
        <v>150</v>
      </c>
      <c r="J52" s="39">
        <f t="shared" si="64"/>
        <v>100</v>
      </c>
      <c r="K52" s="40">
        <f t="shared" si="65"/>
        <v>150</v>
      </c>
      <c r="L52" s="498">
        <f t="shared" si="66"/>
        <v>100</v>
      </c>
      <c r="M52" s="633">
        <f>Rezone!J52</f>
        <v>50</v>
      </c>
      <c r="N52" s="356"/>
      <c r="O52" s="348"/>
      <c r="P52" s="348"/>
      <c r="Q52" s="348"/>
      <c r="R52" s="345"/>
      <c r="S52" s="348"/>
      <c r="T52" s="345"/>
      <c r="U52" s="348"/>
      <c r="V52" s="348"/>
      <c r="W52" s="345"/>
      <c r="X52" s="345"/>
      <c r="Y52" s="348"/>
      <c r="Z52" s="345"/>
      <c r="AA52" s="348"/>
      <c r="AB52" s="348"/>
      <c r="AC52" s="345"/>
      <c r="AD52" s="348"/>
      <c r="AE52" s="348"/>
      <c r="AF52" s="336"/>
      <c r="AG52" s="530">
        <f>Imps!L52</f>
        <v>43768.510416666548</v>
      </c>
      <c r="AH52" s="91">
        <f>MIN(25%,(BG52+CE52)/(E52-Explore!S52*20))</f>
        <v>0</v>
      </c>
      <c r="AI52" s="59">
        <f t="shared" si="12"/>
        <v>0</v>
      </c>
      <c r="AJ52" s="56">
        <f ca="1">Production!$H52</f>
        <v>4721428</v>
      </c>
      <c r="AK52" s="57">
        <f ca="1">Production!$J52</f>
        <v>314166</v>
      </c>
      <c r="AL52" s="152">
        <f ca="1">ROUND( (1 - MIN(facs_constr_factor*$AH52,facs_constr_max)) * (1+MIN(tech_construction*Techs!AC52,tech_conquerors_crafts*Techs!AS52)) * AU52*(1+race_construction_cost),0)</f>
        <v>1615</v>
      </c>
      <c r="AM52" s="166">
        <f t="shared" si="58"/>
        <v>263</v>
      </c>
      <c r="AN52" s="152">
        <f ca="1">ROUND( (1 - MIN(facs_constr_factor*$AI52,facs_constr_max)) * (1+MIN(tech_construction*Techs!AE52,tech_conquerors_crafts*Techs!AU52)) * AU52*(1+race_construction_cost),0)</f>
        <v>1615</v>
      </c>
      <c r="AO52" s="166">
        <f t="shared" si="67"/>
        <v>263</v>
      </c>
      <c r="AP52" s="16">
        <f t="shared" ca="1" si="54"/>
        <v>0</v>
      </c>
      <c r="AQ52" s="53">
        <f t="shared" si="55"/>
        <v>0</v>
      </c>
      <c r="AR52" s="16">
        <f>MIN(SUM(F51:L51)+SUM(Explore!T40:Z40)+SUM(BV52:CN52),SUM($N52:$AF52))</f>
        <v>0</v>
      </c>
      <c r="AS52" s="16">
        <f>IF(Explore!S52&lt;&gt;0,MAX(0, MIN(20, 20 + SUM(N52:AF52) - SUM(BV52:CN52) - SUM(F51:L51)-SUM(Explore!T40:Z40)-20*Explore!S52)),0)</f>
        <v>0</v>
      </c>
      <c r="AU52" s="152">
        <f t="shared" si="16"/>
        <v>1615</v>
      </c>
      <c r="AV52" s="166">
        <f t="shared" si="17"/>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1"/>
      <c r="BS52" s="156">
        <f t="shared" si="59"/>
        <v>1000</v>
      </c>
      <c r="BT52" s="572">
        <f t="shared" si="42"/>
        <v>43770.041666666548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498">
        <f>-$AF52+$CN52 +Rezone!R52 + IF(home_land=CV$2,CW52) + Explore!Z40</f>
        <v>0</v>
      </c>
      <c r="CW52" s="159">
        <f>IF(Explore!S52=1,25) - N52 + BV52</f>
        <v>0</v>
      </c>
      <c r="CY52" s="152">
        <f t="shared" si="69"/>
        <v>150</v>
      </c>
      <c r="CZ52" s="164">
        <f t="shared" si="70"/>
        <v>150</v>
      </c>
      <c r="DA52" s="16">
        <f t="shared" si="71"/>
        <v>150</v>
      </c>
      <c r="DB52" s="164">
        <f t="shared" si="72"/>
        <v>150</v>
      </c>
      <c r="DC52" s="164">
        <f t="shared" si="73"/>
        <v>150</v>
      </c>
      <c r="DD52" s="16">
        <f t="shared" si="74"/>
        <v>150</v>
      </c>
      <c r="DE52" s="166">
        <f t="shared" si="75"/>
        <v>100</v>
      </c>
      <c r="DF52" s="164">
        <f t="shared" ca="1" si="51"/>
        <v>150</v>
      </c>
      <c r="DG52" s="16">
        <f t="shared" si="52"/>
        <v>0</v>
      </c>
      <c r="DH52" s="16">
        <f t="shared" si="53"/>
        <v>52</v>
      </c>
      <c r="DI52" s="166"/>
    </row>
    <row r="53" spans="1:113" s="16" customFormat="1" x14ac:dyDescent="0.25">
      <c r="A53" s="36">
        <f t="shared" si="56"/>
        <v>820</v>
      </c>
      <c r="B53" s="36">
        <f t="shared" si="50"/>
        <v>180</v>
      </c>
      <c r="C53" s="83">
        <f t="shared" si="68"/>
        <v>0</v>
      </c>
      <c r="D53" s="572"/>
      <c r="E53" s="16">
        <f t="shared" si="57"/>
        <v>1000</v>
      </c>
      <c r="F53" s="86">
        <f t="shared" si="60"/>
        <v>70</v>
      </c>
      <c r="G53" s="37">
        <f t="shared" si="61"/>
        <v>100</v>
      </c>
      <c r="H53" s="247">
        <f t="shared" si="62"/>
        <v>150</v>
      </c>
      <c r="I53" s="38">
        <f t="shared" si="63"/>
        <v>150</v>
      </c>
      <c r="J53" s="39">
        <f t="shared" si="64"/>
        <v>100</v>
      </c>
      <c r="K53" s="40">
        <f t="shared" si="65"/>
        <v>150</v>
      </c>
      <c r="L53" s="498">
        <f t="shared" si="66"/>
        <v>100</v>
      </c>
      <c r="M53" s="633">
        <f>Rezone!J53</f>
        <v>51</v>
      </c>
      <c r="N53" s="356"/>
      <c r="O53" s="348"/>
      <c r="P53" s="348"/>
      <c r="Q53" s="348"/>
      <c r="R53" s="345"/>
      <c r="S53" s="348"/>
      <c r="T53" s="345"/>
      <c r="U53" s="348"/>
      <c r="V53" s="348"/>
      <c r="W53" s="345"/>
      <c r="X53" s="345"/>
      <c r="Y53" s="348"/>
      <c r="Z53" s="345"/>
      <c r="AA53" s="348"/>
      <c r="AB53" s="348"/>
      <c r="AC53" s="345"/>
      <c r="AD53" s="348"/>
      <c r="AE53" s="348"/>
      <c r="AF53" s="336"/>
      <c r="AG53" s="530">
        <f>Imps!L53</f>
        <v>43768.520833333212</v>
      </c>
      <c r="AH53" s="91">
        <f>MIN(25%,(BG53+CE53)/(E53-Explore!S53*20))</f>
        <v>0</v>
      </c>
      <c r="AI53" s="59">
        <f t="shared" si="12"/>
        <v>0</v>
      </c>
      <c r="AJ53" s="56">
        <f ca="1">Production!$H53</f>
        <v>4726409</v>
      </c>
      <c r="AK53" s="57">
        <f ca="1">Production!$J53</f>
        <v>313524</v>
      </c>
      <c r="AL53" s="152">
        <f ca="1">ROUND( (1 - MIN(facs_constr_factor*$AH53,facs_constr_max)) * (1+MIN(tech_construction*Techs!AC53,tech_conquerors_crafts*Techs!AS53)) * AU53*(1+race_construction_cost),0)</f>
        <v>1615</v>
      </c>
      <c r="AM53" s="166">
        <f t="shared" si="58"/>
        <v>263</v>
      </c>
      <c r="AN53" s="152">
        <f ca="1">ROUND( (1 - MIN(facs_constr_factor*$AI53,facs_constr_max)) * (1+MIN(tech_construction*Techs!AE53,tech_conquerors_crafts*Techs!AU53)) * AU53*(1+race_construction_cost),0)</f>
        <v>1615</v>
      </c>
      <c r="AO53" s="166">
        <f t="shared" si="67"/>
        <v>263</v>
      </c>
      <c r="AP53" s="16">
        <f t="shared" ca="1" si="54"/>
        <v>0</v>
      </c>
      <c r="AQ53" s="53">
        <f t="shared" si="55"/>
        <v>0</v>
      </c>
      <c r="AR53" s="16">
        <f>MIN(SUM(F52:L52)+SUM(Explore!T41:Z41)+SUM(BV53:CN53),SUM($N53:$AF53))</f>
        <v>0</v>
      </c>
      <c r="AS53" s="16">
        <f>IF(Explore!S53&lt;&gt;0,MAX(0, MIN(20, 20 + SUM(N53:AF53) - SUM(BV53:CN53) - SUM(F52:L52)-SUM(Explore!T41:Z41)-20*Explore!S53)),0)</f>
        <v>0</v>
      </c>
      <c r="AU53" s="152">
        <f t="shared" si="16"/>
        <v>1615</v>
      </c>
      <c r="AV53" s="166">
        <f t="shared" si="17"/>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1"/>
      <c r="BS53" s="156">
        <f t="shared" si="59"/>
        <v>1000</v>
      </c>
      <c r="BT53" s="572">
        <f t="shared" si="42"/>
        <v>43770.083333333212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498">
        <f>-$AF53+$CN53 +Rezone!R53 + IF(home_land=CV$2,CW53) + Explore!Z41</f>
        <v>0</v>
      </c>
      <c r="CW53" s="159">
        <f>IF(Explore!S53=1,25) - N53 + BV53</f>
        <v>0</v>
      </c>
      <c r="CY53" s="152">
        <f t="shared" si="69"/>
        <v>150</v>
      </c>
      <c r="CZ53" s="164">
        <f t="shared" si="70"/>
        <v>150</v>
      </c>
      <c r="DA53" s="16">
        <f t="shared" si="71"/>
        <v>150</v>
      </c>
      <c r="DB53" s="164">
        <f t="shared" si="72"/>
        <v>150</v>
      </c>
      <c r="DC53" s="164">
        <f t="shared" si="73"/>
        <v>150</v>
      </c>
      <c r="DD53" s="16">
        <f t="shared" si="74"/>
        <v>150</v>
      </c>
      <c r="DE53" s="166">
        <f t="shared" si="75"/>
        <v>100</v>
      </c>
      <c r="DF53" s="164">
        <f t="shared" ca="1" si="51"/>
        <v>150</v>
      </c>
      <c r="DG53" s="16">
        <f t="shared" si="52"/>
        <v>0</v>
      </c>
      <c r="DH53" s="16">
        <f t="shared" si="53"/>
        <v>53</v>
      </c>
      <c r="DI53" s="166"/>
    </row>
    <row r="54" spans="1:113" s="16" customFormat="1" x14ac:dyDescent="0.25">
      <c r="A54" s="36">
        <f t="shared" si="56"/>
        <v>820</v>
      </c>
      <c r="B54" s="36">
        <f t="shared" si="50"/>
        <v>180</v>
      </c>
      <c r="C54" s="83">
        <f t="shared" si="68"/>
        <v>0</v>
      </c>
      <c r="D54" s="572"/>
      <c r="E54" s="16">
        <f t="shared" si="57"/>
        <v>1000</v>
      </c>
      <c r="F54" s="86">
        <f t="shared" si="60"/>
        <v>70</v>
      </c>
      <c r="G54" s="37">
        <f t="shared" si="61"/>
        <v>100</v>
      </c>
      <c r="H54" s="247">
        <f t="shared" si="62"/>
        <v>150</v>
      </c>
      <c r="I54" s="38">
        <f t="shared" si="63"/>
        <v>150</v>
      </c>
      <c r="J54" s="39">
        <f t="shared" si="64"/>
        <v>100</v>
      </c>
      <c r="K54" s="40">
        <f t="shared" si="65"/>
        <v>150</v>
      </c>
      <c r="L54" s="498">
        <f t="shared" si="66"/>
        <v>100</v>
      </c>
      <c r="M54" s="633">
        <f>Rezone!J54</f>
        <v>52</v>
      </c>
      <c r="N54" s="356"/>
      <c r="O54" s="348"/>
      <c r="P54" s="348"/>
      <c r="Q54" s="348"/>
      <c r="R54" s="345"/>
      <c r="S54" s="348"/>
      <c r="T54" s="345"/>
      <c r="U54" s="348"/>
      <c r="V54" s="348"/>
      <c r="W54" s="345"/>
      <c r="X54" s="345"/>
      <c r="Y54" s="348"/>
      <c r="Z54" s="345"/>
      <c r="AA54" s="348"/>
      <c r="AB54" s="348"/>
      <c r="AC54" s="345"/>
      <c r="AD54" s="348"/>
      <c r="AE54" s="348"/>
      <c r="AF54" s="336"/>
      <c r="AG54" s="530">
        <f>Imps!L54</f>
        <v>43768.531249999876</v>
      </c>
      <c r="AH54" s="91">
        <f>MIN(25%,(BG54+CE54)/(E54-Explore!S54*20))</f>
        <v>0</v>
      </c>
      <c r="AI54" s="59">
        <f t="shared" si="12"/>
        <v>0</v>
      </c>
      <c r="AJ54" s="56">
        <f ca="1">Production!$H54</f>
        <v>4731390</v>
      </c>
      <c r="AK54" s="57">
        <f ca="1">Production!$J54</f>
        <v>312889</v>
      </c>
      <c r="AL54" s="152">
        <f ca="1">ROUND( (1 - MIN(facs_constr_factor*$AH54,facs_constr_max)) * (1+MIN(tech_construction*Techs!AC54,tech_conquerors_crafts*Techs!AS54)) * AU54*(1+race_construction_cost),0)</f>
        <v>1615</v>
      </c>
      <c r="AM54" s="166">
        <f t="shared" si="58"/>
        <v>263</v>
      </c>
      <c r="AN54" s="152">
        <f ca="1">ROUND( (1 - MIN(facs_constr_factor*$AI54,facs_constr_max)) * (1+MIN(tech_construction*Techs!AE54,tech_conquerors_crafts*Techs!AU54)) * AU54*(1+race_construction_cost),0)</f>
        <v>1615</v>
      </c>
      <c r="AO54" s="166">
        <f t="shared" si="67"/>
        <v>263</v>
      </c>
      <c r="AP54" s="16">
        <f t="shared" ca="1" si="54"/>
        <v>0</v>
      </c>
      <c r="AQ54" s="53">
        <f t="shared" si="55"/>
        <v>0</v>
      </c>
      <c r="AR54" s="16">
        <f>MIN(SUM(F53:L53)+SUM(Explore!T42:Z42)+SUM(BV54:CN54),SUM($N54:$AF54))</f>
        <v>0</v>
      </c>
      <c r="AS54" s="16">
        <f>IF(Explore!S54&lt;&gt;0,MAX(0, MIN(20, 20 + SUM(N54:AF54) - SUM(BV54:CN54) - SUM(F53:L53)-SUM(Explore!T42:Z42)-20*Explore!S54)),0)</f>
        <v>0</v>
      </c>
      <c r="AU54" s="152">
        <f t="shared" si="16"/>
        <v>1615</v>
      </c>
      <c r="AV54" s="166">
        <f t="shared" si="17"/>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1"/>
      <c r="BS54" s="156">
        <f t="shared" si="59"/>
        <v>1000</v>
      </c>
      <c r="BT54" s="572">
        <f t="shared" si="42"/>
        <v>43770.124999999876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498">
        <f>-$AF54+$CN54 +Rezone!R54 + IF(home_land=CV$2,CW54) + Explore!Z42</f>
        <v>0</v>
      </c>
      <c r="CW54" s="159">
        <f>IF(Explore!S54=1,25) - N54 + BV54</f>
        <v>0</v>
      </c>
      <c r="CY54" s="152">
        <f t="shared" si="69"/>
        <v>150</v>
      </c>
      <c r="CZ54" s="164">
        <f t="shared" si="70"/>
        <v>150</v>
      </c>
      <c r="DA54" s="16">
        <f t="shared" si="71"/>
        <v>150</v>
      </c>
      <c r="DB54" s="164">
        <f t="shared" si="72"/>
        <v>150</v>
      </c>
      <c r="DC54" s="164">
        <f t="shared" si="73"/>
        <v>150</v>
      </c>
      <c r="DD54" s="16">
        <f t="shared" si="74"/>
        <v>150</v>
      </c>
      <c r="DE54" s="166">
        <f t="shared" si="75"/>
        <v>100</v>
      </c>
      <c r="DF54" s="164">
        <f t="shared" ca="1" si="51"/>
        <v>150</v>
      </c>
      <c r="DG54" s="16">
        <f t="shared" si="52"/>
        <v>0</v>
      </c>
      <c r="DH54" s="16">
        <f t="shared" si="53"/>
        <v>54</v>
      </c>
      <c r="DI54" s="166"/>
    </row>
    <row r="55" spans="1:113" s="16" customFormat="1" x14ac:dyDescent="0.25">
      <c r="A55" s="36">
        <f t="shared" si="56"/>
        <v>820</v>
      </c>
      <c r="B55" s="36">
        <f t="shared" si="50"/>
        <v>180</v>
      </c>
      <c r="C55" s="83">
        <f t="shared" si="68"/>
        <v>0</v>
      </c>
      <c r="D55" s="572"/>
      <c r="E55" s="16">
        <f t="shared" si="57"/>
        <v>1000</v>
      </c>
      <c r="F55" s="86">
        <f t="shared" si="60"/>
        <v>70</v>
      </c>
      <c r="G55" s="37">
        <f t="shared" si="61"/>
        <v>100</v>
      </c>
      <c r="H55" s="247">
        <f t="shared" si="62"/>
        <v>150</v>
      </c>
      <c r="I55" s="38">
        <f t="shared" si="63"/>
        <v>150</v>
      </c>
      <c r="J55" s="39">
        <f t="shared" si="64"/>
        <v>100</v>
      </c>
      <c r="K55" s="40">
        <f t="shared" si="65"/>
        <v>150</v>
      </c>
      <c r="L55" s="498">
        <f t="shared" si="66"/>
        <v>100</v>
      </c>
      <c r="M55" s="633">
        <f>Rezone!J55</f>
        <v>53</v>
      </c>
      <c r="N55" s="356"/>
      <c r="O55" s="348"/>
      <c r="P55" s="348"/>
      <c r="Q55" s="348"/>
      <c r="R55" s="345"/>
      <c r="S55" s="348"/>
      <c r="T55" s="345"/>
      <c r="U55" s="348"/>
      <c r="V55" s="348"/>
      <c r="W55" s="345"/>
      <c r="X55" s="345"/>
      <c r="Y55" s="348"/>
      <c r="Z55" s="345"/>
      <c r="AA55" s="348"/>
      <c r="AB55" s="348"/>
      <c r="AC55" s="345"/>
      <c r="AD55" s="348"/>
      <c r="AE55" s="348"/>
      <c r="AF55" s="336"/>
      <c r="AG55" s="530">
        <f>Imps!L55</f>
        <v>43768.541666666541</v>
      </c>
      <c r="AH55" s="91">
        <f>MIN(25%,(BG55+CE55)/(E55-Explore!S55*20))</f>
        <v>0</v>
      </c>
      <c r="AI55" s="59">
        <f t="shared" si="12"/>
        <v>0</v>
      </c>
      <c r="AJ55" s="56">
        <f ca="1">Production!$H55</f>
        <v>4736371</v>
      </c>
      <c r="AK55" s="57">
        <f ca="1">Production!$J55</f>
        <v>312260</v>
      </c>
      <c r="AL55" s="152">
        <f ca="1">ROUND( (1 - MIN(facs_constr_factor*$AH55,facs_constr_max)) * (1+MIN(tech_construction*Techs!AC55,tech_conquerors_crafts*Techs!AS55)) * AU55*(1+race_construction_cost),0)</f>
        <v>1615</v>
      </c>
      <c r="AM55" s="166">
        <f t="shared" si="58"/>
        <v>263</v>
      </c>
      <c r="AN55" s="152">
        <f ca="1">ROUND( (1 - MIN(facs_constr_factor*$AI55,facs_constr_max)) * (1+MIN(tech_construction*Techs!AE55,tech_conquerors_crafts*Techs!AU55)) * AU55*(1+race_construction_cost),0)</f>
        <v>1615</v>
      </c>
      <c r="AO55" s="166">
        <f t="shared" si="67"/>
        <v>263</v>
      </c>
      <c r="AP55" s="16">
        <f t="shared" ca="1" si="54"/>
        <v>0</v>
      </c>
      <c r="AQ55" s="53">
        <f t="shared" si="55"/>
        <v>0</v>
      </c>
      <c r="AR55" s="16">
        <f>MIN(SUM(F54:L54)+SUM(Explore!T43:Z43)+SUM(BV55:CN55),SUM($N55:$AF55))</f>
        <v>0</v>
      </c>
      <c r="AS55" s="16">
        <f>IF(Explore!S55&lt;&gt;0,MAX(0, MIN(20, 20 + SUM(N55:AF55) - SUM(BV55:CN55) - SUM(F54:L54)-SUM(Explore!T43:Z43)-20*Explore!S55)),0)</f>
        <v>0</v>
      </c>
      <c r="AU55" s="152">
        <f t="shared" si="16"/>
        <v>1615</v>
      </c>
      <c r="AV55" s="166">
        <f t="shared" si="17"/>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1"/>
      <c r="BS55" s="156">
        <f t="shared" si="59"/>
        <v>1000</v>
      </c>
      <c r="BT55" s="572">
        <f t="shared" si="42"/>
        <v>43770.166666666541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498">
        <f>-$AF55+$CN55 +Rezone!R55 + IF(home_land=CV$2,CW55) + Explore!Z43</f>
        <v>0</v>
      </c>
      <c r="CW55" s="159">
        <f>IF(Explore!S55=1,25) - N55 + BV55</f>
        <v>0</v>
      </c>
      <c r="CY55" s="152">
        <f t="shared" si="69"/>
        <v>150</v>
      </c>
      <c r="CZ55" s="164">
        <f t="shared" si="70"/>
        <v>150</v>
      </c>
      <c r="DA55" s="16">
        <f t="shared" si="71"/>
        <v>150</v>
      </c>
      <c r="DB55" s="164">
        <f t="shared" si="72"/>
        <v>150</v>
      </c>
      <c r="DC55" s="164">
        <f t="shared" si="73"/>
        <v>150</v>
      </c>
      <c r="DD55" s="16">
        <f t="shared" si="74"/>
        <v>150</v>
      </c>
      <c r="DE55" s="166">
        <f t="shared" si="75"/>
        <v>100</v>
      </c>
      <c r="DF55" s="164">
        <f t="shared" ca="1" si="51"/>
        <v>150</v>
      </c>
      <c r="DG55" s="16">
        <f t="shared" si="52"/>
        <v>0</v>
      </c>
      <c r="DH55" s="16">
        <f t="shared" si="53"/>
        <v>55</v>
      </c>
      <c r="DI55" s="166"/>
    </row>
    <row r="56" spans="1:113" s="16" customFormat="1" x14ac:dyDescent="0.25">
      <c r="A56" s="36">
        <f t="shared" si="56"/>
        <v>820</v>
      </c>
      <c r="B56" s="36">
        <f t="shared" si="50"/>
        <v>180</v>
      </c>
      <c r="C56" s="83">
        <f t="shared" si="68"/>
        <v>0</v>
      </c>
      <c r="D56" s="572"/>
      <c r="E56" s="16">
        <f t="shared" si="57"/>
        <v>1000</v>
      </c>
      <c r="F56" s="86">
        <f t="shared" si="60"/>
        <v>70</v>
      </c>
      <c r="G56" s="37">
        <f t="shared" si="61"/>
        <v>100</v>
      </c>
      <c r="H56" s="247">
        <f t="shared" si="62"/>
        <v>150</v>
      </c>
      <c r="I56" s="38">
        <f t="shared" si="63"/>
        <v>150</v>
      </c>
      <c r="J56" s="39">
        <f t="shared" si="64"/>
        <v>100</v>
      </c>
      <c r="K56" s="40">
        <f t="shared" si="65"/>
        <v>150</v>
      </c>
      <c r="L56" s="498">
        <f t="shared" si="66"/>
        <v>100</v>
      </c>
      <c r="M56" s="633">
        <f>Rezone!J56</f>
        <v>54</v>
      </c>
      <c r="N56" s="356"/>
      <c r="O56" s="348"/>
      <c r="P56" s="348"/>
      <c r="Q56" s="348"/>
      <c r="R56" s="345"/>
      <c r="S56" s="348"/>
      <c r="T56" s="345"/>
      <c r="U56" s="348"/>
      <c r="V56" s="348"/>
      <c r="W56" s="345"/>
      <c r="X56" s="345"/>
      <c r="Y56" s="348"/>
      <c r="Z56" s="345"/>
      <c r="AA56" s="348"/>
      <c r="AB56" s="348"/>
      <c r="AC56" s="345"/>
      <c r="AD56" s="348"/>
      <c r="AE56" s="348"/>
      <c r="AF56" s="336"/>
      <c r="AG56" s="530">
        <f>Imps!L56</f>
        <v>43768.552083333205</v>
      </c>
      <c r="AH56" s="91">
        <f>MIN(25%,(BG56+CE56)/(E56-Explore!S56*20))</f>
        <v>0</v>
      </c>
      <c r="AI56" s="59">
        <f t="shared" si="12"/>
        <v>0</v>
      </c>
      <c r="AJ56" s="56">
        <f ca="1">Production!$H56</f>
        <v>4741352</v>
      </c>
      <c r="AK56" s="57">
        <f ca="1">Production!$J56</f>
        <v>311637</v>
      </c>
      <c r="AL56" s="152">
        <f ca="1">ROUND( (1 - MIN(facs_constr_factor*$AH56,facs_constr_max)) * (1+MIN(tech_construction*Techs!AC56,tech_conquerors_crafts*Techs!AS56)) * AU56*(1+race_construction_cost),0)</f>
        <v>1615</v>
      </c>
      <c r="AM56" s="166">
        <f t="shared" si="58"/>
        <v>263</v>
      </c>
      <c r="AN56" s="152">
        <f ca="1">ROUND( (1 - MIN(facs_constr_factor*$AI56,facs_constr_max)) * (1+MIN(tech_construction*Techs!AE56,tech_conquerors_crafts*Techs!AU56)) * AU56*(1+race_construction_cost),0)</f>
        <v>1615</v>
      </c>
      <c r="AO56" s="166">
        <f t="shared" si="67"/>
        <v>263</v>
      </c>
      <c r="AP56" s="16">
        <f t="shared" ca="1" si="54"/>
        <v>0</v>
      </c>
      <c r="AQ56" s="53">
        <f t="shared" si="55"/>
        <v>0</v>
      </c>
      <c r="AR56" s="16">
        <f>MIN(SUM(F55:L55)+SUM(Explore!T44:Z44)+SUM(BV56:CN56),SUM($N56:$AF56))</f>
        <v>0</v>
      </c>
      <c r="AS56" s="16">
        <f>IF(Explore!S56&lt;&gt;0,MAX(0, MIN(20, 20 + SUM(N56:AF56) - SUM(BV56:CN56) - SUM(F55:L55)-SUM(Explore!T44:Z44)-20*Explore!S56)),0)</f>
        <v>0</v>
      </c>
      <c r="AU56" s="152">
        <f t="shared" si="16"/>
        <v>1615</v>
      </c>
      <c r="AV56" s="166">
        <f t="shared" si="17"/>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1"/>
      <c r="BS56" s="156">
        <f t="shared" si="59"/>
        <v>1000</v>
      </c>
      <c r="BT56" s="572">
        <f t="shared" si="42"/>
        <v>43770.208333333205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498">
        <f>-$AF56+$CN56 +Rezone!R56 + IF(home_land=CV$2,CW56) + Explore!Z44</f>
        <v>0</v>
      </c>
      <c r="CW56" s="159">
        <f>IF(Explore!S56=1,25) - N56 + BV56</f>
        <v>0</v>
      </c>
      <c r="CY56" s="152">
        <f t="shared" si="69"/>
        <v>150</v>
      </c>
      <c r="CZ56" s="164">
        <f t="shared" si="70"/>
        <v>150</v>
      </c>
      <c r="DA56" s="16">
        <f t="shared" si="71"/>
        <v>150</v>
      </c>
      <c r="DB56" s="164">
        <f t="shared" si="72"/>
        <v>150</v>
      </c>
      <c r="DC56" s="164">
        <f t="shared" si="73"/>
        <v>150</v>
      </c>
      <c r="DD56" s="16">
        <f t="shared" si="74"/>
        <v>150</v>
      </c>
      <c r="DE56" s="166">
        <f t="shared" si="75"/>
        <v>100</v>
      </c>
      <c r="DF56" s="164">
        <f t="shared" ca="1" si="51"/>
        <v>150</v>
      </c>
      <c r="DG56" s="16">
        <f t="shared" si="52"/>
        <v>0</v>
      </c>
      <c r="DH56" s="16">
        <f t="shared" si="53"/>
        <v>56</v>
      </c>
      <c r="DI56" s="166"/>
    </row>
    <row r="57" spans="1:113" s="16" customFormat="1" x14ac:dyDescent="0.25">
      <c r="A57" s="36">
        <f t="shared" si="56"/>
        <v>820</v>
      </c>
      <c r="B57" s="36">
        <f t="shared" si="50"/>
        <v>180</v>
      </c>
      <c r="C57" s="83">
        <f t="shared" si="68"/>
        <v>0</v>
      </c>
      <c r="D57" s="572"/>
      <c r="E57" s="16">
        <f t="shared" si="57"/>
        <v>1000</v>
      </c>
      <c r="F57" s="86">
        <f t="shared" si="60"/>
        <v>70</v>
      </c>
      <c r="G57" s="37">
        <f t="shared" si="61"/>
        <v>100</v>
      </c>
      <c r="H57" s="247">
        <f t="shared" si="62"/>
        <v>150</v>
      </c>
      <c r="I57" s="38">
        <f t="shared" si="63"/>
        <v>150</v>
      </c>
      <c r="J57" s="39">
        <f t="shared" si="64"/>
        <v>100</v>
      </c>
      <c r="K57" s="40">
        <f t="shared" si="65"/>
        <v>150</v>
      </c>
      <c r="L57" s="498">
        <f t="shared" si="66"/>
        <v>100</v>
      </c>
      <c r="M57" s="633">
        <f>Rezone!J57</f>
        <v>55</v>
      </c>
      <c r="N57" s="356"/>
      <c r="O57" s="348"/>
      <c r="P57" s="348"/>
      <c r="Q57" s="348"/>
      <c r="R57" s="345"/>
      <c r="S57" s="348"/>
      <c r="T57" s="345"/>
      <c r="U57" s="348"/>
      <c r="V57" s="348"/>
      <c r="W57" s="345"/>
      <c r="X57" s="345"/>
      <c r="Y57" s="348"/>
      <c r="Z57" s="345"/>
      <c r="AA57" s="348"/>
      <c r="AB57" s="348"/>
      <c r="AC57" s="345"/>
      <c r="AD57" s="348"/>
      <c r="AE57" s="348"/>
      <c r="AF57" s="336"/>
      <c r="AG57" s="530">
        <f>Imps!L57</f>
        <v>43768.562499999869</v>
      </c>
      <c r="AH57" s="91">
        <f>MIN(25%,(BG57+CE57)/(E57-Explore!S57*20))</f>
        <v>0</v>
      </c>
      <c r="AI57" s="59">
        <f t="shared" si="12"/>
        <v>0</v>
      </c>
      <c r="AJ57" s="56">
        <f ca="1">Production!$H57</f>
        <v>4746333</v>
      </c>
      <c r="AK57" s="57">
        <f ca="1">Production!$J57</f>
        <v>311021</v>
      </c>
      <c r="AL57" s="152">
        <f ca="1">ROUND( (1 - MIN(facs_constr_factor*$AH57,facs_constr_max)) * (1+MIN(tech_construction*Techs!AC57,tech_conquerors_crafts*Techs!AS57)) * AU57*(1+race_construction_cost),0)</f>
        <v>1615</v>
      </c>
      <c r="AM57" s="166">
        <f t="shared" si="58"/>
        <v>263</v>
      </c>
      <c r="AN57" s="152">
        <f ca="1">ROUND( (1 - MIN(facs_constr_factor*$AI57,facs_constr_max)) * (1+MIN(tech_construction*Techs!AE57,tech_conquerors_crafts*Techs!AU57)) * AU57*(1+race_construction_cost),0)</f>
        <v>1615</v>
      </c>
      <c r="AO57" s="166">
        <f t="shared" si="67"/>
        <v>263</v>
      </c>
      <c r="AP57" s="16">
        <f t="shared" ca="1" si="54"/>
        <v>0</v>
      </c>
      <c r="AQ57" s="53">
        <f t="shared" si="55"/>
        <v>0</v>
      </c>
      <c r="AR57" s="16">
        <f>MIN(SUM(F56:L56)+SUM(Explore!T45:Z45)+SUM(BV57:CN57),SUM($N57:$AF57))</f>
        <v>0</v>
      </c>
      <c r="AS57" s="16">
        <f>IF(Explore!S57&lt;&gt;0,MAX(0, MIN(20, 20 + SUM(N57:AF57) - SUM(BV57:CN57) - SUM(F56:L56)-SUM(Explore!T45:Z45)-20*Explore!S57)),0)</f>
        <v>0</v>
      </c>
      <c r="AU57" s="152">
        <f t="shared" si="16"/>
        <v>1615</v>
      </c>
      <c r="AV57" s="166">
        <f t="shared" si="17"/>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1"/>
      <c r="BS57" s="156">
        <f t="shared" si="59"/>
        <v>1000</v>
      </c>
      <c r="BT57" s="572">
        <f t="shared" si="42"/>
        <v>43770.249999999869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498">
        <f>-$AF57+$CN57 +Rezone!R57 + IF(home_land=CV$2,CW57) + Explore!Z45</f>
        <v>0</v>
      </c>
      <c r="CW57" s="159">
        <f>IF(Explore!S57=1,25) - N57 + BV57</f>
        <v>0</v>
      </c>
      <c r="CY57" s="152">
        <f t="shared" si="69"/>
        <v>150</v>
      </c>
      <c r="CZ57" s="164">
        <f t="shared" si="70"/>
        <v>150</v>
      </c>
      <c r="DA57" s="16">
        <f t="shared" si="71"/>
        <v>150</v>
      </c>
      <c r="DB57" s="164">
        <f t="shared" si="72"/>
        <v>150</v>
      </c>
      <c r="DC57" s="164">
        <f t="shared" si="73"/>
        <v>150</v>
      </c>
      <c r="DD57" s="16">
        <f t="shared" si="74"/>
        <v>150</v>
      </c>
      <c r="DE57" s="166">
        <f t="shared" si="75"/>
        <v>100</v>
      </c>
      <c r="DF57" s="164">
        <f t="shared" ca="1" si="51"/>
        <v>150</v>
      </c>
      <c r="DG57" s="16">
        <f t="shared" si="52"/>
        <v>0</v>
      </c>
      <c r="DH57" s="16">
        <f t="shared" si="53"/>
        <v>57</v>
      </c>
      <c r="DI57" s="166"/>
    </row>
    <row r="58" spans="1:113" s="16" customFormat="1" x14ac:dyDescent="0.25">
      <c r="A58" s="36">
        <f t="shared" si="56"/>
        <v>820</v>
      </c>
      <c r="B58" s="36">
        <f t="shared" si="50"/>
        <v>180</v>
      </c>
      <c r="C58" s="83">
        <f t="shared" si="68"/>
        <v>0</v>
      </c>
      <c r="D58" s="572"/>
      <c r="E58" s="16">
        <f t="shared" si="57"/>
        <v>1000</v>
      </c>
      <c r="F58" s="86">
        <f t="shared" si="60"/>
        <v>70</v>
      </c>
      <c r="G58" s="37">
        <f t="shared" si="61"/>
        <v>100</v>
      </c>
      <c r="H58" s="247">
        <f t="shared" si="62"/>
        <v>150</v>
      </c>
      <c r="I58" s="38">
        <f t="shared" si="63"/>
        <v>150</v>
      </c>
      <c r="J58" s="39">
        <f t="shared" si="64"/>
        <v>100</v>
      </c>
      <c r="K58" s="40">
        <f t="shared" si="65"/>
        <v>150</v>
      </c>
      <c r="L58" s="498">
        <f t="shared" si="66"/>
        <v>100</v>
      </c>
      <c r="M58" s="633">
        <f>Rezone!J58</f>
        <v>56</v>
      </c>
      <c r="N58" s="356"/>
      <c r="O58" s="348"/>
      <c r="P58" s="348"/>
      <c r="Q58" s="348"/>
      <c r="R58" s="345"/>
      <c r="S58" s="348"/>
      <c r="T58" s="345"/>
      <c r="U58" s="348"/>
      <c r="V58" s="348"/>
      <c r="W58" s="345"/>
      <c r="X58" s="345"/>
      <c r="Y58" s="348"/>
      <c r="Z58" s="345"/>
      <c r="AA58" s="348"/>
      <c r="AB58" s="348"/>
      <c r="AC58" s="345"/>
      <c r="AD58" s="348"/>
      <c r="AE58" s="348"/>
      <c r="AF58" s="336"/>
      <c r="AG58" s="530">
        <f>Imps!L58</f>
        <v>43768.572916666533</v>
      </c>
      <c r="AH58" s="91">
        <f>MIN(25%,(BG58+CE58)/(E58-Explore!S58*20))</f>
        <v>0</v>
      </c>
      <c r="AI58" s="59">
        <f t="shared" si="12"/>
        <v>0</v>
      </c>
      <c r="AJ58" s="56">
        <f ca="1">Production!$H58</f>
        <v>4751314</v>
      </c>
      <c r="AK58" s="57">
        <f ca="1">Production!$J58</f>
        <v>310411</v>
      </c>
      <c r="AL58" s="152">
        <f ca="1">ROUND( (1 - MIN(facs_constr_factor*$AH58,facs_constr_max)) * (1+MIN(tech_construction*Techs!AC58,tech_conquerors_crafts*Techs!AS58)) * AU58*(1+race_construction_cost),0)</f>
        <v>1615</v>
      </c>
      <c r="AM58" s="166">
        <f t="shared" si="58"/>
        <v>263</v>
      </c>
      <c r="AN58" s="152">
        <f ca="1">ROUND( (1 - MIN(facs_constr_factor*$AI58,facs_constr_max)) * (1+MIN(tech_construction*Techs!AE58,tech_conquerors_crafts*Techs!AU58)) * AU58*(1+race_construction_cost),0)</f>
        <v>1615</v>
      </c>
      <c r="AO58" s="166">
        <f t="shared" si="67"/>
        <v>263</v>
      </c>
      <c r="AP58" s="16">
        <f t="shared" ca="1" si="54"/>
        <v>0</v>
      </c>
      <c r="AQ58" s="53">
        <f t="shared" si="55"/>
        <v>0</v>
      </c>
      <c r="AR58" s="16">
        <f>MIN(SUM(F57:L57)+SUM(Explore!T46:Z46)+SUM(BV58:CN58),SUM($N58:$AF58))</f>
        <v>0</v>
      </c>
      <c r="AS58" s="16">
        <f>IF(Explore!S58&lt;&gt;0,MAX(0, MIN(20, 20 + SUM(N58:AF58) - SUM(BV58:CN58) - SUM(F57:L57)-SUM(Explore!T46:Z46)-20*Explore!S58)),0)</f>
        <v>0</v>
      </c>
      <c r="AU58" s="152">
        <f t="shared" si="16"/>
        <v>1615</v>
      </c>
      <c r="AV58" s="166">
        <f t="shared" si="17"/>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1"/>
      <c r="BS58" s="156">
        <f t="shared" si="59"/>
        <v>1000</v>
      </c>
      <c r="BT58" s="572">
        <f t="shared" si="42"/>
        <v>43770.291666666533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498">
        <f>-$AF58+$CN58 +Rezone!R58 + IF(home_land=CV$2,CW58) + Explore!Z46</f>
        <v>0</v>
      </c>
      <c r="CW58" s="159">
        <f>IF(Explore!S58=1,25) - N58 + BV58</f>
        <v>0</v>
      </c>
      <c r="CY58" s="152">
        <f t="shared" si="69"/>
        <v>150</v>
      </c>
      <c r="CZ58" s="164">
        <f t="shared" si="70"/>
        <v>150</v>
      </c>
      <c r="DA58" s="16">
        <f t="shared" si="71"/>
        <v>150</v>
      </c>
      <c r="DB58" s="164">
        <f t="shared" si="72"/>
        <v>150</v>
      </c>
      <c r="DC58" s="164">
        <f t="shared" si="73"/>
        <v>150</v>
      </c>
      <c r="DD58" s="16">
        <f t="shared" si="74"/>
        <v>150</v>
      </c>
      <c r="DE58" s="166">
        <f t="shared" si="75"/>
        <v>100</v>
      </c>
      <c r="DF58" s="164">
        <f t="shared" ca="1" si="51"/>
        <v>150</v>
      </c>
      <c r="DG58" s="16">
        <f t="shared" si="52"/>
        <v>0</v>
      </c>
      <c r="DH58" s="16">
        <f t="shared" si="53"/>
        <v>58</v>
      </c>
      <c r="DI58" s="166"/>
    </row>
    <row r="59" spans="1:113" s="16" customFormat="1" x14ac:dyDescent="0.25">
      <c r="A59" s="36">
        <f t="shared" si="56"/>
        <v>820</v>
      </c>
      <c r="B59" s="36">
        <f t="shared" si="50"/>
        <v>180</v>
      </c>
      <c r="C59" s="83">
        <f t="shared" si="68"/>
        <v>0</v>
      </c>
      <c r="D59" s="572"/>
      <c r="E59" s="16">
        <f t="shared" si="57"/>
        <v>1000</v>
      </c>
      <c r="F59" s="86">
        <f t="shared" si="60"/>
        <v>70</v>
      </c>
      <c r="G59" s="37">
        <f t="shared" si="61"/>
        <v>100</v>
      </c>
      <c r="H59" s="247">
        <f t="shared" si="62"/>
        <v>150</v>
      </c>
      <c r="I59" s="38">
        <f t="shared" si="63"/>
        <v>150</v>
      </c>
      <c r="J59" s="39">
        <f t="shared" si="64"/>
        <v>100</v>
      </c>
      <c r="K59" s="40">
        <f t="shared" si="65"/>
        <v>150</v>
      </c>
      <c r="L59" s="498">
        <f t="shared" si="66"/>
        <v>100</v>
      </c>
      <c r="M59" s="633">
        <f>Rezone!J59</f>
        <v>57</v>
      </c>
      <c r="N59" s="356"/>
      <c r="O59" s="348"/>
      <c r="P59" s="348"/>
      <c r="Q59" s="348"/>
      <c r="R59" s="345"/>
      <c r="S59" s="348"/>
      <c r="T59" s="345"/>
      <c r="U59" s="348"/>
      <c r="V59" s="348"/>
      <c r="W59" s="345"/>
      <c r="X59" s="345"/>
      <c r="Y59" s="348"/>
      <c r="Z59" s="345"/>
      <c r="AA59" s="348"/>
      <c r="AB59" s="348"/>
      <c r="AC59" s="345"/>
      <c r="AD59" s="348"/>
      <c r="AE59" s="348"/>
      <c r="AF59" s="336"/>
      <c r="AG59" s="530">
        <f>Imps!L59</f>
        <v>43768.583333333198</v>
      </c>
      <c r="AH59" s="91">
        <f>MIN(25%,(BG59+CE59)/(E59-Explore!S59*20))</f>
        <v>0</v>
      </c>
      <c r="AI59" s="59">
        <f t="shared" si="12"/>
        <v>0</v>
      </c>
      <c r="AJ59" s="56">
        <f ca="1">Production!$H59</f>
        <v>4756295</v>
      </c>
      <c r="AK59" s="57">
        <f ca="1">Production!$J59</f>
        <v>309807</v>
      </c>
      <c r="AL59" s="152">
        <f ca="1">ROUND( (1 - MIN(facs_constr_factor*$AH59,facs_constr_max)) * (1+MIN(tech_construction*Techs!AC59,tech_conquerors_crafts*Techs!AS59)) * AU59*(1+race_construction_cost),0)</f>
        <v>1615</v>
      </c>
      <c r="AM59" s="166">
        <f t="shared" si="58"/>
        <v>263</v>
      </c>
      <c r="AN59" s="152">
        <f ca="1">ROUND( (1 - MIN(facs_constr_factor*$AI59,facs_constr_max)) * (1+MIN(tech_construction*Techs!AE59,tech_conquerors_crafts*Techs!AU59)) * AU59*(1+race_construction_cost),0)</f>
        <v>1615</v>
      </c>
      <c r="AO59" s="166">
        <f t="shared" si="67"/>
        <v>263</v>
      </c>
      <c r="AP59" s="16">
        <f t="shared" ca="1" si="54"/>
        <v>0</v>
      </c>
      <c r="AQ59" s="53">
        <f t="shared" si="55"/>
        <v>0</v>
      </c>
      <c r="AR59" s="16">
        <f>MIN(SUM(F58:L58)+SUM(Explore!T47:Z47)+SUM(BV59:CN59),SUM($N59:$AF59))</f>
        <v>0</v>
      </c>
      <c r="AS59" s="16">
        <f>IF(Explore!S59&lt;&gt;0,MAX(0, MIN(20, 20 + SUM(N59:AF59) - SUM(BV59:CN59) - SUM(F58:L58)-SUM(Explore!T47:Z47)-20*Explore!S59)),0)</f>
        <v>0</v>
      </c>
      <c r="AU59" s="152">
        <f t="shared" si="16"/>
        <v>1615</v>
      </c>
      <c r="AV59" s="166">
        <f t="shared" si="17"/>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1"/>
      <c r="BS59" s="156">
        <f t="shared" si="59"/>
        <v>1000</v>
      </c>
      <c r="BT59" s="572">
        <f t="shared" si="42"/>
        <v>43770.333333333198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498">
        <f>-$AF59+$CN59 +Rezone!R59 + IF(home_land=CV$2,CW59) + Explore!Z47</f>
        <v>0</v>
      </c>
      <c r="CW59" s="159">
        <f>IF(Explore!S59=1,25) - N59 + BV59</f>
        <v>0</v>
      </c>
      <c r="CY59" s="152">
        <f t="shared" si="69"/>
        <v>150</v>
      </c>
      <c r="CZ59" s="164">
        <f t="shared" si="70"/>
        <v>150</v>
      </c>
      <c r="DA59" s="16">
        <f t="shared" si="71"/>
        <v>150</v>
      </c>
      <c r="DB59" s="164">
        <f t="shared" si="72"/>
        <v>150</v>
      </c>
      <c r="DC59" s="164">
        <f t="shared" si="73"/>
        <v>150</v>
      </c>
      <c r="DD59" s="16">
        <f t="shared" si="74"/>
        <v>150</v>
      </c>
      <c r="DE59" s="166">
        <f t="shared" si="75"/>
        <v>100</v>
      </c>
      <c r="DF59" s="164">
        <f t="shared" ca="1" si="51"/>
        <v>150</v>
      </c>
      <c r="DG59" s="16">
        <f t="shared" si="52"/>
        <v>0</v>
      </c>
      <c r="DH59" s="16">
        <f t="shared" si="53"/>
        <v>59</v>
      </c>
      <c r="DI59" s="166"/>
    </row>
    <row r="60" spans="1:113" s="16" customFormat="1" x14ac:dyDescent="0.25">
      <c r="A60" s="36">
        <f t="shared" si="56"/>
        <v>820</v>
      </c>
      <c r="B60" s="36">
        <f t="shared" si="50"/>
        <v>180</v>
      </c>
      <c r="C60" s="83">
        <f t="shared" si="68"/>
        <v>0</v>
      </c>
      <c r="D60" s="572"/>
      <c r="E60" s="16">
        <f t="shared" si="57"/>
        <v>1000</v>
      </c>
      <c r="F60" s="86">
        <f t="shared" si="60"/>
        <v>70</v>
      </c>
      <c r="G60" s="37">
        <f t="shared" si="61"/>
        <v>100</v>
      </c>
      <c r="H60" s="247">
        <f t="shared" si="62"/>
        <v>150</v>
      </c>
      <c r="I60" s="38">
        <f t="shared" si="63"/>
        <v>150</v>
      </c>
      <c r="J60" s="39">
        <f t="shared" si="64"/>
        <v>100</v>
      </c>
      <c r="K60" s="40">
        <f t="shared" si="65"/>
        <v>150</v>
      </c>
      <c r="L60" s="498">
        <f t="shared" si="66"/>
        <v>100</v>
      </c>
      <c r="M60" s="633">
        <f>Rezone!J60</f>
        <v>58</v>
      </c>
      <c r="N60" s="356"/>
      <c r="O60" s="348"/>
      <c r="P60" s="348"/>
      <c r="Q60" s="348"/>
      <c r="R60" s="345"/>
      <c r="S60" s="348"/>
      <c r="T60" s="345"/>
      <c r="U60" s="348"/>
      <c r="V60" s="348"/>
      <c r="W60" s="345"/>
      <c r="X60" s="345"/>
      <c r="Y60" s="348"/>
      <c r="Z60" s="345"/>
      <c r="AA60" s="348"/>
      <c r="AB60" s="348"/>
      <c r="AC60" s="345"/>
      <c r="AD60" s="348"/>
      <c r="AE60" s="348"/>
      <c r="AF60" s="336"/>
      <c r="AG60" s="530">
        <f>Imps!L60</f>
        <v>43768.593749999862</v>
      </c>
      <c r="AH60" s="91">
        <f>MIN(25%,(BG60+CE60)/(E60-Explore!S60*20))</f>
        <v>0</v>
      </c>
      <c r="AI60" s="59">
        <f t="shared" si="12"/>
        <v>0</v>
      </c>
      <c r="AJ60" s="56">
        <f ca="1">Production!$H60</f>
        <v>4761276</v>
      </c>
      <c r="AK60" s="57">
        <f ca="1">Production!$J60</f>
        <v>309209</v>
      </c>
      <c r="AL60" s="152">
        <f ca="1">ROUND( (1 - MIN(facs_constr_factor*$AH60,facs_constr_max)) * (1+MIN(tech_construction*Techs!AC60,tech_conquerors_crafts*Techs!AS60)) * AU60*(1+race_construction_cost),0)</f>
        <v>1615</v>
      </c>
      <c r="AM60" s="166">
        <f t="shared" si="58"/>
        <v>263</v>
      </c>
      <c r="AN60" s="152">
        <f ca="1">ROUND( (1 - MIN(facs_constr_factor*$AI60,facs_constr_max)) * (1+MIN(tech_construction*Techs!AE60,tech_conquerors_crafts*Techs!AU60)) * AU60*(1+race_construction_cost),0)</f>
        <v>1615</v>
      </c>
      <c r="AO60" s="166">
        <f t="shared" si="67"/>
        <v>263</v>
      </c>
      <c r="AP60" s="16">
        <f t="shared" ca="1" si="54"/>
        <v>0</v>
      </c>
      <c r="AQ60" s="53">
        <f t="shared" si="55"/>
        <v>0</v>
      </c>
      <c r="AR60" s="16">
        <f>MIN(SUM(F59:L59)+SUM(Explore!T48:Z48)+SUM(BV60:CN60),SUM($N60:$AF60))</f>
        <v>0</v>
      </c>
      <c r="AS60" s="16">
        <f>IF(Explore!S60&lt;&gt;0,MAX(0, MIN(20, 20 + SUM(N60:AF60) - SUM(BV60:CN60) - SUM(F59:L59)-SUM(Explore!T48:Z48)-20*Explore!S60)),0)</f>
        <v>0</v>
      </c>
      <c r="AU60" s="152">
        <f t="shared" si="16"/>
        <v>1615</v>
      </c>
      <c r="AV60" s="166">
        <f t="shared" si="17"/>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1"/>
      <c r="BS60" s="156">
        <f t="shared" si="59"/>
        <v>1000</v>
      </c>
      <c r="BT60" s="572">
        <f t="shared" si="42"/>
        <v>43770.374999999862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498">
        <f>-$AF60+$CN60 +Rezone!R60 + IF(home_land=CV$2,CW60) + Explore!Z48</f>
        <v>0</v>
      </c>
      <c r="CW60" s="159">
        <f>IF(Explore!S60=1,25) - N60 + BV60</f>
        <v>0</v>
      </c>
      <c r="CY60" s="152">
        <f t="shared" si="69"/>
        <v>150</v>
      </c>
      <c r="CZ60" s="164">
        <f t="shared" si="70"/>
        <v>150</v>
      </c>
      <c r="DA60" s="16">
        <f t="shared" si="71"/>
        <v>150</v>
      </c>
      <c r="DB60" s="164">
        <f t="shared" si="72"/>
        <v>150</v>
      </c>
      <c r="DC60" s="164">
        <f t="shared" si="73"/>
        <v>150</v>
      </c>
      <c r="DD60" s="16">
        <f t="shared" si="74"/>
        <v>150</v>
      </c>
      <c r="DE60" s="166">
        <f t="shared" si="75"/>
        <v>100</v>
      </c>
      <c r="DF60" s="164">
        <f t="shared" ca="1" si="51"/>
        <v>150</v>
      </c>
      <c r="DG60" s="16">
        <f t="shared" si="52"/>
        <v>0</v>
      </c>
      <c r="DH60" s="16">
        <f t="shared" si="53"/>
        <v>60</v>
      </c>
      <c r="DI60" s="166"/>
    </row>
    <row r="61" spans="1:113" s="16" customFormat="1" x14ac:dyDescent="0.25">
      <c r="A61" s="36">
        <f t="shared" si="56"/>
        <v>820</v>
      </c>
      <c r="B61" s="36">
        <f t="shared" si="50"/>
        <v>180</v>
      </c>
      <c r="C61" s="83">
        <f t="shared" si="68"/>
        <v>0</v>
      </c>
      <c r="D61" s="572"/>
      <c r="E61" s="16">
        <f t="shared" si="57"/>
        <v>1000</v>
      </c>
      <c r="F61" s="86">
        <f t="shared" si="60"/>
        <v>70</v>
      </c>
      <c r="G61" s="37">
        <f t="shared" si="61"/>
        <v>100</v>
      </c>
      <c r="H61" s="247">
        <f t="shared" si="62"/>
        <v>150</v>
      </c>
      <c r="I61" s="38">
        <f t="shared" si="63"/>
        <v>150</v>
      </c>
      <c r="J61" s="39">
        <f t="shared" si="64"/>
        <v>100</v>
      </c>
      <c r="K61" s="40">
        <f t="shared" si="65"/>
        <v>150</v>
      </c>
      <c r="L61" s="498">
        <f t="shared" si="66"/>
        <v>100</v>
      </c>
      <c r="M61" s="633">
        <f>Rezone!J61</f>
        <v>59</v>
      </c>
      <c r="N61" s="356"/>
      <c r="O61" s="348"/>
      <c r="P61" s="348"/>
      <c r="Q61" s="348"/>
      <c r="R61" s="345"/>
      <c r="S61" s="348"/>
      <c r="T61" s="345"/>
      <c r="U61" s="348"/>
      <c r="V61" s="348"/>
      <c r="W61" s="345"/>
      <c r="X61" s="345"/>
      <c r="Y61" s="348"/>
      <c r="Z61" s="345"/>
      <c r="AA61" s="348"/>
      <c r="AB61" s="348"/>
      <c r="AC61" s="345"/>
      <c r="AD61" s="348"/>
      <c r="AE61" s="348"/>
      <c r="AF61" s="336"/>
      <c r="AG61" s="530">
        <f>Imps!L61</f>
        <v>43768.604166666526</v>
      </c>
      <c r="AH61" s="91">
        <f>MIN(25%,(BG61+CE61)/(E61-Explore!S61*20))</f>
        <v>0</v>
      </c>
      <c r="AI61" s="59">
        <f t="shared" si="12"/>
        <v>0</v>
      </c>
      <c r="AJ61" s="56">
        <f ca="1">Production!$H61</f>
        <v>4766257</v>
      </c>
      <c r="AK61" s="57">
        <f ca="1">Production!$J61</f>
        <v>308617</v>
      </c>
      <c r="AL61" s="152">
        <f ca="1">ROUND( (1 - MIN(facs_constr_factor*$AH61,facs_constr_max)) * (1+MIN(tech_construction*Techs!AC61,tech_conquerors_crafts*Techs!AS61)) * AU61*(1+race_construction_cost),0)</f>
        <v>1615</v>
      </c>
      <c r="AM61" s="166">
        <f t="shared" si="58"/>
        <v>263</v>
      </c>
      <c r="AN61" s="152">
        <f ca="1">ROUND( (1 - MIN(facs_constr_factor*$AI61,facs_constr_max)) * (1+MIN(tech_construction*Techs!AE61,tech_conquerors_crafts*Techs!AU61)) * AU61*(1+race_construction_cost),0)</f>
        <v>1615</v>
      </c>
      <c r="AO61" s="166">
        <f t="shared" si="67"/>
        <v>263</v>
      </c>
      <c r="AP61" s="16">
        <f t="shared" ca="1" si="54"/>
        <v>0</v>
      </c>
      <c r="AQ61" s="53">
        <f t="shared" si="55"/>
        <v>0</v>
      </c>
      <c r="AR61" s="16">
        <f>MIN(SUM(F60:L60)+SUM(Explore!T49:Z49)+SUM(BV61:CN61),SUM($N61:$AF61))</f>
        <v>0</v>
      </c>
      <c r="AS61" s="16">
        <f>IF(Explore!S61&lt;&gt;0,MAX(0, MIN(20, 20 + SUM(N61:AF61) - SUM(BV61:CN61) - SUM(F60:L60)-SUM(Explore!T49:Z49)-20*Explore!S61)),0)</f>
        <v>0</v>
      </c>
      <c r="AU61" s="152">
        <f t="shared" si="16"/>
        <v>1615</v>
      </c>
      <c r="AV61" s="166">
        <f t="shared" si="17"/>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1"/>
      <c r="BS61" s="156">
        <f t="shared" si="59"/>
        <v>1000</v>
      </c>
      <c r="BT61" s="572">
        <f t="shared" si="42"/>
        <v>43770.416666666526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498">
        <f>-$AF61+$CN61 +Rezone!R61 + IF(home_land=CV$2,CW61) + Explore!Z49</f>
        <v>0</v>
      </c>
      <c r="CW61" s="159">
        <f>IF(Explore!S61=1,25) - N61 + BV61</f>
        <v>0</v>
      </c>
      <c r="CY61" s="152">
        <f t="shared" si="69"/>
        <v>150</v>
      </c>
      <c r="CZ61" s="164">
        <f t="shared" si="70"/>
        <v>150</v>
      </c>
      <c r="DA61" s="16">
        <f t="shared" si="71"/>
        <v>150</v>
      </c>
      <c r="DB61" s="164">
        <f t="shared" si="72"/>
        <v>150</v>
      </c>
      <c r="DC61" s="164">
        <f t="shared" si="73"/>
        <v>150</v>
      </c>
      <c r="DD61" s="16">
        <f t="shared" si="74"/>
        <v>150</v>
      </c>
      <c r="DE61" s="166">
        <f t="shared" si="75"/>
        <v>100</v>
      </c>
      <c r="DF61" s="164">
        <f t="shared" ca="1" si="51"/>
        <v>150</v>
      </c>
      <c r="DG61" s="16">
        <f t="shared" si="52"/>
        <v>0</v>
      </c>
      <c r="DH61" s="16">
        <f t="shared" si="53"/>
        <v>61</v>
      </c>
      <c r="DI61" s="166"/>
    </row>
    <row r="62" spans="1:113" s="16" customFormat="1" x14ac:dyDescent="0.25">
      <c r="A62" s="36">
        <f t="shared" si="56"/>
        <v>820</v>
      </c>
      <c r="B62" s="36">
        <f t="shared" si="50"/>
        <v>180</v>
      </c>
      <c r="C62" s="83">
        <f t="shared" si="68"/>
        <v>0</v>
      </c>
      <c r="D62" s="572"/>
      <c r="E62" s="16">
        <f t="shared" si="57"/>
        <v>1000</v>
      </c>
      <c r="F62" s="86">
        <f t="shared" si="60"/>
        <v>70</v>
      </c>
      <c r="G62" s="37">
        <f t="shared" si="61"/>
        <v>100</v>
      </c>
      <c r="H62" s="247">
        <f t="shared" si="62"/>
        <v>150</v>
      </c>
      <c r="I62" s="38">
        <f t="shared" si="63"/>
        <v>150</v>
      </c>
      <c r="J62" s="39">
        <f t="shared" si="64"/>
        <v>100</v>
      </c>
      <c r="K62" s="40">
        <f t="shared" si="65"/>
        <v>150</v>
      </c>
      <c r="L62" s="498">
        <f t="shared" si="66"/>
        <v>100</v>
      </c>
      <c r="M62" s="633">
        <f>Rezone!J62</f>
        <v>60</v>
      </c>
      <c r="N62" s="356"/>
      <c r="O62" s="348"/>
      <c r="P62" s="348"/>
      <c r="Q62" s="348"/>
      <c r="R62" s="345"/>
      <c r="S62" s="348"/>
      <c r="T62" s="348"/>
      <c r="U62" s="348"/>
      <c r="V62" s="348"/>
      <c r="W62" s="345"/>
      <c r="X62" s="345"/>
      <c r="Y62" s="348"/>
      <c r="Z62" s="345"/>
      <c r="AA62" s="348"/>
      <c r="AB62" s="348"/>
      <c r="AC62" s="345"/>
      <c r="AD62" s="348"/>
      <c r="AE62" s="348"/>
      <c r="AF62" s="336"/>
      <c r="AG62" s="530">
        <f>Imps!L62</f>
        <v>43768.61458333319</v>
      </c>
      <c r="AH62" s="91">
        <f>MIN(25%,(BG62+CE62)/(E62-Explore!S62*20))</f>
        <v>0</v>
      </c>
      <c r="AI62" s="59">
        <f t="shared" si="12"/>
        <v>0</v>
      </c>
      <c r="AJ62" s="56">
        <f ca="1">Production!$H62</f>
        <v>4771238</v>
      </c>
      <c r="AK62" s="57">
        <f ca="1">Production!$J62</f>
        <v>308031</v>
      </c>
      <c r="AL62" s="152">
        <f ca="1">ROUND( (1 - MIN(facs_constr_factor*$AH62,facs_constr_max)) * (1+MIN(tech_construction*Techs!AC62,tech_conquerors_crafts*Techs!AS62)) * AU62*(1+race_construction_cost),0)</f>
        <v>1615</v>
      </c>
      <c r="AM62" s="166">
        <f t="shared" si="58"/>
        <v>263</v>
      </c>
      <c r="AN62" s="152">
        <f ca="1">ROUND( (1 - MIN(facs_constr_factor*$AI62,facs_constr_max)) * (1+MIN(tech_construction*Techs!AE62,tech_conquerors_crafts*Techs!AU62)) * AU62*(1+race_construction_cost),0)</f>
        <v>1615</v>
      </c>
      <c r="AO62" s="166">
        <f t="shared" si="67"/>
        <v>263</v>
      </c>
      <c r="AP62" s="16">
        <f t="shared" ca="1" si="54"/>
        <v>0</v>
      </c>
      <c r="AQ62" s="53">
        <f t="shared" si="55"/>
        <v>0</v>
      </c>
      <c r="AR62" s="16">
        <f>MIN(SUM(F61:L61)+SUM(Explore!T50:Z50)+SUM(BV62:CN62),SUM($N62:$AF62))</f>
        <v>0</v>
      </c>
      <c r="AS62" s="16">
        <f>IF(Explore!S62&lt;&gt;0,MAX(0, MIN(20, 20 + SUM(N62:AF62) - SUM(BV62:CN62) - SUM(F61:L61)-SUM(Explore!T50:Z50)-20*Explore!S62)),0)</f>
        <v>0</v>
      </c>
      <c r="AU62" s="152">
        <f t="shared" si="16"/>
        <v>1615</v>
      </c>
      <c r="AV62" s="166">
        <f t="shared" si="17"/>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1"/>
      <c r="BS62" s="156">
        <f t="shared" si="59"/>
        <v>1000</v>
      </c>
      <c r="BT62" s="572">
        <f t="shared" si="42"/>
        <v>43770.45833333319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498">
        <f>-$AF62+$CN62 +Rezone!R62 + IF(home_land=CV$2,CW62) + Explore!Z50</f>
        <v>0</v>
      </c>
      <c r="CW62" s="159">
        <f>IF(Explore!S62=1,25) - N62 + BV62</f>
        <v>0</v>
      </c>
      <c r="CY62" s="152">
        <f t="shared" si="69"/>
        <v>150</v>
      </c>
      <c r="CZ62" s="164">
        <f t="shared" si="70"/>
        <v>150</v>
      </c>
      <c r="DA62" s="16">
        <f t="shared" si="71"/>
        <v>150</v>
      </c>
      <c r="DB62" s="164">
        <f t="shared" si="72"/>
        <v>150</v>
      </c>
      <c r="DC62" s="164">
        <f t="shared" si="73"/>
        <v>150</v>
      </c>
      <c r="DD62" s="16">
        <f t="shared" si="74"/>
        <v>150</v>
      </c>
      <c r="DE62" s="166">
        <f t="shared" si="75"/>
        <v>100</v>
      </c>
      <c r="DF62" s="164">
        <f t="shared" ca="1" si="51"/>
        <v>150</v>
      </c>
      <c r="DG62" s="16">
        <f t="shared" si="52"/>
        <v>0</v>
      </c>
      <c r="DH62" s="16">
        <f t="shared" si="53"/>
        <v>62</v>
      </c>
      <c r="DI62" s="166"/>
    </row>
    <row r="63" spans="1:113" s="12" customFormat="1" x14ac:dyDescent="0.25">
      <c r="A63" s="779">
        <f t="shared" si="56"/>
        <v>820</v>
      </c>
      <c r="B63" s="779">
        <f t="shared" si="50"/>
        <v>180</v>
      </c>
      <c r="C63" s="780">
        <f t="shared" si="68"/>
        <v>0</v>
      </c>
      <c r="D63" s="676"/>
      <c r="E63" s="12">
        <f t="shared" si="57"/>
        <v>1000</v>
      </c>
      <c r="F63" s="781">
        <f t="shared" si="60"/>
        <v>70</v>
      </c>
      <c r="G63" s="782">
        <f t="shared" si="61"/>
        <v>100</v>
      </c>
      <c r="H63" s="272">
        <f t="shared" si="62"/>
        <v>150</v>
      </c>
      <c r="I63" s="783">
        <f t="shared" si="63"/>
        <v>150</v>
      </c>
      <c r="J63" s="784">
        <f t="shared" si="64"/>
        <v>100</v>
      </c>
      <c r="K63" s="785">
        <f t="shared" si="65"/>
        <v>150</v>
      </c>
      <c r="L63" s="786">
        <f t="shared" si="66"/>
        <v>100</v>
      </c>
      <c r="M63" s="751">
        <f>Rezone!J63</f>
        <v>61</v>
      </c>
      <c r="N63" s="371"/>
      <c r="O63" s="349"/>
      <c r="P63" s="349"/>
      <c r="Q63" s="349"/>
      <c r="R63" s="346"/>
      <c r="S63" s="349"/>
      <c r="T63" s="349"/>
      <c r="U63" s="349"/>
      <c r="V63" s="349"/>
      <c r="W63" s="346"/>
      <c r="X63" s="346"/>
      <c r="Y63" s="349"/>
      <c r="Z63" s="346"/>
      <c r="AA63" s="346"/>
      <c r="AB63" s="346"/>
      <c r="AC63" s="346"/>
      <c r="AD63" s="346"/>
      <c r="AE63" s="346"/>
      <c r="AF63" s="337"/>
      <c r="AG63" s="674">
        <f>Imps!L63</f>
        <v>43768.624999999854</v>
      </c>
      <c r="AH63" s="306">
        <f>MIN(25%,(BG63+CE63)/(E63-Explore!S63*20))</f>
        <v>0</v>
      </c>
      <c r="AI63" s="58">
        <f t="shared" si="12"/>
        <v>0</v>
      </c>
      <c r="AJ63" s="54">
        <f ca="1">Production!$H63</f>
        <v>4776219</v>
      </c>
      <c r="AK63" s="55">
        <f ca="1">Production!$J63</f>
        <v>307451</v>
      </c>
      <c r="AL63" s="151">
        <f ca="1">ROUND( (1 - MIN(facs_constr_factor*$AH63,facs_constr_max)) * (1+MIN(tech_construction*Techs!AC63,tech_conquerors_crafts*Techs!AS63)) * AU63*(1+race_construction_cost),0)</f>
        <v>1615</v>
      </c>
      <c r="AM63" s="158">
        <f t="shared" si="58"/>
        <v>263</v>
      </c>
      <c r="AN63" s="151">
        <f ca="1">ROUND( (1 - MIN(facs_constr_factor*$AI63,facs_constr_max)) * (1+MIN(tech_construction*Techs!AE63,tech_conquerors_crafts*Techs!AU63)) * AU63*(1+race_construction_cost),0)</f>
        <v>1615</v>
      </c>
      <c r="AO63" s="158">
        <f t="shared" si="67"/>
        <v>263</v>
      </c>
      <c r="AP63" s="12">
        <f t="shared" ca="1" si="54"/>
        <v>0</v>
      </c>
      <c r="AQ63" s="51">
        <f t="shared" si="55"/>
        <v>0</v>
      </c>
      <c r="AR63" s="12">
        <f>MIN(SUM(F62:L62)+SUM(Explore!T51:Z51)+SUM(BV63:CN63),SUM($N63:$AF63))</f>
        <v>0</v>
      </c>
      <c r="AS63" s="12">
        <f>IF(Explore!S63&lt;&gt;0,MAX(0, MIN(20, 20 + SUM(N63:AF63) - SUM(BV63:CN63) - SUM(F62:L62)-SUM(Explore!T51:Z51)-20*Explore!S63)),0)</f>
        <v>0</v>
      </c>
      <c r="AU63" s="151">
        <f t="shared" si="16"/>
        <v>1615</v>
      </c>
      <c r="AV63" s="158">
        <f t="shared" si="17"/>
        <v>262.5</v>
      </c>
      <c r="AW63" s="153"/>
      <c r="AX63" s="787">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28"/>
      <c r="BS63" s="184">
        <f t="shared" si="59"/>
        <v>1000</v>
      </c>
      <c r="BT63" s="676">
        <f t="shared" si="42"/>
        <v>43770.499999999854</v>
      </c>
      <c r="BV63" s="373"/>
      <c r="BW63" s="349"/>
      <c r="BX63" s="349"/>
      <c r="BY63" s="349"/>
      <c r="BZ63" s="349"/>
      <c r="CA63" s="349"/>
      <c r="CB63" s="349"/>
      <c r="CC63" s="349"/>
      <c r="CD63" s="349"/>
      <c r="CE63" s="349"/>
      <c r="CF63" s="349"/>
      <c r="CG63" s="349"/>
      <c r="CH63" s="349"/>
      <c r="CI63" s="349"/>
      <c r="CJ63" s="349"/>
      <c r="CK63" s="349"/>
      <c r="CL63" s="349"/>
      <c r="CM63" s="788"/>
      <c r="CN63" s="374"/>
      <c r="CP63" s="781">
        <f>-SUM($O63:$R63)+SUM($BW63:BZ63)+Rezone!L63+IF(home_land=CP$2,CW63) + Explore!T51</f>
        <v>0</v>
      </c>
      <c r="CQ63" s="782">
        <f>-SUM($S63:$T63)+SUM($CA63:$CB63) +Rezone!M63 + IF(home_land=CQ$2,CW63) + Explore!U51</f>
        <v>0</v>
      </c>
      <c r="CR63" s="272">
        <f>-SUM($U63:$V63)+SUM($CC63:$CD63) +Rezone!N63 + IF(home_land=CR$2,CW63) + Explore!V51</f>
        <v>0</v>
      </c>
      <c r="CS63" s="783">
        <f>-SUM($W63:$Z63)+SUM($CE63:$CH63) +Rezone!O63 + IF(home_land=CS$2,CW63) + Explore!W51</f>
        <v>0</v>
      </c>
      <c r="CT63" s="784">
        <f>-SUM($AA63:$AC63)+SUM($CI63:$CK63) +Rezone!P63 + IF(home_land=CT$2,CW63) + Explore!X51</f>
        <v>0</v>
      </c>
      <c r="CU63" s="785">
        <f xml:space="preserve"> - SUM($AD63,$AE63)+SUM($CL63,$CM63) +Rezone!Q63 + IF(home_land=CU$2,CW63)+Explore!Y51</f>
        <v>0</v>
      </c>
      <c r="CV63" s="786">
        <f>-$AF63+$CN63 +Rezone!R63 + IF(home_land=CV$2,CW63) + Explore!Z51</f>
        <v>0</v>
      </c>
      <c r="CW63" s="287">
        <f>IF(Explore!S63=1,25) - N63 + BV63</f>
        <v>0</v>
      </c>
      <c r="CY63" s="151">
        <f t="shared" si="69"/>
        <v>150</v>
      </c>
      <c r="CZ63" s="153">
        <f t="shared" si="70"/>
        <v>150</v>
      </c>
      <c r="DA63" s="12">
        <f t="shared" si="71"/>
        <v>150</v>
      </c>
      <c r="DB63" s="153">
        <f t="shared" si="72"/>
        <v>150</v>
      </c>
      <c r="DC63" s="153">
        <f t="shared" si="73"/>
        <v>150</v>
      </c>
      <c r="DD63" s="12">
        <f t="shared" si="74"/>
        <v>150</v>
      </c>
      <c r="DE63" s="158">
        <f t="shared" si="75"/>
        <v>100</v>
      </c>
      <c r="DF63" s="153">
        <f t="shared" ca="1" si="51"/>
        <v>150</v>
      </c>
      <c r="DG63" s="12">
        <f t="shared" si="52"/>
        <v>0</v>
      </c>
      <c r="DH63" s="12">
        <f t="shared" si="53"/>
        <v>63</v>
      </c>
      <c r="DI63" s="158"/>
    </row>
    <row r="64" spans="1:113" s="16" customFormat="1" x14ac:dyDescent="0.25">
      <c r="A64" s="36">
        <f t="shared" si="56"/>
        <v>820</v>
      </c>
      <c r="B64" s="36">
        <f t="shared" si="50"/>
        <v>180</v>
      </c>
      <c r="C64" s="83">
        <f t="shared" si="68"/>
        <v>0</v>
      </c>
      <c r="D64" s="572"/>
      <c r="E64" s="16">
        <f t="shared" si="57"/>
        <v>1000</v>
      </c>
      <c r="F64" s="86">
        <f t="shared" si="60"/>
        <v>70</v>
      </c>
      <c r="G64" s="37">
        <f t="shared" si="61"/>
        <v>100</v>
      </c>
      <c r="H64" s="247">
        <f t="shared" si="62"/>
        <v>150</v>
      </c>
      <c r="I64" s="38">
        <f t="shared" si="63"/>
        <v>150</v>
      </c>
      <c r="J64" s="39">
        <f t="shared" si="64"/>
        <v>100</v>
      </c>
      <c r="K64" s="40">
        <f t="shared" si="65"/>
        <v>150</v>
      </c>
      <c r="L64" s="498">
        <f t="shared" si="66"/>
        <v>100</v>
      </c>
      <c r="M64" s="633">
        <f>Rezone!J64</f>
        <v>62</v>
      </c>
      <c r="N64" s="352"/>
      <c r="O64" s="348"/>
      <c r="P64" s="348"/>
      <c r="Q64" s="348"/>
      <c r="R64" s="345"/>
      <c r="S64" s="348"/>
      <c r="T64" s="348"/>
      <c r="U64" s="348"/>
      <c r="V64" s="345"/>
      <c r="W64" s="345"/>
      <c r="X64" s="345"/>
      <c r="Y64" s="345"/>
      <c r="Z64" s="345"/>
      <c r="AA64" s="345"/>
      <c r="AB64" s="345"/>
      <c r="AC64" s="345"/>
      <c r="AD64" s="345"/>
      <c r="AE64" s="345"/>
      <c r="AF64" s="336"/>
      <c r="AG64" s="530">
        <f>Imps!L64</f>
        <v>43768.635416666519</v>
      </c>
      <c r="AH64" s="91">
        <f>MIN(25%,(BG64+CE64)/(E64-Explore!S64*20))</f>
        <v>0</v>
      </c>
      <c r="AI64" s="59">
        <f t="shared" si="12"/>
        <v>0</v>
      </c>
      <c r="AJ64" s="56">
        <f ca="1">Production!$H64</f>
        <v>4781200</v>
      </c>
      <c r="AK64" s="57">
        <f ca="1">Production!$J64</f>
        <v>306876</v>
      </c>
      <c r="AL64" s="152">
        <f ca="1">ROUND( (1 - MIN(facs_constr_factor*$AH64,facs_constr_max)) * (1+MIN(tech_construction*Techs!AC64,tech_conquerors_crafts*Techs!AS64)) * AU64*(1+race_construction_cost),0)</f>
        <v>1615</v>
      </c>
      <c r="AM64" s="166">
        <f t="shared" si="58"/>
        <v>263</v>
      </c>
      <c r="AN64" s="152">
        <f ca="1">ROUND( (1 - MIN(facs_constr_factor*$AI64,facs_constr_max)) * (1+MIN(tech_construction*Techs!AE64,tech_conquerors_crafts*Techs!AU64)) * AU64*(1+race_construction_cost),0)</f>
        <v>1615</v>
      </c>
      <c r="AO64" s="166">
        <f t="shared" si="67"/>
        <v>263</v>
      </c>
      <c r="AP64" s="16">
        <f t="shared" ca="1" si="54"/>
        <v>0</v>
      </c>
      <c r="AQ64" s="53">
        <f t="shared" si="55"/>
        <v>0</v>
      </c>
      <c r="AR64" s="16">
        <f>MIN(SUM(F63:L63)+SUM(Explore!T52:Z52)+SUM(BV64:CN64),SUM($N64:$AF64))</f>
        <v>0</v>
      </c>
      <c r="AS64" s="16">
        <f>IF(Explore!S64&lt;&gt;0,MAX(0, MIN(20, 20 + SUM(N64:AF64) - SUM(BV64:CN64) - SUM(F63:L63)-SUM(Explore!T52:Z52)-20*Explore!S64)),0)</f>
        <v>0</v>
      </c>
      <c r="AU64" s="152">
        <f t="shared" si="16"/>
        <v>1615</v>
      </c>
      <c r="AV64" s="166">
        <f t="shared" si="17"/>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1"/>
      <c r="BS64" s="156">
        <f t="shared" si="59"/>
        <v>1000</v>
      </c>
      <c r="BT64" s="572">
        <f t="shared" si="42"/>
        <v>43770.541666666519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498">
        <f>-$AF64+$CN64 +Rezone!R64 + IF(home_land=CV$2,CW64) + Explore!Z52</f>
        <v>0</v>
      </c>
      <c r="CW64" s="159">
        <f>IF(Explore!S64=1,25) - N64 + BV64</f>
        <v>0</v>
      </c>
      <c r="CY64" s="152">
        <f t="shared" si="69"/>
        <v>150</v>
      </c>
      <c r="CZ64" s="164">
        <f t="shared" si="70"/>
        <v>150</v>
      </c>
      <c r="DA64" s="16">
        <f t="shared" si="71"/>
        <v>150</v>
      </c>
      <c r="DB64" s="164">
        <f t="shared" si="72"/>
        <v>150</v>
      </c>
      <c r="DC64" s="164">
        <f t="shared" si="73"/>
        <v>150</v>
      </c>
      <c r="DD64" s="16">
        <f t="shared" si="74"/>
        <v>150</v>
      </c>
      <c r="DE64" s="166">
        <f t="shared" si="75"/>
        <v>100</v>
      </c>
      <c r="DF64" s="164">
        <f t="shared" ca="1" si="51"/>
        <v>150</v>
      </c>
      <c r="DG64" s="16">
        <f t="shared" si="52"/>
        <v>0</v>
      </c>
      <c r="DH64" s="16">
        <f t="shared" si="53"/>
        <v>64</v>
      </c>
      <c r="DI64" s="166"/>
    </row>
    <row r="65" spans="1:114" s="16" customFormat="1" x14ac:dyDescent="0.25">
      <c r="A65" s="36">
        <f t="shared" si="56"/>
        <v>820</v>
      </c>
      <c r="B65" s="36">
        <f t="shared" si="50"/>
        <v>180</v>
      </c>
      <c r="C65" s="83">
        <f t="shared" si="68"/>
        <v>0</v>
      </c>
      <c r="D65" s="572"/>
      <c r="E65" s="16">
        <f t="shared" si="57"/>
        <v>1000</v>
      </c>
      <c r="F65" s="86">
        <f t="shared" si="60"/>
        <v>70</v>
      </c>
      <c r="G65" s="37">
        <f t="shared" si="61"/>
        <v>100</v>
      </c>
      <c r="H65" s="247">
        <f t="shared" si="62"/>
        <v>150</v>
      </c>
      <c r="I65" s="38">
        <f t="shared" si="63"/>
        <v>150</v>
      </c>
      <c r="J65" s="39">
        <f t="shared" si="64"/>
        <v>100</v>
      </c>
      <c r="K65" s="40">
        <f t="shared" si="65"/>
        <v>150</v>
      </c>
      <c r="L65" s="498">
        <f t="shared" si="66"/>
        <v>100</v>
      </c>
      <c r="M65" s="633">
        <f>Rezone!J65</f>
        <v>63</v>
      </c>
      <c r="N65" s="352"/>
      <c r="O65" s="348"/>
      <c r="P65" s="348"/>
      <c r="Q65" s="348"/>
      <c r="R65" s="345"/>
      <c r="S65" s="348"/>
      <c r="T65" s="348"/>
      <c r="U65" s="348"/>
      <c r="V65" s="345"/>
      <c r="W65" s="345"/>
      <c r="X65" s="345"/>
      <c r="Y65" s="345"/>
      <c r="Z65" s="345"/>
      <c r="AA65" s="345"/>
      <c r="AB65" s="345"/>
      <c r="AC65" s="345"/>
      <c r="AD65" s="345"/>
      <c r="AE65" s="345"/>
      <c r="AF65" s="336"/>
      <c r="AG65" s="530">
        <f>Imps!L65</f>
        <v>43768.645833333183</v>
      </c>
      <c r="AH65" s="91">
        <f>MIN(25%,(BG65+CE65)/(E65-Explore!S65*20))</f>
        <v>0</v>
      </c>
      <c r="AI65" s="59">
        <f t="shared" si="12"/>
        <v>0</v>
      </c>
      <c r="AJ65" s="56">
        <f ca="1">Production!$H65</f>
        <v>4786181</v>
      </c>
      <c r="AK65" s="57">
        <f ca="1">Production!$J65</f>
        <v>306307</v>
      </c>
      <c r="AL65" s="152">
        <f ca="1">ROUND( (1 - MIN(facs_constr_factor*$AH65,facs_constr_max)) * (1+MIN(tech_construction*Techs!AC65,tech_conquerors_crafts*Techs!AS65)) * AU65*(1+race_construction_cost),0)</f>
        <v>1615</v>
      </c>
      <c r="AM65" s="166">
        <f t="shared" si="58"/>
        <v>263</v>
      </c>
      <c r="AN65" s="152">
        <f ca="1">ROUND( (1 - MIN(facs_constr_factor*$AI65,facs_constr_max)) * (1+MIN(tech_construction*Techs!AE65,tech_conquerors_crafts*Techs!AU65)) * AU65*(1+race_construction_cost),0)</f>
        <v>1615</v>
      </c>
      <c r="AO65" s="166">
        <f t="shared" si="67"/>
        <v>263</v>
      </c>
      <c r="AP65" s="16">
        <f t="shared" ca="1" si="54"/>
        <v>0</v>
      </c>
      <c r="AQ65" s="53">
        <f t="shared" si="55"/>
        <v>0</v>
      </c>
      <c r="AR65" s="16">
        <f>MIN(SUM(F64:L64)+SUM(Explore!T53:Z53)+SUM(BV65:CN65),SUM($N65:$AF65))</f>
        <v>0</v>
      </c>
      <c r="AS65" s="16">
        <f>IF(Explore!S65&lt;&gt;0,MAX(0, MIN(20, 20 + SUM(N65:AF65) - SUM(BV65:CN65) - SUM(F64:L64)-SUM(Explore!T53:Z53)-20*Explore!S65)),0)</f>
        <v>0</v>
      </c>
      <c r="AU65" s="152">
        <f t="shared" si="16"/>
        <v>1615</v>
      </c>
      <c r="AV65" s="166">
        <f t="shared" si="17"/>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1"/>
      <c r="BS65" s="156">
        <f t="shared" si="59"/>
        <v>1000</v>
      </c>
      <c r="BT65" s="572">
        <f t="shared" si="42"/>
        <v>43770.583333333183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498">
        <f>-$AF65+$CN65 +Rezone!R65 + IF(home_land=CV$2,CW65) + Explore!Z53</f>
        <v>0</v>
      </c>
      <c r="CW65" s="159">
        <f>IF(Explore!S65=1,25) - N65 + BV65</f>
        <v>0</v>
      </c>
      <c r="CY65" s="152">
        <f t="shared" si="69"/>
        <v>150</v>
      </c>
      <c r="CZ65" s="164">
        <f t="shared" si="70"/>
        <v>150</v>
      </c>
      <c r="DA65" s="16">
        <f t="shared" si="71"/>
        <v>150</v>
      </c>
      <c r="DB65" s="164">
        <f t="shared" si="72"/>
        <v>150</v>
      </c>
      <c r="DC65" s="164">
        <f t="shared" si="73"/>
        <v>150</v>
      </c>
      <c r="DD65" s="16">
        <f t="shared" si="74"/>
        <v>150</v>
      </c>
      <c r="DE65" s="166">
        <f t="shared" si="75"/>
        <v>100</v>
      </c>
      <c r="DF65" s="164">
        <f t="shared" ca="1" si="51"/>
        <v>150</v>
      </c>
      <c r="DG65" s="16">
        <f t="shared" si="52"/>
        <v>0</v>
      </c>
      <c r="DH65" s="16">
        <f t="shared" si="53"/>
        <v>65</v>
      </c>
      <c r="DI65" s="166"/>
    </row>
    <row r="66" spans="1:114" s="16" customFormat="1" x14ac:dyDescent="0.25">
      <c r="A66" s="36">
        <f t="shared" si="56"/>
        <v>820</v>
      </c>
      <c r="B66" s="36">
        <f t="shared" si="50"/>
        <v>180</v>
      </c>
      <c r="C66" s="83">
        <f t="shared" si="68"/>
        <v>0</v>
      </c>
      <c r="D66" s="572"/>
      <c r="E66" s="16">
        <f t="shared" si="57"/>
        <v>1000</v>
      </c>
      <c r="F66" s="86">
        <f t="shared" si="60"/>
        <v>70</v>
      </c>
      <c r="G66" s="37">
        <f t="shared" si="61"/>
        <v>100</v>
      </c>
      <c r="H66" s="247">
        <f t="shared" si="62"/>
        <v>150</v>
      </c>
      <c r="I66" s="38">
        <f t="shared" si="63"/>
        <v>150</v>
      </c>
      <c r="J66" s="39">
        <f t="shared" si="64"/>
        <v>100</v>
      </c>
      <c r="K66" s="40">
        <f t="shared" si="65"/>
        <v>150</v>
      </c>
      <c r="L66" s="498">
        <f t="shared" si="66"/>
        <v>100</v>
      </c>
      <c r="M66" s="633">
        <f>Rezone!J66</f>
        <v>64</v>
      </c>
      <c r="N66" s="352"/>
      <c r="O66" s="348"/>
      <c r="P66" s="348"/>
      <c r="Q66" s="348"/>
      <c r="R66" s="345"/>
      <c r="S66" s="348"/>
      <c r="T66" s="348"/>
      <c r="U66" s="348"/>
      <c r="V66" s="345"/>
      <c r="W66" s="345"/>
      <c r="X66" s="345"/>
      <c r="Y66" s="345"/>
      <c r="Z66" s="345"/>
      <c r="AA66" s="345"/>
      <c r="AB66" s="345"/>
      <c r="AC66" s="345"/>
      <c r="AD66" s="345"/>
      <c r="AE66" s="345"/>
      <c r="AF66" s="336"/>
      <c r="AG66" s="530">
        <f>Imps!L66</f>
        <v>43768.656249999847</v>
      </c>
      <c r="AH66" s="91">
        <f>MIN(25%,(BG66+CE66)/(E66-Explore!S66*20))</f>
        <v>0</v>
      </c>
      <c r="AI66" s="59">
        <f t="shared" si="12"/>
        <v>0</v>
      </c>
      <c r="AJ66" s="56">
        <f ca="1">Production!$H66</f>
        <v>4791162</v>
      </c>
      <c r="AK66" s="57">
        <f ca="1">Production!$J66</f>
        <v>305744</v>
      </c>
      <c r="AL66" s="152">
        <f ca="1">ROUND( (1 - MIN(facs_constr_factor*$AH66,facs_constr_max)) * (1+MIN(tech_construction*Techs!AC66,tech_conquerors_crafts*Techs!AS66)) * AU66*(1+race_construction_cost),0)</f>
        <v>1615</v>
      </c>
      <c r="AM66" s="166">
        <f t="shared" si="58"/>
        <v>263</v>
      </c>
      <c r="AN66" s="152">
        <f ca="1">ROUND( (1 - MIN(facs_constr_factor*$AI66,facs_constr_max)) * (1+MIN(tech_construction*Techs!AE66,tech_conquerors_crafts*Techs!AU66)) * AU66*(1+race_construction_cost),0)</f>
        <v>1615</v>
      </c>
      <c r="AO66" s="166">
        <f t="shared" si="67"/>
        <v>263</v>
      </c>
      <c r="AP66" s="16">
        <f t="shared" ca="1" si="54"/>
        <v>0</v>
      </c>
      <c r="AQ66" s="53">
        <f t="shared" si="55"/>
        <v>0</v>
      </c>
      <c r="AR66" s="16">
        <f>MIN(SUM(F65:L65)+SUM(Explore!T54:Z54)+SUM(BV66:CN66),SUM($N66:$AF66))</f>
        <v>0</v>
      </c>
      <c r="AS66" s="16">
        <f>IF(Explore!S66&lt;&gt;0,MAX(0, MIN(20, 20 + SUM(N66:AF66) - SUM(BV66:CN66) - SUM(F65:L65)-SUM(Explore!T54:Z54)-20*Explore!S66)),0)</f>
        <v>0</v>
      </c>
      <c r="AU66" s="152">
        <f t="shared" si="16"/>
        <v>1615</v>
      </c>
      <c r="AV66" s="166">
        <f t="shared" si="17"/>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1"/>
      <c r="BS66" s="156">
        <f t="shared" si="59"/>
        <v>1000</v>
      </c>
      <c r="BT66" s="572">
        <f t="shared" si="42"/>
        <v>43770.624999999847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498">
        <f>-$AF66+$CN66 +Rezone!R66 + IF(home_land=CV$2,CW66) + Explore!Z54</f>
        <v>0</v>
      </c>
      <c r="CW66" s="159">
        <f>IF(Explore!S66=1,25) - N66 + BV66</f>
        <v>0</v>
      </c>
      <c r="CY66" s="152">
        <f t="shared" si="69"/>
        <v>150</v>
      </c>
      <c r="CZ66" s="164">
        <f t="shared" si="70"/>
        <v>150</v>
      </c>
      <c r="DA66" s="16">
        <f t="shared" si="71"/>
        <v>150</v>
      </c>
      <c r="DB66" s="164">
        <f t="shared" si="72"/>
        <v>150</v>
      </c>
      <c r="DC66" s="164">
        <f t="shared" si="73"/>
        <v>150</v>
      </c>
      <c r="DD66" s="16">
        <f t="shared" si="74"/>
        <v>150</v>
      </c>
      <c r="DE66" s="166">
        <f t="shared" si="75"/>
        <v>100</v>
      </c>
      <c r="DF66" s="164">
        <f t="shared" ca="1" si="51"/>
        <v>150</v>
      </c>
      <c r="DG66" s="16">
        <f t="shared" si="52"/>
        <v>0</v>
      </c>
      <c r="DH66" s="16">
        <f t="shared" si="53"/>
        <v>66</v>
      </c>
      <c r="DI66" s="166"/>
    </row>
    <row r="67" spans="1:114" s="16" customFormat="1" x14ac:dyDescent="0.25">
      <c r="A67" s="36">
        <f t="shared" ref="A67:A74" si="76">SUM(F67:L67)</f>
        <v>820</v>
      </c>
      <c r="B67" s="36">
        <f t="shared" si="50"/>
        <v>180</v>
      </c>
      <c r="C67" s="83">
        <f t="shared" si="68"/>
        <v>0</v>
      </c>
      <c r="D67" s="572"/>
      <c r="E67" s="16">
        <f t="shared" ref="E67:E74" si="77">A67+B67+C67</f>
        <v>1000</v>
      </c>
      <c r="F67" s="86">
        <f t="shared" si="60"/>
        <v>70</v>
      </c>
      <c r="G67" s="37">
        <f t="shared" si="61"/>
        <v>100</v>
      </c>
      <c r="H67" s="247">
        <f t="shared" si="62"/>
        <v>150</v>
      </c>
      <c r="I67" s="38">
        <f t="shared" si="63"/>
        <v>150</v>
      </c>
      <c r="J67" s="39">
        <f t="shared" si="64"/>
        <v>100</v>
      </c>
      <c r="K67" s="40">
        <f t="shared" si="65"/>
        <v>150</v>
      </c>
      <c r="L67" s="498">
        <f t="shared" si="66"/>
        <v>100</v>
      </c>
      <c r="M67" s="633">
        <f>Rezone!J67</f>
        <v>65</v>
      </c>
      <c r="N67" s="356"/>
      <c r="O67" s="348"/>
      <c r="P67" s="348"/>
      <c r="Q67" s="348"/>
      <c r="R67" s="348"/>
      <c r="S67" s="348"/>
      <c r="T67" s="348"/>
      <c r="U67" s="348"/>
      <c r="V67" s="348"/>
      <c r="W67" s="348"/>
      <c r="X67" s="348"/>
      <c r="Y67" s="348"/>
      <c r="Z67" s="348"/>
      <c r="AA67" s="348"/>
      <c r="AB67" s="348"/>
      <c r="AC67" s="348"/>
      <c r="AD67" s="348"/>
      <c r="AE67" s="348"/>
      <c r="AF67" s="343"/>
      <c r="AG67" s="530">
        <f>Imps!L67</f>
        <v>43768.666666666511</v>
      </c>
      <c r="AH67" s="91">
        <f>MIN(25%,(BG67+CE67)/(E67-Explore!S67*20))</f>
        <v>0</v>
      </c>
      <c r="AI67" s="59">
        <f t="shared" si="12"/>
        <v>0</v>
      </c>
      <c r="AJ67" s="56">
        <f ca="1">Production!$H67</f>
        <v>4796143</v>
      </c>
      <c r="AK67" s="57">
        <f ca="1">Production!$J67</f>
        <v>305187</v>
      </c>
      <c r="AL67" s="152">
        <f ca="1">ROUND( (1 - MIN(facs_constr_factor*$AH67,facs_constr_max)) * (1+MIN(tech_construction*Techs!AC67,tech_conquerors_crafts*Techs!AS67)) * AU67*(1+race_construction_cost),0)</f>
        <v>1615</v>
      </c>
      <c r="AM67" s="166">
        <f t="shared" ref="AM67:AM98" si="78">ROUND( (1 - MIN(facs_constr_factor*$AH67,facs_constr_max)) * AV67,0)</f>
        <v>263</v>
      </c>
      <c r="AN67" s="152">
        <f ca="1">ROUND( (1 - MIN(facs_constr_factor*$AI67,facs_constr_max)) * (1+MIN(tech_construction*Techs!AE67,tech_conquerors_crafts*Techs!AU67)) * AU67*(1+race_construction_cost),0)</f>
        <v>1615</v>
      </c>
      <c r="AO67" s="166">
        <f t="shared" si="67"/>
        <v>263</v>
      </c>
      <c r="AP67" s="16">
        <f t="shared" ca="1" si="54"/>
        <v>0</v>
      </c>
      <c r="AQ67" s="53">
        <f t="shared" si="55"/>
        <v>0</v>
      </c>
      <c r="AR67" s="16">
        <f>MIN(SUM(F66:L66)+SUM(Explore!T55:Z55)+SUM(BV67:CN67),SUM($N67:$AF67))</f>
        <v>0</v>
      </c>
      <c r="AS67" s="16">
        <f>IF(Explore!S67&lt;&gt;0,MAX(0, MIN(20, 20 + SUM(N67:AF67) - SUM(BV67:CN67) - SUM(F66:L66)-SUM(Explore!T55:Z55)-20*Explore!S67)),0)</f>
        <v>0</v>
      </c>
      <c r="AU67" s="152">
        <f t="shared" si="16"/>
        <v>1615</v>
      </c>
      <c r="AV67" s="166">
        <f t="shared" si="17"/>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1"/>
      <c r="BS67" s="156">
        <f t="shared" ref="BS67:BS74" si="79">E67</f>
        <v>1000</v>
      </c>
      <c r="BT67" s="572">
        <f t="shared" si="42"/>
        <v>43770.666666666511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498">
        <f>-$AF67+$CN67 +Rezone!R67 + IF(home_land=CV$2,CW67) + Explore!Z55</f>
        <v>0</v>
      </c>
      <c r="CW67" s="159">
        <f>IF(Explore!S67=1,25) - N67 + BV67</f>
        <v>0</v>
      </c>
      <c r="CY67" s="152">
        <f t="shared" si="69"/>
        <v>150</v>
      </c>
      <c r="CZ67" s="164">
        <f t="shared" si="70"/>
        <v>150</v>
      </c>
      <c r="DA67" s="16">
        <f t="shared" si="71"/>
        <v>150</v>
      </c>
      <c r="DB67" s="164">
        <f t="shared" si="72"/>
        <v>150</v>
      </c>
      <c r="DC67" s="164">
        <f t="shared" si="73"/>
        <v>150</v>
      </c>
      <c r="DD67" s="16">
        <f t="shared" si="74"/>
        <v>150</v>
      </c>
      <c r="DE67" s="166">
        <f t="shared" si="75"/>
        <v>100</v>
      </c>
      <c r="DF67" s="164">
        <f t="shared" ca="1" si="51"/>
        <v>150</v>
      </c>
      <c r="DG67" s="16">
        <f t="shared" si="52"/>
        <v>0</v>
      </c>
      <c r="DH67" s="16">
        <f t="shared" si="53"/>
        <v>67</v>
      </c>
      <c r="DI67" s="166"/>
    </row>
    <row r="68" spans="1:114" s="16" customFormat="1" x14ac:dyDescent="0.25">
      <c r="A68" s="36">
        <f t="shared" si="76"/>
        <v>820</v>
      </c>
      <c r="B68" s="36">
        <f t="shared" si="50"/>
        <v>180</v>
      </c>
      <c r="C68" s="83">
        <f t="shared" si="68"/>
        <v>0</v>
      </c>
      <c r="D68" s="572"/>
      <c r="E68" s="16">
        <f t="shared" si="77"/>
        <v>1000</v>
      </c>
      <c r="F68" s="86">
        <f t="shared" ref="F68:L74" si="80">F67+CP68</f>
        <v>70</v>
      </c>
      <c r="G68" s="37">
        <f t="shared" si="80"/>
        <v>100</v>
      </c>
      <c r="H68" s="247">
        <f t="shared" si="80"/>
        <v>150</v>
      </c>
      <c r="I68" s="38">
        <f t="shared" si="80"/>
        <v>150</v>
      </c>
      <c r="J68" s="39">
        <f t="shared" si="80"/>
        <v>100</v>
      </c>
      <c r="K68" s="40">
        <f t="shared" si="80"/>
        <v>150</v>
      </c>
      <c r="L68" s="498">
        <f t="shared" si="80"/>
        <v>100</v>
      </c>
      <c r="M68" s="633">
        <f>Rezone!J68</f>
        <v>66</v>
      </c>
      <c r="N68" s="356"/>
      <c r="O68" s="348"/>
      <c r="P68" s="348"/>
      <c r="Q68" s="348"/>
      <c r="R68" s="348"/>
      <c r="S68" s="348"/>
      <c r="T68" s="348"/>
      <c r="U68" s="348"/>
      <c r="V68" s="348"/>
      <c r="W68" s="348"/>
      <c r="X68" s="348"/>
      <c r="Y68" s="348"/>
      <c r="Z68" s="348"/>
      <c r="AA68" s="348"/>
      <c r="AB68" s="348"/>
      <c r="AC68" s="348"/>
      <c r="AD68" s="348"/>
      <c r="AE68" s="348"/>
      <c r="AF68" s="343"/>
      <c r="AG68" s="530">
        <f>Imps!L68</f>
        <v>43768.677083333176</v>
      </c>
      <c r="AH68" s="91">
        <f>MIN(25%,(BG68+CE68)/(E68-Explore!S68*20))</f>
        <v>0</v>
      </c>
      <c r="AI68" s="59">
        <f t="shared" ref="AI68:AI131" si="81">MIN(25%,(BG68+CE68)/E68)</f>
        <v>0</v>
      </c>
      <c r="AJ68" s="56">
        <f ca="1">Production!$H68</f>
        <v>4801124</v>
      </c>
      <c r="AK68" s="57">
        <f ca="1">Production!$J68</f>
        <v>304635</v>
      </c>
      <c r="AL68" s="152">
        <f ca="1">ROUND( (1 - MIN(facs_constr_factor*$AH68,facs_constr_max)) * (1+MIN(tech_construction*Techs!AC68,tech_conquerors_crafts*Techs!AS68)) * AU68*(1+race_construction_cost),0)</f>
        <v>1615</v>
      </c>
      <c r="AM68" s="166">
        <f t="shared" si="78"/>
        <v>263</v>
      </c>
      <c r="AN68" s="152">
        <f ca="1">ROUND( (1 - MIN(facs_constr_factor*$AI68,facs_constr_max)) * (1+MIN(tech_construction*Techs!AE68,tech_conquerors_crafts*Techs!AU68)) * AU68*(1+race_construction_cost),0)</f>
        <v>1615</v>
      </c>
      <c r="AO68" s="166">
        <f t="shared" ref="AO68:AO99" si="82">ROUND( (1 - MIN(facs_constr_factor*$AH68,facs_constr_max)) * AV68,0)</f>
        <v>263</v>
      </c>
      <c r="AP68" s="16">
        <f t="shared" ca="1" si="54"/>
        <v>0</v>
      </c>
      <c r="AQ68" s="53">
        <f t="shared" si="55"/>
        <v>0</v>
      </c>
      <c r="AR68" s="16">
        <f>MIN(SUM(F67:L67)+SUM(Explore!T56:Z56)+SUM(BV68:CN68),SUM($N68:$AF68))</f>
        <v>0</v>
      </c>
      <c r="AS68" s="16">
        <f>IF(Explore!S68&lt;&gt;0,MAX(0, MIN(20, 20 + SUM(N68:AF68) - SUM(BV68:CN68) - SUM(F67:L67)-SUM(Explore!T56:Z56)-20*Explore!S68)),0)</f>
        <v>0</v>
      </c>
      <c r="AU68" s="152">
        <f t="shared" ref="AU68:AU131" si="83">(MAX($B68,250,0.75*E68)-250) * 1.53 + 850</f>
        <v>1615</v>
      </c>
      <c r="AV68" s="166">
        <f t="shared" ref="AV68:AV131" si="84">(MAX($B68,250,0.75*E68)-250)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1"/>
      <c r="BS68" s="156">
        <f t="shared" si="79"/>
        <v>1000</v>
      </c>
      <c r="BT68" s="572">
        <f t="shared" si="42"/>
        <v>43770.708333333176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498">
        <f>-$AF68+$CN68 +Rezone!R68 + IF(home_land=CV$2,CW68) + Explore!Z56</f>
        <v>0</v>
      </c>
      <c r="CW68" s="159">
        <f>IF(Explore!S68=1,25) - N68 + BV68</f>
        <v>0</v>
      </c>
      <c r="CY68" s="152">
        <f t="shared" si="69"/>
        <v>150</v>
      </c>
      <c r="CZ68" s="164">
        <f t="shared" si="70"/>
        <v>150</v>
      </c>
      <c r="DA68" s="16">
        <f t="shared" si="71"/>
        <v>150</v>
      </c>
      <c r="DB68" s="164">
        <f t="shared" si="72"/>
        <v>150</v>
      </c>
      <c r="DC68" s="164">
        <f t="shared" si="73"/>
        <v>150</v>
      </c>
      <c r="DD68" s="16">
        <f t="shared" si="74"/>
        <v>150</v>
      </c>
      <c r="DE68" s="166">
        <f t="shared" si="75"/>
        <v>100</v>
      </c>
      <c r="DF68" s="164">
        <f t="shared" ca="1" si="51"/>
        <v>150</v>
      </c>
      <c r="DG68" s="16">
        <f t="shared" si="52"/>
        <v>0</v>
      </c>
      <c r="DH68" s="16">
        <f t="shared" si="53"/>
        <v>68</v>
      </c>
      <c r="DI68" s="166"/>
    </row>
    <row r="69" spans="1:114" s="16" customFormat="1" x14ac:dyDescent="0.25">
      <c r="A69" s="36">
        <f t="shared" si="76"/>
        <v>820</v>
      </c>
      <c r="B69" s="36">
        <f t="shared" si="50"/>
        <v>180</v>
      </c>
      <c r="C69" s="83">
        <f t="shared" si="68"/>
        <v>0</v>
      </c>
      <c r="D69" s="572"/>
      <c r="E69" s="16">
        <f t="shared" si="77"/>
        <v>1000</v>
      </c>
      <c r="F69" s="86">
        <f t="shared" si="80"/>
        <v>70</v>
      </c>
      <c r="G69" s="37">
        <f t="shared" si="80"/>
        <v>100</v>
      </c>
      <c r="H69" s="247">
        <f t="shared" si="80"/>
        <v>150</v>
      </c>
      <c r="I69" s="38">
        <f t="shared" si="80"/>
        <v>150</v>
      </c>
      <c r="J69" s="39">
        <f t="shared" si="80"/>
        <v>100</v>
      </c>
      <c r="K69" s="40">
        <f t="shared" si="80"/>
        <v>150</v>
      </c>
      <c r="L69" s="498">
        <f t="shared" si="80"/>
        <v>100</v>
      </c>
      <c r="M69" s="633">
        <f>Rezone!J69</f>
        <v>67</v>
      </c>
      <c r="N69" s="356"/>
      <c r="O69" s="348"/>
      <c r="P69" s="348"/>
      <c r="Q69" s="348"/>
      <c r="R69" s="348"/>
      <c r="S69" s="348"/>
      <c r="T69" s="348"/>
      <c r="U69" s="348"/>
      <c r="V69" s="348"/>
      <c r="W69" s="348"/>
      <c r="X69" s="348"/>
      <c r="Y69" s="348"/>
      <c r="Z69" s="348"/>
      <c r="AA69" s="348"/>
      <c r="AB69" s="348"/>
      <c r="AC69" s="348"/>
      <c r="AD69" s="348"/>
      <c r="AE69" s="348"/>
      <c r="AF69" s="343"/>
      <c r="AG69" s="530">
        <f>Imps!L69</f>
        <v>43768.68749999984</v>
      </c>
      <c r="AH69" s="91">
        <f>MIN(25%,(BG69+CE69)/(E69-Explore!S69*20))</f>
        <v>0</v>
      </c>
      <c r="AI69" s="59">
        <f t="shared" si="81"/>
        <v>0</v>
      </c>
      <c r="AJ69" s="56">
        <f ca="1">Production!$H69</f>
        <v>4806105</v>
      </c>
      <c r="AK69" s="57">
        <f ca="1">Production!$J69</f>
        <v>304089</v>
      </c>
      <c r="AL69" s="152">
        <f ca="1">ROUND( (1 - MIN(facs_constr_factor*$AH69,facs_constr_max)) * (1+MIN(tech_construction*Techs!AC69,tech_conquerors_crafts*Techs!AS69)) * AU69*(1+race_construction_cost),0)</f>
        <v>1615</v>
      </c>
      <c r="AM69" s="166">
        <f t="shared" si="78"/>
        <v>263</v>
      </c>
      <c r="AN69" s="152">
        <f ca="1">ROUND( (1 - MIN(facs_constr_factor*$AI69,facs_constr_max)) * (1+MIN(tech_construction*Techs!AE69,tech_conquerors_crafts*Techs!AU69)) * AU69*(1+race_construction_cost),0)</f>
        <v>1615</v>
      </c>
      <c r="AO69" s="166">
        <f t="shared" si="82"/>
        <v>263</v>
      </c>
      <c r="AP69" s="16">
        <f t="shared" ca="1" si="54"/>
        <v>0</v>
      </c>
      <c r="AQ69" s="53">
        <f t="shared" si="55"/>
        <v>0</v>
      </c>
      <c r="AR69" s="16">
        <f>MIN(SUM(F68:L68)+SUM(Explore!T57:Z57)+SUM(BV69:CN69),SUM($N69:$AF69))</f>
        <v>0</v>
      </c>
      <c r="AS69" s="16">
        <f>IF(Explore!S69&lt;&gt;0,MAX(0, MIN(20, 20 + SUM(N69:AF69) - SUM(BV69:CN69) - SUM(F68:L68)-SUM(Explore!T57:Z57)-20*Explore!S69)),0)</f>
        <v>0</v>
      </c>
      <c r="AU69" s="152">
        <f t="shared" si="83"/>
        <v>1615</v>
      </c>
      <c r="AV69" s="166">
        <f t="shared" si="84"/>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1"/>
      <c r="BS69" s="156">
        <f t="shared" si="79"/>
        <v>1000</v>
      </c>
      <c r="BT69" s="572">
        <f t="shared" si="42"/>
        <v>43770.74999999984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498">
        <f>-$AF69+$CN69 +Rezone!R69 + IF(home_land=CV$2,CW69) + Explore!Z57</f>
        <v>0</v>
      </c>
      <c r="CW69" s="159">
        <f>IF(Explore!S69=1,25) - N69 + BV69</f>
        <v>0</v>
      </c>
      <c r="CY69" s="152">
        <f t="shared" si="69"/>
        <v>150</v>
      </c>
      <c r="CZ69" s="164">
        <f t="shared" si="70"/>
        <v>150</v>
      </c>
      <c r="DA69" s="16">
        <f t="shared" si="71"/>
        <v>150</v>
      </c>
      <c r="DB69" s="164">
        <f t="shared" si="72"/>
        <v>150</v>
      </c>
      <c r="DC69" s="164">
        <f t="shared" si="73"/>
        <v>150</v>
      </c>
      <c r="DD69" s="16">
        <f t="shared" si="74"/>
        <v>150</v>
      </c>
      <c r="DE69" s="166">
        <f t="shared" si="75"/>
        <v>100</v>
      </c>
      <c r="DF69" s="164">
        <f t="shared" ca="1" si="51"/>
        <v>150</v>
      </c>
      <c r="DG69" s="16">
        <f t="shared" si="52"/>
        <v>0</v>
      </c>
      <c r="DH69" s="16">
        <f t="shared" si="53"/>
        <v>69</v>
      </c>
      <c r="DI69" s="166"/>
    </row>
    <row r="70" spans="1:114" s="16" customFormat="1" x14ac:dyDescent="0.25">
      <c r="A70" s="36">
        <f t="shared" si="76"/>
        <v>820</v>
      </c>
      <c r="B70" s="36">
        <f t="shared" si="50"/>
        <v>180</v>
      </c>
      <c r="C70" s="83">
        <f t="shared" si="68"/>
        <v>0</v>
      </c>
      <c r="D70" s="572"/>
      <c r="E70" s="16">
        <f t="shared" si="77"/>
        <v>1000</v>
      </c>
      <c r="F70" s="86">
        <f t="shared" si="80"/>
        <v>70</v>
      </c>
      <c r="G70" s="37">
        <f t="shared" si="80"/>
        <v>100</v>
      </c>
      <c r="H70" s="247">
        <f t="shared" si="80"/>
        <v>150</v>
      </c>
      <c r="I70" s="38">
        <f t="shared" si="80"/>
        <v>150</v>
      </c>
      <c r="J70" s="39">
        <f t="shared" si="80"/>
        <v>100</v>
      </c>
      <c r="K70" s="40">
        <f t="shared" si="80"/>
        <v>150</v>
      </c>
      <c r="L70" s="498">
        <f t="shared" si="80"/>
        <v>100</v>
      </c>
      <c r="M70" s="633">
        <f>Rezone!J70</f>
        <v>68</v>
      </c>
      <c r="N70" s="356"/>
      <c r="O70" s="348"/>
      <c r="P70" s="348"/>
      <c r="Q70" s="376"/>
      <c r="R70" s="348"/>
      <c r="S70" s="348"/>
      <c r="T70" s="348"/>
      <c r="U70" s="348"/>
      <c r="V70" s="348"/>
      <c r="W70" s="348"/>
      <c r="X70" s="348"/>
      <c r="Y70" s="348"/>
      <c r="Z70" s="348"/>
      <c r="AA70" s="348"/>
      <c r="AB70" s="348"/>
      <c r="AC70" s="348"/>
      <c r="AD70" s="348"/>
      <c r="AE70" s="348"/>
      <c r="AF70" s="343"/>
      <c r="AG70" s="530">
        <f>Imps!L70</f>
        <v>43768.697916666504</v>
      </c>
      <c r="AH70" s="91">
        <f>MIN(25%,(BG70+CE70)/(E70-Explore!S70*20))</f>
        <v>0</v>
      </c>
      <c r="AI70" s="59">
        <f t="shared" si="81"/>
        <v>0</v>
      </c>
      <c r="AJ70" s="56">
        <f ca="1">Production!$H70</f>
        <v>4811086</v>
      </c>
      <c r="AK70" s="57">
        <f ca="1">Production!$J70</f>
        <v>303548</v>
      </c>
      <c r="AL70" s="152">
        <f ca="1">ROUND( (1 - MIN(facs_constr_factor*$AH70,facs_constr_max)) * (1+MIN(tech_construction*Techs!AC70,tech_conquerors_crafts*Techs!AS70)) * AU70*(1+race_construction_cost),0)</f>
        <v>1615</v>
      </c>
      <c r="AM70" s="166">
        <f t="shared" si="78"/>
        <v>263</v>
      </c>
      <c r="AN70" s="152">
        <f ca="1">ROUND( (1 - MIN(facs_constr_factor*$AI70,facs_constr_max)) * (1+MIN(tech_construction*Techs!AE70,tech_conquerors_crafts*Techs!AU70)) * AU70*(1+race_construction_cost),0)</f>
        <v>1615</v>
      </c>
      <c r="AO70" s="166">
        <f t="shared" si="82"/>
        <v>263</v>
      </c>
      <c r="AP70" s="16">
        <f t="shared" ca="1" si="54"/>
        <v>0</v>
      </c>
      <c r="AQ70" s="53">
        <f t="shared" si="55"/>
        <v>0</v>
      </c>
      <c r="AR70" s="16">
        <f>MIN(SUM(F69:L69)+SUM(Explore!T58:Z58)+SUM(BV70:CN70),SUM($N70:$AF70))</f>
        <v>0</v>
      </c>
      <c r="AS70" s="16">
        <f>IF(Explore!S70&lt;&gt;0,MAX(0, MIN(20, 20 + SUM(N70:AF70) - SUM(BV70:CN70) - SUM(F69:L69)-SUM(Explore!T58:Z58)-20*Explore!S70)),0)</f>
        <v>0</v>
      </c>
      <c r="AU70" s="152">
        <f t="shared" si="83"/>
        <v>1615</v>
      </c>
      <c r="AV70" s="166">
        <f t="shared" si="84"/>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1"/>
      <c r="BS70" s="156">
        <f t="shared" si="79"/>
        <v>1000</v>
      </c>
      <c r="BT70" s="572">
        <f>BT69+1/24</f>
        <v>43770.791666666504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498">
        <f>-$AF70+$CN70 +Rezone!R70 + IF(home_land=CV$2,CW70) + Explore!Z58</f>
        <v>0</v>
      </c>
      <c r="CW70" s="159">
        <f>IF(Explore!S70=1,25) - N70 + BV70</f>
        <v>0</v>
      </c>
      <c r="CY70" s="152">
        <f t="shared" si="69"/>
        <v>150</v>
      </c>
      <c r="CZ70" s="164">
        <f t="shared" si="70"/>
        <v>150</v>
      </c>
      <c r="DA70" s="16">
        <f t="shared" si="71"/>
        <v>150</v>
      </c>
      <c r="DB70" s="164">
        <f t="shared" si="72"/>
        <v>150</v>
      </c>
      <c r="DC70" s="164">
        <f t="shared" si="73"/>
        <v>150</v>
      </c>
      <c r="DD70" s="16">
        <f t="shared" si="74"/>
        <v>150</v>
      </c>
      <c r="DE70" s="166">
        <f t="shared" si="75"/>
        <v>100</v>
      </c>
      <c r="DF70" s="164">
        <f t="shared" ca="1" si="51"/>
        <v>150</v>
      </c>
      <c r="DG70" s="16">
        <f t="shared" si="52"/>
        <v>0</v>
      </c>
      <c r="DH70" s="16">
        <f t="shared" si="53"/>
        <v>70</v>
      </c>
      <c r="DI70" s="166"/>
    </row>
    <row r="71" spans="1:114" s="16" customFormat="1" x14ac:dyDescent="0.25">
      <c r="A71" s="36">
        <f t="shared" si="76"/>
        <v>820</v>
      </c>
      <c r="B71" s="36">
        <f t="shared" si="50"/>
        <v>180</v>
      </c>
      <c r="C71" s="83">
        <f t="shared" si="68"/>
        <v>0</v>
      </c>
      <c r="D71" s="572"/>
      <c r="E71" s="16">
        <f t="shared" si="77"/>
        <v>1000</v>
      </c>
      <c r="F71" s="86">
        <f t="shared" si="80"/>
        <v>70</v>
      </c>
      <c r="G71" s="37">
        <f t="shared" si="80"/>
        <v>100</v>
      </c>
      <c r="H71" s="247">
        <f t="shared" si="80"/>
        <v>150</v>
      </c>
      <c r="I71" s="38">
        <f t="shared" si="80"/>
        <v>150</v>
      </c>
      <c r="J71" s="39">
        <f t="shared" si="80"/>
        <v>100</v>
      </c>
      <c r="K71" s="40">
        <f t="shared" si="80"/>
        <v>150</v>
      </c>
      <c r="L71" s="498">
        <f t="shared" si="80"/>
        <v>100</v>
      </c>
      <c r="M71" s="633">
        <f>Rezone!J71</f>
        <v>69</v>
      </c>
      <c r="N71" s="356"/>
      <c r="O71" s="348"/>
      <c r="P71" s="348"/>
      <c r="Q71" s="348"/>
      <c r="R71" s="348"/>
      <c r="S71" s="348"/>
      <c r="T71" s="348"/>
      <c r="U71" s="348"/>
      <c r="V71" s="348"/>
      <c r="W71" s="348"/>
      <c r="X71" s="348"/>
      <c r="Y71" s="348"/>
      <c r="Z71" s="348"/>
      <c r="AA71" s="348"/>
      <c r="AB71" s="348"/>
      <c r="AC71" s="348"/>
      <c r="AD71" s="348"/>
      <c r="AE71" s="348"/>
      <c r="AF71" s="343"/>
      <c r="AG71" s="530">
        <f>Imps!L71</f>
        <v>43768.708333333168</v>
      </c>
      <c r="AH71" s="91">
        <f>MIN(25%,(BG71+CE71)/(E71-Explore!S71*20))</f>
        <v>0</v>
      </c>
      <c r="AI71" s="59">
        <f t="shared" si="81"/>
        <v>0</v>
      </c>
      <c r="AJ71" s="56">
        <f ca="1">Production!$H71</f>
        <v>4816067</v>
      </c>
      <c r="AK71" s="57">
        <f ca="1">Production!$J71</f>
        <v>303013</v>
      </c>
      <c r="AL71" s="152">
        <f ca="1">ROUND( (1 - MIN(facs_constr_factor*$AH71,facs_constr_max)) * (1+MIN(tech_construction*Techs!AC71,tech_conquerors_crafts*Techs!AS71)) * AU71*(1+race_construction_cost),0)</f>
        <v>1615</v>
      </c>
      <c r="AM71" s="166">
        <f t="shared" si="78"/>
        <v>263</v>
      </c>
      <c r="AN71" s="152">
        <f ca="1">ROUND( (1 - MIN(facs_constr_factor*$AI71,facs_constr_max)) * (1+MIN(tech_construction*Techs!AE71,tech_conquerors_crafts*Techs!AU71)) * AU71*(1+race_construction_cost),0)</f>
        <v>1615</v>
      </c>
      <c r="AO71" s="166">
        <f t="shared" si="82"/>
        <v>263</v>
      </c>
      <c r="AP71" s="16">
        <f t="shared" ca="1" si="54"/>
        <v>0</v>
      </c>
      <c r="AQ71" s="53">
        <f t="shared" si="55"/>
        <v>0</v>
      </c>
      <c r="AR71" s="16">
        <f>MIN(SUM(F70:L70)+SUM(Explore!T59:Z59)+SUM(BV71:CN71),SUM($N71:$AF71))</f>
        <v>0</v>
      </c>
      <c r="AS71" s="16">
        <f>IF(Explore!S71&lt;&gt;0,MAX(0, MIN(20, 20 + SUM(N71:AF71) - SUM(BV71:CN71) - SUM(F70:L70)-SUM(Explore!T59:Z59)-20*Explore!S71)),0)</f>
        <v>0</v>
      </c>
      <c r="AU71" s="152">
        <f t="shared" si="83"/>
        <v>1615</v>
      </c>
      <c r="AV71" s="166">
        <f t="shared" si="84"/>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1"/>
      <c r="BS71" s="156">
        <f t="shared" si="79"/>
        <v>1000</v>
      </c>
      <c r="BT71" s="572">
        <f>BT70+1/24</f>
        <v>43770.833333333168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498">
        <f>-$AF71+$CN71 +Rezone!R71 + IF(home_land=CV$2,CW71) + Explore!Z59</f>
        <v>0</v>
      </c>
      <c r="CW71" s="159">
        <f>IF(Explore!S71=1,25) - N71 + BV71</f>
        <v>0</v>
      </c>
      <c r="CY71" s="152">
        <f t="shared" si="69"/>
        <v>150</v>
      </c>
      <c r="CZ71" s="164">
        <f t="shared" si="70"/>
        <v>150</v>
      </c>
      <c r="DA71" s="16">
        <f t="shared" si="71"/>
        <v>150</v>
      </c>
      <c r="DB71" s="164">
        <f t="shared" si="72"/>
        <v>150</v>
      </c>
      <c r="DC71" s="164">
        <f t="shared" si="73"/>
        <v>150</v>
      </c>
      <c r="DD71" s="16">
        <f t="shared" si="74"/>
        <v>150</v>
      </c>
      <c r="DE71" s="166">
        <f t="shared" si="75"/>
        <v>100</v>
      </c>
      <c r="DF71" s="164">
        <f t="shared" ca="1" si="51"/>
        <v>150</v>
      </c>
      <c r="DG71" s="16">
        <f t="shared" si="52"/>
        <v>0</v>
      </c>
      <c r="DH71" s="16">
        <f t="shared" si="53"/>
        <v>71</v>
      </c>
      <c r="DI71" s="166"/>
    </row>
    <row r="72" spans="1:114" s="16" customFormat="1" x14ac:dyDescent="0.25">
      <c r="A72" s="36">
        <f t="shared" si="76"/>
        <v>820</v>
      </c>
      <c r="B72" s="36">
        <f t="shared" si="50"/>
        <v>180</v>
      </c>
      <c r="C72" s="83">
        <f t="shared" si="68"/>
        <v>0</v>
      </c>
      <c r="D72" s="572"/>
      <c r="E72" s="16">
        <f t="shared" si="77"/>
        <v>1000</v>
      </c>
      <c r="F72" s="86">
        <f t="shared" si="80"/>
        <v>70</v>
      </c>
      <c r="G72" s="37">
        <f t="shared" si="80"/>
        <v>100</v>
      </c>
      <c r="H72" s="247">
        <f t="shared" si="80"/>
        <v>150</v>
      </c>
      <c r="I72" s="38">
        <f t="shared" si="80"/>
        <v>150</v>
      </c>
      <c r="J72" s="39">
        <f t="shared" si="80"/>
        <v>100</v>
      </c>
      <c r="K72" s="40">
        <f t="shared" si="80"/>
        <v>150</v>
      </c>
      <c r="L72" s="498">
        <f t="shared" si="80"/>
        <v>100</v>
      </c>
      <c r="M72" s="633">
        <f>Rezone!J72</f>
        <v>70</v>
      </c>
      <c r="N72" s="356"/>
      <c r="O72" s="348"/>
      <c r="P72" s="348"/>
      <c r="Q72" s="348"/>
      <c r="R72" s="348"/>
      <c r="S72" s="348"/>
      <c r="T72" s="348"/>
      <c r="U72" s="348"/>
      <c r="V72" s="348"/>
      <c r="W72" s="348"/>
      <c r="X72" s="348"/>
      <c r="Y72" s="348"/>
      <c r="Z72" s="348"/>
      <c r="AA72" s="348"/>
      <c r="AB72" s="348"/>
      <c r="AC72" s="348"/>
      <c r="AD72" s="348"/>
      <c r="AE72" s="348"/>
      <c r="AF72" s="343"/>
      <c r="AG72" s="530">
        <f>Imps!L72</f>
        <v>43768.718749999833</v>
      </c>
      <c r="AH72" s="91">
        <f>MIN(25%,(BG72+CE72)/(E72-Explore!S72*20))</f>
        <v>0</v>
      </c>
      <c r="AI72" s="59">
        <f t="shared" si="81"/>
        <v>0</v>
      </c>
      <c r="AJ72" s="56">
        <f ca="1">Production!$H72</f>
        <v>4821048</v>
      </c>
      <c r="AK72" s="57">
        <f ca="1">Production!$J72</f>
        <v>302483</v>
      </c>
      <c r="AL72" s="152">
        <f ca="1">ROUND( (1 - MIN(facs_constr_factor*$AH72,facs_constr_max)) * (1+MIN(tech_construction*Techs!AC72,tech_conquerors_crafts*Techs!AS72)) * AU72*(1+race_construction_cost),0)</f>
        <v>1615</v>
      </c>
      <c r="AM72" s="166">
        <f t="shared" si="78"/>
        <v>263</v>
      </c>
      <c r="AN72" s="152">
        <f ca="1">ROUND( (1 - MIN(facs_constr_factor*$AI72,facs_constr_max)) * (1+MIN(tech_construction*Techs!AE72,tech_conquerors_crafts*Techs!AU72)) * AU72*(1+race_construction_cost),0)</f>
        <v>1615</v>
      </c>
      <c r="AO72" s="166">
        <f t="shared" si="82"/>
        <v>263</v>
      </c>
      <c r="AP72" s="16">
        <f t="shared" ca="1" si="54"/>
        <v>0</v>
      </c>
      <c r="AQ72" s="53">
        <f t="shared" si="55"/>
        <v>0</v>
      </c>
      <c r="AR72" s="16">
        <f>MIN(SUM(F71:L71)+SUM(Explore!T60:Z60)+SUM(BV72:CN72),SUM($N72:$AF72))</f>
        <v>0</v>
      </c>
      <c r="AS72" s="16">
        <f>IF(Explore!S72&lt;&gt;0,MAX(0, MIN(20, 20 + SUM(N72:AF72) - SUM(BV72:CN72) - SUM(F71:L71)-SUM(Explore!T60:Z60)-20*Explore!S72)),0)</f>
        <v>0</v>
      </c>
      <c r="AU72" s="152">
        <f t="shared" si="83"/>
        <v>1615</v>
      </c>
      <c r="AV72" s="166">
        <f t="shared" si="84"/>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1"/>
      <c r="BS72" s="156">
        <f t="shared" si="79"/>
        <v>1000</v>
      </c>
      <c r="BT72" s="572">
        <f>BT71+1/24</f>
        <v>43770.874999999833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498">
        <f>-$AF72+$CN72 +Rezone!R72 + IF(home_land=CV$2,CW72) + Explore!Z60</f>
        <v>0</v>
      </c>
      <c r="CW72" s="159">
        <f>IF(Explore!S72=1,25) - N72 + BV72</f>
        <v>0</v>
      </c>
      <c r="CY72" s="152">
        <f t="shared" si="69"/>
        <v>150</v>
      </c>
      <c r="CZ72" s="164">
        <f t="shared" si="70"/>
        <v>150</v>
      </c>
      <c r="DA72" s="16">
        <f t="shared" si="71"/>
        <v>150</v>
      </c>
      <c r="DB72" s="164">
        <f t="shared" si="72"/>
        <v>150</v>
      </c>
      <c r="DC72" s="164">
        <f t="shared" si="73"/>
        <v>150</v>
      </c>
      <c r="DD72" s="16">
        <f t="shared" si="74"/>
        <v>150</v>
      </c>
      <c r="DE72" s="166">
        <f t="shared" si="75"/>
        <v>100</v>
      </c>
      <c r="DF72" s="164">
        <f t="shared" ca="1" si="51"/>
        <v>150</v>
      </c>
      <c r="DG72" s="16">
        <f t="shared" si="52"/>
        <v>0</v>
      </c>
      <c r="DH72" s="16">
        <f t="shared" si="53"/>
        <v>72</v>
      </c>
      <c r="DI72" s="166"/>
    </row>
    <row r="73" spans="1:114" s="16" customFormat="1" x14ac:dyDescent="0.25">
      <c r="A73" s="36">
        <f t="shared" si="76"/>
        <v>820</v>
      </c>
      <c r="B73" s="36">
        <f t="shared" si="50"/>
        <v>180</v>
      </c>
      <c r="C73" s="83">
        <f t="shared" si="68"/>
        <v>0</v>
      </c>
      <c r="D73" s="572"/>
      <c r="E73" s="16">
        <f t="shared" si="77"/>
        <v>1000</v>
      </c>
      <c r="F73" s="86">
        <f t="shared" si="80"/>
        <v>70</v>
      </c>
      <c r="G73" s="37">
        <f t="shared" si="80"/>
        <v>100</v>
      </c>
      <c r="H73" s="247">
        <f t="shared" si="80"/>
        <v>150</v>
      </c>
      <c r="I73" s="38">
        <f t="shared" si="80"/>
        <v>150</v>
      </c>
      <c r="J73" s="39">
        <f t="shared" si="80"/>
        <v>100</v>
      </c>
      <c r="K73" s="40">
        <f t="shared" si="80"/>
        <v>150</v>
      </c>
      <c r="L73" s="498">
        <f t="shared" si="80"/>
        <v>100</v>
      </c>
      <c r="M73" s="633">
        <f>Rezone!J73</f>
        <v>71</v>
      </c>
      <c r="N73" s="356"/>
      <c r="O73" s="348"/>
      <c r="P73" s="348"/>
      <c r="Q73" s="348"/>
      <c r="R73" s="348"/>
      <c r="S73" s="348"/>
      <c r="T73" s="348"/>
      <c r="U73" s="348"/>
      <c r="V73" s="348"/>
      <c r="W73" s="348"/>
      <c r="X73" s="348"/>
      <c r="Y73" s="348"/>
      <c r="Z73" s="348"/>
      <c r="AA73" s="348"/>
      <c r="AB73" s="348"/>
      <c r="AC73" s="348"/>
      <c r="AD73" s="348"/>
      <c r="AE73" s="348"/>
      <c r="AF73" s="343"/>
      <c r="AG73" s="530">
        <f>Imps!L73</f>
        <v>43768.729166666497</v>
      </c>
      <c r="AH73" s="91">
        <f>MIN(25%,(BG73+CE73)/(E73-Explore!S73*20))</f>
        <v>0</v>
      </c>
      <c r="AI73" s="59">
        <f t="shared" si="81"/>
        <v>0</v>
      </c>
      <c r="AJ73" s="56">
        <f ca="1">Production!$H73</f>
        <v>4826029</v>
      </c>
      <c r="AK73" s="57">
        <f ca="1">Production!$J73</f>
        <v>301958</v>
      </c>
      <c r="AL73" s="152">
        <f ca="1">ROUND( (1 - MIN(facs_constr_factor*$AH73,facs_constr_max)) * (1+MIN(tech_construction*Techs!AC73,tech_conquerors_crafts*Techs!AS73)) * AU73*(1+race_construction_cost),0)</f>
        <v>1615</v>
      </c>
      <c r="AM73" s="166">
        <f t="shared" si="78"/>
        <v>263</v>
      </c>
      <c r="AN73" s="152">
        <f ca="1">ROUND( (1 - MIN(facs_constr_factor*$AI73,facs_constr_max)) * (1+MIN(tech_construction*Techs!AE73,tech_conquerors_crafts*Techs!AU73)) * AU73*(1+race_construction_cost),0)</f>
        <v>1615</v>
      </c>
      <c r="AO73" s="166">
        <f t="shared" si="82"/>
        <v>263</v>
      </c>
      <c r="AP73" s="16">
        <f t="shared" ca="1" si="54"/>
        <v>0</v>
      </c>
      <c r="AQ73" s="53">
        <f t="shared" si="55"/>
        <v>0</v>
      </c>
      <c r="AR73" s="16">
        <f>MIN(SUM(F72:L72)+SUM(Explore!T61:Z61)+SUM(BV73:CN73),SUM($N73:$AF73))</f>
        <v>0</v>
      </c>
      <c r="AS73" s="16">
        <f>IF(Explore!S73&lt;&gt;0,MAX(0, MIN(20, 20 + SUM(N73:AF73) - SUM(BV73:CN73) - SUM(F72:L72)-SUM(Explore!T61:Z61)-20*Explore!S73)),0)</f>
        <v>0</v>
      </c>
      <c r="AU73" s="152">
        <f t="shared" si="83"/>
        <v>1615</v>
      </c>
      <c r="AV73" s="166">
        <f t="shared" si="84"/>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1"/>
      <c r="BS73" s="156">
        <f t="shared" si="79"/>
        <v>1000</v>
      </c>
      <c r="BT73" s="572">
        <f>BT72+1/24</f>
        <v>43770.916666666497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498">
        <f>-$AF73+$CN73 +Rezone!R73 + IF(home_land=CV$2,CW73) + Explore!Z61</f>
        <v>0</v>
      </c>
      <c r="CW73" s="159">
        <f>IF(Explore!S73=1,25) - N73 + BV73</f>
        <v>0</v>
      </c>
      <c r="CY73" s="152">
        <f t="shared" si="69"/>
        <v>150</v>
      </c>
      <c r="CZ73" s="164">
        <f t="shared" si="70"/>
        <v>150</v>
      </c>
      <c r="DA73" s="16">
        <f t="shared" si="71"/>
        <v>150</v>
      </c>
      <c r="DB73" s="164">
        <f t="shared" si="72"/>
        <v>150</v>
      </c>
      <c r="DC73" s="164">
        <f t="shared" si="73"/>
        <v>150</v>
      </c>
      <c r="DD73" s="16">
        <f t="shared" si="74"/>
        <v>150</v>
      </c>
      <c r="DE73" s="166">
        <f t="shared" si="75"/>
        <v>100</v>
      </c>
      <c r="DF73" s="164">
        <f t="shared" ca="1" si="51"/>
        <v>150</v>
      </c>
      <c r="DG73" s="16">
        <f t="shared" si="52"/>
        <v>0</v>
      </c>
      <c r="DH73" s="16">
        <f t="shared" si="53"/>
        <v>73</v>
      </c>
      <c r="DI73" s="166"/>
    </row>
    <row r="74" spans="1:114" s="16" customFormat="1" ht="13.8" thickBot="1" x14ac:dyDescent="0.3">
      <c r="A74" s="36">
        <f t="shared" si="76"/>
        <v>820</v>
      </c>
      <c r="B74" s="36">
        <f t="shared" si="50"/>
        <v>180</v>
      </c>
      <c r="C74" s="83">
        <f t="shared" si="68"/>
        <v>0</v>
      </c>
      <c r="D74" s="572"/>
      <c r="E74" s="16">
        <f t="shared" si="77"/>
        <v>1000</v>
      </c>
      <c r="F74" s="86">
        <f t="shared" si="80"/>
        <v>70</v>
      </c>
      <c r="G74" s="37">
        <f t="shared" si="80"/>
        <v>100</v>
      </c>
      <c r="H74" s="247">
        <f t="shared" si="80"/>
        <v>150</v>
      </c>
      <c r="I74" s="38">
        <f t="shared" si="80"/>
        <v>150</v>
      </c>
      <c r="J74" s="39">
        <f t="shared" si="80"/>
        <v>100</v>
      </c>
      <c r="K74" s="40">
        <f t="shared" si="80"/>
        <v>150</v>
      </c>
      <c r="L74" s="498">
        <f t="shared" si="80"/>
        <v>100</v>
      </c>
      <c r="M74" s="633">
        <f>Rezone!J74</f>
        <v>72</v>
      </c>
      <c r="N74" s="356"/>
      <c r="O74" s="348"/>
      <c r="P74" s="348"/>
      <c r="Q74" s="348"/>
      <c r="R74" s="348"/>
      <c r="S74" s="348"/>
      <c r="T74" s="348"/>
      <c r="U74" s="348"/>
      <c r="V74" s="348"/>
      <c r="W74" s="348"/>
      <c r="X74" s="348"/>
      <c r="Y74" s="348"/>
      <c r="Z74" s="348"/>
      <c r="AA74" s="348"/>
      <c r="AB74" s="348"/>
      <c r="AC74" s="348"/>
      <c r="AD74" s="348"/>
      <c r="AE74" s="348"/>
      <c r="AF74" s="343"/>
      <c r="AG74" s="530">
        <f>Imps!L74</f>
        <v>43768.739583333161</v>
      </c>
      <c r="AH74" s="91">
        <f>MIN(25%,(BG74+CE74)/(E74-Explore!S74*20))</f>
        <v>0</v>
      </c>
      <c r="AI74" s="59">
        <f t="shared" si="81"/>
        <v>0</v>
      </c>
      <c r="AJ74" s="56">
        <f ca="1">Production!$H74</f>
        <v>4831010</v>
      </c>
      <c r="AK74" s="57">
        <f ca="1">Production!$J74</f>
        <v>301438</v>
      </c>
      <c r="AL74" s="152">
        <f ca="1">ROUND( (1 - MIN(facs_constr_factor*$AH74,facs_constr_max)) * (1+MIN(tech_construction*Techs!AC74,tech_conquerors_crafts*Techs!AS74)) * AU74*(1+race_construction_cost),0)</f>
        <v>1615</v>
      </c>
      <c r="AM74" s="166">
        <f t="shared" si="78"/>
        <v>263</v>
      </c>
      <c r="AN74" s="152">
        <f ca="1">ROUND( (1 - MIN(facs_constr_factor*$AI74,facs_constr_max)) * (1+MIN(tech_construction*Techs!AE74,tech_conquerors_crafts*Techs!AU74)) * AU74*(1+race_construction_cost),0)</f>
        <v>1615</v>
      </c>
      <c r="AO74" s="166">
        <f t="shared" si="82"/>
        <v>263</v>
      </c>
      <c r="AP74" s="16">
        <f t="shared" ca="1" si="54"/>
        <v>0</v>
      </c>
      <c r="AQ74" s="53">
        <f t="shared" si="55"/>
        <v>0</v>
      </c>
      <c r="AR74" s="16">
        <f>MIN(SUM(F73:L73)+SUM(Explore!T62:Z62)+SUM(BV74:CN74),SUM($N74:$AF74))</f>
        <v>0</v>
      </c>
      <c r="AS74" s="16">
        <f>IF(Explore!S74&lt;&gt;0,MAX(0, MIN(20, 20 + SUM(N74:AF74) - SUM(BV74:CN74) - SUM(F73:L73)-SUM(Explore!T62:Z62)-20*Explore!S74)),0)</f>
        <v>0</v>
      </c>
      <c r="AU74" s="152">
        <f t="shared" si="83"/>
        <v>1615</v>
      </c>
      <c r="AV74" s="166">
        <f t="shared" si="84"/>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1"/>
      <c r="BS74" s="156">
        <f t="shared" si="79"/>
        <v>1000</v>
      </c>
      <c r="BT74" s="572">
        <f>BT73+1/24</f>
        <v>43770.958333333161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498">
        <f>-$AF74+$CN74 +Rezone!R74 + IF(home_land=CV$2,CW74) + Explore!Z62</f>
        <v>0</v>
      </c>
      <c r="CW74" s="159">
        <f>IF(Explore!S74=1,25) - N74 + BV74</f>
        <v>0</v>
      </c>
      <c r="CY74" s="152">
        <f t="shared" si="69"/>
        <v>150</v>
      </c>
      <c r="CZ74" s="164">
        <f t="shared" si="70"/>
        <v>150</v>
      </c>
      <c r="DA74" s="16">
        <f t="shared" si="71"/>
        <v>150</v>
      </c>
      <c r="DB74" s="164">
        <f t="shared" si="72"/>
        <v>150</v>
      </c>
      <c r="DC74" s="164">
        <f t="shared" si="73"/>
        <v>150</v>
      </c>
      <c r="DD74" s="16">
        <f t="shared" si="74"/>
        <v>150</v>
      </c>
      <c r="DE74" s="166">
        <f t="shared" si="75"/>
        <v>100</v>
      </c>
      <c r="DF74" s="164">
        <f t="shared" ca="1" si="51"/>
        <v>150</v>
      </c>
      <c r="DG74" s="16">
        <f t="shared" si="52"/>
        <v>0</v>
      </c>
      <c r="DH74" s="16">
        <f t="shared" si="53"/>
        <v>74</v>
      </c>
      <c r="DI74" s="166"/>
    </row>
    <row r="75" spans="1:114" s="599" customFormat="1" ht="14.4" thickTop="1" thickBot="1" x14ac:dyDescent="0.3">
      <c r="A75" s="619">
        <f t="shared" ref="A75:A135" si="85">SUM(F75:L75)</f>
        <v>820</v>
      </c>
      <c r="B75" s="619">
        <f t="shared" ref="B75:B135" si="86">SUM(AX75:BP75)</f>
        <v>180</v>
      </c>
      <c r="C75" s="620">
        <f t="shared" ref="C75:C135" si="87">SUM(N64:AF75)</f>
        <v>0</v>
      </c>
      <c r="D75" s="621"/>
      <c r="E75" s="599">
        <f t="shared" ref="E75:E135" si="88">A75+B75+C75</f>
        <v>1000</v>
      </c>
      <c r="F75" s="597">
        <f t="shared" ref="F75:F135" si="89">F74+CP75</f>
        <v>70</v>
      </c>
      <c r="G75" s="598">
        <f t="shared" ref="G75:G135" si="90">G74+CQ75</f>
        <v>100</v>
      </c>
      <c r="H75" s="598">
        <f t="shared" ref="H75:H135" si="91">H74+CR75</f>
        <v>150</v>
      </c>
      <c r="I75" s="598">
        <f t="shared" ref="I75:I135" si="92">I74+CS75</f>
        <v>150</v>
      </c>
      <c r="J75" s="598">
        <f t="shared" ref="J75:J135" si="93">J74+CT75</f>
        <v>100</v>
      </c>
      <c r="K75" s="598">
        <f t="shared" ref="K75:K135" si="94">K74+CU75</f>
        <v>150</v>
      </c>
      <c r="L75" s="598">
        <f t="shared" ref="L75:L135" si="95">L74+CV75</f>
        <v>100</v>
      </c>
      <c r="M75" s="609">
        <f>Rezone!J75</f>
        <v>73</v>
      </c>
      <c r="N75" s="610"/>
      <c r="O75" s="611"/>
      <c r="P75" s="611"/>
      <c r="Q75" s="611"/>
      <c r="R75" s="611"/>
      <c r="S75" s="611"/>
      <c r="T75" s="611"/>
      <c r="U75" s="611"/>
      <c r="V75" s="611"/>
      <c r="W75" s="611"/>
      <c r="X75" s="611"/>
      <c r="Y75" s="611"/>
      <c r="Z75" s="611"/>
      <c r="AA75" s="611"/>
      <c r="AB75" s="611"/>
      <c r="AC75" s="611"/>
      <c r="AD75" s="611"/>
      <c r="AE75" s="611"/>
      <c r="AF75" s="622"/>
      <c r="AG75" s="789">
        <f>Imps!L75</f>
        <v>43768.749999999825</v>
      </c>
      <c r="AH75" s="614">
        <f>MIN(25%,(BG75+CE75)/(E75-Explore!S75*20))</f>
        <v>0</v>
      </c>
      <c r="AI75" s="616">
        <f t="shared" si="81"/>
        <v>0</v>
      </c>
      <c r="AJ75" s="597">
        <f ca="1">Production!$H75</f>
        <v>4835991</v>
      </c>
      <c r="AK75" s="596">
        <f ca="1">Production!$J75</f>
        <v>300924</v>
      </c>
      <c r="AL75" s="597">
        <f ca="1">ROUND( (1 - MIN(facs_constr_factor*$AH75,facs_constr_max)) * (1+MIN(tech_construction*Techs!AC75,tech_conquerors_crafts*Techs!AS75)) * AU75*(1+race_construction_cost),0)</f>
        <v>1615</v>
      </c>
      <c r="AM75" s="596">
        <f t="shared" si="78"/>
        <v>263</v>
      </c>
      <c r="AN75" s="597">
        <f ca="1">ROUND( (1 - MIN(facs_constr_factor*$AI75,facs_constr_max)) * (1+MIN(tech_construction*Techs!AE75,tech_conquerors_crafts*Techs!AU75)) * AU75*(1+race_construction_cost),0)</f>
        <v>1615</v>
      </c>
      <c r="AO75" s="596">
        <f t="shared" si="82"/>
        <v>263</v>
      </c>
      <c r="AP75" s="599">
        <f t="shared" ca="1" si="54"/>
        <v>0</v>
      </c>
      <c r="AQ75" s="608">
        <f t="shared" si="55"/>
        <v>0</v>
      </c>
      <c r="AR75" s="599">
        <f>MIN(SUM(F74:L74)+SUM(Explore!T63:Z63)+SUM(BV75:CN75),SUM($N75:$AF75))</f>
        <v>0</v>
      </c>
      <c r="AS75" s="599">
        <f>IF(Explore!S75&lt;&gt;0,MAX(0, MIN(20, 20 + SUM(N75:AF75) - SUM(BV75:CN75) - SUM(F74:L74)-SUM(Explore!T63:Z63)-20*Explore!S75)),0)</f>
        <v>0</v>
      </c>
      <c r="AU75" s="597">
        <f t="shared" si="83"/>
        <v>1615</v>
      </c>
      <c r="AV75" s="596">
        <f t="shared" si="84"/>
        <v>262.5</v>
      </c>
      <c r="AW75" s="613"/>
      <c r="AX75" s="607">
        <f>AX74 + IF(Overview!$B$14="Gnome",N66,N63) -BV75</f>
        <v>0</v>
      </c>
      <c r="AY75" s="599">
        <f>AY74 + IF(Overview!$B$14="Gnome",O66,O63) -BW75</f>
        <v>0</v>
      </c>
      <c r="AZ75" s="599">
        <f>AZ74 + IF(Overview!$B$14="Gnome",P66,P63) -BX75</f>
        <v>80</v>
      </c>
      <c r="BA75" s="599">
        <f>BA74 + IF(Overview!$B$14="Gnome",Q66,Q63) -BY75</f>
        <v>0</v>
      </c>
      <c r="BB75" s="599">
        <f>BB74 + IF(Overview!$B$14="Gnome",R66,R63) -BZ75</f>
        <v>0</v>
      </c>
      <c r="BC75" s="599">
        <f>BC74 + IF(Overview!$B$14="Gnome",S66,S63) -CA75</f>
        <v>50</v>
      </c>
      <c r="BD75" s="599">
        <f>BD74 + IF(Overview!$B$14="Gnome",T66,T63) -CB75</f>
        <v>0</v>
      </c>
      <c r="BE75" s="599">
        <f>BE74 + IF(Overview!$B$14="Gnome",U66,U63) -CC75</f>
        <v>0</v>
      </c>
      <c r="BF75" s="599">
        <f>BF74 + IF(Overview!$B$14="Gnome",V66,V63) -CD75</f>
        <v>0</v>
      </c>
      <c r="BG75" s="599">
        <f>BG74 + IF(Overview!$B$14="Gnome",W66,W63) -CE75</f>
        <v>0</v>
      </c>
      <c r="BH75" s="599">
        <f>BH74 + IF(Overview!$B$14="Gnome",X66,X63) -CF75</f>
        <v>0</v>
      </c>
      <c r="BI75" s="599">
        <f>BI74 + IF(Overview!$B$14="Gnome",Y66,Y63) -CG75</f>
        <v>0</v>
      </c>
      <c r="BJ75" s="599">
        <f>BJ74 + IF(Overview!$B$14="Gnome",Z66,Z63) -CH75</f>
        <v>0</v>
      </c>
      <c r="BK75" s="599">
        <f>BK74 + IF(Overview!$B$14="Gnome",AA66,AA63) -CI75</f>
        <v>50</v>
      </c>
      <c r="BL75" s="599">
        <f>BL74 + IF(Overview!$B$14="Gnome",AB66,AB63) -CJ75</f>
        <v>0</v>
      </c>
      <c r="BM75" s="599">
        <f>BM74 + IF(Overview!$B$14="Gnome",AC66,AC63) -CK75</f>
        <v>0</v>
      </c>
      <c r="BN75" s="599">
        <f>BN74 + IF(Overview!$B$14="Gnome",AD66,AD63) -CL75</f>
        <v>0</v>
      </c>
      <c r="BO75" s="599">
        <f>BO74 + IF(Overview!$B$14="Gnome",AE66,AE63) -CM75</f>
        <v>0</v>
      </c>
      <c r="BP75" s="608">
        <f>BP74 + IF(Overview!$B$14="Gnome",AF66,AF63) -CN75</f>
        <v>0</v>
      </c>
      <c r="BR75" s="598"/>
      <c r="BS75" s="607">
        <f t="shared" ref="BS75:BS135" si="96">E75</f>
        <v>1000</v>
      </c>
      <c r="BT75" s="621">
        <f t="shared" ref="BT75:BT135" si="97">BT74+1/24</f>
        <v>43770.999999999825</v>
      </c>
      <c r="BV75" s="610"/>
      <c r="BW75" s="611"/>
      <c r="BX75" s="611"/>
      <c r="BY75" s="611"/>
      <c r="BZ75" s="611"/>
      <c r="CA75" s="611"/>
      <c r="CB75" s="611"/>
      <c r="CC75" s="611"/>
      <c r="CD75" s="611"/>
      <c r="CE75" s="611"/>
      <c r="CF75" s="611"/>
      <c r="CG75" s="611"/>
      <c r="CH75" s="611"/>
      <c r="CI75" s="611"/>
      <c r="CJ75" s="611"/>
      <c r="CK75" s="611"/>
      <c r="CL75" s="611"/>
      <c r="CM75" s="607"/>
      <c r="CN75" s="612"/>
      <c r="CP75" s="597">
        <f>-SUM($O75:$R75)+SUM($BW75:BZ75)+Rezone!L75+IF(home_land=CP$2,CW75) + Explore!T63</f>
        <v>0</v>
      </c>
      <c r="CQ75" s="598">
        <f>-SUM($S75:$T75)+SUM($CA75:$CB75) +Rezone!M75 + IF(home_land=CQ$2,CW75) + Explore!U63</f>
        <v>0</v>
      </c>
      <c r="CR75" s="598">
        <f>-SUM($U75:$V75)+SUM($CC75:$CD75) +Rezone!N75 + IF(home_land=CR$2,CW75) + Explore!V63</f>
        <v>0</v>
      </c>
      <c r="CS75" s="598">
        <f>-SUM($W75:$Z75)+SUM($CE75:$CH75) +Rezone!O75 + IF(home_land=CS$2,CW75) + Explore!W63</f>
        <v>0</v>
      </c>
      <c r="CT75" s="598">
        <f>-SUM($AA75:$AC75)+SUM($CI75:$CK75) +Rezone!P75 + IF(home_land=CT$2,CW75) + Explore!X63</f>
        <v>0</v>
      </c>
      <c r="CU75" s="598">
        <f xml:space="preserve"> - SUM($AD75,$AE75)+SUM($CL75,$CM75) +Rezone!Q75 + IF(home_land=CU$2,CW75)+Explore!Y63</f>
        <v>0</v>
      </c>
      <c r="CV75" s="598">
        <f>-$AF75+$CN75 +Rezone!R75 + IF(home_land=CV$2,CW75) + Explore!Z63</f>
        <v>0</v>
      </c>
      <c r="CW75" s="611">
        <f>IF(Explore!S75=1,25) - N75 + BV75</f>
        <v>0</v>
      </c>
      <c r="CY75" s="597">
        <f t="shared" ref="CY75:CY135" si="98">F75+SUM(O64:R75)+SUM(AY75:BB75)</f>
        <v>150</v>
      </c>
      <c r="CZ75" s="598">
        <f t="shared" ref="CZ75:CZ135" si="99">G75+SUM(S64:T75)+SUM(BC75:BD75)</f>
        <v>150</v>
      </c>
      <c r="DA75" s="599">
        <f t="shared" ref="DA75:DA135" si="100">H75+SUM(U64:V75)+SUM(BE75:BF75)</f>
        <v>150</v>
      </c>
      <c r="DB75" s="598">
        <f t="shared" ref="DB75:DB135" si="101">I75+SUM(W64:X75)+SUM(BG75:BH75)</f>
        <v>150</v>
      </c>
      <c r="DC75" s="598">
        <f t="shared" ref="DC75:DC135" si="102">J75+SUM(AA64:AC75)+SUM(BK75:BM75)</f>
        <v>150</v>
      </c>
      <c r="DD75" s="599">
        <f t="shared" ref="DD75:DD135" si="103">K75+SUM(AD64:AD75)+BN75</f>
        <v>150</v>
      </c>
      <c r="DE75" s="596">
        <f t="shared" ref="DE75:DE135" si="104">L75+SUM(AF64:AF75)+BP75</f>
        <v>100</v>
      </c>
      <c r="DF75" s="598">
        <f t="shared" ref="DF75:DF135" ca="1" si="105">INDIRECT(ADDRESS(DH75,$DI$4))+DG75</f>
        <v>150</v>
      </c>
      <c r="DG75" s="599">
        <f t="shared" ref="DG75:DG135" si="106">SUM(N64:N75)+AX75</f>
        <v>0</v>
      </c>
      <c r="DH75" s="599">
        <f t="shared" ref="DH75:DH135" si="107">DH74+1</f>
        <v>75</v>
      </c>
      <c r="DI75" s="596"/>
    </row>
    <row r="76" spans="1:114" s="170" customFormat="1" ht="13.8" thickTop="1" x14ac:dyDescent="0.25">
      <c r="A76" s="242">
        <f t="shared" si="85"/>
        <v>820</v>
      </c>
      <c r="B76" s="242">
        <f t="shared" si="86"/>
        <v>180</v>
      </c>
      <c r="C76" s="243">
        <f t="shared" si="87"/>
        <v>0</v>
      </c>
      <c r="D76" s="530"/>
      <c r="E76" s="170">
        <f t="shared" si="88"/>
        <v>1000</v>
      </c>
      <c r="F76" s="245">
        <f t="shared" si="89"/>
        <v>70</v>
      </c>
      <c r="G76" s="246">
        <f t="shared" si="90"/>
        <v>100</v>
      </c>
      <c r="H76" s="247">
        <f t="shared" si="91"/>
        <v>150</v>
      </c>
      <c r="I76" s="248">
        <f t="shared" si="92"/>
        <v>150</v>
      </c>
      <c r="J76" s="249">
        <f t="shared" si="93"/>
        <v>100</v>
      </c>
      <c r="K76" s="250">
        <f t="shared" si="94"/>
        <v>150</v>
      </c>
      <c r="L76" s="496">
        <f t="shared" si="95"/>
        <v>100</v>
      </c>
      <c r="M76" s="632">
        <f>Rezone!J76</f>
        <v>74</v>
      </c>
      <c r="N76" s="352"/>
      <c r="O76" s="345"/>
      <c r="P76" s="344"/>
      <c r="Q76" s="344"/>
      <c r="R76" s="344"/>
      <c r="S76" s="344"/>
      <c r="T76" s="344"/>
      <c r="U76" s="344"/>
      <c r="V76" s="344"/>
      <c r="W76" s="344"/>
      <c r="X76" s="344"/>
      <c r="Y76" s="344"/>
      <c r="Z76" s="344"/>
      <c r="AA76" s="344"/>
      <c r="AB76" s="345"/>
      <c r="AC76" s="345"/>
      <c r="AD76" s="345"/>
      <c r="AE76" s="345"/>
      <c r="AF76" s="336"/>
      <c r="AG76" s="530">
        <f>Imps!L76</f>
        <v>43768.76041666649</v>
      </c>
      <c r="AH76" s="251">
        <f>MIN(25%,(BG76+CE76)/(E76-Explore!S76*20))</f>
        <v>0</v>
      </c>
      <c r="AI76" s="187">
        <f t="shared" si="81"/>
        <v>0</v>
      </c>
      <c r="AJ76" s="152">
        <f ca="1">Production!$H76</f>
        <v>4840972</v>
      </c>
      <c r="AK76" s="166">
        <f ca="1">Production!$J76</f>
        <v>300415</v>
      </c>
      <c r="AL76" s="152">
        <f ca="1">ROUND( (1 - MIN(facs_constr_factor*$AH76,facs_constr_max)) * (1+MIN(tech_construction*Techs!AC76,tech_conquerors_crafts*Techs!AS76)) * AU76*(1+race_construction_cost),0)</f>
        <v>1615</v>
      </c>
      <c r="AM76" s="166">
        <f t="shared" si="78"/>
        <v>263</v>
      </c>
      <c r="AN76" s="152">
        <f ca="1">ROUND( (1 - MIN(facs_constr_factor*$AI76,facs_constr_max)) * (1+MIN(tech_construction*Techs!AE76,tech_conquerors_crafts*Techs!AU76)) * AU76*(1+race_construction_cost),0)</f>
        <v>1615</v>
      </c>
      <c r="AO76" s="166">
        <f t="shared" si="82"/>
        <v>263</v>
      </c>
      <c r="AP76" s="170">
        <f t="shared" ca="1" si="54"/>
        <v>0</v>
      </c>
      <c r="AQ76" s="157">
        <f t="shared" si="55"/>
        <v>0</v>
      </c>
      <c r="AR76" s="170">
        <f>MIN(SUM(F75:L75)+SUM(Explore!T64:Z64)+SUM(BV76:CN76),SUM($N76:$AF76))</f>
        <v>0</v>
      </c>
      <c r="AS76" s="170">
        <f>IF(Explore!S76&lt;&gt;0,MAX(0, MIN(20, 20 + SUM(N76:AF76) - SUM(BV76:CN76) - SUM(F75:L75)-SUM(Explore!T64:Z64)-20*Explore!S76)),0)</f>
        <v>0</v>
      </c>
      <c r="AU76" s="152">
        <f t="shared" si="83"/>
        <v>1615</v>
      </c>
      <c r="AV76" s="166">
        <f t="shared" si="84"/>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39"/>
      <c r="BS76" s="156">
        <f t="shared" si="96"/>
        <v>1000</v>
      </c>
      <c r="BT76" s="530">
        <f t="shared" si="97"/>
        <v>43771.04166666649</v>
      </c>
      <c r="BV76" s="352"/>
      <c r="BW76" s="345"/>
      <c r="BX76" s="345"/>
      <c r="BY76" s="345"/>
      <c r="BZ76" s="345"/>
      <c r="CA76" s="345"/>
      <c r="CB76" s="345"/>
      <c r="CC76" s="345"/>
      <c r="CD76" s="345"/>
      <c r="CE76" s="345"/>
      <c r="CF76" s="345"/>
      <c r="CG76" s="345"/>
      <c r="CH76" s="345"/>
      <c r="CI76" s="345"/>
      <c r="CJ76" s="345"/>
      <c r="CK76" s="345"/>
      <c r="CL76" s="345"/>
      <c r="CM76" s="759"/>
      <c r="CN76" s="353"/>
      <c r="CP76" s="718">
        <f>-SUM($O76:$R76)+SUM($BW76:BZ76)+Rezone!L76+IF(home_land=CP$2,CW76) + Explore!T64</f>
        <v>0</v>
      </c>
      <c r="CQ76" s="719">
        <f>-SUM($S76:$T76)+SUM($CA76:$CB76) +Rezone!M76 + IF(home_land=CQ$2,CW76) + Explore!U64</f>
        <v>0</v>
      </c>
      <c r="CR76" s="720">
        <f>-SUM($U76:$V76)+SUM($CC76:$CD76) +Rezone!N76 + IF(home_land=CR$2,CW76) + Explore!V64</f>
        <v>0</v>
      </c>
      <c r="CS76" s="721">
        <f>-SUM($W76:$Z76)+SUM($CE76:$CH76) +Rezone!O76 + IF(home_land=CS$2,CW76) + Explore!W64</f>
        <v>0</v>
      </c>
      <c r="CT76" s="722">
        <f>-SUM($AA76:$AC76)+SUM($CI76:$CK76) +Rezone!P76 + IF(home_land=CT$2,CW76) + Explore!X64</f>
        <v>0</v>
      </c>
      <c r="CU76" s="723">
        <f xml:space="preserve"> - SUM($AD76,$AE76)+SUM($CL76,$CM76) +Rezone!Q76 + IF(home_land=CU$2,CW76)+Explore!Y64</f>
        <v>0</v>
      </c>
      <c r="CV76" s="724">
        <f>-$AF76+$CN76 +Rezone!R76 + IF(home_land=CV$2,CW76) + Explore!Z64</f>
        <v>0</v>
      </c>
      <c r="CW76" s="717">
        <f>IF(Explore!S76=1,25) - N76 + BV76</f>
        <v>0</v>
      </c>
      <c r="CY76" s="172">
        <f t="shared" si="98"/>
        <v>150</v>
      </c>
      <c r="CZ76" s="168">
        <f t="shared" si="99"/>
        <v>150</v>
      </c>
      <c r="DA76" s="191">
        <f t="shared" si="100"/>
        <v>150</v>
      </c>
      <c r="DB76" s="168">
        <f t="shared" si="101"/>
        <v>150</v>
      </c>
      <c r="DC76" s="168">
        <f t="shared" si="102"/>
        <v>150</v>
      </c>
      <c r="DD76" s="191">
        <f t="shared" si="103"/>
        <v>150</v>
      </c>
      <c r="DE76" s="167">
        <f t="shared" si="104"/>
        <v>100</v>
      </c>
      <c r="DF76" s="168">
        <f t="shared" ca="1" si="105"/>
        <v>150</v>
      </c>
      <c r="DG76" s="1005">
        <f t="shared" si="106"/>
        <v>0</v>
      </c>
      <c r="DH76" s="168">
        <f t="shared" si="107"/>
        <v>76</v>
      </c>
      <c r="DI76" s="167"/>
      <c r="DJ76" s="164"/>
    </row>
    <row r="77" spans="1:114" s="170" customFormat="1" x14ac:dyDescent="0.25">
      <c r="A77" s="242">
        <f t="shared" si="85"/>
        <v>820</v>
      </c>
      <c r="B77" s="242">
        <f t="shared" si="86"/>
        <v>180</v>
      </c>
      <c r="C77" s="243">
        <f t="shared" si="87"/>
        <v>0</v>
      </c>
      <c r="D77" s="530"/>
      <c r="E77" s="170">
        <f t="shared" si="88"/>
        <v>1000</v>
      </c>
      <c r="F77" s="245">
        <f t="shared" si="89"/>
        <v>70</v>
      </c>
      <c r="G77" s="246">
        <f t="shared" si="90"/>
        <v>100</v>
      </c>
      <c r="H77" s="247">
        <f t="shared" si="91"/>
        <v>150</v>
      </c>
      <c r="I77" s="248">
        <f t="shared" si="92"/>
        <v>150</v>
      </c>
      <c r="J77" s="249">
        <f t="shared" si="93"/>
        <v>100</v>
      </c>
      <c r="K77" s="250">
        <f t="shared" si="94"/>
        <v>150</v>
      </c>
      <c r="L77" s="496">
        <f t="shared" si="95"/>
        <v>100</v>
      </c>
      <c r="M77" s="632">
        <f>Rezone!J77</f>
        <v>75</v>
      </c>
      <c r="N77" s="352"/>
      <c r="O77" s="345"/>
      <c r="P77" s="345"/>
      <c r="Q77" s="345"/>
      <c r="R77" s="345"/>
      <c r="S77" s="345"/>
      <c r="T77" s="345"/>
      <c r="U77" s="345"/>
      <c r="V77" s="345"/>
      <c r="W77" s="345"/>
      <c r="X77" s="345"/>
      <c r="Y77" s="345"/>
      <c r="Z77" s="345"/>
      <c r="AA77" s="345"/>
      <c r="AB77" s="345"/>
      <c r="AC77" s="345"/>
      <c r="AD77" s="345"/>
      <c r="AE77" s="345"/>
      <c r="AF77" s="336"/>
      <c r="AG77" s="530">
        <f>Imps!L77</f>
        <v>43768.770833333154</v>
      </c>
      <c r="AH77" s="251">
        <f>MIN(25%,(BG77+CE77)/(E77-Explore!S77*20))</f>
        <v>0</v>
      </c>
      <c r="AI77" s="187">
        <f t="shared" si="81"/>
        <v>0</v>
      </c>
      <c r="AJ77" s="152">
        <f ca="1">Production!$H77</f>
        <v>4845953</v>
      </c>
      <c r="AK77" s="166">
        <f ca="1">Production!$J77</f>
        <v>299911</v>
      </c>
      <c r="AL77" s="152">
        <f ca="1">ROUND( (1 - MIN(facs_constr_factor*$AH77,facs_constr_max)) * (1+MIN(tech_construction*Techs!AC77,tech_conquerors_crafts*Techs!AS77)) * AU77*(1+race_construction_cost),0)</f>
        <v>1615</v>
      </c>
      <c r="AM77" s="166">
        <f t="shared" si="78"/>
        <v>263</v>
      </c>
      <c r="AN77" s="152">
        <f ca="1">ROUND( (1 - MIN(facs_constr_factor*$AI77,facs_constr_max)) * (1+MIN(tech_construction*Techs!AE77,tech_conquerors_crafts*Techs!AU77)) * AU77*(1+race_construction_cost),0)</f>
        <v>1615</v>
      </c>
      <c r="AO77" s="166">
        <f t="shared" si="82"/>
        <v>263</v>
      </c>
      <c r="AP77" s="170">
        <f t="shared" ca="1" si="54"/>
        <v>0</v>
      </c>
      <c r="AQ77" s="157">
        <f t="shared" si="55"/>
        <v>0</v>
      </c>
      <c r="AR77" s="170">
        <f>MIN(SUM(F76:L76)+SUM(Explore!T65:Z65)+SUM(BV77:CN77),SUM($N77:$AF77))</f>
        <v>0</v>
      </c>
      <c r="AS77" s="170">
        <f>IF(Explore!S77&lt;&gt;0,MAX(0, MIN(20, 20 + SUM(N77:AF77) - SUM(BV77:CN77) - SUM(F76:L76)-SUM(Explore!T65:Z65)-20*Explore!S77)),0)</f>
        <v>0</v>
      </c>
      <c r="AU77" s="152">
        <f t="shared" si="83"/>
        <v>1615</v>
      </c>
      <c r="AV77" s="166">
        <f t="shared" si="84"/>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39"/>
      <c r="BS77" s="156">
        <f t="shared" si="96"/>
        <v>1000</v>
      </c>
      <c r="BT77" s="530">
        <f t="shared" si="97"/>
        <v>43771.083333333154</v>
      </c>
      <c r="BV77" s="352"/>
      <c r="BW77" s="345"/>
      <c r="BX77" s="345"/>
      <c r="BY77" s="345"/>
      <c r="BZ77" s="345"/>
      <c r="CA77" s="345"/>
      <c r="CB77" s="345"/>
      <c r="CC77" s="345"/>
      <c r="CD77" s="345"/>
      <c r="CE77" s="345"/>
      <c r="CF77" s="345"/>
      <c r="CG77" s="345"/>
      <c r="CH77" s="345"/>
      <c r="CI77" s="345"/>
      <c r="CJ77" s="345"/>
      <c r="CK77" s="345"/>
      <c r="CL77" s="345"/>
      <c r="CM77" s="759"/>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5">
        <f>-$AF77+$CN77 +Rezone!R77 + IF(home_land=CV$2,CW77) + Explore!Z65</f>
        <v>0</v>
      </c>
      <c r="CW77" s="159">
        <f>IF(Explore!S77=1,25) - N77 + BV77</f>
        <v>0</v>
      </c>
      <c r="CY77" s="152">
        <f t="shared" si="98"/>
        <v>150</v>
      </c>
      <c r="CZ77" s="164">
        <f t="shared" si="99"/>
        <v>150</v>
      </c>
      <c r="DA77" s="170">
        <f t="shared" si="100"/>
        <v>150</v>
      </c>
      <c r="DB77" s="164">
        <f t="shared" si="101"/>
        <v>150</v>
      </c>
      <c r="DC77" s="164">
        <f t="shared" si="102"/>
        <v>150</v>
      </c>
      <c r="DD77" s="170">
        <f t="shared" si="103"/>
        <v>150</v>
      </c>
      <c r="DE77" s="166">
        <f t="shared" si="104"/>
        <v>100</v>
      </c>
      <c r="DF77" s="164">
        <f t="shared" ca="1" si="105"/>
        <v>150</v>
      </c>
      <c r="DG77" s="170">
        <f t="shared" si="106"/>
        <v>0</v>
      </c>
      <c r="DH77" s="164">
        <f t="shared" si="107"/>
        <v>77</v>
      </c>
      <c r="DI77" s="166"/>
    </row>
    <row r="78" spans="1:114" s="16" customFormat="1" x14ac:dyDescent="0.25">
      <c r="A78" s="36">
        <f t="shared" si="85"/>
        <v>820</v>
      </c>
      <c r="B78" s="36">
        <f t="shared" si="86"/>
        <v>180</v>
      </c>
      <c r="C78" s="83">
        <f t="shared" si="87"/>
        <v>0</v>
      </c>
      <c r="D78" s="572"/>
      <c r="E78" s="16">
        <f t="shared" si="88"/>
        <v>1000</v>
      </c>
      <c r="F78" s="86">
        <f t="shared" si="89"/>
        <v>70</v>
      </c>
      <c r="G78" s="37">
        <f t="shared" si="90"/>
        <v>100</v>
      </c>
      <c r="H78" s="247">
        <f t="shared" si="91"/>
        <v>150</v>
      </c>
      <c r="I78" s="38">
        <f t="shared" si="92"/>
        <v>150</v>
      </c>
      <c r="J78" s="39">
        <f t="shared" si="93"/>
        <v>100</v>
      </c>
      <c r="K78" s="40">
        <f t="shared" si="94"/>
        <v>150</v>
      </c>
      <c r="L78" s="498">
        <f t="shared" si="95"/>
        <v>100</v>
      </c>
      <c r="M78" s="633">
        <f>Rezone!J78</f>
        <v>76</v>
      </c>
      <c r="N78" s="356"/>
      <c r="O78" s="348"/>
      <c r="P78" s="348"/>
      <c r="Q78" s="348"/>
      <c r="R78" s="345"/>
      <c r="S78" s="348"/>
      <c r="T78" s="348"/>
      <c r="U78" s="348"/>
      <c r="V78" s="348"/>
      <c r="W78" s="345"/>
      <c r="X78" s="345"/>
      <c r="Y78" s="348"/>
      <c r="Z78" s="345"/>
      <c r="AA78" s="348"/>
      <c r="AB78" s="348"/>
      <c r="AC78" s="345"/>
      <c r="AD78" s="348"/>
      <c r="AE78" s="348"/>
      <c r="AF78" s="336"/>
      <c r="AG78" s="530">
        <f>Imps!L78</f>
        <v>43768.781249999818</v>
      </c>
      <c r="AH78" s="91">
        <f>MIN(25%,(BG78+CE78)/(E78-Explore!S78*20))</f>
        <v>0</v>
      </c>
      <c r="AI78" s="59">
        <f t="shared" si="81"/>
        <v>0</v>
      </c>
      <c r="AJ78" s="56">
        <f ca="1">Production!$H78</f>
        <v>4850934</v>
      </c>
      <c r="AK78" s="57">
        <f ca="1">Production!$J78</f>
        <v>299412</v>
      </c>
      <c r="AL78" s="152">
        <f ca="1">ROUND( (1 - MIN(facs_constr_factor*$AH78,facs_constr_max)) * (1+MIN(tech_construction*Techs!AC78,tech_conquerors_crafts*Techs!AS78)) * AU78*(1+race_construction_cost),0)</f>
        <v>1615</v>
      </c>
      <c r="AM78" s="166">
        <f t="shared" si="78"/>
        <v>263</v>
      </c>
      <c r="AN78" s="152">
        <f ca="1">ROUND( (1 - MIN(facs_constr_factor*$AI78,facs_constr_max)) * (1+MIN(tech_construction*Techs!AE78,tech_conquerors_crafts*Techs!AU78)) * AU78*(1+race_construction_cost),0)</f>
        <v>1615</v>
      </c>
      <c r="AO78" s="166">
        <f t="shared" si="82"/>
        <v>263</v>
      </c>
      <c r="AP78" s="16">
        <f t="shared" ca="1" si="54"/>
        <v>0</v>
      </c>
      <c r="AQ78" s="53">
        <f t="shared" si="55"/>
        <v>0</v>
      </c>
      <c r="AR78" s="16">
        <f>MIN(SUM(F77:L77)+SUM(Explore!T66:Z66)+SUM(BV78:CN78),SUM($N78:$AF78))</f>
        <v>0</v>
      </c>
      <c r="AS78" s="16">
        <f>IF(Explore!S78&lt;&gt;0,MAX(0, MIN(20, 20 + SUM(N78:AF78) - SUM(BV78:CN78) - SUM(F77:L77)-SUM(Explore!T66:Z66)-20*Explore!S78)),0)</f>
        <v>0</v>
      </c>
      <c r="AU78" s="152">
        <f t="shared" si="83"/>
        <v>1615</v>
      </c>
      <c r="AV78" s="166">
        <f t="shared" si="84"/>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1"/>
      <c r="BS78" s="156">
        <f t="shared" si="96"/>
        <v>1000</v>
      </c>
      <c r="BT78" s="572">
        <f t="shared" si="97"/>
        <v>43771.124999999818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5">
        <f>-$AF78+$CN78 +Rezone!R78 + IF(home_land=CV$2,CW78) + Explore!Z66</f>
        <v>0</v>
      </c>
      <c r="CW78" s="159">
        <f>IF(Explore!S78=1,25) - N78 + BV78</f>
        <v>0</v>
      </c>
      <c r="CY78" s="152">
        <f t="shared" si="98"/>
        <v>150</v>
      </c>
      <c r="CZ78" s="164">
        <f t="shared" si="99"/>
        <v>150</v>
      </c>
      <c r="DA78" s="170">
        <f t="shared" si="100"/>
        <v>150</v>
      </c>
      <c r="DB78" s="164">
        <f t="shared" si="101"/>
        <v>150</v>
      </c>
      <c r="DC78" s="164">
        <f t="shared" si="102"/>
        <v>150</v>
      </c>
      <c r="DD78" s="170">
        <f t="shared" si="103"/>
        <v>150</v>
      </c>
      <c r="DE78" s="166">
        <f t="shared" si="104"/>
        <v>100</v>
      </c>
      <c r="DF78" s="164">
        <f t="shared" ca="1" si="105"/>
        <v>150</v>
      </c>
      <c r="DG78" s="170">
        <f t="shared" si="106"/>
        <v>0</v>
      </c>
      <c r="DH78" s="164">
        <f t="shared" si="107"/>
        <v>78</v>
      </c>
      <c r="DI78" s="166"/>
    </row>
    <row r="79" spans="1:114" s="16" customFormat="1" x14ac:dyDescent="0.25">
      <c r="A79" s="36">
        <f t="shared" si="85"/>
        <v>820</v>
      </c>
      <c r="B79" s="36">
        <f t="shared" si="86"/>
        <v>180</v>
      </c>
      <c r="C79" s="83">
        <f t="shared" si="87"/>
        <v>0</v>
      </c>
      <c r="D79" s="572"/>
      <c r="E79" s="16">
        <f t="shared" si="88"/>
        <v>1000</v>
      </c>
      <c r="F79" s="86">
        <f t="shared" si="89"/>
        <v>70</v>
      </c>
      <c r="G79" s="37">
        <f t="shared" si="90"/>
        <v>100</v>
      </c>
      <c r="H79" s="247">
        <f t="shared" si="91"/>
        <v>150</v>
      </c>
      <c r="I79" s="38">
        <f t="shared" si="92"/>
        <v>150</v>
      </c>
      <c r="J79" s="39">
        <f t="shared" si="93"/>
        <v>100</v>
      </c>
      <c r="K79" s="40">
        <f t="shared" si="94"/>
        <v>150</v>
      </c>
      <c r="L79" s="498">
        <f t="shared" si="95"/>
        <v>100</v>
      </c>
      <c r="M79" s="633">
        <f>Rezone!J79</f>
        <v>77</v>
      </c>
      <c r="N79" s="356"/>
      <c r="O79" s="348"/>
      <c r="P79" s="348"/>
      <c r="Q79" s="348"/>
      <c r="R79" s="345"/>
      <c r="S79" s="348"/>
      <c r="T79" s="348"/>
      <c r="U79" s="348"/>
      <c r="V79" s="348"/>
      <c r="W79" s="345"/>
      <c r="X79" s="345"/>
      <c r="Y79" s="348"/>
      <c r="Z79" s="345"/>
      <c r="AA79" s="348"/>
      <c r="AB79" s="348"/>
      <c r="AC79" s="345"/>
      <c r="AD79" s="348"/>
      <c r="AE79" s="348"/>
      <c r="AF79" s="336"/>
      <c r="AG79" s="530">
        <f>Imps!L79</f>
        <v>43768.791666666482</v>
      </c>
      <c r="AH79" s="91">
        <f>MIN(25%,(BG79+CE79)/(E79-Explore!S79*20))</f>
        <v>0</v>
      </c>
      <c r="AI79" s="59">
        <f t="shared" si="81"/>
        <v>0</v>
      </c>
      <c r="AJ79" s="56">
        <f ca="1">Production!$H79</f>
        <v>4855915</v>
      </c>
      <c r="AK79" s="57">
        <f ca="1">Production!$J79</f>
        <v>298918</v>
      </c>
      <c r="AL79" s="152">
        <f ca="1">ROUND( (1 - MIN(facs_constr_factor*$AH79,facs_constr_max)) * (1+MIN(tech_construction*Techs!AC79,tech_conquerors_crafts*Techs!AS79)) * AU79*(1+race_construction_cost),0)</f>
        <v>1615</v>
      </c>
      <c r="AM79" s="166">
        <f t="shared" si="78"/>
        <v>263</v>
      </c>
      <c r="AN79" s="152">
        <f ca="1">ROUND( (1 - MIN(facs_constr_factor*$AI79,facs_constr_max)) * (1+MIN(tech_construction*Techs!AE79,tech_conquerors_crafts*Techs!AU79)) * AU79*(1+race_construction_cost),0)</f>
        <v>1615</v>
      </c>
      <c r="AO79" s="166">
        <f t="shared" si="82"/>
        <v>263</v>
      </c>
      <c r="AP79" s="16">
        <f t="shared" ca="1" si="54"/>
        <v>0</v>
      </c>
      <c r="AQ79" s="53">
        <f t="shared" si="55"/>
        <v>0</v>
      </c>
      <c r="AR79" s="16">
        <f>MIN(SUM(F78:L78)+SUM(Explore!T67:Z67)+SUM(BV79:CN79),SUM($N79:$AF79))</f>
        <v>0</v>
      </c>
      <c r="AS79" s="16">
        <f>IF(Explore!S79&lt;&gt;0,MAX(0, MIN(20, 20 + SUM(N79:AF79) - SUM(BV79:CN79) - SUM(F78:L78)-SUM(Explore!T67:Z67)-20*Explore!S79)),0)</f>
        <v>0</v>
      </c>
      <c r="AU79" s="152">
        <f t="shared" si="83"/>
        <v>1615</v>
      </c>
      <c r="AV79" s="166">
        <f t="shared" si="84"/>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1"/>
      <c r="BS79" s="156">
        <f t="shared" si="96"/>
        <v>1000</v>
      </c>
      <c r="BT79" s="572">
        <f t="shared" si="97"/>
        <v>43771.166666666482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5">
        <f>-$AF79+$CN79 +Rezone!R79 + IF(home_land=CV$2,CW79) + Explore!Z67</f>
        <v>0</v>
      </c>
      <c r="CW79" s="159">
        <f>IF(Explore!S79=1,25) - N79 + BV79</f>
        <v>0</v>
      </c>
      <c r="CY79" s="152">
        <f t="shared" si="98"/>
        <v>150</v>
      </c>
      <c r="CZ79" s="164">
        <f t="shared" si="99"/>
        <v>150</v>
      </c>
      <c r="DA79" s="170">
        <f t="shared" si="100"/>
        <v>150</v>
      </c>
      <c r="DB79" s="164">
        <f t="shared" si="101"/>
        <v>150</v>
      </c>
      <c r="DC79" s="164">
        <f t="shared" si="102"/>
        <v>150</v>
      </c>
      <c r="DD79" s="170">
        <f t="shared" si="103"/>
        <v>150</v>
      </c>
      <c r="DE79" s="166">
        <f t="shared" si="104"/>
        <v>100</v>
      </c>
      <c r="DF79" s="164">
        <f t="shared" ca="1" si="105"/>
        <v>150</v>
      </c>
      <c r="DG79" s="170">
        <f t="shared" si="106"/>
        <v>0</v>
      </c>
      <c r="DH79" s="164">
        <f t="shared" si="107"/>
        <v>79</v>
      </c>
      <c r="DI79" s="166"/>
    </row>
    <row r="80" spans="1:114" s="16" customFormat="1" x14ac:dyDescent="0.25">
      <c r="A80" s="36">
        <f t="shared" si="85"/>
        <v>820</v>
      </c>
      <c r="B80" s="36">
        <f t="shared" si="86"/>
        <v>180</v>
      </c>
      <c r="C80" s="83">
        <f t="shared" si="87"/>
        <v>0</v>
      </c>
      <c r="D80" s="572"/>
      <c r="E80" s="16">
        <f t="shared" si="88"/>
        <v>1000</v>
      </c>
      <c r="F80" s="86">
        <f t="shared" si="89"/>
        <v>70</v>
      </c>
      <c r="G80" s="37">
        <f t="shared" si="90"/>
        <v>100</v>
      </c>
      <c r="H80" s="247">
        <f t="shared" si="91"/>
        <v>150</v>
      </c>
      <c r="I80" s="38">
        <f t="shared" si="92"/>
        <v>150</v>
      </c>
      <c r="J80" s="39">
        <f t="shared" si="93"/>
        <v>100</v>
      </c>
      <c r="K80" s="40">
        <f t="shared" si="94"/>
        <v>150</v>
      </c>
      <c r="L80" s="498">
        <f t="shared" si="95"/>
        <v>100</v>
      </c>
      <c r="M80" s="633">
        <f>Rezone!J80</f>
        <v>78</v>
      </c>
      <c r="N80" s="356"/>
      <c r="O80" s="348"/>
      <c r="P80" s="348"/>
      <c r="Q80" s="348"/>
      <c r="R80" s="345"/>
      <c r="S80" s="348"/>
      <c r="T80" s="348"/>
      <c r="U80" s="348"/>
      <c r="V80" s="348"/>
      <c r="W80" s="345"/>
      <c r="X80" s="345"/>
      <c r="Y80" s="348"/>
      <c r="Z80" s="345"/>
      <c r="AA80" s="348"/>
      <c r="AB80" s="348"/>
      <c r="AC80" s="345"/>
      <c r="AD80" s="348"/>
      <c r="AE80" s="348"/>
      <c r="AF80" s="336"/>
      <c r="AG80" s="530">
        <f>Imps!L80</f>
        <v>43768.802083333147</v>
      </c>
      <c r="AH80" s="91">
        <f>MIN(25%,(BG80+CE80)/(E80-Explore!S80*20))</f>
        <v>0</v>
      </c>
      <c r="AI80" s="59">
        <f t="shared" si="81"/>
        <v>0</v>
      </c>
      <c r="AJ80" s="56">
        <f ca="1">Production!$H80</f>
        <v>4860896</v>
      </c>
      <c r="AK80" s="57">
        <f ca="1">Production!$J80</f>
        <v>298429</v>
      </c>
      <c r="AL80" s="152">
        <f ca="1">ROUND( (1 - MIN(facs_constr_factor*$AH80,facs_constr_max)) * (1+MIN(tech_construction*Techs!AC80,tech_conquerors_crafts*Techs!AS80)) * AU80*(1+race_construction_cost),0)</f>
        <v>1615</v>
      </c>
      <c r="AM80" s="166">
        <f t="shared" si="78"/>
        <v>263</v>
      </c>
      <c r="AN80" s="152">
        <f ca="1">ROUND( (1 - MIN(facs_constr_factor*$AI80,facs_constr_max)) * (1+MIN(tech_construction*Techs!AE80,tech_conquerors_crafts*Techs!AU80)) * AU80*(1+race_construction_cost),0)</f>
        <v>1615</v>
      </c>
      <c r="AO80" s="166">
        <f t="shared" si="82"/>
        <v>263</v>
      </c>
      <c r="AP80" s="16">
        <f t="shared" ca="1" si="54"/>
        <v>0</v>
      </c>
      <c r="AQ80" s="53">
        <f t="shared" si="55"/>
        <v>0</v>
      </c>
      <c r="AR80" s="16">
        <f>MIN(SUM(F79:L79)+SUM(Explore!T68:Z68)+SUM(BV80:CN80),SUM($N80:$AF80))</f>
        <v>0</v>
      </c>
      <c r="AS80" s="16">
        <f>IF(Explore!S80&lt;&gt;0,MAX(0, MIN(20, 20 + SUM(N80:AF80) - SUM(BV80:CN80) - SUM(F79:L79)-SUM(Explore!T68:Z68)-20*Explore!S80)),0)</f>
        <v>0</v>
      </c>
      <c r="AU80" s="152">
        <f t="shared" si="83"/>
        <v>1615</v>
      </c>
      <c r="AV80" s="166">
        <f t="shared" si="84"/>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1"/>
      <c r="BS80" s="156">
        <f t="shared" si="96"/>
        <v>1000</v>
      </c>
      <c r="BT80" s="572">
        <f t="shared" si="97"/>
        <v>43771.208333333147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5">
        <f>-$AF80+$CN80 +Rezone!R80 + IF(home_land=CV$2,CW80) + Explore!Z68</f>
        <v>0</v>
      </c>
      <c r="CW80" s="159">
        <f>IF(Explore!S80=1,25) - N80 + BV80</f>
        <v>0</v>
      </c>
      <c r="CY80" s="152">
        <f t="shared" si="98"/>
        <v>150</v>
      </c>
      <c r="CZ80" s="164">
        <f t="shared" si="99"/>
        <v>150</v>
      </c>
      <c r="DA80" s="170">
        <f t="shared" si="100"/>
        <v>150</v>
      </c>
      <c r="DB80" s="164">
        <f t="shared" si="101"/>
        <v>150</v>
      </c>
      <c r="DC80" s="164">
        <f t="shared" si="102"/>
        <v>150</v>
      </c>
      <c r="DD80" s="170">
        <f t="shared" si="103"/>
        <v>150</v>
      </c>
      <c r="DE80" s="166">
        <f t="shared" si="104"/>
        <v>100</v>
      </c>
      <c r="DF80" s="164">
        <f t="shared" ca="1" si="105"/>
        <v>150</v>
      </c>
      <c r="DG80" s="170">
        <f t="shared" si="106"/>
        <v>0</v>
      </c>
      <c r="DH80" s="164">
        <f t="shared" si="107"/>
        <v>80</v>
      </c>
      <c r="DI80" s="166"/>
    </row>
    <row r="81" spans="1:113" s="16" customFormat="1" x14ac:dyDescent="0.25">
      <c r="A81" s="36">
        <f t="shared" si="85"/>
        <v>820</v>
      </c>
      <c r="B81" s="36">
        <f t="shared" si="86"/>
        <v>180</v>
      </c>
      <c r="C81" s="83">
        <f t="shared" si="87"/>
        <v>0</v>
      </c>
      <c r="D81" s="572"/>
      <c r="E81" s="16">
        <f t="shared" si="88"/>
        <v>1000</v>
      </c>
      <c r="F81" s="86">
        <f t="shared" si="89"/>
        <v>70</v>
      </c>
      <c r="G81" s="37">
        <f t="shared" si="90"/>
        <v>100</v>
      </c>
      <c r="H81" s="247">
        <f t="shared" si="91"/>
        <v>150</v>
      </c>
      <c r="I81" s="38">
        <f t="shared" si="92"/>
        <v>150</v>
      </c>
      <c r="J81" s="39">
        <f t="shared" si="93"/>
        <v>100</v>
      </c>
      <c r="K81" s="40">
        <f t="shared" si="94"/>
        <v>150</v>
      </c>
      <c r="L81" s="498">
        <f t="shared" si="95"/>
        <v>100</v>
      </c>
      <c r="M81" s="633">
        <f>Rezone!J81</f>
        <v>79</v>
      </c>
      <c r="N81" s="356"/>
      <c r="O81" s="348"/>
      <c r="P81" s="348"/>
      <c r="Q81" s="348"/>
      <c r="R81" s="345"/>
      <c r="S81" s="348"/>
      <c r="T81" s="348"/>
      <c r="U81" s="348"/>
      <c r="V81" s="348"/>
      <c r="W81" s="345"/>
      <c r="X81" s="345"/>
      <c r="Y81" s="348"/>
      <c r="Z81" s="345"/>
      <c r="AA81" s="348"/>
      <c r="AB81" s="348"/>
      <c r="AC81" s="345"/>
      <c r="AD81" s="348"/>
      <c r="AE81" s="348"/>
      <c r="AF81" s="336"/>
      <c r="AG81" s="530">
        <f>Imps!L81</f>
        <v>43768.812499999811</v>
      </c>
      <c r="AH81" s="91">
        <f>MIN(25%,(BG81+CE81)/(E81-Explore!S81*20))</f>
        <v>0</v>
      </c>
      <c r="AI81" s="59">
        <f t="shared" si="81"/>
        <v>0</v>
      </c>
      <c r="AJ81" s="56">
        <f ca="1">Production!$H81</f>
        <v>4865877</v>
      </c>
      <c r="AK81" s="57">
        <f ca="1">Production!$J81</f>
        <v>297945</v>
      </c>
      <c r="AL81" s="152">
        <f ca="1">ROUND( (1 - MIN(facs_constr_factor*$AH81,facs_constr_max)) * (1+MIN(tech_construction*Techs!AC81,tech_conquerors_crafts*Techs!AS81)) * AU81*(1+race_construction_cost),0)</f>
        <v>1615</v>
      </c>
      <c r="AM81" s="166">
        <f t="shared" si="78"/>
        <v>263</v>
      </c>
      <c r="AN81" s="152">
        <f ca="1">ROUND( (1 - MIN(facs_constr_factor*$AI81,facs_constr_max)) * (1+MIN(tech_construction*Techs!AE81,tech_conquerors_crafts*Techs!AU81)) * AU81*(1+race_construction_cost),0)</f>
        <v>1615</v>
      </c>
      <c r="AO81" s="166">
        <f t="shared" si="82"/>
        <v>263</v>
      </c>
      <c r="AP81" s="16">
        <f t="shared" ca="1" si="54"/>
        <v>0</v>
      </c>
      <c r="AQ81" s="53">
        <f t="shared" si="55"/>
        <v>0</v>
      </c>
      <c r="AR81" s="16">
        <f>MIN(SUM(F80:L80)+SUM(Explore!T69:Z69)+SUM(BV81:CN81),SUM($N81:$AF81))</f>
        <v>0</v>
      </c>
      <c r="AS81" s="16">
        <f>IF(Explore!S81&lt;&gt;0,MAX(0, MIN(20, 20 + SUM(N81:AF81) - SUM(BV81:CN81) - SUM(F80:L80)-SUM(Explore!T69:Z69)-20*Explore!S81)),0)</f>
        <v>0</v>
      </c>
      <c r="AU81" s="152">
        <f t="shared" si="83"/>
        <v>1615</v>
      </c>
      <c r="AV81" s="166">
        <f t="shared" si="84"/>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1"/>
      <c r="BS81" s="156">
        <f t="shared" si="96"/>
        <v>1000</v>
      </c>
      <c r="BT81" s="572">
        <f t="shared" si="97"/>
        <v>43771.249999999811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5">
        <f>-$AF81+$CN81 +Rezone!R81 + IF(home_land=CV$2,CW81) + Explore!Z69</f>
        <v>0</v>
      </c>
      <c r="CW81" s="159">
        <f>IF(Explore!S81=1,25) - N81 + BV81</f>
        <v>0</v>
      </c>
      <c r="CY81" s="152">
        <f t="shared" si="98"/>
        <v>150</v>
      </c>
      <c r="CZ81" s="164">
        <f t="shared" si="99"/>
        <v>150</v>
      </c>
      <c r="DA81" s="170">
        <f t="shared" si="100"/>
        <v>150</v>
      </c>
      <c r="DB81" s="164">
        <f t="shared" si="101"/>
        <v>150</v>
      </c>
      <c r="DC81" s="164">
        <f t="shared" si="102"/>
        <v>150</v>
      </c>
      <c r="DD81" s="170">
        <f t="shared" si="103"/>
        <v>150</v>
      </c>
      <c r="DE81" s="166">
        <f t="shared" si="104"/>
        <v>100</v>
      </c>
      <c r="DF81" s="164">
        <f t="shared" ca="1" si="105"/>
        <v>150</v>
      </c>
      <c r="DG81" s="170">
        <f t="shared" si="106"/>
        <v>0</v>
      </c>
      <c r="DH81" s="164">
        <f t="shared" si="107"/>
        <v>81</v>
      </c>
      <c r="DI81" s="166"/>
    </row>
    <row r="82" spans="1:113" s="16" customFormat="1" x14ac:dyDescent="0.25">
      <c r="A82" s="36">
        <f t="shared" si="85"/>
        <v>820</v>
      </c>
      <c r="B82" s="36">
        <f t="shared" si="86"/>
        <v>180</v>
      </c>
      <c r="C82" s="83">
        <f t="shared" si="87"/>
        <v>0</v>
      </c>
      <c r="D82" s="572"/>
      <c r="E82" s="16">
        <f t="shared" si="88"/>
        <v>1000</v>
      </c>
      <c r="F82" s="86">
        <f t="shared" si="89"/>
        <v>70</v>
      </c>
      <c r="G82" s="37">
        <f t="shared" si="90"/>
        <v>100</v>
      </c>
      <c r="H82" s="247">
        <f t="shared" si="91"/>
        <v>150</v>
      </c>
      <c r="I82" s="38">
        <f t="shared" si="92"/>
        <v>150</v>
      </c>
      <c r="J82" s="39">
        <f t="shared" si="93"/>
        <v>100</v>
      </c>
      <c r="K82" s="40">
        <f t="shared" si="94"/>
        <v>150</v>
      </c>
      <c r="L82" s="498">
        <f t="shared" si="95"/>
        <v>100</v>
      </c>
      <c r="M82" s="633">
        <f>Rezone!J82</f>
        <v>80</v>
      </c>
      <c r="N82" s="356"/>
      <c r="O82" s="348"/>
      <c r="P82" s="348"/>
      <c r="Q82" s="348"/>
      <c r="R82" s="345"/>
      <c r="S82" s="348"/>
      <c r="T82" s="348"/>
      <c r="U82" s="348"/>
      <c r="V82" s="348"/>
      <c r="W82" s="345"/>
      <c r="X82" s="345"/>
      <c r="Y82" s="348"/>
      <c r="Z82" s="345"/>
      <c r="AA82" s="348"/>
      <c r="AB82" s="348"/>
      <c r="AC82" s="345"/>
      <c r="AD82" s="348"/>
      <c r="AE82" s="348"/>
      <c r="AF82" s="336"/>
      <c r="AG82" s="530">
        <f>Imps!L82</f>
        <v>43768.822916666475</v>
      </c>
      <c r="AH82" s="91">
        <f>MIN(25%,(BG82+CE82)/(E82-Explore!S82*20))</f>
        <v>0</v>
      </c>
      <c r="AI82" s="59">
        <f t="shared" si="81"/>
        <v>0</v>
      </c>
      <c r="AJ82" s="56">
        <f ca="1">Production!$H82</f>
        <v>4870858</v>
      </c>
      <c r="AK82" s="57">
        <f ca="1">Production!$J82</f>
        <v>297466</v>
      </c>
      <c r="AL82" s="152">
        <f ca="1">ROUND( (1 - MIN(facs_constr_factor*$AH82,facs_constr_max)) * (1+MIN(tech_construction*Techs!AC82,tech_conquerors_crafts*Techs!AS82)) * AU82*(1+race_construction_cost),0)</f>
        <v>1615</v>
      </c>
      <c r="AM82" s="166">
        <f t="shared" si="78"/>
        <v>263</v>
      </c>
      <c r="AN82" s="152">
        <f ca="1">ROUND( (1 - MIN(facs_constr_factor*$AI82,facs_constr_max)) * (1+MIN(tech_construction*Techs!AE82,tech_conquerors_crafts*Techs!AU82)) * AU82*(1+race_construction_cost),0)</f>
        <v>1615</v>
      </c>
      <c r="AO82" s="166">
        <f t="shared" si="82"/>
        <v>263</v>
      </c>
      <c r="AP82" s="16">
        <f t="shared" ref="AP82:AP135" ca="1" si="108">AR82*AL82 + AS82*AN82</f>
        <v>0</v>
      </c>
      <c r="AQ82" s="53">
        <f t="shared" ref="AQ82:AQ135" si="109">AR82*AM82+AS82*AO82</f>
        <v>0</v>
      </c>
      <c r="AR82" s="16">
        <f>MIN(SUM(F81:L81)+SUM(Explore!T70:Z70)+SUM(BV82:CN82),SUM($N82:$AF82))</f>
        <v>0</v>
      </c>
      <c r="AS82" s="16">
        <f>IF(Explore!S82&lt;&gt;0,MAX(0, MIN(20, 20 + SUM(N82:AF82) - SUM(BV82:CN82) - SUM(F81:L81)-SUM(Explore!T70:Z70)-20*Explore!S82)),0)</f>
        <v>0</v>
      </c>
      <c r="AU82" s="152">
        <f t="shared" si="83"/>
        <v>1615</v>
      </c>
      <c r="AV82" s="166">
        <f t="shared" si="84"/>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1"/>
      <c r="BS82" s="156">
        <f t="shared" si="96"/>
        <v>1000</v>
      </c>
      <c r="BT82" s="572">
        <f t="shared" si="97"/>
        <v>43771.291666666475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5">
        <f>-$AF82+$CN82 +Rezone!R82 + IF(home_land=CV$2,CW82) + Explore!Z70</f>
        <v>0</v>
      </c>
      <c r="CW82" s="159">
        <f>IF(Explore!S82=1,25) - N82 + BV82</f>
        <v>0</v>
      </c>
      <c r="CY82" s="152">
        <f t="shared" si="98"/>
        <v>150</v>
      </c>
      <c r="CZ82" s="164">
        <f t="shared" si="99"/>
        <v>150</v>
      </c>
      <c r="DA82" s="170">
        <f t="shared" si="100"/>
        <v>150</v>
      </c>
      <c r="DB82" s="164">
        <f t="shared" si="101"/>
        <v>150</v>
      </c>
      <c r="DC82" s="164">
        <f t="shared" si="102"/>
        <v>150</v>
      </c>
      <c r="DD82" s="170">
        <f t="shared" si="103"/>
        <v>150</v>
      </c>
      <c r="DE82" s="166">
        <f t="shared" si="104"/>
        <v>100</v>
      </c>
      <c r="DF82" s="164">
        <f t="shared" ca="1" si="105"/>
        <v>150</v>
      </c>
      <c r="DG82" s="170">
        <f t="shared" si="106"/>
        <v>0</v>
      </c>
      <c r="DH82" s="164">
        <f t="shared" si="107"/>
        <v>82</v>
      </c>
      <c r="DI82" s="166"/>
    </row>
    <row r="83" spans="1:113" s="16" customFormat="1" x14ac:dyDescent="0.25">
      <c r="A83" s="36">
        <f t="shared" si="85"/>
        <v>820</v>
      </c>
      <c r="B83" s="36">
        <f t="shared" si="86"/>
        <v>180</v>
      </c>
      <c r="C83" s="83">
        <f t="shared" si="87"/>
        <v>0</v>
      </c>
      <c r="D83" s="572"/>
      <c r="E83" s="16">
        <f t="shared" si="88"/>
        <v>1000</v>
      </c>
      <c r="F83" s="86">
        <f t="shared" si="89"/>
        <v>70</v>
      </c>
      <c r="G83" s="37">
        <f t="shared" si="90"/>
        <v>100</v>
      </c>
      <c r="H83" s="247">
        <f t="shared" si="91"/>
        <v>150</v>
      </c>
      <c r="I83" s="38">
        <f t="shared" si="92"/>
        <v>150</v>
      </c>
      <c r="J83" s="39">
        <f t="shared" si="93"/>
        <v>100</v>
      </c>
      <c r="K83" s="40">
        <f t="shared" si="94"/>
        <v>150</v>
      </c>
      <c r="L83" s="498">
        <f t="shared" si="95"/>
        <v>100</v>
      </c>
      <c r="M83" s="633">
        <f>Rezone!J83</f>
        <v>81</v>
      </c>
      <c r="N83" s="356"/>
      <c r="O83" s="348"/>
      <c r="P83" s="348"/>
      <c r="Q83" s="376"/>
      <c r="R83" s="345"/>
      <c r="S83" s="348"/>
      <c r="T83" s="348"/>
      <c r="U83" s="348"/>
      <c r="V83" s="348"/>
      <c r="W83" s="345"/>
      <c r="X83" s="345"/>
      <c r="Y83" s="348"/>
      <c r="Z83" s="345"/>
      <c r="AA83" s="348"/>
      <c r="AB83" s="348"/>
      <c r="AC83" s="345"/>
      <c r="AD83" s="348"/>
      <c r="AE83" s="348"/>
      <c r="AF83" s="336"/>
      <c r="AG83" s="530">
        <f>Imps!L83</f>
        <v>43768.833333333139</v>
      </c>
      <c r="AH83" s="91">
        <f>MIN(25%,(BG83+CE83)/(E83-Explore!S83*20))</f>
        <v>0</v>
      </c>
      <c r="AI83" s="59">
        <f t="shared" si="81"/>
        <v>0</v>
      </c>
      <c r="AJ83" s="56">
        <f ca="1">Production!$H83</f>
        <v>4875839</v>
      </c>
      <c r="AK83" s="57">
        <f ca="1">Production!$J83</f>
        <v>296991</v>
      </c>
      <c r="AL83" s="152">
        <f ca="1">ROUND( (1 - MIN(facs_constr_factor*$AH83,facs_constr_max)) * (1+MIN(tech_construction*Techs!AC83,tech_conquerors_crafts*Techs!AS83)) * AU83*(1+race_construction_cost),0)</f>
        <v>1615</v>
      </c>
      <c r="AM83" s="166">
        <f t="shared" si="78"/>
        <v>263</v>
      </c>
      <c r="AN83" s="152">
        <f ca="1">ROUND( (1 - MIN(facs_constr_factor*$AI83,facs_constr_max)) * (1+MIN(tech_construction*Techs!AE83,tech_conquerors_crafts*Techs!AU83)) * AU83*(1+race_construction_cost),0)</f>
        <v>1615</v>
      </c>
      <c r="AO83" s="166">
        <f t="shared" si="82"/>
        <v>263</v>
      </c>
      <c r="AP83" s="16">
        <f t="shared" ca="1" si="108"/>
        <v>0</v>
      </c>
      <c r="AQ83" s="53">
        <f t="shared" si="109"/>
        <v>0</v>
      </c>
      <c r="AR83" s="16">
        <f>MIN(SUM(F82:L82)+SUM(Explore!T71:Z71)+SUM(BV83:CN83),SUM($N83:$AF83))</f>
        <v>0</v>
      </c>
      <c r="AS83" s="16">
        <f>IF(Explore!S83&lt;&gt;0,MAX(0, MIN(20, 20 + SUM(N83:AF83) - SUM(BV83:CN83) - SUM(F82:L82)-SUM(Explore!T71:Z71)-20*Explore!S83)),0)</f>
        <v>0</v>
      </c>
      <c r="AU83" s="152">
        <f t="shared" si="83"/>
        <v>1615</v>
      </c>
      <c r="AV83" s="166">
        <f t="shared" si="84"/>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1"/>
      <c r="BS83" s="156">
        <f t="shared" si="96"/>
        <v>1000</v>
      </c>
      <c r="BT83" s="572">
        <f t="shared" si="97"/>
        <v>43771.333333333139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5">
        <f>-$AF83+$CN83 +Rezone!R83 + IF(home_land=CV$2,CW83) + Explore!Z71</f>
        <v>0</v>
      </c>
      <c r="CW83" s="159">
        <f>IF(Explore!S83=1,25) - N83 + BV83</f>
        <v>0</v>
      </c>
      <c r="CY83" s="152">
        <f t="shared" si="98"/>
        <v>150</v>
      </c>
      <c r="CZ83" s="164">
        <f t="shared" si="99"/>
        <v>150</v>
      </c>
      <c r="DA83" s="170">
        <f t="shared" si="100"/>
        <v>150</v>
      </c>
      <c r="DB83" s="164">
        <f t="shared" si="101"/>
        <v>150</v>
      </c>
      <c r="DC83" s="164">
        <f t="shared" si="102"/>
        <v>150</v>
      </c>
      <c r="DD83" s="170">
        <f t="shared" si="103"/>
        <v>150</v>
      </c>
      <c r="DE83" s="166">
        <f t="shared" si="104"/>
        <v>100</v>
      </c>
      <c r="DF83" s="164">
        <f t="shared" ca="1" si="105"/>
        <v>150</v>
      </c>
      <c r="DG83" s="170">
        <f t="shared" si="106"/>
        <v>0</v>
      </c>
      <c r="DH83" s="164">
        <f t="shared" si="107"/>
        <v>83</v>
      </c>
      <c r="DI83" s="166"/>
    </row>
    <row r="84" spans="1:113" s="16" customFormat="1" x14ac:dyDescent="0.25">
      <c r="A84" s="36">
        <f t="shared" si="85"/>
        <v>820</v>
      </c>
      <c r="B84" s="36">
        <f t="shared" si="86"/>
        <v>180</v>
      </c>
      <c r="C84" s="83">
        <f t="shared" si="87"/>
        <v>0</v>
      </c>
      <c r="D84" s="572"/>
      <c r="E84" s="16">
        <f t="shared" si="88"/>
        <v>1000</v>
      </c>
      <c r="F84" s="86">
        <f t="shared" si="89"/>
        <v>70</v>
      </c>
      <c r="G84" s="37">
        <f t="shared" si="90"/>
        <v>100</v>
      </c>
      <c r="H84" s="247">
        <f t="shared" si="91"/>
        <v>150</v>
      </c>
      <c r="I84" s="38">
        <f t="shared" si="92"/>
        <v>150</v>
      </c>
      <c r="J84" s="39">
        <f t="shared" si="93"/>
        <v>100</v>
      </c>
      <c r="K84" s="40">
        <f t="shared" si="94"/>
        <v>150</v>
      </c>
      <c r="L84" s="498">
        <f t="shared" si="95"/>
        <v>100</v>
      </c>
      <c r="M84" s="633">
        <f>Rezone!J84</f>
        <v>82</v>
      </c>
      <c r="N84" s="356"/>
      <c r="O84" s="348"/>
      <c r="P84" s="348"/>
      <c r="Q84" s="376"/>
      <c r="R84" s="345"/>
      <c r="S84" s="348"/>
      <c r="T84" s="348"/>
      <c r="U84" s="348"/>
      <c r="V84" s="348"/>
      <c r="W84" s="345"/>
      <c r="X84" s="345"/>
      <c r="Y84" s="348"/>
      <c r="Z84" s="345"/>
      <c r="AA84" s="348"/>
      <c r="AB84" s="348"/>
      <c r="AC84" s="345"/>
      <c r="AD84" s="348"/>
      <c r="AE84" s="348"/>
      <c r="AF84" s="336"/>
      <c r="AG84" s="530">
        <f>Imps!L84</f>
        <v>43768.843749999804</v>
      </c>
      <c r="AH84" s="91">
        <f>MIN(25%,(BG84+CE84)/(E84-Explore!S84*20))</f>
        <v>0</v>
      </c>
      <c r="AI84" s="59">
        <f t="shared" si="81"/>
        <v>0</v>
      </c>
      <c r="AJ84" s="56">
        <f ca="1">Production!$H84</f>
        <v>4880820</v>
      </c>
      <c r="AK84" s="57">
        <f ca="1">Production!$J84</f>
        <v>296521</v>
      </c>
      <c r="AL84" s="152">
        <f ca="1">ROUND( (1 - MIN(facs_constr_factor*$AH84,facs_constr_max)) * (1+MIN(tech_construction*Techs!AC84,tech_conquerors_crafts*Techs!AS84)) * AU84*(1+race_construction_cost),0)</f>
        <v>1615</v>
      </c>
      <c r="AM84" s="166">
        <f t="shared" si="78"/>
        <v>263</v>
      </c>
      <c r="AN84" s="152">
        <f ca="1">ROUND( (1 - MIN(facs_constr_factor*$AI84,facs_constr_max)) * (1+MIN(tech_construction*Techs!AE84,tech_conquerors_crafts*Techs!AU84)) * AU84*(1+race_construction_cost),0)</f>
        <v>1615</v>
      </c>
      <c r="AO84" s="166">
        <f t="shared" si="82"/>
        <v>263</v>
      </c>
      <c r="AP84" s="16">
        <f t="shared" ca="1" si="108"/>
        <v>0</v>
      </c>
      <c r="AQ84" s="53">
        <f t="shared" si="109"/>
        <v>0</v>
      </c>
      <c r="AR84" s="16">
        <f>MIN(SUM(F83:L83)+SUM(Explore!T72:Z72)+SUM(BV84:CN84),SUM($N84:$AF84))</f>
        <v>0</v>
      </c>
      <c r="AS84" s="16">
        <f>IF(Explore!S84&lt;&gt;0,MAX(0, MIN(20, 20 + SUM(N84:AF84) - SUM(BV84:CN84) - SUM(F83:L83)-SUM(Explore!T72:Z72)-20*Explore!S84)),0)</f>
        <v>0</v>
      </c>
      <c r="AU84" s="152">
        <f t="shared" si="83"/>
        <v>1615</v>
      </c>
      <c r="AV84" s="166">
        <f t="shared" si="84"/>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1"/>
      <c r="BS84" s="156">
        <f t="shared" si="96"/>
        <v>1000</v>
      </c>
      <c r="BT84" s="572">
        <f t="shared" si="97"/>
        <v>43771.374999999804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5">
        <f>-$AF84+$CN84 +Rezone!R84 + IF(home_land=CV$2,CW84) + Explore!Z72</f>
        <v>0</v>
      </c>
      <c r="CW84" s="159">
        <f>IF(Explore!S84=1,25) - N84 + BV84</f>
        <v>0</v>
      </c>
      <c r="CY84" s="152">
        <f t="shared" si="98"/>
        <v>150</v>
      </c>
      <c r="CZ84" s="164">
        <f t="shared" si="99"/>
        <v>150</v>
      </c>
      <c r="DA84" s="170">
        <f t="shared" si="100"/>
        <v>150</v>
      </c>
      <c r="DB84" s="164">
        <f t="shared" si="101"/>
        <v>150</v>
      </c>
      <c r="DC84" s="164">
        <f t="shared" si="102"/>
        <v>150</v>
      </c>
      <c r="DD84" s="170">
        <f t="shared" si="103"/>
        <v>150</v>
      </c>
      <c r="DE84" s="166">
        <f t="shared" si="104"/>
        <v>100</v>
      </c>
      <c r="DF84" s="164">
        <f t="shared" ca="1" si="105"/>
        <v>150</v>
      </c>
      <c r="DG84" s="170">
        <f t="shared" si="106"/>
        <v>0</v>
      </c>
      <c r="DH84" s="164">
        <f t="shared" si="107"/>
        <v>84</v>
      </c>
      <c r="DI84" s="166"/>
    </row>
    <row r="85" spans="1:113" s="16" customFormat="1" x14ac:dyDescent="0.25">
      <c r="A85" s="36">
        <f t="shared" si="85"/>
        <v>820</v>
      </c>
      <c r="B85" s="36">
        <f t="shared" si="86"/>
        <v>180</v>
      </c>
      <c r="C85" s="83">
        <f t="shared" si="87"/>
        <v>0</v>
      </c>
      <c r="D85" s="572"/>
      <c r="E85" s="16">
        <f t="shared" si="88"/>
        <v>1000</v>
      </c>
      <c r="F85" s="86">
        <f t="shared" si="89"/>
        <v>70</v>
      </c>
      <c r="G85" s="37">
        <f t="shared" si="90"/>
        <v>100</v>
      </c>
      <c r="H85" s="247">
        <f t="shared" si="91"/>
        <v>150</v>
      </c>
      <c r="I85" s="38">
        <f t="shared" si="92"/>
        <v>150</v>
      </c>
      <c r="J85" s="39">
        <f t="shared" si="93"/>
        <v>100</v>
      </c>
      <c r="K85" s="40">
        <f t="shared" si="94"/>
        <v>150</v>
      </c>
      <c r="L85" s="498">
        <f t="shared" si="95"/>
        <v>100</v>
      </c>
      <c r="M85" s="633">
        <f>Rezone!J85</f>
        <v>83</v>
      </c>
      <c r="N85" s="356"/>
      <c r="O85" s="348"/>
      <c r="P85" s="348"/>
      <c r="Q85" s="376"/>
      <c r="R85" s="345"/>
      <c r="S85" s="348"/>
      <c r="T85" s="348"/>
      <c r="U85" s="348"/>
      <c r="V85" s="348"/>
      <c r="W85" s="345"/>
      <c r="X85" s="345"/>
      <c r="Y85" s="348"/>
      <c r="Z85" s="345"/>
      <c r="AA85" s="348"/>
      <c r="AB85" s="348"/>
      <c r="AC85" s="345"/>
      <c r="AD85" s="348"/>
      <c r="AE85" s="348"/>
      <c r="AF85" s="336"/>
      <c r="AG85" s="530">
        <f>Imps!L85</f>
        <v>43768.854166666468</v>
      </c>
      <c r="AH85" s="91">
        <f>MIN(25%,(BG85+CE85)/(E85-Explore!S85*20))</f>
        <v>0</v>
      </c>
      <c r="AI85" s="59">
        <f t="shared" si="81"/>
        <v>0</v>
      </c>
      <c r="AJ85" s="56">
        <f ca="1">Production!$H85</f>
        <v>4885801</v>
      </c>
      <c r="AK85" s="57">
        <f ca="1">Production!$J85</f>
        <v>296056</v>
      </c>
      <c r="AL85" s="152">
        <f ca="1">ROUND( (1 - MIN(facs_constr_factor*$AH85,facs_constr_max)) * (1+MIN(tech_construction*Techs!AC85,tech_conquerors_crafts*Techs!AS85)) * AU85*(1+race_construction_cost),0)</f>
        <v>1615</v>
      </c>
      <c r="AM85" s="166">
        <f t="shared" si="78"/>
        <v>263</v>
      </c>
      <c r="AN85" s="152">
        <f ca="1">ROUND( (1 - MIN(facs_constr_factor*$AI85,facs_constr_max)) * (1+MIN(tech_construction*Techs!AE85,tech_conquerors_crafts*Techs!AU85)) * AU85*(1+race_construction_cost),0)</f>
        <v>1615</v>
      </c>
      <c r="AO85" s="166">
        <f t="shared" si="82"/>
        <v>263</v>
      </c>
      <c r="AP85" s="16">
        <f t="shared" ca="1" si="108"/>
        <v>0</v>
      </c>
      <c r="AQ85" s="53">
        <f t="shared" si="109"/>
        <v>0</v>
      </c>
      <c r="AR85" s="16">
        <f>MIN(SUM(F84:L84)+SUM(Explore!T73:Z73)+SUM(BV85:CN85),SUM($N85:$AF85))</f>
        <v>0</v>
      </c>
      <c r="AS85" s="16">
        <f>IF(Explore!S85&lt;&gt;0,MAX(0, MIN(20, 20 + SUM(N85:AF85) - SUM(BV85:CN85) - SUM(F84:L84)-SUM(Explore!T73:Z73)-20*Explore!S85)),0)</f>
        <v>0</v>
      </c>
      <c r="AU85" s="152">
        <f t="shared" si="83"/>
        <v>1615</v>
      </c>
      <c r="AV85" s="166">
        <f t="shared" si="84"/>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1"/>
      <c r="BS85" s="156">
        <f t="shared" si="96"/>
        <v>1000</v>
      </c>
      <c r="BT85" s="572">
        <f t="shared" si="97"/>
        <v>43771.416666666468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5">
        <f>-$AF85+$CN85 +Rezone!R85 + IF(home_land=CV$2,CW85) + Explore!Z73</f>
        <v>0</v>
      </c>
      <c r="CW85" s="159">
        <f>IF(Explore!S85=1,25) - N85 + BV85</f>
        <v>0</v>
      </c>
      <c r="CY85" s="152">
        <f t="shared" si="98"/>
        <v>150</v>
      </c>
      <c r="CZ85" s="164">
        <f t="shared" si="99"/>
        <v>150</v>
      </c>
      <c r="DA85" s="170">
        <f t="shared" si="100"/>
        <v>150</v>
      </c>
      <c r="DB85" s="164">
        <f t="shared" si="101"/>
        <v>150</v>
      </c>
      <c r="DC85" s="164">
        <f t="shared" si="102"/>
        <v>150</v>
      </c>
      <c r="DD85" s="170">
        <f t="shared" si="103"/>
        <v>150</v>
      </c>
      <c r="DE85" s="166">
        <f t="shared" si="104"/>
        <v>100</v>
      </c>
      <c r="DF85" s="164">
        <f t="shared" ca="1" si="105"/>
        <v>150</v>
      </c>
      <c r="DG85" s="170">
        <f t="shared" si="106"/>
        <v>0</v>
      </c>
      <c r="DH85" s="164">
        <f t="shared" si="107"/>
        <v>85</v>
      </c>
      <c r="DI85" s="166"/>
    </row>
    <row r="86" spans="1:113" s="170" customFormat="1" x14ac:dyDescent="0.25">
      <c r="A86" s="242">
        <f t="shared" si="85"/>
        <v>820</v>
      </c>
      <c r="B86" s="242">
        <f t="shared" si="86"/>
        <v>180</v>
      </c>
      <c r="C86" s="243">
        <f t="shared" si="87"/>
        <v>0</v>
      </c>
      <c r="D86" s="530"/>
      <c r="E86" s="170">
        <f t="shared" si="88"/>
        <v>1000</v>
      </c>
      <c r="F86" s="245">
        <f t="shared" si="89"/>
        <v>70</v>
      </c>
      <c r="G86" s="246">
        <f t="shared" si="90"/>
        <v>100</v>
      </c>
      <c r="H86" s="247">
        <f t="shared" si="91"/>
        <v>150</v>
      </c>
      <c r="I86" s="248">
        <f t="shared" si="92"/>
        <v>150</v>
      </c>
      <c r="J86" s="249">
        <f t="shared" si="93"/>
        <v>100</v>
      </c>
      <c r="K86" s="250">
        <f t="shared" si="94"/>
        <v>150</v>
      </c>
      <c r="L86" s="496">
        <f t="shared" si="95"/>
        <v>100</v>
      </c>
      <c r="M86" s="632">
        <f>Rezone!J86</f>
        <v>84</v>
      </c>
      <c r="N86" s="352"/>
      <c r="O86" s="345"/>
      <c r="P86" s="345"/>
      <c r="Q86" s="345"/>
      <c r="R86" s="345"/>
      <c r="S86" s="345"/>
      <c r="T86" s="345"/>
      <c r="U86" s="345"/>
      <c r="V86" s="345"/>
      <c r="W86" s="345"/>
      <c r="X86" s="345"/>
      <c r="Y86" s="345"/>
      <c r="Z86" s="345"/>
      <c r="AA86" s="345"/>
      <c r="AB86" s="345"/>
      <c r="AC86" s="345"/>
      <c r="AD86" s="345"/>
      <c r="AE86" s="345"/>
      <c r="AF86" s="336"/>
      <c r="AG86" s="530">
        <f>Imps!L86</f>
        <v>43768.864583333132</v>
      </c>
      <c r="AH86" s="251">
        <f>MIN(25%,(BG86+CE86)/(E86-Explore!S86*20))</f>
        <v>0</v>
      </c>
      <c r="AI86" s="187">
        <f t="shared" si="81"/>
        <v>0</v>
      </c>
      <c r="AJ86" s="152">
        <f ca="1">Production!$H86</f>
        <v>4890782</v>
      </c>
      <c r="AK86" s="166">
        <f ca="1">Production!$J86</f>
        <v>295595</v>
      </c>
      <c r="AL86" s="152">
        <f ca="1">ROUND( (1 - MIN(facs_constr_factor*$AH86,facs_constr_max)) * (1+MIN(tech_construction*Techs!AC86,tech_conquerors_crafts*Techs!AS86)) * AU86*(1+race_construction_cost),0)</f>
        <v>1615</v>
      </c>
      <c r="AM86" s="166">
        <f t="shared" si="78"/>
        <v>263</v>
      </c>
      <c r="AN86" s="152">
        <f ca="1">ROUND( (1 - MIN(facs_constr_factor*$AI86,facs_constr_max)) * (1+MIN(tech_construction*Techs!AE86,tech_conquerors_crafts*Techs!AU86)) * AU86*(1+race_construction_cost),0)</f>
        <v>1615</v>
      </c>
      <c r="AO86" s="166">
        <f t="shared" si="82"/>
        <v>263</v>
      </c>
      <c r="AP86" s="170">
        <f t="shared" ca="1" si="108"/>
        <v>0</v>
      </c>
      <c r="AQ86" s="157">
        <f t="shared" si="109"/>
        <v>0</v>
      </c>
      <c r="AR86" s="170">
        <f>MIN(SUM(F85:L85)+SUM(Explore!T74:Z74)+SUM(BV86:CN86),SUM($N86:$AF86))</f>
        <v>0</v>
      </c>
      <c r="AS86" s="170">
        <f>IF(Explore!S86&lt;&gt;0,MAX(0, MIN(20, 20 + SUM(N86:AF86) - SUM(BV86:CN86) - SUM(F85:L85)-SUM(Explore!T74:Z74)-20*Explore!S86)),0)</f>
        <v>0</v>
      </c>
      <c r="AU86" s="152">
        <f t="shared" si="83"/>
        <v>1615</v>
      </c>
      <c r="AV86" s="166">
        <f t="shared" si="84"/>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39"/>
      <c r="BS86" s="156">
        <f t="shared" si="96"/>
        <v>1000</v>
      </c>
      <c r="BT86" s="530">
        <f t="shared" si="97"/>
        <v>43771.458333333132</v>
      </c>
      <c r="BV86" s="352"/>
      <c r="BW86" s="345"/>
      <c r="BX86" s="345"/>
      <c r="BY86" s="345"/>
      <c r="BZ86" s="345"/>
      <c r="CA86" s="345"/>
      <c r="CB86" s="345"/>
      <c r="CC86" s="345"/>
      <c r="CD86" s="345"/>
      <c r="CE86" s="345"/>
      <c r="CF86" s="345"/>
      <c r="CG86" s="345"/>
      <c r="CH86" s="345"/>
      <c r="CI86" s="345"/>
      <c r="CJ86" s="345"/>
      <c r="CK86" s="345"/>
      <c r="CL86" s="345"/>
      <c r="CM86" s="759"/>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5">
        <f>-$AF86+$CN86 +Rezone!R86 + IF(home_land=CV$2,CW86) + Explore!Z74</f>
        <v>0</v>
      </c>
      <c r="CW86" s="159">
        <f>IF(Explore!S86=1,25) - N86 + BV86</f>
        <v>0</v>
      </c>
      <c r="CY86" s="152">
        <f t="shared" si="98"/>
        <v>150</v>
      </c>
      <c r="CZ86" s="164">
        <f t="shared" si="99"/>
        <v>150</v>
      </c>
      <c r="DA86" s="170">
        <f t="shared" si="100"/>
        <v>150</v>
      </c>
      <c r="DB86" s="164">
        <f t="shared" si="101"/>
        <v>150</v>
      </c>
      <c r="DC86" s="164">
        <f t="shared" si="102"/>
        <v>150</v>
      </c>
      <c r="DD86" s="170">
        <f t="shared" si="103"/>
        <v>150</v>
      </c>
      <c r="DE86" s="166">
        <f t="shared" si="104"/>
        <v>100</v>
      </c>
      <c r="DF86" s="164">
        <f t="shared" ca="1" si="105"/>
        <v>150</v>
      </c>
      <c r="DG86" s="170">
        <f t="shared" si="106"/>
        <v>0</v>
      </c>
      <c r="DH86" s="164">
        <f t="shared" si="107"/>
        <v>86</v>
      </c>
      <c r="DI86" s="166"/>
    </row>
    <row r="87" spans="1:113" s="163" customFormat="1" x14ac:dyDescent="0.25">
      <c r="A87" s="707">
        <f t="shared" si="85"/>
        <v>820</v>
      </c>
      <c r="B87" s="707">
        <f t="shared" si="86"/>
        <v>180</v>
      </c>
      <c r="C87" s="708">
        <f t="shared" si="87"/>
        <v>0</v>
      </c>
      <c r="D87" s="674"/>
      <c r="E87" s="163">
        <f t="shared" si="88"/>
        <v>1000</v>
      </c>
      <c r="F87" s="709">
        <f t="shared" si="89"/>
        <v>70</v>
      </c>
      <c r="G87" s="710">
        <f t="shared" si="90"/>
        <v>100</v>
      </c>
      <c r="H87" s="272">
        <f t="shared" si="91"/>
        <v>150</v>
      </c>
      <c r="I87" s="711">
        <f t="shared" si="92"/>
        <v>150</v>
      </c>
      <c r="J87" s="712">
        <f t="shared" si="93"/>
        <v>100</v>
      </c>
      <c r="K87" s="713">
        <f t="shared" si="94"/>
        <v>150</v>
      </c>
      <c r="L87" s="714">
        <f t="shared" si="95"/>
        <v>100</v>
      </c>
      <c r="M87" s="318">
        <f>Rezone!J87</f>
        <v>85</v>
      </c>
      <c r="N87" s="371"/>
      <c r="O87" s="767"/>
      <c r="P87" s="346"/>
      <c r="Q87" s="346"/>
      <c r="R87" s="346"/>
      <c r="S87" s="346"/>
      <c r="T87" s="346"/>
      <c r="U87" s="346"/>
      <c r="V87" s="346"/>
      <c r="W87" s="346"/>
      <c r="X87" s="346"/>
      <c r="Y87" s="346"/>
      <c r="Z87" s="346"/>
      <c r="AA87" s="346"/>
      <c r="AB87" s="346"/>
      <c r="AC87" s="346"/>
      <c r="AD87" s="346"/>
      <c r="AE87" s="346"/>
      <c r="AF87" s="741"/>
      <c r="AG87" s="674">
        <f>Imps!L87</f>
        <v>43768.874999999796</v>
      </c>
      <c r="AH87" s="305">
        <f>MIN(25%,(BG87+CE87)/(E87-Explore!S87*20))</f>
        <v>0</v>
      </c>
      <c r="AI87" s="186">
        <f t="shared" si="81"/>
        <v>0</v>
      </c>
      <c r="AJ87" s="151">
        <f ca="1">Production!$H87</f>
        <v>4895763</v>
      </c>
      <c r="AK87" s="158">
        <f ca="1">Production!$J87</f>
        <v>295139</v>
      </c>
      <c r="AL87" s="151">
        <f ca="1">ROUND( (1 - MIN(facs_constr_factor*$AH87,facs_constr_max)) * (1+MIN(tech_construction*Techs!AC87,tech_conquerors_crafts*Techs!AS87)) * AU87*(1+race_construction_cost),0)</f>
        <v>1615</v>
      </c>
      <c r="AM87" s="158">
        <f t="shared" si="78"/>
        <v>263</v>
      </c>
      <c r="AN87" s="151">
        <f ca="1">ROUND( (1 - MIN(facs_constr_factor*$AI87,facs_constr_max)) * (1+MIN(tech_construction*Techs!AE87,tech_conquerors_crafts*Techs!AU87)) * AU87*(1+race_construction_cost),0)</f>
        <v>1615</v>
      </c>
      <c r="AO87" s="158">
        <f t="shared" si="82"/>
        <v>263</v>
      </c>
      <c r="AP87" s="163">
        <f t="shared" ca="1" si="108"/>
        <v>0</v>
      </c>
      <c r="AQ87" s="185">
        <f t="shared" si="109"/>
        <v>0</v>
      </c>
      <c r="AR87" s="163">
        <f>MIN(SUM(F86:L86)+SUM(Explore!T75:Z75)+SUM(BV87:CN87),SUM($N87:$AF87))</f>
        <v>0</v>
      </c>
      <c r="AS87" s="163">
        <f>IF(Explore!S87&lt;&gt;0,MAX(0, MIN(20, 20 + SUM(N87:AF87) - SUM(BV87:CN87) - SUM(F86:L86)-SUM(Explore!T75:Z75)-20*Explore!S87)),0)</f>
        <v>0</v>
      </c>
      <c r="AU87" s="151">
        <f t="shared" si="83"/>
        <v>1615</v>
      </c>
      <c r="AV87" s="158">
        <f t="shared" si="84"/>
        <v>262.5</v>
      </c>
      <c r="AW87" s="153"/>
      <c r="AX87" s="715">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16"/>
      <c r="BS87" s="184">
        <f t="shared" si="96"/>
        <v>1000</v>
      </c>
      <c r="BT87" s="674">
        <f t="shared" si="97"/>
        <v>43771.499999999796</v>
      </c>
      <c r="BU87" s="579"/>
      <c r="BV87" s="371"/>
      <c r="BW87" s="346"/>
      <c r="BX87" s="346"/>
      <c r="BY87" s="346"/>
      <c r="BZ87" s="346"/>
      <c r="CA87" s="346"/>
      <c r="CB87" s="346"/>
      <c r="CC87" s="346"/>
      <c r="CD87" s="346"/>
      <c r="CE87" s="346"/>
      <c r="CF87" s="346"/>
      <c r="CG87" s="346"/>
      <c r="CH87" s="346"/>
      <c r="CI87" s="346"/>
      <c r="CJ87" s="346"/>
      <c r="CK87" s="346"/>
      <c r="CL87" s="346"/>
      <c r="CM87" s="760"/>
      <c r="CN87" s="372"/>
      <c r="CP87" s="709">
        <f>-SUM($O87:$R87)+SUM($BW87:BZ87)+Rezone!L87+IF(home_land=CP$2,CW87) + Explore!T75</f>
        <v>0</v>
      </c>
      <c r="CQ87" s="710">
        <f>-SUM($S87:$T87)+SUM($CA87:$CB87) +Rezone!M87 + IF(home_land=CQ$2,CW87) + Explore!U75</f>
        <v>0</v>
      </c>
      <c r="CR87" s="272">
        <f>-SUM($U87:$V87)+SUM($CC87:$CD87) +Rezone!N87 + IF(home_land=CR$2,CW87) + Explore!V75</f>
        <v>0</v>
      </c>
      <c r="CS87" s="711">
        <f>-SUM($W87:$Z87)+SUM($CE87:$CH87) +Rezone!O87 + IF(home_land=CS$2,CW87) + Explore!W75</f>
        <v>0</v>
      </c>
      <c r="CT87" s="712">
        <f>-SUM($AA87:$AC87)+SUM($CI87:$CK87) +Rezone!P87 + IF(home_land=CT$2,CW87) + Explore!X75</f>
        <v>0</v>
      </c>
      <c r="CU87" s="713">
        <f xml:space="preserve"> - SUM($AD87,$AE87)+SUM($CL87,$CM87) +Rezone!Q87 + IF(home_land=CU$2,CW87)+Explore!Y75</f>
        <v>0</v>
      </c>
      <c r="CV87" s="714">
        <f>-$AF87+$CN87 +Rezone!R87 + IF(home_land=CV$2,CW87) + Explore!Z75</f>
        <v>0</v>
      </c>
      <c r="CW87" s="287">
        <f>IF(Explore!S87=1,25) - N87 + BV87</f>
        <v>0</v>
      </c>
      <c r="CY87" s="151">
        <f t="shared" si="98"/>
        <v>150</v>
      </c>
      <c r="CZ87" s="153">
        <f t="shared" si="99"/>
        <v>150</v>
      </c>
      <c r="DA87" s="163">
        <f t="shared" si="100"/>
        <v>150</v>
      </c>
      <c r="DB87" s="153">
        <f t="shared" si="101"/>
        <v>150</v>
      </c>
      <c r="DC87" s="153">
        <f t="shared" si="102"/>
        <v>150</v>
      </c>
      <c r="DD87" s="163">
        <f t="shared" si="103"/>
        <v>150</v>
      </c>
      <c r="DE87" s="158">
        <f t="shared" si="104"/>
        <v>100</v>
      </c>
      <c r="DF87" s="153">
        <f t="shared" ca="1" si="105"/>
        <v>150</v>
      </c>
      <c r="DG87" s="163">
        <f t="shared" si="106"/>
        <v>0</v>
      </c>
      <c r="DH87" s="163">
        <f t="shared" si="107"/>
        <v>87</v>
      </c>
      <c r="DI87" s="158"/>
    </row>
    <row r="88" spans="1:113" s="170" customFormat="1" x14ac:dyDescent="0.25">
      <c r="A88" s="242">
        <f t="shared" si="85"/>
        <v>820</v>
      </c>
      <c r="B88" s="242">
        <f t="shared" si="86"/>
        <v>180</v>
      </c>
      <c r="C88" s="243">
        <f t="shared" si="87"/>
        <v>0</v>
      </c>
      <c r="D88" s="530"/>
      <c r="E88" s="170">
        <f t="shared" si="88"/>
        <v>1000</v>
      </c>
      <c r="F88" s="245">
        <f t="shared" si="89"/>
        <v>70</v>
      </c>
      <c r="G88" s="246">
        <f t="shared" si="90"/>
        <v>100</v>
      </c>
      <c r="H88" s="247">
        <f t="shared" si="91"/>
        <v>150</v>
      </c>
      <c r="I88" s="248">
        <f t="shared" si="92"/>
        <v>150</v>
      </c>
      <c r="J88" s="249">
        <f t="shared" si="93"/>
        <v>100</v>
      </c>
      <c r="K88" s="250">
        <f t="shared" si="94"/>
        <v>150</v>
      </c>
      <c r="L88" s="496">
        <f t="shared" si="95"/>
        <v>100</v>
      </c>
      <c r="M88" s="632">
        <f>Rezone!J88</f>
        <v>86</v>
      </c>
      <c r="N88" s="352"/>
      <c r="O88" s="345"/>
      <c r="P88" s="345"/>
      <c r="Q88" s="345"/>
      <c r="R88" s="345"/>
      <c r="S88" s="345"/>
      <c r="T88" s="345"/>
      <c r="U88" s="345"/>
      <c r="V88" s="345"/>
      <c r="W88" s="363"/>
      <c r="X88" s="345"/>
      <c r="Y88" s="345"/>
      <c r="Z88" s="345"/>
      <c r="AA88" s="345"/>
      <c r="AB88" s="345"/>
      <c r="AC88" s="345"/>
      <c r="AD88" s="345"/>
      <c r="AE88" s="345"/>
      <c r="AF88" s="336"/>
      <c r="AG88" s="530">
        <f>Imps!L88</f>
        <v>43768.885416666461</v>
      </c>
      <c r="AH88" s="251">
        <f>MIN(25%,(BG88+CE88)/(E88-Explore!S88*20))</f>
        <v>0</v>
      </c>
      <c r="AI88" s="187">
        <f t="shared" si="81"/>
        <v>0</v>
      </c>
      <c r="AJ88" s="152">
        <f ca="1">Production!$H88</f>
        <v>4900744</v>
      </c>
      <c r="AK88" s="166">
        <f ca="1">Production!$J88</f>
        <v>294688</v>
      </c>
      <c r="AL88" s="152">
        <f ca="1">ROUND( (1 - MIN(facs_constr_factor*$AH88,facs_constr_max)) * (1+MIN(tech_construction*Techs!AC88,tech_conquerors_crafts*Techs!AS88)) * AU88*(1+race_construction_cost),0)</f>
        <v>1615</v>
      </c>
      <c r="AM88" s="166">
        <f t="shared" si="78"/>
        <v>263</v>
      </c>
      <c r="AN88" s="152">
        <f ca="1">ROUND( (1 - MIN(facs_constr_factor*$AI88,facs_constr_max)) * (1+MIN(tech_construction*Techs!AE88,tech_conquerors_crafts*Techs!AU88)) * AU88*(1+race_construction_cost),0)</f>
        <v>1615</v>
      </c>
      <c r="AO88" s="166">
        <f t="shared" si="82"/>
        <v>263</v>
      </c>
      <c r="AP88" s="170">
        <f t="shared" ca="1" si="108"/>
        <v>0</v>
      </c>
      <c r="AQ88" s="157">
        <f t="shared" si="109"/>
        <v>0</v>
      </c>
      <c r="AR88" s="170">
        <f>MIN(SUM(F87:L87)+SUM(Explore!T76:Z76)+SUM(BV88:CN88),SUM($N88:$AF88))</f>
        <v>0</v>
      </c>
      <c r="AS88" s="170">
        <f>IF(Explore!S88&lt;&gt;0,MAX(0, MIN(20, 20 + SUM(N88:AF88) - SUM(BV88:CN88) - SUM(F87:L87)-SUM(Explore!T76:Z76)-20*Explore!S88)),0)</f>
        <v>0</v>
      </c>
      <c r="AU88" s="152">
        <f t="shared" si="83"/>
        <v>1615</v>
      </c>
      <c r="AV88" s="166">
        <f t="shared" si="84"/>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39"/>
      <c r="BS88" s="156">
        <f t="shared" si="96"/>
        <v>1000</v>
      </c>
      <c r="BT88" s="530">
        <f t="shared" si="97"/>
        <v>43771.541666666461</v>
      </c>
      <c r="BV88" s="352"/>
      <c r="BW88" s="345"/>
      <c r="BX88" s="345"/>
      <c r="BY88" s="345"/>
      <c r="BZ88" s="345"/>
      <c r="CA88" s="345"/>
      <c r="CB88" s="345"/>
      <c r="CC88" s="345"/>
      <c r="CD88" s="345"/>
      <c r="CE88" s="345"/>
      <c r="CF88" s="345"/>
      <c r="CG88" s="345"/>
      <c r="CH88" s="345"/>
      <c r="CI88" s="345"/>
      <c r="CJ88" s="345"/>
      <c r="CK88" s="345"/>
      <c r="CL88" s="345"/>
      <c r="CM88" s="759"/>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6">
        <f>-$AF88+$CN88 +Rezone!R88 + IF(home_land=CV$2,CW88) + Explore!Z76</f>
        <v>0</v>
      </c>
      <c r="CW88" s="159">
        <f>IF(Explore!S88=1,25) - N88 + BV88</f>
        <v>0</v>
      </c>
      <c r="CY88" s="152">
        <f t="shared" si="98"/>
        <v>150</v>
      </c>
      <c r="CZ88" s="164">
        <f t="shared" si="99"/>
        <v>150</v>
      </c>
      <c r="DA88" s="170">
        <f t="shared" si="100"/>
        <v>150</v>
      </c>
      <c r="DB88" s="164">
        <f t="shared" si="101"/>
        <v>150</v>
      </c>
      <c r="DC88" s="164">
        <f t="shared" si="102"/>
        <v>150</v>
      </c>
      <c r="DD88" s="170">
        <f t="shared" si="103"/>
        <v>150</v>
      </c>
      <c r="DE88" s="166">
        <f t="shared" si="104"/>
        <v>100</v>
      </c>
      <c r="DF88" s="164">
        <f t="shared" ca="1" si="105"/>
        <v>150</v>
      </c>
      <c r="DG88" s="170">
        <f t="shared" si="106"/>
        <v>0</v>
      </c>
      <c r="DH88" s="170">
        <f t="shared" si="107"/>
        <v>88</v>
      </c>
      <c r="DI88" s="166"/>
    </row>
    <row r="89" spans="1:113" s="170" customFormat="1" x14ac:dyDescent="0.25">
      <c r="A89" s="242">
        <f t="shared" si="85"/>
        <v>820</v>
      </c>
      <c r="B89" s="242">
        <f t="shared" si="86"/>
        <v>180</v>
      </c>
      <c r="C89" s="243">
        <f t="shared" si="87"/>
        <v>0</v>
      </c>
      <c r="D89" s="530"/>
      <c r="E89" s="170">
        <f t="shared" si="88"/>
        <v>1000</v>
      </c>
      <c r="F89" s="245">
        <f t="shared" si="89"/>
        <v>70</v>
      </c>
      <c r="G89" s="246">
        <f t="shared" si="90"/>
        <v>100</v>
      </c>
      <c r="H89" s="247">
        <f t="shared" si="91"/>
        <v>150</v>
      </c>
      <c r="I89" s="248">
        <f t="shared" si="92"/>
        <v>150</v>
      </c>
      <c r="J89" s="249">
        <f t="shared" si="93"/>
        <v>100</v>
      </c>
      <c r="K89" s="250">
        <f t="shared" si="94"/>
        <v>150</v>
      </c>
      <c r="L89" s="496">
        <f t="shared" si="95"/>
        <v>100</v>
      </c>
      <c r="M89" s="632">
        <f>Rezone!J89</f>
        <v>87</v>
      </c>
      <c r="N89" s="352"/>
      <c r="O89" s="345"/>
      <c r="P89" s="345"/>
      <c r="Q89" s="345"/>
      <c r="R89" s="345"/>
      <c r="S89" s="345"/>
      <c r="T89" s="345"/>
      <c r="U89" s="345"/>
      <c r="V89" s="345"/>
      <c r="W89" s="345"/>
      <c r="X89" s="345"/>
      <c r="Y89" s="345"/>
      <c r="Z89" s="345"/>
      <c r="AA89" s="345"/>
      <c r="AB89" s="345"/>
      <c r="AC89" s="345"/>
      <c r="AD89" s="345"/>
      <c r="AE89" s="345"/>
      <c r="AF89" s="336"/>
      <c r="AG89" s="530">
        <f>Imps!L89</f>
        <v>43768.895833333125</v>
      </c>
      <c r="AH89" s="251">
        <f>MIN(25%,(BG89+CE89)/(E89-Explore!S89*20))</f>
        <v>0</v>
      </c>
      <c r="AI89" s="187">
        <f t="shared" si="81"/>
        <v>0</v>
      </c>
      <c r="AJ89" s="152">
        <f ca="1">Production!$H89</f>
        <v>4905725</v>
      </c>
      <c r="AK89" s="166">
        <f ca="1">Production!$J89</f>
        <v>294241</v>
      </c>
      <c r="AL89" s="152">
        <f ca="1">ROUND( (1 - MIN(facs_constr_factor*$AH89,facs_constr_max)) * (1+MIN(tech_construction*Techs!AC89,tech_conquerors_crafts*Techs!AS89)) * AU89*(1+race_construction_cost),0)</f>
        <v>1615</v>
      </c>
      <c r="AM89" s="166">
        <f t="shared" si="78"/>
        <v>263</v>
      </c>
      <c r="AN89" s="152">
        <f ca="1">ROUND( (1 - MIN(facs_constr_factor*$AI89,facs_constr_max)) * (1+MIN(tech_construction*Techs!AE89,tech_conquerors_crafts*Techs!AU89)) * AU89*(1+race_construction_cost),0)</f>
        <v>1615</v>
      </c>
      <c r="AO89" s="166">
        <f t="shared" si="82"/>
        <v>263</v>
      </c>
      <c r="AP89" s="170">
        <f t="shared" ca="1" si="108"/>
        <v>0</v>
      </c>
      <c r="AQ89" s="157">
        <f t="shared" si="109"/>
        <v>0</v>
      </c>
      <c r="AR89" s="170">
        <f>MIN(SUM(F88:L88)+SUM(Explore!T77:Z77)+SUM(BV89:CN89),SUM($N89:$AF89))</f>
        <v>0</v>
      </c>
      <c r="AS89" s="170">
        <f>IF(Explore!S89&lt;&gt;0,MAX(0, MIN(20, 20 + SUM(N89:AF89) - SUM(BV89:CN89) - SUM(F88:L88)-SUM(Explore!T77:Z77)-20*Explore!S89)),0)</f>
        <v>0</v>
      </c>
      <c r="AU89" s="152">
        <f t="shared" si="83"/>
        <v>1615</v>
      </c>
      <c r="AV89" s="166">
        <f t="shared" si="84"/>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39"/>
      <c r="BS89" s="156">
        <f t="shared" si="96"/>
        <v>1000</v>
      </c>
      <c r="BT89" s="530">
        <f t="shared" si="97"/>
        <v>43771.583333333125</v>
      </c>
      <c r="BV89" s="352"/>
      <c r="BW89" s="345"/>
      <c r="BX89" s="345"/>
      <c r="BY89" s="345"/>
      <c r="BZ89" s="345"/>
      <c r="CA89" s="345"/>
      <c r="CB89" s="345"/>
      <c r="CC89" s="345"/>
      <c r="CD89" s="345"/>
      <c r="CE89" s="345"/>
      <c r="CF89" s="345"/>
      <c r="CG89" s="345"/>
      <c r="CH89" s="345"/>
      <c r="CI89" s="345"/>
      <c r="CJ89" s="345"/>
      <c r="CK89" s="345"/>
      <c r="CL89" s="345"/>
      <c r="CM89" s="759"/>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6">
        <f>-$AF89+$CN89 +Rezone!R89 + IF(home_land=CV$2,CW89) + Explore!Z77</f>
        <v>0</v>
      </c>
      <c r="CW89" s="159">
        <f>IF(Explore!S89=1,25) - N89 + BV89</f>
        <v>0</v>
      </c>
      <c r="CY89" s="152">
        <f t="shared" si="98"/>
        <v>150</v>
      </c>
      <c r="CZ89" s="164">
        <f t="shared" si="99"/>
        <v>150</v>
      </c>
      <c r="DA89" s="170">
        <f t="shared" si="100"/>
        <v>150</v>
      </c>
      <c r="DB89" s="164">
        <f t="shared" si="101"/>
        <v>150</v>
      </c>
      <c r="DC89" s="164">
        <f t="shared" si="102"/>
        <v>150</v>
      </c>
      <c r="DD89" s="170">
        <f t="shared" si="103"/>
        <v>150</v>
      </c>
      <c r="DE89" s="166">
        <f t="shared" si="104"/>
        <v>100</v>
      </c>
      <c r="DF89" s="164">
        <f t="shared" ca="1" si="105"/>
        <v>150</v>
      </c>
      <c r="DG89" s="170">
        <f t="shared" si="106"/>
        <v>0</v>
      </c>
      <c r="DH89" s="170">
        <f t="shared" si="107"/>
        <v>89</v>
      </c>
      <c r="DI89" s="166"/>
    </row>
    <row r="90" spans="1:113" s="16" customFormat="1" x14ac:dyDescent="0.25">
      <c r="A90" s="36">
        <f t="shared" si="85"/>
        <v>820</v>
      </c>
      <c r="B90" s="36">
        <f t="shared" si="86"/>
        <v>180</v>
      </c>
      <c r="C90" s="83">
        <f t="shared" si="87"/>
        <v>0</v>
      </c>
      <c r="D90" s="572"/>
      <c r="E90" s="16">
        <f t="shared" si="88"/>
        <v>1000</v>
      </c>
      <c r="F90" s="86">
        <f t="shared" si="89"/>
        <v>70</v>
      </c>
      <c r="G90" s="37">
        <f t="shared" si="90"/>
        <v>100</v>
      </c>
      <c r="H90" s="247">
        <f t="shared" si="91"/>
        <v>150</v>
      </c>
      <c r="I90" s="38">
        <f t="shared" si="92"/>
        <v>150</v>
      </c>
      <c r="J90" s="39">
        <f t="shared" si="93"/>
        <v>100</v>
      </c>
      <c r="K90" s="40">
        <f t="shared" si="94"/>
        <v>150</v>
      </c>
      <c r="L90" s="498">
        <f t="shared" si="95"/>
        <v>100</v>
      </c>
      <c r="M90" s="633">
        <f>Rezone!J90</f>
        <v>88</v>
      </c>
      <c r="N90" s="356"/>
      <c r="O90" s="348"/>
      <c r="P90" s="348"/>
      <c r="Q90" s="348"/>
      <c r="R90" s="345"/>
      <c r="S90" s="348"/>
      <c r="T90" s="348"/>
      <c r="U90" s="348"/>
      <c r="V90" s="348"/>
      <c r="W90" s="345"/>
      <c r="X90" s="345"/>
      <c r="Y90" s="348"/>
      <c r="Z90" s="345"/>
      <c r="AA90" s="348"/>
      <c r="AB90" s="348"/>
      <c r="AC90" s="345"/>
      <c r="AD90" s="348"/>
      <c r="AE90" s="348"/>
      <c r="AF90" s="336"/>
      <c r="AG90" s="530">
        <f>Imps!L90</f>
        <v>43768.906249999789</v>
      </c>
      <c r="AH90" s="91">
        <f>MIN(25%,(BG90+CE90)/(E90-Explore!S90*20))</f>
        <v>0</v>
      </c>
      <c r="AI90" s="59">
        <f t="shared" si="81"/>
        <v>0</v>
      </c>
      <c r="AJ90" s="56">
        <f ca="1">Production!$H90</f>
        <v>4910706</v>
      </c>
      <c r="AK90" s="57">
        <f ca="1">Production!$J90</f>
        <v>293799</v>
      </c>
      <c r="AL90" s="152">
        <f ca="1">ROUND( (1 - MIN(facs_constr_factor*$AH90,facs_constr_max)) * (1+MIN(tech_construction*Techs!AC90,tech_conquerors_crafts*Techs!AS90)) * AU90*(1+race_construction_cost),0)</f>
        <v>1615</v>
      </c>
      <c r="AM90" s="166">
        <f t="shared" si="78"/>
        <v>263</v>
      </c>
      <c r="AN90" s="152">
        <f ca="1">ROUND( (1 - MIN(facs_constr_factor*$AI90,facs_constr_max)) * (1+MIN(tech_construction*Techs!AE90,tech_conquerors_crafts*Techs!AU90)) * AU90*(1+race_construction_cost),0)</f>
        <v>1615</v>
      </c>
      <c r="AO90" s="166">
        <f t="shared" si="82"/>
        <v>263</v>
      </c>
      <c r="AP90" s="16">
        <f t="shared" ca="1" si="108"/>
        <v>0</v>
      </c>
      <c r="AQ90" s="53">
        <f t="shared" si="109"/>
        <v>0</v>
      </c>
      <c r="AR90" s="16">
        <f>MIN(SUM(F89:L89)+SUM(Explore!T78:Z78)+SUM(BV90:CN90),SUM($N90:$AF90))</f>
        <v>0</v>
      </c>
      <c r="AS90" s="16">
        <f>IF(Explore!S90&lt;&gt;0,MAX(0, MIN(20, 20 + SUM(N90:AF90) - SUM(BV90:CN90) - SUM(F89:L89)-SUM(Explore!T78:Z78)-20*Explore!S90)),0)</f>
        <v>0</v>
      </c>
      <c r="AU90" s="152">
        <f t="shared" si="83"/>
        <v>1615</v>
      </c>
      <c r="AV90" s="166">
        <f t="shared" si="84"/>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1"/>
      <c r="BS90" s="156">
        <f t="shared" si="96"/>
        <v>1000</v>
      </c>
      <c r="BT90" s="572">
        <f t="shared" si="97"/>
        <v>43771.624999999789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498">
        <f>-$AF90+$CN90 +Rezone!R90 + IF(home_land=CV$2,CW90) + Explore!Z78</f>
        <v>0</v>
      </c>
      <c r="CW90" s="159">
        <f>IF(Explore!S90=1,25) - N90 + BV90</f>
        <v>0</v>
      </c>
      <c r="CY90" s="152">
        <f t="shared" si="98"/>
        <v>150</v>
      </c>
      <c r="CZ90" s="164">
        <f t="shared" si="99"/>
        <v>150</v>
      </c>
      <c r="DA90" s="16">
        <f t="shared" si="100"/>
        <v>150</v>
      </c>
      <c r="DB90" s="164">
        <f t="shared" si="101"/>
        <v>150</v>
      </c>
      <c r="DC90" s="164">
        <f t="shared" si="102"/>
        <v>150</v>
      </c>
      <c r="DD90" s="16">
        <f t="shared" si="103"/>
        <v>150</v>
      </c>
      <c r="DE90" s="166">
        <f t="shared" si="104"/>
        <v>100</v>
      </c>
      <c r="DF90" s="164">
        <f t="shared" ca="1" si="105"/>
        <v>150</v>
      </c>
      <c r="DG90" s="16">
        <f t="shared" si="106"/>
        <v>0</v>
      </c>
      <c r="DH90" s="16">
        <f t="shared" si="107"/>
        <v>90</v>
      </c>
      <c r="DI90" s="166"/>
    </row>
    <row r="91" spans="1:113" s="16" customFormat="1" x14ac:dyDescent="0.25">
      <c r="A91" s="36">
        <f t="shared" si="85"/>
        <v>820</v>
      </c>
      <c r="B91" s="36">
        <f t="shared" si="86"/>
        <v>180</v>
      </c>
      <c r="C91" s="83">
        <f t="shared" si="87"/>
        <v>0</v>
      </c>
      <c r="D91" s="572"/>
      <c r="E91" s="16">
        <f t="shared" si="88"/>
        <v>1000</v>
      </c>
      <c r="F91" s="86">
        <f t="shared" si="89"/>
        <v>70</v>
      </c>
      <c r="G91" s="37">
        <f t="shared" si="90"/>
        <v>100</v>
      </c>
      <c r="H91" s="247">
        <f t="shared" si="91"/>
        <v>150</v>
      </c>
      <c r="I91" s="38">
        <f t="shared" si="92"/>
        <v>150</v>
      </c>
      <c r="J91" s="39">
        <f t="shared" si="93"/>
        <v>100</v>
      </c>
      <c r="K91" s="40">
        <f t="shared" si="94"/>
        <v>150</v>
      </c>
      <c r="L91" s="498">
        <f t="shared" si="95"/>
        <v>100</v>
      </c>
      <c r="M91" s="633">
        <f>Rezone!J91</f>
        <v>89</v>
      </c>
      <c r="N91" s="356"/>
      <c r="O91" s="348"/>
      <c r="P91" s="348"/>
      <c r="Q91" s="348"/>
      <c r="R91" s="345"/>
      <c r="S91" s="348"/>
      <c r="T91" s="348"/>
      <c r="U91" s="348"/>
      <c r="V91" s="348"/>
      <c r="W91" s="345"/>
      <c r="X91" s="345"/>
      <c r="Y91" s="348"/>
      <c r="Z91" s="345"/>
      <c r="AA91" s="348"/>
      <c r="AB91" s="348"/>
      <c r="AC91" s="345"/>
      <c r="AD91" s="348"/>
      <c r="AE91" s="348"/>
      <c r="AF91" s="336"/>
      <c r="AG91" s="530">
        <f>Imps!L91</f>
        <v>43768.916666666453</v>
      </c>
      <c r="AH91" s="91">
        <f>MIN(25%,(BG91+CE91)/(E91-Explore!S91*20))</f>
        <v>0</v>
      </c>
      <c r="AI91" s="59">
        <f t="shared" si="81"/>
        <v>0</v>
      </c>
      <c r="AJ91" s="56">
        <f ca="1">Production!$H91</f>
        <v>4915687</v>
      </c>
      <c r="AK91" s="57">
        <f ca="1">Production!$J91</f>
        <v>293361</v>
      </c>
      <c r="AL91" s="152">
        <f ca="1">ROUND( (1 - MIN(facs_constr_factor*$AH91,facs_constr_max)) * (1+MIN(tech_construction*Techs!AC91,tech_conquerors_crafts*Techs!AS91)) * AU91*(1+race_construction_cost),0)</f>
        <v>1615</v>
      </c>
      <c r="AM91" s="166">
        <f t="shared" si="78"/>
        <v>263</v>
      </c>
      <c r="AN91" s="152">
        <f ca="1">ROUND( (1 - MIN(facs_constr_factor*$AI91,facs_constr_max)) * (1+MIN(tech_construction*Techs!AE91,tech_conquerors_crafts*Techs!AU91)) * AU91*(1+race_construction_cost),0)</f>
        <v>1615</v>
      </c>
      <c r="AO91" s="166">
        <f t="shared" si="82"/>
        <v>263</v>
      </c>
      <c r="AP91" s="16">
        <f t="shared" ca="1" si="108"/>
        <v>0</v>
      </c>
      <c r="AQ91" s="53">
        <f t="shared" si="109"/>
        <v>0</v>
      </c>
      <c r="AR91" s="16">
        <f>MIN(SUM(F90:L90)+SUM(Explore!T79:Z79)+SUM(BV91:CN91),SUM($N91:$AF91))</f>
        <v>0</v>
      </c>
      <c r="AS91" s="16">
        <f>IF(Explore!S91&lt;&gt;0,MAX(0, MIN(20, 20 + SUM(N91:AF91) - SUM(BV91:CN91) - SUM(F90:L90)-SUM(Explore!T79:Z79)-20*Explore!S91)),0)</f>
        <v>0</v>
      </c>
      <c r="AU91" s="152">
        <f t="shared" si="83"/>
        <v>1615</v>
      </c>
      <c r="AV91" s="166">
        <f t="shared" si="84"/>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1"/>
      <c r="BS91" s="156">
        <f t="shared" si="96"/>
        <v>1000</v>
      </c>
      <c r="BT91" s="572">
        <f t="shared" si="97"/>
        <v>43771.666666666453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498">
        <f>-$AF91+$CN91 +Rezone!R91 + IF(home_land=CV$2,CW91) + Explore!Z79</f>
        <v>0</v>
      </c>
      <c r="CW91" s="159">
        <f>IF(Explore!S91=1,25) - N91 + BV91</f>
        <v>0</v>
      </c>
      <c r="CY91" s="152">
        <f t="shared" si="98"/>
        <v>150</v>
      </c>
      <c r="CZ91" s="164">
        <f t="shared" si="99"/>
        <v>150</v>
      </c>
      <c r="DA91" s="16">
        <f t="shared" si="100"/>
        <v>150</v>
      </c>
      <c r="DB91" s="164">
        <f t="shared" si="101"/>
        <v>150</v>
      </c>
      <c r="DC91" s="164">
        <f t="shared" si="102"/>
        <v>150</v>
      </c>
      <c r="DD91" s="16">
        <f t="shared" si="103"/>
        <v>150</v>
      </c>
      <c r="DE91" s="166">
        <f t="shared" si="104"/>
        <v>100</v>
      </c>
      <c r="DF91" s="164">
        <f t="shared" ca="1" si="105"/>
        <v>150</v>
      </c>
      <c r="DG91" s="16">
        <f t="shared" si="106"/>
        <v>0</v>
      </c>
      <c r="DH91" s="16">
        <f t="shared" si="107"/>
        <v>91</v>
      </c>
      <c r="DI91" s="166"/>
    </row>
    <row r="92" spans="1:113" s="16" customFormat="1" x14ac:dyDescent="0.25">
      <c r="A92" s="36">
        <f t="shared" si="85"/>
        <v>820</v>
      </c>
      <c r="B92" s="36">
        <f t="shared" si="86"/>
        <v>180</v>
      </c>
      <c r="C92" s="83">
        <f t="shared" si="87"/>
        <v>0</v>
      </c>
      <c r="D92" s="572"/>
      <c r="E92" s="16">
        <f t="shared" si="88"/>
        <v>1000</v>
      </c>
      <c r="F92" s="86">
        <f t="shared" si="89"/>
        <v>70</v>
      </c>
      <c r="G92" s="37">
        <f t="shared" si="90"/>
        <v>100</v>
      </c>
      <c r="H92" s="247">
        <f t="shared" si="91"/>
        <v>150</v>
      </c>
      <c r="I92" s="38">
        <f t="shared" si="92"/>
        <v>150</v>
      </c>
      <c r="J92" s="39">
        <f t="shared" si="93"/>
        <v>100</v>
      </c>
      <c r="K92" s="40">
        <f t="shared" si="94"/>
        <v>150</v>
      </c>
      <c r="L92" s="498">
        <f t="shared" si="95"/>
        <v>100</v>
      </c>
      <c r="M92" s="633">
        <f>Rezone!J92</f>
        <v>90</v>
      </c>
      <c r="N92" s="356"/>
      <c r="O92" s="348"/>
      <c r="P92" s="348"/>
      <c r="Q92" s="348"/>
      <c r="R92" s="345"/>
      <c r="S92" s="348"/>
      <c r="T92" s="348"/>
      <c r="U92" s="348"/>
      <c r="V92" s="348"/>
      <c r="W92" s="345"/>
      <c r="X92" s="345"/>
      <c r="Y92" s="348"/>
      <c r="Z92" s="345"/>
      <c r="AA92" s="348"/>
      <c r="AB92" s="348"/>
      <c r="AC92" s="345"/>
      <c r="AD92" s="348"/>
      <c r="AE92" s="348"/>
      <c r="AF92" s="336"/>
      <c r="AG92" s="530">
        <f>Imps!L92</f>
        <v>43768.927083333117</v>
      </c>
      <c r="AH92" s="91">
        <f>MIN(25%,(BG92+CE92)/(E92-Explore!S92*20))</f>
        <v>0</v>
      </c>
      <c r="AI92" s="59">
        <f t="shared" si="81"/>
        <v>0</v>
      </c>
      <c r="AJ92" s="56">
        <f ca="1">Production!$H92</f>
        <v>4920668</v>
      </c>
      <c r="AK92" s="57">
        <f ca="1">Production!$J92</f>
        <v>292927</v>
      </c>
      <c r="AL92" s="152">
        <f ca="1">ROUND( (1 - MIN(facs_constr_factor*$AH92,facs_constr_max)) * (1+MIN(tech_construction*Techs!AC92,tech_conquerors_crafts*Techs!AS92)) * AU92*(1+race_construction_cost),0)</f>
        <v>1615</v>
      </c>
      <c r="AM92" s="166">
        <f t="shared" si="78"/>
        <v>263</v>
      </c>
      <c r="AN92" s="152">
        <f ca="1">ROUND( (1 - MIN(facs_constr_factor*$AI92,facs_constr_max)) * (1+MIN(tech_construction*Techs!AE92,tech_conquerors_crafts*Techs!AU92)) * AU92*(1+race_construction_cost),0)</f>
        <v>1615</v>
      </c>
      <c r="AO92" s="166">
        <f t="shared" si="82"/>
        <v>263</v>
      </c>
      <c r="AP92" s="16">
        <f t="shared" ca="1" si="108"/>
        <v>0</v>
      </c>
      <c r="AQ92" s="53">
        <f t="shared" si="109"/>
        <v>0</v>
      </c>
      <c r="AR92" s="16">
        <f>MIN(SUM(F91:L91)+SUM(Explore!T80:Z80)+SUM(BV92:CN92),SUM($N92:$AF92))</f>
        <v>0</v>
      </c>
      <c r="AS92" s="16">
        <f>IF(Explore!S92&lt;&gt;0,MAX(0, MIN(20, 20 + SUM(N92:AF92) - SUM(BV92:CN92) - SUM(F91:L91)-SUM(Explore!T80:Z80)-20*Explore!S92)),0)</f>
        <v>0</v>
      </c>
      <c r="AU92" s="152">
        <f t="shared" si="83"/>
        <v>1615</v>
      </c>
      <c r="AV92" s="166">
        <f t="shared" si="84"/>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1"/>
      <c r="BS92" s="156">
        <f t="shared" si="96"/>
        <v>1000</v>
      </c>
      <c r="BT92" s="572">
        <f t="shared" si="97"/>
        <v>43771.708333333117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498">
        <f>-$AF92+$CN92 +Rezone!R92 + IF(home_land=CV$2,CW92) + Explore!Z80</f>
        <v>0</v>
      </c>
      <c r="CW92" s="159">
        <f>IF(Explore!S92=1,25) - N92 + BV92</f>
        <v>0</v>
      </c>
      <c r="CY92" s="152">
        <f t="shared" si="98"/>
        <v>150</v>
      </c>
      <c r="CZ92" s="164">
        <f t="shared" si="99"/>
        <v>150</v>
      </c>
      <c r="DA92" s="16">
        <f t="shared" si="100"/>
        <v>150</v>
      </c>
      <c r="DB92" s="164">
        <f t="shared" si="101"/>
        <v>150</v>
      </c>
      <c r="DC92" s="164">
        <f t="shared" si="102"/>
        <v>150</v>
      </c>
      <c r="DD92" s="16">
        <f t="shared" si="103"/>
        <v>150</v>
      </c>
      <c r="DE92" s="166">
        <f t="shared" si="104"/>
        <v>100</v>
      </c>
      <c r="DF92" s="164">
        <f t="shared" ca="1" si="105"/>
        <v>150</v>
      </c>
      <c r="DG92" s="16">
        <f t="shared" si="106"/>
        <v>0</v>
      </c>
      <c r="DH92" s="16">
        <f t="shared" si="107"/>
        <v>92</v>
      </c>
      <c r="DI92" s="166"/>
    </row>
    <row r="93" spans="1:113" s="16" customFormat="1" x14ac:dyDescent="0.25">
      <c r="A93" s="36">
        <f t="shared" si="85"/>
        <v>820</v>
      </c>
      <c r="B93" s="36">
        <f t="shared" si="86"/>
        <v>180</v>
      </c>
      <c r="C93" s="83">
        <f t="shared" si="87"/>
        <v>0</v>
      </c>
      <c r="D93" s="572"/>
      <c r="E93" s="16">
        <f t="shared" si="88"/>
        <v>1000</v>
      </c>
      <c r="F93" s="86">
        <f t="shared" si="89"/>
        <v>70</v>
      </c>
      <c r="G93" s="37">
        <f t="shared" si="90"/>
        <v>100</v>
      </c>
      <c r="H93" s="247">
        <f t="shared" si="91"/>
        <v>150</v>
      </c>
      <c r="I93" s="38">
        <f t="shared" si="92"/>
        <v>150</v>
      </c>
      <c r="J93" s="39">
        <f t="shared" si="93"/>
        <v>100</v>
      </c>
      <c r="K93" s="40">
        <f t="shared" si="94"/>
        <v>150</v>
      </c>
      <c r="L93" s="498">
        <f t="shared" si="95"/>
        <v>100</v>
      </c>
      <c r="M93" s="633">
        <f>Rezone!J93</f>
        <v>91</v>
      </c>
      <c r="N93" s="356"/>
      <c r="O93" s="348"/>
      <c r="P93" s="348"/>
      <c r="Q93" s="348"/>
      <c r="R93" s="345"/>
      <c r="S93" s="348"/>
      <c r="T93" s="348"/>
      <c r="U93" s="348"/>
      <c r="V93" s="348"/>
      <c r="W93" s="345"/>
      <c r="X93" s="345"/>
      <c r="Y93" s="348"/>
      <c r="Z93" s="345"/>
      <c r="AA93" s="348"/>
      <c r="AB93" s="348"/>
      <c r="AC93" s="345"/>
      <c r="AD93" s="348"/>
      <c r="AE93" s="348"/>
      <c r="AF93" s="336"/>
      <c r="AG93" s="530">
        <f>Imps!L93</f>
        <v>43768.937499999782</v>
      </c>
      <c r="AH93" s="91">
        <f>MIN(25%,(BG93+CE93)/(E93-Explore!S93*20))</f>
        <v>0</v>
      </c>
      <c r="AI93" s="59">
        <f t="shared" si="81"/>
        <v>0</v>
      </c>
      <c r="AJ93" s="56">
        <f ca="1">Production!$H93</f>
        <v>4925649</v>
      </c>
      <c r="AK93" s="57">
        <f ca="1">Production!$J93</f>
        <v>292498</v>
      </c>
      <c r="AL93" s="152">
        <f ca="1">ROUND( (1 - MIN(facs_constr_factor*$AH93,facs_constr_max)) * (1+MIN(tech_construction*Techs!AC93,tech_conquerors_crafts*Techs!AS93)) * AU93*(1+race_construction_cost),0)</f>
        <v>1615</v>
      </c>
      <c r="AM93" s="166">
        <f t="shared" si="78"/>
        <v>263</v>
      </c>
      <c r="AN93" s="152">
        <f ca="1">ROUND( (1 - MIN(facs_constr_factor*$AI93,facs_constr_max)) * (1+MIN(tech_construction*Techs!AE93,tech_conquerors_crafts*Techs!AU93)) * AU93*(1+race_construction_cost),0)</f>
        <v>1615</v>
      </c>
      <c r="AO93" s="166">
        <f t="shared" si="82"/>
        <v>263</v>
      </c>
      <c r="AP93" s="16">
        <f t="shared" ca="1" si="108"/>
        <v>0</v>
      </c>
      <c r="AQ93" s="53">
        <f t="shared" si="109"/>
        <v>0</v>
      </c>
      <c r="AR93" s="16">
        <f>MIN(SUM(F92:L92)+SUM(Explore!T81:Z81)+SUM(BV93:CN93),SUM($N93:$AF93))</f>
        <v>0</v>
      </c>
      <c r="AS93" s="16">
        <f>IF(Explore!S93&lt;&gt;0,MAX(0, MIN(20, 20 + SUM(N93:AF93) - SUM(BV93:CN93) - SUM(F92:L92)-SUM(Explore!T81:Z81)-20*Explore!S93)),0)</f>
        <v>0</v>
      </c>
      <c r="AU93" s="152">
        <f t="shared" si="83"/>
        <v>1615</v>
      </c>
      <c r="AV93" s="166">
        <f t="shared" si="84"/>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1"/>
      <c r="BS93" s="156">
        <f t="shared" si="96"/>
        <v>1000</v>
      </c>
      <c r="BT93" s="572">
        <f t="shared" si="97"/>
        <v>43771.749999999782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498">
        <f>-$AF93+$CN93 +Rezone!R93 + IF(home_land=CV$2,CW93) + Explore!Z81</f>
        <v>0</v>
      </c>
      <c r="CW93" s="159">
        <f>IF(Explore!S93=1,25) - N93 + BV93</f>
        <v>0</v>
      </c>
      <c r="CY93" s="152">
        <f t="shared" si="98"/>
        <v>150</v>
      </c>
      <c r="CZ93" s="164">
        <f t="shared" si="99"/>
        <v>150</v>
      </c>
      <c r="DA93" s="16">
        <f t="shared" si="100"/>
        <v>150</v>
      </c>
      <c r="DB93" s="164">
        <f t="shared" si="101"/>
        <v>150</v>
      </c>
      <c r="DC93" s="164">
        <f t="shared" si="102"/>
        <v>150</v>
      </c>
      <c r="DD93" s="16">
        <f t="shared" si="103"/>
        <v>150</v>
      </c>
      <c r="DE93" s="166">
        <f t="shared" si="104"/>
        <v>100</v>
      </c>
      <c r="DF93" s="164">
        <f t="shared" ca="1" si="105"/>
        <v>150</v>
      </c>
      <c r="DG93" s="16">
        <f t="shared" si="106"/>
        <v>0</v>
      </c>
      <c r="DH93" s="16">
        <f t="shared" si="107"/>
        <v>93</v>
      </c>
      <c r="DI93" s="166"/>
    </row>
    <row r="94" spans="1:113" s="16" customFormat="1" x14ac:dyDescent="0.25">
      <c r="A94" s="36">
        <f t="shared" si="85"/>
        <v>820</v>
      </c>
      <c r="B94" s="36">
        <f t="shared" si="86"/>
        <v>180</v>
      </c>
      <c r="C94" s="83">
        <f t="shared" si="87"/>
        <v>0</v>
      </c>
      <c r="D94" s="572"/>
      <c r="E94" s="16">
        <f t="shared" si="88"/>
        <v>1000</v>
      </c>
      <c r="F94" s="86">
        <f t="shared" si="89"/>
        <v>70</v>
      </c>
      <c r="G94" s="37">
        <f t="shared" si="90"/>
        <v>100</v>
      </c>
      <c r="H94" s="247">
        <f t="shared" si="91"/>
        <v>150</v>
      </c>
      <c r="I94" s="38">
        <f t="shared" si="92"/>
        <v>150</v>
      </c>
      <c r="J94" s="39">
        <f t="shared" si="93"/>
        <v>100</v>
      </c>
      <c r="K94" s="40">
        <f t="shared" si="94"/>
        <v>150</v>
      </c>
      <c r="L94" s="498">
        <f t="shared" si="95"/>
        <v>100</v>
      </c>
      <c r="M94" s="633">
        <f>Rezone!J94</f>
        <v>92</v>
      </c>
      <c r="N94" s="356"/>
      <c r="O94" s="348"/>
      <c r="P94" s="348"/>
      <c r="Q94" s="348"/>
      <c r="R94" s="345"/>
      <c r="S94" s="348"/>
      <c r="T94" s="348"/>
      <c r="U94" s="348"/>
      <c r="V94" s="348"/>
      <c r="W94" s="345"/>
      <c r="X94" s="345"/>
      <c r="Y94" s="348"/>
      <c r="Z94" s="345"/>
      <c r="AA94" s="348"/>
      <c r="AB94" s="348"/>
      <c r="AC94" s="345"/>
      <c r="AD94" s="348"/>
      <c r="AE94" s="348"/>
      <c r="AF94" s="336"/>
      <c r="AG94" s="530">
        <f>Imps!L94</f>
        <v>43768.947916666446</v>
      </c>
      <c r="AH94" s="91">
        <f>MIN(25%,(BG94+CE94)/(E94-Explore!S94*20))</f>
        <v>0</v>
      </c>
      <c r="AI94" s="59">
        <f t="shared" si="81"/>
        <v>0</v>
      </c>
      <c r="AJ94" s="56">
        <f ca="1">Production!$H94</f>
        <v>4930630</v>
      </c>
      <c r="AK94" s="57">
        <f ca="1">Production!$J94</f>
        <v>292073</v>
      </c>
      <c r="AL94" s="152">
        <f ca="1">ROUND( (1 - MIN(facs_constr_factor*$AH94,facs_constr_max)) * (1+MIN(tech_construction*Techs!AC94,tech_conquerors_crafts*Techs!AS94)) * AU94*(1+race_construction_cost),0)</f>
        <v>1615</v>
      </c>
      <c r="AM94" s="166">
        <f t="shared" si="78"/>
        <v>263</v>
      </c>
      <c r="AN94" s="152">
        <f ca="1">ROUND( (1 - MIN(facs_constr_factor*$AI94,facs_constr_max)) * (1+MIN(tech_construction*Techs!AE94,tech_conquerors_crafts*Techs!AU94)) * AU94*(1+race_construction_cost),0)</f>
        <v>1615</v>
      </c>
      <c r="AO94" s="166">
        <f t="shared" si="82"/>
        <v>263</v>
      </c>
      <c r="AP94" s="16">
        <f t="shared" ca="1" si="108"/>
        <v>0</v>
      </c>
      <c r="AQ94" s="53">
        <f t="shared" si="109"/>
        <v>0</v>
      </c>
      <c r="AR94" s="16">
        <f>MIN(SUM(F93:L93)+SUM(Explore!T82:Z82)+SUM(BV94:CN94),SUM($N94:$AF94))</f>
        <v>0</v>
      </c>
      <c r="AS94" s="16">
        <f>IF(Explore!S94&lt;&gt;0,MAX(0, MIN(20, 20 + SUM(N94:AF94) - SUM(BV94:CN94) - SUM(F93:L93)-SUM(Explore!T82:Z82)-20*Explore!S94)),0)</f>
        <v>0</v>
      </c>
      <c r="AU94" s="152">
        <f t="shared" si="83"/>
        <v>1615</v>
      </c>
      <c r="AV94" s="166">
        <f t="shared" si="84"/>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1"/>
      <c r="BS94" s="156">
        <f t="shared" si="96"/>
        <v>1000</v>
      </c>
      <c r="BT94" s="572">
        <f t="shared" si="97"/>
        <v>43771.791666666446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498">
        <f>-$AF94+$CN94 +Rezone!R94 + IF(home_land=CV$2,CW94) + Explore!Z82</f>
        <v>0</v>
      </c>
      <c r="CW94" s="159">
        <f>IF(Explore!S94=1,25) - N94 + BV94</f>
        <v>0</v>
      </c>
      <c r="CY94" s="152">
        <f t="shared" si="98"/>
        <v>150</v>
      </c>
      <c r="CZ94" s="164">
        <f t="shared" si="99"/>
        <v>150</v>
      </c>
      <c r="DA94" s="16">
        <f t="shared" si="100"/>
        <v>150</v>
      </c>
      <c r="DB94" s="164">
        <f t="shared" si="101"/>
        <v>150</v>
      </c>
      <c r="DC94" s="164">
        <f t="shared" si="102"/>
        <v>150</v>
      </c>
      <c r="DD94" s="16">
        <f t="shared" si="103"/>
        <v>150</v>
      </c>
      <c r="DE94" s="166">
        <f t="shared" si="104"/>
        <v>100</v>
      </c>
      <c r="DF94" s="164">
        <f t="shared" ca="1" si="105"/>
        <v>150</v>
      </c>
      <c r="DG94" s="16">
        <f t="shared" si="106"/>
        <v>0</v>
      </c>
      <c r="DH94" s="16">
        <f t="shared" si="107"/>
        <v>94</v>
      </c>
      <c r="DI94" s="166"/>
    </row>
    <row r="95" spans="1:113" s="16" customFormat="1" x14ac:dyDescent="0.25">
      <c r="A95" s="36">
        <f t="shared" si="85"/>
        <v>820</v>
      </c>
      <c r="B95" s="36">
        <f t="shared" si="86"/>
        <v>180</v>
      </c>
      <c r="C95" s="83">
        <f t="shared" si="87"/>
        <v>0</v>
      </c>
      <c r="D95" s="572"/>
      <c r="E95" s="16">
        <f t="shared" si="88"/>
        <v>1000</v>
      </c>
      <c r="F95" s="86">
        <f t="shared" si="89"/>
        <v>70</v>
      </c>
      <c r="G95" s="37">
        <f t="shared" si="90"/>
        <v>100</v>
      </c>
      <c r="H95" s="247">
        <f t="shared" si="91"/>
        <v>150</v>
      </c>
      <c r="I95" s="38">
        <f t="shared" si="92"/>
        <v>150</v>
      </c>
      <c r="J95" s="39">
        <f t="shared" si="93"/>
        <v>100</v>
      </c>
      <c r="K95" s="40">
        <f t="shared" si="94"/>
        <v>150</v>
      </c>
      <c r="L95" s="498">
        <f t="shared" si="95"/>
        <v>100</v>
      </c>
      <c r="M95" s="633">
        <f>Rezone!J95</f>
        <v>93</v>
      </c>
      <c r="N95" s="356"/>
      <c r="O95" s="348"/>
      <c r="P95" s="348"/>
      <c r="Q95" s="376"/>
      <c r="R95" s="345"/>
      <c r="S95" s="348"/>
      <c r="T95" s="348"/>
      <c r="U95" s="348"/>
      <c r="V95" s="348"/>
      <c r="W95" s="345"/>
      <c r="X95" s="345"/>
      <c r="Y95" s="348"/>
      <c r="Z95" s="345"/>
      <c r="AA95" s="348"/>
      <c r="AB95" s="348"/>
      <c r="AC95" s="345"/>
      <c r="AD95" s="348"/>
      <c r="AE95" s="348"/>
      <c r="AF95" s="336"/>
      <c r="AG95" s="530">
        <f>Imps!L95</f>
        <v>43768.95833333311</v>
      </c>
      <c r="AH95" s="91">
        <f>MIN(25%,(BG95+CE95)/(E95-Explore!S95*20))</f>
        <v>0</v>
      </c>
      <c r="AI95" s="59">
        <f t="shared" si="81"/>
        <v>0</v>
      </c>
      <c r="AJ95" s="56">
        <f ca="1">Production!$H95</f>
        <v>4935611</v>
      </c>
      <c r="AK95" s="57">
        <f ca="1">Production!$J95</f>
        <v>291652</v>
      </c>
      <c r="AL95" s="152">
        <f ca="1">ROUND( (1 - MIN(facs_constr_factor*$AH95,facs_constr_max)) * (1+MIN(tech_construction*Techs!AC95,tech_conquerors_crafts*Techs!AS95)) * AU95*(1+race_construction_cost),0)</f>
        <v>1615</v>
      </c>
      <c r="AM95" s="166">
        <f t="shared" si="78"/>
        <v>263</v>
      </c>
      <c r="AN95" s="152">
        <f ca="1">ROUND( (1 - MIN(facs_constr_factor*$AI95,facs_constr_max)) * (1+MIN(tech_construction*Techs!AE95,tech_conquerors_crafts*Techs!AU95)) * AU95*(1+race_construction_cost),0)</f>
        <v>1615</v>
      </c>
      <c r="AO95" s="166">
        <f t="shared" si="82"/>
        <v>263</v>
      </c>
      <c r="AP95" s="16">
        <f t="shared" ca="1" si="108"/>
        <v>0</v>
      </c>
      <c r="AQ95" s="53">
        <f t="shared" si="109"/>
        <v>0</v>
      </c>
      <c r="AR95" s="16">
        <f>MIN(SUM(F94:L94)+SUM(Explore!T83:Z83)+SUM(BV95:CN95),SUM($N95:$AF95))</f>
        <v>0</v>
      </c>
      <c r="AS95" s="16">
        <f>IF(Explore!S95&lt;&gt;0,MAX(0, MIN(20, 20 + SUM(N95:AF95) - SUM(BV95:CN95) - SUM(F94:L94)-SUM(Explore!T83:Z83)-20*Explore!S95)),0)</f>
        <v>0</v>
      </c>
      <c r="AU95" s="152">
        <f t="shared" si="83"/>
        <v>1615</v>
      </c>
      <c r="AV95" s="166">
        <f t="shared" si="84"/>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1"/>
      <c r="BS95" s="156">
        <f t="shared" si="96"/>
        <v>1000</v>
      </c>
      <c r="BT95" s="572">
        <f t="shared" si="97"/>
        <v>43771.83333333311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498">
        <f>-$AF95+$CN95 +Rezone!R95 + IF(home_land=CV$2,CW95) + Explore!Z83</f>
        <v>0</v>
      </c>
      <c r="CW95" s="159">
        <f>IF(Explore!S95=1,25) - N95 + BV95</f>
        <v>0</v>
      </c>
      <c r="CY95" s="152">
        <f t="shared" si="98"/>
        <v>150</v>
      </c>
      <c r="CZ95" s="164">
        <f t="shared" si="99"/>
        <v>150</v>
      </c>
      <c r="DA95" s="16">
        <f t="shared" si="100"/>
        <v>150</v>
      </c>
      <c r="DB95" s="164">
        <f t="shared" si="101"/>
        <v>150</v>
      </c>
      <c r="DC95" s="164">
        <f t="shared" si="102"/>
        <v>150</v>
      </c>
      <c r="DD95" s="16">
        <f t="shared" si="103"/>
        <v>150</v>
      </c>
      <c r="DE95" s="166">
        <f t="shared" si="104"/>
        <v>100</v>
      </c>
      <c r="DF95" s="164">
        <f t="shared" ca="1" si="105"/>
        <v>150</v>
      </c>
      <c r="DG95" s="16">
        <f t="shared" si="106"/>
        <v>0</v>
      </c>
      <c r="DH95" s="16">
        <f t="shared" si="107"/>
        <v>95</v>
      </c>
      <c r="DI95" s="166"/>
    </row>
    <row r="96" spans="1:113" s="16" customFormat="1" x14ac:dyDescent="0.25">
      <c r="A96" s="36">
        <f t="shared" si="85"/>
        <v>820</v>
      </c>
      <c r="B96" s="36">
        <f t="shared" si="86"/>
        <v>180</v>
      </c>
      <c r="C96" s="83">
        <f t="shared" si="87"/>
        <v>0</v>
      </c>
      <c r="D96" s="572"/>
      <c r="E96" s="16">
        <f t="shared" si="88"/>
        <v>1000</v>
      </c>
      <c r="F96" s="86">
        <f t="shared" si="89"/>
        <v>70</v>
      </c>
      <c r="G96" s="37">
        <f t="shared" si="90"/>
        <v>100</v>
      </c>
      <c r="H96" s="247">
        <f t="shared" si="91"/>
        <v>150</v>
      </c>
      <c r="I96" s="38">
        <f t="shared" si="92"/>
        <v>150</v>
      </c>
      <c r="J96" s="39">
        <f t="shared" si="93"/>
        <v>100</v>
      </c>
      <c r="K96" s="40">
        <f t="shared" si="94"/>
        <v>150</v>
      </c>
      <c r="L96" s="498">
        <f t="shared" si="95"/>
        <v>100</v>
      </c>
      <c r="M96" s="633">
        <f>Rezone!J96</f>
        <v>94</v>
      </c>
      <c r="N96" s="356"/>
      <c r="O96" s="348"/>
      <c r="P96" s="348"/>
      <c r="Q96" s="376"/>
      <c r="R96" s="345"/>
      <c r="S96" s="348"/>
      <c r="T96" s="348"/>
      <c r="U96" s="348"/>
      <c r="V96" s="348"/>
      <c r="W96" s="345"/>
      <c r="X96" s="345"/>
      <c r="Y96" s="348"/>
      <c r="Z96" s="345"/>
      <c r="AA96" s="348"/>
      <c r="AB96" s="348"/>
      <c r="AC96" s="345"/>
      <c r="AD96" s="348"/>
      <c r="AE96" s="348"/>
      <c r="AF96" s="336"/>
      <c r="AG96" s="530">
        <f>Imps!L96</f>
        <v>43768.968749999774</v>
      </c>
      <c r="AH96" s="91">
        <f>MIN(25%,(BG96+CE96)/(E96-Explore!S96*20))</f>
        <v>0</v>
      </c>
      <c r="AI96" s="59">
        <f t="shared" si="81"/>
        <v>0</v>
      </c>
      <c r="AJ96" s="56">
        <f ca="1">Production!$H96</f>
        <v>4940592</v>
      </c>
      <c r="AK96" s="57">
        <f ca="1">Production!$J96</f>
        <v>291235</v>
      </c>
      <c r="AL96" s="152">
        <f ca="1">ROUND( (1 - MIN(facs_constr_factor*$AH96,facs_constr_max)) * (1+MIN(tech_construction*Techs!AC96,tech_conquerors_crafts*Techs!AS96)) * AU96*(1+race_construction_cost),0)</f>
        <v>1615</v>
      </c>
      <c r="AM96" s="166">
        <f t="shared" si="78"/>
        <v>263</v>
      </c>
      <c r="AN96" s="152">
        <f ca="1">ROUND( (1 - MIN(facs_constr_factor*$AI96,facs_constr_max)) * (1+MIN(tech_construction*Techs!AE96,tech_conquerors_crafts*Techs!AU96)) * AU96*(1+race_construction_cost),0)</f>
        <v>1615</v>
      </c>
      <c r="AO96" s="166">
        <f t="shared" si="82"/>
        <v>263</v>
      </c>
      <c r="AP96" s="16">
        <f t="shared" ca="1" si="108"/>
        <v>0</v>
      </c>
      <c r="AQ96" s="53">
        <f t="shared" si="109"/>
        <v>0</v>
      </c>
      <c r="AR96" s="16">
        <f>MIN(SUM(F95:L95)+SUM(Explore!T84:Z84)+SUM(BV96:CN96),SUM($N96:$AF96))</f>
        <v>0</v>
      </c>
      <c r="AS96" s="16">
        <f>IF(Explore!S96&lt;&gt;0,MAX(0, MIN(20, 20 + SUM(N96:AF96) - SUM(BV96:CN96) - SUM(F95:L95)-SUM(Explore!T84:Z84)-20*Explore!S96)),0)</f>
        <v>0</v>
      </c>
      <c r="AU96" s="152">
        <f t="shared" si="83"/>
        <v>1615</v>
      </c>
      <c r="AV96" s="166">
        <f t="shared" si="84"/>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1"/>
      <c r="BS96" s="156">
        <f t="shared" si="96"/>
        <v>1000</v>
      </c>
      <c r="BT96" s="572">
        <f t="shared" si="97"/>
        <v>43771.874999999774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498">
        <f>-$AF96+$CN96 +Rezone!R96 + IF(home_land=CV$2,CW96) + Explore!Z84</f>
        <v>0</v>
      </c>
      <c r="CW96" s="159">
        <f>IF(Explore!S96=1,25) - N96 + BV96</f>
        <v>0</v>
      </c>
      <c r="CY96" s="152">
        <f t="shared" si="98"/>
        <v>150</v>
      </c>
      <c r="CZ96" s="164">
        <f t="shared" si="99"/>
        <v>150</v>
      </c>
      <c r="DA96" s="16">
        <f t="shared" si="100"/>
        <v>150</v>
      </c>
      <c r="DB96" s="164">
        <f t="shared" si="101"/>
        <v>150</v>
      </c>
      <c r="DC96" s="164">
        <f t="shared" si="102"/>
        <v>150</v>
      </c>
      <c r="DD96" s="16">
        <f t="shared" si="103"/>
        <v>150</v>
      </c>
      <c r="DE96" s="166">
        <f t="shared" si="104"/>
        <v>100</v>
      </c>
      <c r="DF96" s="164">
        <f t="shared" ca="1" si="105"/>
        <v>150</v>
      </c>
      <c r="DG96" s="16">
        <f t="shared" si="106"/>
        <v>0</v>
      </c>
      <c r="DH96" s="16">
        <f t="shared" si="107"/>
        <v>96</v>
      </c>
      <c r="DI96" s="166"/>
    </row>
    <row r="97" spans="1:113" s="16" customFormat="1" x14ac:dyDescent="0.25">
      <c r="A97" s="36">
        <f t="shared" si="85"/>
        <v>820</v>
      </c>
      <c r="B97" s="36">
        <f t="shared" si="86"/>
        <v>180</v>
      </c>
      <c r="C97" s="83">
        <f t="shared" si="87"/>
        <v>0</v>
      </c>
      <c r="D97" s="572"/>
      <c r="E97" s="16">
        <f t="shared" si="88"/>
        <v>1000</v>
      </c>
      <c r="F97" s="86">
        <f t="shared" si="89"/>
        <v>70</v>
      </c>
      <c r="G97" s="37">
        <f t="shared" si="90"/>
        <v>100</v>
      </c>
      <c r="H97" s="247">
        <f t="shared" si="91"/>
        <v>150</v>
      </c>
      <c r="I97" s="38">
        <f t="shared" si="92"/>
        <v>150</v>
      </c>
      <c r="J97" s="39">
        <f t="shared" si="93"/>
        <v>100</v>
      </c>
      <c r="K97" s="40">
        <f t="shared" si="94"/>
        <v>150</v>
      </c>
      <c r="L97" s="498">
        <f t="shared" si="95"/>
        <v>100</v>
      </c>
      <c r="M97" s="633">
        <f>Rezone!J97</f>
        <v>95</v>
      </c>
      <c r="N97" s="356"/>
      <c r="O97" s="348"/>
      <c r="P97" s="348"/>
      <c r="Q97" s="376"/>
      <c r="R97" s="345"/>
      <c r="S97" s="348"/>
      <c r="T97" s="348"/>
      <c r="U97" s="348"/>
      <c r="V97" s="348"/>
      <c r="W97" s="345"/>
      <c r="X97" s="345"/>
      <c r="Y97" s="348"/>
      <c r="Z97" s="345"/>
      <c r="AA97" s="348"/>
      <c r="AB97" s="348"/>
      <c r="AC97" s="345"/>
      <c r="AD97" s="348"/>
      <c r="AE97" s="348"/>
      <c r="AF97" s="336"/>
      <c r="AG97" s="530">
        <f>Imps!L97</f>
        <v>43768.979166666439</v>
      </c>
      <c r="AH97" s="91">
        <f>MIN(25%,(BG97+CE97)/(E97-Explore!S97*20))</f>
        <v>0</v>
      </c>
      <c r="AI97" s="59">
        <f t="shared" si="81"/>
        <v>0</v>
      </c>
      <c r="AJ97" s="56">
        <f ca="1">Production!$H97</f>
        <v>4945573</v>
      </c>
      <c r="AK97" s="57">
        <f ca="1">Production!$J97</f>
        <v>290823</v>
      </c>
      <c r="AL97" s="152">
        <f ca="1">ROUND( (1 - MIN(facs_constr_factor*$AH97,facs_constr_max)) * (1+MIN(tech_construction*Techs!AC97,tech_conquerors_crafts*Techs!AS97)) * AU97*(1+race_construction_cost),0)</f>
        <v>1615</v>
      </c>
      <c r="AM97" s="166">
        <f t="shared" si="78"/>
        <v>263</v>
      </c>
      <c r="AN97" s="152">
        <f ca="1">ROUND( (1 - MIN(facs_constr_factor*$AI97,facs_constr_max)) * (1+MIN(tech_construction*Techs!AE97,tech_conquerors_crafts*Techs!AU97)) * AU97*(1+race_construction_cost),0)</f>
        <v>1615</v>
      </c>
      <c r="AO97" s="166">
        <f t="shared" si="82"/>
        <v>263</v>
      </c>
      <c r="AP97" s="16">
        <f t="shared" ca="1" si="108"/>
        <v>0</v>
      </c>
      <c r="AQ97" s="53">
        <f t="shared" si="109"/>
        <v>0</v>
      </c>
      <c r="AR97" s="16">
        <f>MIN(SUM(F96:L96)+SUM(Explore!T85:Z85)+SUM(BV97:CN97),SUM($N97:$AF97))</f>
        <v>0</v>
      </c>
      <c r="AS97" s="16">
        <f>IF(Explore!S97&lt;&gt;0,MAX(0, MIN(20, 20 + SUM(N97:AF97) - SUM(BV97:CN97) - SUM(F96:L96)-SUM(Explore!T85:Z85)-20*Explore!S97)),0)</f>
        <v>0</v>
      </c>
      <c r="AU97" s="152">
        <f t="shared" si="83"/>
        <v>1615</v>
      </c>
      <c r="AV97" s="166">
        <f t="shared" si="84"/>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1"/>
      <c r="BS97" s="156">
        <f t="shared" si="96"/>
        <v>1000</v>
      </c>
      <c r="BT97" s="572">
        <f t="shared" si="97"/>
        <v>43771.916666666439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498">
        <f>-$AF97+$CN97 +Rezone!R97 + IF(home_land=CV$2,CW97) + Explore!Z85</f>
        <v>0</v>
      </c>
      <c r="CW97" s="159">
        <f>IF(Explore!S97=1,25) - N97 + BV97</f>
        <v>0</v>
      </c>
      <c r="CY97" s="152">
        <f t="shared" si="98"/>
        <v>150</v>
      </c>
      <c r="CZ97" s="164">
        <f t="shared" si="99"/>
        <v>150</v>
      </c>
      <c r="DA97" s="16">
        <f t="shared" si="100"/>
        <v>150</v>
      </c>
      <c r="DB97" s="164">
        <f t="shared" si="101"/>
        <v>150</v>
      </c>
      <c r="DC97" s="164">
        <f t="shared" si="102"/>
        <v>150</v>
      </c>
      <c r="DD97" s="16">
        <f t="shared" si="103"/>
        <v>150</v>
      </c>
      <c r="DE97" s="166">
        <f t="shared" si="104"/>
        <v>100</v>
      </c>
      <c r="DF97" s="164">
        <f t="shared" ca="1" si="105"/>
        <v>150</v>
      </c>
      <c r="DG97" s="16">
        <f t="shared" si="106"/>
        <v>0</v>
      </c>
      <c r="DH97" s="16">
        <f t="shared" si="107"/>
        <v>97</v>
      </c>
      <c r="DI97" s="166"/>
    </row>
    <row r="98" spans="1:113" s="170" customFormat="1" ht="13.8" thickBot="1" x14ac:dyDescent="0.3">
      <c r="A98" s="242">
        <f t="shared" si="85"/>
        <v>820</v>
      </c>
      <c r="B98" s="242">
        <f t="shared" si="86"/>
        <v>180</v>
      </c>
      <c r="C98" s="243">
        <f t="shared" si="87"/>
        <v>0</v>
      </c>
      <c r="D98" s="530"/>
      <c r="E98" s="170">
        <f t="shared" si="88"/>
        <v>1000</v>
      </c>
      <c r="F98" s="245">
        <f t="shared" si="89"/>
        <v>70</v>
      </c>
      <c r="G98" s="246">
        <f t="shared" si="90"/>
        <v>100</v>
      </c>
      <c r="H98" s="247">
        <f t="shared" si="91"/>
        <v>150</v>
      </c>
      <c r="I98" s="248">
        <f t="shared" si="92"/>
        <v>150</v>
      </c>
      <c r="J98" s="249">
        <f t="shared" si="93"/>
        <v>100</v>
      </c>
      <c r="K98" s="250">
        <f t="shared" si="94"/>
        <v>150</v>
      </c>
      <c r="L98" s="496">
        <f t="shared" si="95"/>
        <v>100</v>
      </c>
      <c r="M98" s="632">
        <f>Rezone!J98</f>
        <v>96</v>
      </c>
      <c r="N98" s="352"/>
      <c r="O98" s="363"/>
      <c r="P98" s="345"/>
      <c r="Q98" s="345"/>
      <c r="R98" s="345"/>
      <c r="S98" s="345"/>
      <c r="T98" s="345"/>
      <c r="U98" s="345"/>
      <c r="V98" s="345"/>
      <c r="W98" s="345"/>
      <c r="X98" s="345"/>
      <c r="Y98" s="345"/>
      <c r="Z98" s="345"/>
      <c r="AA98" s="345"/>
      <c r="AB98" s="345"/>
      <c r="AC98" s="345"/>
      <c r="AD98" s="345"/>
      <c r="AE98" s="345"/>
      <c r="AF98" s="336"/>
      <c r="AG98" s="530">
        <f>Imps!L98</f>
        <v>43768.989583333103</v>
      </c>
      <c r="AH98" s="251">
        <f>MIN(25%,(BG98+CE98)/(E98-Explore!S98*20))</f>
        <v>0</v>
      </c>
      <c r="AI98" s="187">
        <f t="shared" si="81"/>
        <v>0</v>
      </c>
      <c r="AJ98" s="152">
        <f ca="1">Production!$H98</f>
        <v>4950554</v>
      </c>
      <c r="AK98" s="166">
        <f ca="1">Production!$J98</f>
        <v>290415</v>
      </c>
      <c r="AL98" s="152">
        <f ca="1">ROUND( (1 - MIN(facs_constr_factor*$AH98,facs_constr_max)) * (1+MIN(tech_construction*Techs!AC98,tech_conquerors_crafts*Techs!AS98)) * AU98*(1+race_construction_cost),0)</f>
        <v>1615</v>
      </c>
      <c r="AM98" s="166">
        <f t="shared" si="78"/>
        <v>263</v>
      </c>
      <c r="AN98" s="152">
        <f ca="1">ROUND( (1 - MIN(facs_constr_factor*$AI98,facs_constr_max)) * (1+MIN(tech_construction*Techs!AE98,tech_conquerors_crafts*Techs!AU98)) * AU98*(1+race_construction_cost),0)</f>
        <v>1615</v>
      </c>
      <c r="AO98" s="166">
        <f t="shared" si="82"/>
        <v>263</v>
      </c>
      <c r="AP98" s="170">
        <f t="shared" ca="1" si="108"/>
        <v>0</v>
      </c>
      <c r="AQ98" s="157">
        <f t="shared" si="109"/>
        <v>0</v>
      </c>
      <c r="AR98" s="170">
        <f>MIN(SUM(F97:L97)+SUM(Explore!T86:Z86)+SUM(BV98:CN98),SUM($N98:$AF98))</f>
        <v>0</v>
      </c>
      <c r="AS98" s="170">
        <f>IF(Explore!S98&lt;&gt;0,MAX(0, MIN(20, 20 + SUM(N98:AF98) - SUM(BV98:CN98) - SUM(F97:L97)-SUM(Explore!T86:Z86)-20*Explore!S98)),0)</f>
        <v>0</v>
      </c>
      <c r="AU98" s="152">
        <f t="shared" si="83"/>
        <v>1615</v>
      </c>
      <c r="AV98" s="166">
        <f t="shared" si="84"/>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39"/>
      <c r="BS98" s="156">
        <f t="shared" si="96"/>
        <v>1000</v>
      </c>
      <c r="BT98" s="530">
        <f t="shared" si="97"/>
        <v>43771.958333333103</v>
      </c>
      <c r="BV98" s="352"/>
      <c r="BW98" s="345"/>
      <c r="BX98" s="345"/>
      <c r="BY98" s="345"/>
      <c r="BZ98" s="345"/>
      <c r="CA98" s="345"/>
      <c r="CB98" s="345"/>
      <c r="CC98" s="345"/>
      <c r="CD98" s="345"/>
      <c r="CE98" s="345"/>
      <c r="CF98" s="345"/>
      <c r="CG98" s="345"/>
      <c r="CH98" s="345"/>
      <c r="CI98" s="345"/>
      <c r="CJ98" s="345"/>
      <c r="CK98" s="345"/>
      <c r="CL98" s="345"/>
      <c r="CM98" s="759"/>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6">
        <f>-$AF98+$CN98 +Rezone!R98 + IF(home_land=CV$2,CW98) + Explore!Z86</f>
        <v>0</v>
      </c>
      <c r="CW98" s="159">
        <f>IF(Explore!S98=1,25) - N98 + BV98</f>
        <v>0</v>
      </c>
      <c r="CY98" s="152">
        <f t="shared" si="98"/>
        <v>150</v>
      </c>
      <c r="CZ98" s="164">
        <f t="shared" si="99"/>
        <v>150</v>
      </c>
      <c r="DA98" s="170">
        <f t="shared" si="100"/>
        <v>150</v>
      </c>
      <c r="DB98" s="164">
        <f t="shared" si="101"/>
        <v>150</v>
      </c>
      <c r="DC98" s="164">
        <f t="shared" si="102"/>
        <v>150</v>
      </c>
      <c r="DD98" s="170">
        <f t="shared" si="103"/>
        <v>150</v>
      </c>
      <c r="DE98" s="166">
        <f t="shared" si="104"/>
        <v>100</v>
      </c>
      <c r="DF98" s="164">
        <f t="shared" ca="1" si="105"/>
        <v>150</v>
      </c>
      <c r="DG98" s="170">
        <f t="shared" si="106"/>
        <v>0</v>
      </c>
      <c r="DH98" s="170">
        <f t="shared" si="107"/>
        <v>98</v>
      </c>
      <c r="DI98" s="166"/>
    </row>
    <row r="99" spans="1:113" s="173" customFormat="1" ht="13.8" thickBot="1" x14ac:dyDescent="0.3">
      <c r="A99" s="252">
        <f t="shared" si="85"/>
        <v>820</v>
      </c>
      <c r="B99" s="252">
        <f t="shared" si="86"/>
        <v>180</v>
      </c>
      <c r="C99" s="253">
        <f t="shared" si="87"/>
        <v>0</v>
      </c>
      <c r="D99" s="571"/>
      <c r="E99" s="173">
        <f t="shared" si="88"/>
        <v>1000</v>
      </c>
      <c r="F99" s="255">
        <f t="shared" si="89"/>
        <v>70</v>
      </c>
      <c r="G99" s="256">
        <f t="shared" si="90"/>
        <v>100</v>
      </c>
      <c r="H99" s="257">
        <f t="shared" si="91"/>
        <v>150</v>
      </c>
      <c r="I99" s="258">
        <f t="shared" si="92"/>
        <v>150</v>
      </c>
      <c r="J99" s="259">
        <f t="shared" si="93"/>
        <v>100</v>
      </c>
      <c r="K99" s="260">
        <f t="shared" si="94"/>
        <v>150</v>
      </c>
      <c r="L99" s="497">
        <f t="shared" si="95"/>
        <v>100</v>
      </c>
      <c r="M99" s="634">
        <f>Rezone!J99</f>
        <v>97</v>
      </c>
      <c r="N99" s="354"/>
      <c r="O99" s="347"/>
      <c r="P99" s="347"/>
      <c r="Q99" s="347"/>
      <c r="R99" s="347"/>
      <c r="S99" s="537"/>
      <c r="T99" s="347"/>
      <c r="U99" s="347"/>
      <c r="V99" s="347"/>
      <c r="W99" s="347"/>
      <c r="X99" s="347"/>
      <c r="Y99" s="347"/>
      <c r="Z99" s="347"/>
      <c r="AA99" s="347"/>
      <c r="AB99" s="347"/>
      <c r="AC99" s="347"/>
      <c r="AD99" s="347"/>
      <c r="AE99" s="347"/>
      <c r="AF99" s="339"/>
      <c r="AG99" s="571">
        <f>Imps!L99</f>
        <v>43768.999999999767</v>
      </c>
      <c r="AH99" s="261">
        <f>MIN(25%,(BG99+CE99)/(E99-Explore!S99*20))</f>
        <v>0</v>
      </c>
      <c r="AI99" s="192">
        <f t="shared" si="81"/>
        <v>0</v>
      </c>
      <c r="AJ99" s="175">
        <f ca="1">Production!$H99</f>
        <v>4955535</v>
      </c>
      <c r="AK99" s="179">
        <f ca="1">Production!$J99</f>
        <v>290011</v>
      </c>
      <c r="AL99" s="175">
        <f ca="1">ROUND( (1 - MIN(facs_constr_factor*$AH99,facs_constr_max)) * (1+MIN(tech_construction*Techs!AC99,tech_conquerors_crafts*Techs!AS99)) * AU99*(1+race_construction_cost),0)</f>
        <v>1615</v>
      </c>
      <c r="AM99" s="179">
        <f t="shared" ref="AM99:AM135" si="110">ROUND( (1 - MIN(facs_constr_factor*$AH99,facs_constr_max)) * AV99,0)</f>
        <v>263</v>
      </c>
      <c r="AN99" s="175">
        <f ca="1">ROUND( (1 - MIN(facs_constr_factor*$AI99,facs_constr_max)) * (1+MIN(tech_construction*Techs!AE99,tech_conquerors_crafts*Techs!AU99)) * AU99*(1+race_construction_cost),0)</f>
        <v>1615</v>
      </c>
      <c r="AO99" s="179">
        <f t="shared" si="82"/>
        <v>263</v>
      </c>
      <c r="AP99" s="173">
        <f t="shared" ca="1" si="108"/>
        <v>0</v>
      </c>
      <c r="AQ99" s="178">
        <f t="shared" si="109"/>
        <v>0</v>
      </c>
      <c r="AR99" s="173">
        <f>MIN(SUM(F98:L98)+SUM(Explore!T87:Z87)+SUM(BV99:CN99),SUM($N99:$AF99))</f>
        <v>0</v>
      </c>
      <c r="AS99" s="173">
        <f>IF(Explore!S99&lt;&gt;0,MAX(0, MIN(20, 20 + SUM(N99:AF99) - SUM(BV99:CN99) - SUM(F98:L98)-SUM(Explore!T87:Z87)-20*Explore!S99)),0)</f>
        <v>0</v>
      </c>
      <c r="AU99" s="175">
        <f t="shared" si="83"/>
        <v>1615</v>
      </c>
      <c r="AV99" s="179">
        <f t="shared" si="84"/>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0"/>
      <c r="BS99" s="177">
        <f t="shared" si="96"/>
        <v>1000</v>
      </c>
      <c r="BT99" s="571">
        <f t="shared" si="97"/>
        <v>43771.999999999767</v>
      </c>
      <c r="BV99" s="354"/>
      <c r="BW99" s="347"/>
      <c r="BX99" s="347"/>
      <c r="BY99" s="347"/>
      <c r="BZ99" s="347"/>
      <c r="CA99" s="347"/>
      <c r="CB99" s="347"/>
      <c r="CC99" s="347"/>
      <c r="CD99" s="347"/>
      <c r="CE99" s="347"/>
      <c r="CF99" s="347"/>
      <c r="CG99" s="347"/>
      <c r="CH99" s="347"/>
      <c r="CI99" s="347"/>
      <c r="CJ99" s="347"/>
      <c r="CK99" s="347"/>
      <c r="CL99" s="347"/>
      <c r="CM99" s="761"/>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7">
        <f>-$AF99+$CN99 +Rezone!R99 + IF(home_land=CV$2,CW99) + Explore!Z87</f>
        <v>0</v>
      </c>
      <c r="CW99" s="180">
        <f>IF(Explore!S99=1,25) - N99 + BV99</f>
        <v>0</v>
      </c>
      <c r="CY99" s="175">
        <f t="shared" si="98"/>
        <v>150</v>
      </c>
      <c r="CZ99" s="174">
        <f t="shared" si="99"/>
        <v>150</v>
      </c>
      <c r="DA99" s="173">
        <f t="shared" si="100"/>
        <v>150</v>
      </c>
      <c r="DB99" s="174">
        <f t="shared" si="101"/>
        <v>150</v>
      </c>
      <c r="DC99" s="174">
        <f t="shared" si="102"/>
        <v>150</v>
      </c>
      <c r="DD99" s="173">
        <f t="shared" si="103"/>
        <v>150</v>
      </c>
      <c r="DE99" s="179">
        <f t="shared" si="104"/>
        <v>100</v>
      </c>
      <c r="DF99" s="174">
        <f t="shared" ca="1" si="105"/>
        <v>150</v>
      </c>
      <c r="DG99" s="173">
        <f t="shared" si="106"/>
        <v>0</v>
      </c>
      <c r="DH99" s="173">
        <f t="shared" si="107"/>
        <v>99</v>
      </c>
      <c r="DI99" s="179"/>
    </row>
    <row r="100" spans="1:113" s="170" customFormat="1" x14ac:dyDescent="0.25">
      <c r="A100" s="242">
        <f t="shared" si="85"/>
        <v>820</v>
      </c>
      <c r="B100" s="242">
        <f t="shared" si="86"/>
        <v>180</v>
      </c>
      <c r="C100" s="243">
        <f t="shared" si="87"/>
        <v>0</v>
      </c>
      <c r="D100" s="530"/>
      <c r="E100" s="170">
        <f t="shared" si="88"/>
        <v>1000</v>
      </c>
      <c r="F100" s="245">
        <f t="shared" si="89"/>
        <v>70</v>
      </c>
      <c r="G100" s="246">
        <f t="shared" si="90"/>
        <v>100</v>
      </c>
      <c r="H100" s="247">
        <f t="shared" si="91"/>
        <v>150</v>
      </c>
      <c r="I100" s="248">
        <f t="shared" si="92"/>
        <v>150</v>
      </c>
      <c r="J100" s="249">
        <f t="shared" si="93"/>
        <v>100</v>
      </c>
      <c r="K100" s="250">
        <f t="shared" si="94"/>
        <v>150</v>
      </c>
      <c r="L100" s="496">
        <f t="shared" si="95"/>
        <v>100</v>
      </c>
      <c r="M100" s="632">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0">
        <f>Imps!L100</f>
        <v>43769.010416666431</v>
      </c>
      <c r="AH100" s="251">
        <f>MIN(25%,(BG100+CE100)/(E100-Explore!S100*20))</f>
        <v>0</v>
      </c>
      <c r="AI100" s="187">
        <f t="shared" si="81"/>
        <v>0</v>
      </c>
      <c r="AJ100" s="152">
        <f ca="1">Production!$H100</f>
        <v>4960516</v>
      </c>
      <c r="AK100" s="166">
        <f ca="1">Production!$J100</f>
        <v>289611</v>
      </c>
      <c r="AL100" s="152">
        <f ca="1">ROUND( (1 - MIN(facs_constr_factor*$AH100,facs_constr_max)) * (1+MIN(tech_construction*Techs!AC100,tech_conquerors_crafts*Techs!AS100)) * AU100*(1+race_construction_cost),0)</f>
        <v>1615</v>
      </c>
      <c r="AM100" s="166">
        <f t="shared" si="110"/>
        <v>263</v>
      </c>
      <c r="AN100" s="152">
        <f ca="1">ROUND( (1 - MIN(facs_constr_factor*$AI100,facs_constr_max)) * (1+MIN(tech_construction*Techs!AE100,tech_conquerors_crafts*Techs!AU100)) * AU100*(1+race_construction_cost),0)</f>
        <v>1615</v>
      </c>
      <c r="AO100" s="166">
        <f t="shared" ref="AO100:AO135" si="111">ROUND( (1 - MIN(facs_constr_factor*$AH100,facs_constr_max)) * AV100,0)</f>
        <v>263</v>
      </c>
      <c r="AP100" s="170">
        <f t="shared" ca="1" si="108"/>
        <v>0</v>
      </c>
      <c r="AQ100" s="157">
        <f t="shared" si="109"/>
        <v>0</v>
      </c>
      <c r="AR100" s="170">
        <f>MIN(SUM(F99:L99)+SUM(Explore!T88:Z88)+SUM(BV100:CN100),SUM($N100:$AF100))</f>
        <v>0</v>
      </c>
      <c r="AS100" s="170">
        <f>IF(Explore!S100&lt;&gt;0,MAX(0, MIN(20, 20 + SUM(N100:AF100) - SUM(BV100:CN100) - SUM(F99:L99)-SUM(Explore!T88:Z88)-20*Explore!S100)),0)</f>
        <v>0</v>
      </c>
      <c r="AU100" s="152">
        <f t="shared" si="83"/>
        <v>1615</v>
      </c>
      <c r="AV100" s="166">
        <f t="shared" si="84"/>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39"/>
      <c r="BS100" s="156">
        <f t="shared" si="96"/>
        <v>1000</v>
      </c>
      <c r="BT100" s="530">
        <f t="shared" si="97"/>
        <v>43772.041666666431</v>
      </c>
      <c r="BV100" s="352"/>
      <c r="BW100" s="345"/>
      <c r="BX100" s="345"/>
      <c r="BY100" s="345"/>
      <c r="BZ100" s="345"/>
      <c r="CA100" s="345"/>
      <c r="CB100" s="345"/>
      <c r="CC100" s="345"/>
      <c r="CD100" s="345"/>
      <c r="CE100" s="345"/>
      <c r="CF100" s="345"/>
      <c r="CG100" s="345"/>
      <c r="CH100" s="345"/>
      <c r="CI100" s="345"/>
      <c r="CJ100" s="345"/>
      <c r="CK100" s="345"/>
      <c r="CL100" s="345"/>
      <c r="CM100" s="759"/>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6">
        <f>-$AF100+$CN100 +Rezone!R100 + IF(home_land=CV$2,CW100) + Explore!Z88</f>
        <v>0</v>
      </c>
      <c r="CW100" s="159">
        <f>IF(Explore!S100=1,25) - N100 + BV100</f>
        <v>0</v>
      </c>
      <c r="CY100" s="152">
        <f t="shared" si="98"/>
        <v>150</v>
      </c>
      <c r="CZ100" s="164">
        <f t="shared" si="99"/>
        <v>150</v>
      </c>
      <c r="DA100" s="170">
        <f t="shared" si="100"/>
        <v>150</v>
      </c>
      <c r="DB100" s="164">
        <f t="shared" si="101"/>
        <v>150</v>
      </c>
      <c r="DC100" s="164">
        <f t="shared" si="102"/>
        <v>150</v>
      </c>
      <c r="DD100" s="170">
        <f t="shared" si="103"/>
        <v>150</v>
      </c>
      <c r="DE100" s="166">
        <f t="shared" si="104"/>
        <v>100</v>
      </c>
      <c r="DF100" s="164">
        <f t="shared" ca="1" si="105"/>
        <v>150</v>
      </c>
      <c r="DG100" s="170">
        <f t="shared" si="106"/>
        <v>0</v>
      </c>
      <c r="DH100" s="170">
        <f t="shared" si="107"/>
        <v>100</v>
      </c>
      <c r="DI100" s="166"/>
    </row>
    <row r="101" spans="1:113" s="170" customFormat="1" x14ac:dyDescent="0.25">
      <c r="A101" s="242">
        <f t="shared" si="85"/>
        <v>820</v>
      </c>
      <c r="B101" s="242">
        <f t="shared" si="86"/>
        <v>180</v>
      </c>
      <c r="C101" s="243">
        <f t="shared" si="87"/>
        <v>0</v>
      </c>
      <c r="D101" s="530"/>
      <c r="E101" s="170">
        <f t="shared" si="88"/>
        <v>1000</v>
      </c>
      <c r="F101" s="245">
        <f t="shared" si="89"/>
        <v>70</v>
      </c>
      <c r="G101" s="246">
        <f t="shared" si="90"/>
        <v>100</v>
      </c>
      <c r="H101" s="247">
        <f t="shared" si="91"/>
        <v>150</v>
      </c>
      <c r="I101" s="248">
        <f t="shared" si="92"/>
        <v>150</v>
      </c>
      <c r="J101" s="249">
        <f t="shared" si="93"/>
        <v>100</v>
      </c>
      <c r="K101" s="250">
        <f t="shared" si="94"/>
        <v>150</v>
      </c>
      <c r="L101" s="496">
        <f t="shared" si="95"/>
        <v>100</v>
      </c>
      <c r="M101" s="632">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0">
        <f>Imps!L101</f>
        <v>43769.020833333096</v>
      </c>
      <c r="AH101" s="251">
        <f>MIN(25%,(BG101+CE101)/(E101-Explore!S101*20))</f>
        <v>0</v>
      </c>
      <c r="AI101" s="187">
        <f t="shared" si="81"/>
        <v>0</v>
      </c>
      <c r="AJ101" s="152">
        <f ca="1">Production!$H101</f>
        <v>4965497</v>
      </c>
      <c r="AK101" s="166">
        <f ca="1">Production!$J101</f>
        <v>289215</v>
      </c>
      <c r="AL101" s="152">
        <f ca="1">ROUND( (1 - MIN(facs_constr_factor*$AH101,facs_constr_max)) * (1+MIN(tech_construction*Techs!AC101,tech_conquerors_crafts*Techs!AS101)) * AU101*(1+race_construction_cost),0)</f>
        <v>1615</v>
      </c>
      <c r="AM101" s="166">
        <f t="shared" si="110"/>
        <v>263</v>
      </c>
      <c r="AN101" s="152">
        <f ca="1">ROUND( (1 - MIN(facs_constr_factor*$AI101,facs_constr_max)) * (1+MIN(tech_construction*Techs!AE101,tech_conquerors_crafts*Techs!AU101)) * AU101*(1+race_construction_cost),0)</f>
        <v>1615</v>
      </c>
      <c r="AO101" s="166">
        <f t="shared" si="111"/>
        <v>263</v>
      </c>
      <c r="AP101" s="170">
        <f t="shared" ca="1" si="108"/>
        <v>0</v>
      </c>
      <c r="AQ101" s="157">
        <f t="shared" si="109"/>
        <v>0</v>
      </c>
      <c r="AR101" s="170">
        <f>MIN(SUM(F100:L100)+SUM(Explore!T89:Z89)+SUM(BV101:CN101),SUM($N101:$AF101))</f>
        <v>0</v>
      </c>
      <c r="AS101" s="170">
        <f>IF(Explore!S101&lt;&gt;0,MAX(0, MIN(20, 20 + SUM(N101:AF101) - SUM(BV101:CN101) - SUM(F100:L100)-SUM(Explore!T89:Z89)-20*Explore!S101)),0)</f>
        <v>0</v>
      </c>
      <c r="AU101" s="152">
        <f t="shared" si="83"/>
        <v>1615</v>
      </c>
      <c r="AV101" s="166">
        <f t="shared" si="84"/>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39"/>
      <c r="BS101" s="156">
        <f t="shared" si="96"/>
        <v>1000</v>
      </c>
      <c r="BT101" s="530">
        <f t="shared" si="97"/>
        <v>43772.083333333096</v>
      </c>
      <c r="BV101" s="352"/>
      <c r="BW101" s="345"/>
      <c r="BX101" s="345"/>
      <c r="BY101" s="345"/>
      <c r="BZ101" s="345"/>
      <c r="CA101" s="345"/>
      <c r="CB101" s="345"/>
      <c r="CC101" s="345"/>
      <c r="CD101" s="345"/>
      <c r="CE101" s="345"/>
      <c r="CF101" s="345"/>
      <c r="CG101" s="345"/>
      <c r="CH101" s="345"/>
      <c r="CI101" s="345"/>
      <c r="CJ101" s="345"/>
      <c r="CK101" s="345"/>
      <c r="CL101" s="345"/>
      <c r="CM101" s="759"/>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6">
        <f>-$AF101+$CN101 +Rezone!R101 + IF(home_land=CV$2,CW101) + Explore!Z89</f>
        <v>0</v>
      </c>
      <c r="CW101" s="159">
        <f>IF(Explore!S101=1,25) - N101 + BV101</f>
        <v>0</v>
      </c>
      <c r="CY101" s="152">
        <f t="shared" si="98"/>
        <v>150</v>
      </c>
      <c r="CZ101" s="164">
        <f t="shared" si="99"/>
        <v>150</v>
      </c>
      <c r="DA101" s="170">
        <f t="shared" si="100"/>
        <v>150</v>
      </c>
      <c r="DB101" s="164">
        <f t="shared" si="101"/>
        <v>150</v>
      </c>
      <c r="DC101" s="164">
        <f t="shared" si="102"/>
        <v>150</v>
      </c>
      <c r="DD101" s="170">
        <f t="shared" si="103"/>
        <v>150</v>
      </c>
      <c r="DE101" s="166">
        <f t="shared" si="104"/>
        <v>100</v>
      </c>
      <c r="DF101" s="164">
        <f t="shared" ca="1" si="105"/>
        <v>150</v>
      </c>
      <c r="DG101" s="170">
        <f t="shared" si="106"/>
        <v>0</v>
      </c>
      <c r="DH101" s="170">
        <f t="shared" si="107"/>
        <v>101</v>
      </c>
      <c r="DI101" s="166"/>
    </row>
    <row r="102" spans="1:113" s="16" customFormat="1" x14ac:dyDescent="0.25">
      <c r="A102" s="36">
        <f t="shared" si="85"/>
        <v>820</v>
      </c>
      <c r="B102" s="36">
        <f t="shared" si="86"/>
        <v>180</v>
      </c>
      <c r="C102" s="83">
        <f t="shared" si="87"/>
        <v>0</v>
      </c>
      <c r="D102" s="572"/>
      <c r="E102" s="16">
        <f t="shared" si="88"/>
        <v>1000</v>
      </c>
      <c r="F102" s="86">
        <f t="shared" si="89"/>
        <v>70</v>
      </c>
      <c r="G102" s="37">
        <f t="shared" si="90"/>
        <v>100</v>
      </c>
      <c r="H102" s="247">
        <f t="shared" si="91"/>
        <v>150</v>
      </c>
      <c r="I102" s="38">
        <f t="shared" si="92"/>
        <v>150</v>
      </c>
      <c r="J102" s="39">
        <f t="shared" si="93"/>
        <v>100</v>
      </c>
      <c r="K102" s="40">
        <f t="shared" si="94"/>
        <v>150</v>
      </c>
      <c r="L102" s="498">
        <f t="shared" si="95"/>
        <v>100</v>
      </c>
      <c r="M102" s="633">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0">
        <f>Imps!L102</f>
        <v>43769.03124999976</v>
      </c>
      <c r="AH102" s="91">
        <f>MIN(25%,(BG102+CE102)/(E102-Explore!S102*20))</f>
        <v>0</v>
      </c>
      <c r="AI102" s="59">
        <f t="shared" si="81"/>
        <v>0</v>
      </c>
      <c r="AJ102" s="56">
        <f ca="1">Production!$H102</f>
        <v>4970478</v>
      </c>
      <c r="AK102" s="57">
        <f ca="1">Production!$J102</f>
        <v>288823</v>
      </c>
      <c r="AL102" s="152">
        <f ca="1">ROUND( (1 - MIN(facs_constr_factor*$AH102,facs_constr_max)) * (1+MIN(tech_construction*Techs!AC102,tech_conquerors_crafts*Techs!AS102)) * AU102*(1+race_construction_cost),0)</f>
        <v>1615</v>
      </c>
      <c r="AM102" s="166">
        <f t="shared" si="110"/>
        <v>263</v>
      </c>
      <c r="AN102" s="152">
        <f ca="1">ROUND( (1 - MIN(facs_constr_factor*$AI102,facs_constr_max)) * (1+MIN(tech_construction*Techs!AE102,tech_conquerors_crafts*Techs!AU102)) * AU102*(1+race_construction_cost),0)</f>
        <v>1615</v>
      </c>
      <c r="AO102" s="166">
        <f t="shared" si="111"/>
        <v>263</v>
      </c>
      <c r="AP102" s="16">
        <f t="shared" ca="1" si="108"/>
        <v>0</v>
      </c>
      <c r="AQ102" s="53">
        <f t="shared" si="109"/>
        <v>0</v>
      </c>
      <c r="AR102" s="16">
        <f>MIN(SUM(F101:L101)+SUM(Explore!T90:Z90)+SUM(BV102:CN102),SUM($N102:$AF102))</f>
        <v>0</v>
      </c>
      <c r="AS102" s="16">
        <f>IF(Explore!S102&lt;&gt;0,MAX(0, MIN(20, 20 + SUM(N102:AF102) - SUM(BV102:CN102) - SUM(F101:L101)-SUM(Explore!T90:Z90)-20*Explore!S102)),0)</f>
        <v>0</v>
      </c>
      <c r="AU102" s="152">
        <f t="shared" si="83"/>
        <v>1615</v>
      </c>
      <c r="AV102" s="166">
        <f t="shared" si="84"/>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1"/>
      <c r="BS102" s="156">
        <f t="shared" si="96"/>
        <v>1000</v>
      </c>
      <c r="BT102" s="572">
        <f t="shared" si="97"/>
        <v>43772.12499999976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498">
        <f>-$AF102+$CN102 +Rezone!R102 + IF(home_land=CV$2,CW102) + Explore!Z90</f>
        <v>0</v>
      </c>
      <c r="CW102" s="159">
        <f>IF(Explore!S102=1,25) - N102 + BV102</f>
        <v>0</v>
      </c>
      <c r="CY102" s="152">
        <f t="shared" si="98"/>
        <v>150</v>
      </c>
      <c r="CZ102" s="164">
        <f t="shared" si="99"/>
        <v>150</v>
      </c>
      <c r="DA102" s="16">
        <f t="shared" si="100"/>
        <v>150</v>
      </c>
      <c r="DB102" s="164">
        <f t="shared" si="101"/>
        <v>150</v>
      </c>
      <c r="DC102" s="164">
        <f t="shared" si="102"/>
        <v>150</v>
      </c>
      <c r="DD102" s="16">
        <f t="shared" si="103"/>
        <v>150</v>
      </c>
      <c r="DE102" s="166">
        <f t="shared" si="104"/>
        <v>100</v>
      </c>
      <c r="DF102" s="164">
        <f t="shared" ca="1" si="105"/>
        <v>150</v>
      </c>
      <c r="DG102" s="16">
        <f t="shared" si="106"/>
        <v>0</v>
      </c>
      <c r="DH102" s="16">
        <f t="shared" si="107"/>
        <v>102</v>
      </c>
      <c r="DI102" s="166"/>
    </row>
    <row r="103" spans="1:113" s="16" customFormat="1" x14ac:dyDescent="0.25">
      <c r="A103" s="36">
        <f t="shared" si="85"/>
        <v>820</v>
      </c>
      <c r="B103" s="36">
        <f t="shared" si="86"/>
        <v>180</v>
      </c>
      <c r="C103" s="83">
        <f t="shared" si="87"/>
        <v>0</v>
      </c>
      <c r="D103" s="572"/>
      <c r="E103" s="16">
        <f t="shared" si="88"/>
        <v>1000</v>
      </c>
      <c r="F103" s="86">
        <f t="shared" si="89"/>
        <v>70</v>
      </c>
      <c r="G103" s="37">
        <f t="shared" si="90"/>
        <v>100</v>
      </c>
      <c r="H103" s="247">
        <f t="shared" si="91"/>
        <v>150</v>
      </c>
      <c r="I103" s="38">
        <f t="shared" si="92"/>
        <v>150</v>
      </c>
      <c r="J103" s="39">
        <f t="shared" si="93"/>
        <v>100</v>
      </c>
      <c r="K103" s="40">
        <f t="shared" si="94"/>
        <v>150</v>
      </c>
      <c r="L103" s="498">
        <f t="shared" si="95"/>
        <v>100</v>
      </c>
      <c r="M103" s="633">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0">
        <f>Imps!L103</f>
        <v>43769.041666666424</v>
      </c>
      <c r="AH103" s="91">
        <f>MIN(25%,(BG103+CE103)/(E103-Explore!S103*20))</f>
        <v>0</v>
      </c>
      <c r="AI103" s="59">
        <f t="shared" si="81"/>
        <v>0</v>
      </c>
      <c r="AJ103" s="56">
        <f ca="1">Production!$H103</f>
        <v>4975459</v>
      </c>
      <c r="AK103" s="57">
        <f ca="1">Production!$J103</f>
        <v>288435</v>
      </c>
      <c r="AL103" s="152">
        <f ca="1">ROUND( (1 - MIN(facs_constr_factor*$AH103,facs_constr_max)) * (1+MIN(tech_construction*Techs!AC103,tech_conquerors_crafts*Techs!AS103)) * AU103*(1+race_construction_cost),0)</f>
        <v>1615</v>
      </c>
      <c r="AM103" s="166">
        <f t="shared" si="110"/>
        <v>263</v>
      </c>
      <c r="AN103" s="152">
        <f ca="1">ROUND( (1 - MIN(facs_constr_factor*$AI103,facs_constr_max)) * (1+MIN(tech_construction*Techs!AE103,tech_conquerors_crafts*Techs!AU103)) * AU103*(1+race_construction_cost),0)</f>
        <v>1615</v>
      </c>
      <c r="AO103" s="166">
        <f t="shared" si="111"/>
        <v>263</v>
      </c>
      <c r="AP103" s="16">
        <f t="shared" ca="1" si="108"/>
        <v>0</v>
      </c>
      <c r="AQ103" s="53">
        <f t="shared" si="109"/>
        <v>0</v>
      </c>
      <c r="AR103" s="16">
        <f>MIN(SUM(F102:L102)+SUM(Explore!T91:Z91)+SUM(BV103:CN103),SUM($N103:$AF103))</f>
        <v>0</v>
      </c>
      <c r="AS103" s="16">
        <f>IF(Explore!S103&lt;&gt;0,MAX(0, MIN(20, 20 + SUM(N103:AF103) - SUM(BV103:CN103) - SUM(F102:L102)-SUM(Explore!T91:Z91)-20*Explore!S103)),0)</f>
        <v>0</v>
      </c>
      <c r="AU103" s="152">
        <f t="shared" si="83"/>
        <v>1615</v>
      </c>
      <c r="AV103" s="166">
        <f t="shared" si="84"/>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1"/>
      <c r="BS103" s="156">
        <f t="shared" si="96"/>
        <v>1000</v>
      </c>
      <c r="BT103" s="572">
        <f t="shared" si="97"/>
        <v>43772.166666666424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498">
        <f>-$AF103+$CN103 +Rezone!R103 + IF(home_land=CV$2,CW103) + Explore!Z91</f>
        <v>0</v>
      </c>
      <c r="CW103" s="159">
        <f>IF(Explore!S103=1,25) - N103 + BV103</f>
        <v>0</v>
      </c>
      <c r="CY103" s="152">
        <f t="shared" si="98"/>
        <v>150</v>
      </c>
      <c r="CZ103" s="164">
        <f t="shared" si="99"/>
        <v>150</v>
      </c>
      <c r="DA103" s="16">
        <f t="shared" si="100"/>
        <v>150</v>
      </c>
      <c r="DB103" s="164">
        <f t="shared" si="101"/>
        <v>150</v>
      </c>
      <c r="DC103" s="164">
        <f t="shared" si="102"/>
        <v>150</v>
      </c>
      <c r="DD103" s="16">
        <f t="shared" si="103"/>
        <v>150</v>
      </c>
      <c r="DE103" s="166">
        <f t="shared" si="104"/>
        <v>100</v>
      </c>
      <c r="DF103" s="164">
        <f t="shared" ca="1" si="105"/>
        <v>150</v>
      </c>
      <c r="DG103" s="16">
        <f t="shared" si="106"/>
        <v>0</v>
      </c>
      <c r="DH103" s="16">
        <f t="shared" si="107"/>
        <v>103</v>
      </c>
      <c r="DI103" s="166"/>
    </row>
    <row r="104" spans="1:113" s="16" customFormat="1" x14ac:dyDescent="0.25">
      <c r="A104" s="36">
        <f t="shared" si="85"/>
        <v>820</v>
      </c>
      <c r="B104" s="36">
        <f t="shared" si="86"/>
        <v>180</v>
      </c>
      <c r="C104" s="83">
        <f t="shared" si="87"/>
        <v>0</v>
      </c>
      <c r="D104" s="572"/>
      <c r="E104" s="16">
        <f t="shared" si="88"/>
        <v>1000</v>
      </c>
      <c r="F104" s="86">
        <f t="shared" si="89"/>
        <v>70</v>
      </c>
      <c r="G104" s="37">
        <f t="shared" si="90"/>
        <v>100</v>
      </c>
      <c r="H104" s="247">
        <f t="shared" si="91"/>
        <v>150</v>
      </c>
      <c r="I104" s="38">
        <f t="shared" si="92"/>
        <v>150</v>
      </c>
      <c r="J104" s="39">
        <f t="shared" si="93"/>
        <v>100</v>
      </c>
      <c r="K104" s="40">
        <f t="shared" si="94"/>
        <v>150</v>
      </c>
      <c r="L104" s="498">
        <f t="shared" si="95"/>
        <v>100</v>
      </c>
      <c r="M104" s="633">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0">
        <f>Imps!L104</f>
        <v>43769.052083333088</v>
      </c>
      <c r="AH104" s="91">
        <f>MIN(25%,(BG104+CE104)/(E104-Explore!S104*20))</f>
        <v>0</v>
      </c>
      <c r="AI104" s="59">
        <f t="shared" si="81"/>
        <v>0</v>
      </c>
      <c r="AJ104" s="56">
        <f ca="1">Production!$H104</f>
        <v>4980440</v>
      </c>
      <c r="AK104" s="57">
        <f ca="1">Production!$J104</f>
        <v>288051</v>
      </c>
      <c r="AL104" s="152">
        <f ca="1">ROUND( (1 - MIN(facs_constr_factor*$AH104,facs_constr_max)) * (1+MIN(tech_construction*Techs!AC104,tech_conquerors_crafts*Techs!AS104)) * AU104*(1+race_construction_cost),0)</f>
        <v>1615</v>
      </c>
      <c r="AM104" s="166">
        <f t="shared" si="110"/>
        <v>263</v>
      </c>
      <c r="AN104" s="152">
        <f ca="1">ROUND( (1 - MIN(facs_constr_factor*$AI104,facs_constr_max)) * (1+MIN(tech_construction*Techs!AE104,tech_conquerors_crafts*Techs!AU104)) * AU104*(1+race_construction_cost),0)</f>
        <v>1615</v>
      </c>
      <c r="AO104" s="166">
        <f t="shared" si="111"/>
        <v>263</v>
      </c>
      <c r="AP104" s="16">
        <f t="shared" ca="1" si="108"/>
        <v>0</v>
      </c>
      <c r="AQ104" s="53">
        <f t="shared" si="109"/>
        <v>0</v>
      </c>
      <c r="AR104" s="16">
        <f>MIN(SUM(F103:L103)+SUM(Explore!T92:Z92)+SUM(BV104:CN104),SUM($N104:$AF104))</f>
        <v>0</v>
      </c>
      <c r="AS104" s="16">
        <f>IF(Explore!S104&lt;&gt;0,MAX(0, MIN(20, 20 + SUM(N104:AF104) - SUM(BV104:CN104) - SUM(F103:L103)-SUM(Explore!T92:Z92)-20*Explore!S104)),0)</f>
        <v>0</v>
      </c>
      <c r="AU104" s="152">
        <f t="shared" si="83"/>
        <v>1615</v>
      </c>
      <c r="AV104" s="166">
        <f t="shared" si="84"/>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1"/>
      <c r="BS104" s="156">
        <f t="shared" si="96"/>
        <v>1000</v>
      </c>
      <c r="BT104" s="572">
        <f t="shared" si="97"/>
        <v>43772.208333333088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498">
        <f>-$AF104+$CN104 +Rezone!R104 + IF(home_land=CV$2,CW104) + Explore!Z92</f>
        <v>0</v>
      </c>
      <c r="CW104" s="159">
        <f>IF(Explore!S104=1,25) - N104 + BV104</f>
        <v>0</v>
      </c>
      <c r="CY104" s="152">
        <f t="shared" si="98"/>
        <v>150</v>
      </c>
      <c r="CZ104" s="164">
        <f t="shared" si="99"/>
        <v>150</v>
      </c>
      <c r="DA104" s="16">
        <f t="shared" si="100"/>
        <v>150</v>
      </c>
      <c r="DB104" s="164">
        <f t="shared" si="101"/>
        <v>150</v>
      </c>
      <c r="DC104" s="164">
        <f t="shared" si="102"/>
        <v>150</v>
      </c>
      <c r="DD104" s="16">
        <f t="shared" si="103"/>
        <v>150</v>
      </c>
      <c r="DE104" s="166">
        <f t="shared" si="104"/>
        <v>100</v>
      </c>
      <c r="DF104" s="164">
        <f t="shared" ca="1" si="105"/>
        <v>150</v>
      </c>
      <c r="DG104" s="16">
        <f t="shared" si="106"/>
        <v>0</v>
      </c>
      <c r="DH104" s="16">
        <f t="shared" si="107"/>
        <v>104</v>
      </c>
      <c r="DI104" s="166"/>
    </row>
    <row r="105" spans="1:113" s="16" customFormat="1" x14ac:dyDescent="0.25">
      <c r="A105" s="36">
        <f t="shared" si="85"/>
        <v>820</v>
      </c>
      <c r="B105" s="36">
        <f t="shared" si="86"/>
        <v>180</v>
      </c>
      <c r="C105" s="83">
        <f t="shared" si="87"/>
        <v>0</v>
      </c>
      <c r="D105" s="572"/>
      <c r="E105" s="16">
        <f t="shared" si="88"/>
        <v>1000</v>
      </c>
      <c r="F105" s="86">
        <f t="shared" si="89"/>
        <v>70</v>
      </c>
      <c r="G105" s="37">
        <f t="shared" si="90"/>
        <v>100</v>
      </c>
      <c r="H105" s="247">
        <f t="shared" si="91"/>
        <v>150</v>
      </c>
      <c r="I105" s="38">
        <f t="shared" si="92"/>
        <v>150</v>
      </c>
      <c r="J105" s="39">
        <f t="shared" si="93"/>
        <v>100</v>
      </c>
      <c r="K105" s="40">
        <f t="shared" si="94"/>
        <v>150</v>
      </c>
      <c r="L105" s="498">
        <f t="shared" si="95"/>
        <v>100</v>
      </c>
      <c r="M105" s="633">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0">
        <f>Imps!L105</f>
        <v>43769.062499999753</v>
      </c>
      <c r="AH105" s="91">
        <f>MIN(25%,(BG105+CE105)/(E105-Explore!S105*20))</f>
        <v>0</v>
      </c>
      <c r="AI105" s="59">
        <f t="shared" si="81"/>
        <v>0</v>
      </c>
      <c r="AJ105" s="56">
        <f ca="1">Production!$H105</f>
        <v>4985421</v>
      </c>
      <c r="AK105" s="57">
        <f ca="1">Production!$J105</f>
        <v>287670</v>
      </c>
      <c r="AL105" s="152">
        <f ca="1">ROUND( (1 - MIN(facs_constr_factor*$AH105,facs_constr_max)) * (1+MIN(tech_construction*Techs!AC105,tech_conquerors_crafts*Techs!AS105)) * AU105*(1+race_construction_cost),0)</f>
        <v>1615</v>
      </c>
      <c r="AM105" s="166">
        <f t="shared" si="110"/>
        <v>263</v>
      </c>
      <c r="AN105" s="152">
        <f ca="1">ROUND( (1 - MIN(facs_constr_factor*$AI105,facs_constr_max)) * (1+MIN(tech_construction*Techs!AE105,tech_conquerors_crafts*Techs!AU105)) * AU105*(1+race_construction_cost),0)</f>
        <v>1615</v>
      </c>
      <c r="AO105" s="166">
        <f t="shared" si="111"/>
        <v>263</v>
      </c>
      <c r="AP105" s="16">
        <f t="shared" ca="1" si="108"/>
        <v>0</v>
      </c>
      <c r="AQ105" s="53">
        <f t="shared" si="109"/>
        <v>0</v>
      </c>
      <c r="AR105" s="16">
        <f>MIN(SUM(F104:L104)+SUM(Explore!T93:Z93)+SUM(BV105:CN105),SUM($N105:$AF105))</f>
        <v>0</v>
      </c>
      <c r="AS105" s="16">
        <f>IF(Explore!S105&lt;&gt;0,MAX(0, MIN(20, 20 + SUM(N105:AF105) - SUM(BV105:CN105) - SUM(F104:L104)-SUM(Explore!T93:Z93)-20*Explore!S105)),0)</f>
        <v>0</v>
      </c>
      <c r="AU105" s="152">
        <f t="shared" si="83"/>
        <v>1615</v>
      </c>
      <c r="AV105" s="166">
        <f t="shared" si="84"/>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1"/>
      <c r="BS105" s="156">
        <f t="shared" si="96"/>
        <v>1000</v>
      </c>
      <c r="BT105" s="572">
        <f t="shared" si="97"/>
        <v>43772.249999999753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498">
        <f>-$AF105+$CN105 +Rezone!R105 + IF(home_land=CV$2,CW105) + Explore!Z93</f>
        <v>0</v>
      </c>
      <c r="CW105" s="159">
        <f>IF(Explore!S105=1,25) - N105 + BV105</f>
        <v>0</v>
      </c>
      <c r="CY105" s="152">
        <f t="shared" si="98"/>
        <v>150</v>
      </c>
      <c r="CZ105" s="164">
        <f t="shared" si="99"/>
        <v>150</v>
      </c>
      <c r="DA105" s="16">
        <f t="shared" si="100"/>
        <v>150</v>
      </c>
      <c r="DB105" s="164">
        <f t="shared" si="101"/>
        <v>150</v>
      </c>
      <c r="DC105" s="164">
        <f t="shared" si="102"/>
        <v>150</v>
      </c>
      <c r="DD105" s="16">
        <f t="shared" si="103"/>
        <v>150</v>
      </c>
      <c r="DE105" s="166">
        <f t="shared" si="104"/>
        <v>100</v>
      </c>
      <c r="DF105" s="164">
        <f t="shared" ca="1" si="105"/>
        <v>150</v>
      </c>
      <c r="DG105" s="16">
        <f t="shared" si="106"/>
        <v>0</v>
      </c>
      <c r="DH105" s="16">
        <f t="shared" si="107"/>
        <v>105</v>
      </c>
      <c r="DI105" s="166"/>
    </row>
    <row r="106" spans="1:113" s="16" customFormat="1" x14ac:dyDescent="0.25">
      <c r="A106" s="36">
        <f t="shared" si="85"/>
        <v>820</v>
      </c>
      <c r="B106" s="36">
        <f t="shared" si="86"/>
        <v>180</v>
      </c>
      <c r="C106" s="83">
        <f t="shared" si="87"/>
        <v>0</v>
      </c>
      <c r="D106" s="572"/>
      <c r="E106" s="16">
        <f t="shared" si="88"/>
        <v>1000</v>
      </c>
      <c r="F106" s="86">
        <f t="shared" si="89"/>
        <v>70</v>
      </c>
      <c r="G106" s="37">
        <f t="shared" si="90"/>
        <v>100</v>
      </c>
      <c r="H106" s="247">
        <f t="shared" si="91"/>
        <v>150</v>
      </c>
      <c r="I106" s="38">
        <f t="shared" si="92"/>
        <v>150</v>
      </c>
      <c r="J106" s="39">
        <f t="shared" si="93"/>
        <v>100</v>
      </c>
      <c r="K106" s="40">
        <f t="shared" si="94"/>
        <v>150</v>
      </c>
      <c r="L106" s="498">
        <f t="shared" si="95"/>
        <v>100</v>
      </c>
      <c r="M106" s="633">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0">
        <f>Imps!L106</f>
        <v>43769.072916666417</v>
      </c>
      <c r="AH106" s="91">
        <f>MIN(25%,(BG106+CE106)/(E106-Explore!S106*20))</f>
        <v>0</v>
      </c>
      <c r="AI106" s="59">
        <f t="shared" si="81"/>
        <v>0</v>
      </c>
      <c r="AJ106" s="56">
        <f ca="1">Production!$H106</f>
        <v>4990402</v>
      </c>
      <c r="AK106" s="57">
        <f ca="1">Production!$J106</f>
        <v>287293</v>
      </c>
      <c r="AL106" s="152">
        <f ca="1">ROUND( (1 - MIN(facs_constr_factor*$AH106,facs_constr_max)) * (1+MIN(tech_construction*Techs!AC106,tech_conquerors_crafts*Techs!AS106)) * AU106*(1+race_construction_cost),0)</f>
        <v>1615</v>
      </c>
      <c r="AM106" s="166">
        <f t="shared" si="110"/>
        <v>263</v>
      </c>
      <c r="AN106" s="152">
        <f ca="1">ROUND( (1 - MIN(facs_constr_factor*$AI106,facs_constr_max)) * (1+MIN(tech_construction*Techs!AE106,tech_conquerors_crafts*Techs!AU106)) * AU106*(1+race_construction_cost),0)</f>
        <v>1615</v>
      </c>
      <c r="AO106" s="166">
        <f t="shared" si="111"/>
        <v>263</v>
      </c>
      <c r="AP106" s="16">
        <f t="shared" ca="1" si="108"/>
        <v>0</v>
      </c>
      <c r="AQ106" s="53">
        <f t="shared" si="109"/>
        <v>0</v>
      </c>
      <c r="AR106" s="16">
        <f>MIN(SUM(F105:L105)+SUM(Explore!T94:Z94)+SUM(BV106:CN106),SUM($N106:$AF106))</f>
        <v>0</v>
      </c>
      <c r="AS106" s="16">
        <f>IF(Explore!S106&lt;&gt;0,MAX(0, MIN(20, 20 + SUM(N106:AF106) - SUM(BV106:CN106) - SUM(F105:L105)-SUM(Explore!T94:Z94)-20*Explore!S106)),0)</f>
        <v>0</v>
      </c>
      <c r="AU106" s="152">
        <f t="shared" si="83"/>
        <v>1615</v>
      </c>
      <c r="AV106" s="166">
        <f t="shared" si="84"/>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1"/>
      <c r="BS106" s="156">
        <f t="shared" si="96"/>
        <v>1000</v>
      </c>
      <c r="BT106" s="572">
        <f t="shared" si="97"/>
        <v>43772.291666666417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498">
        <f>-$AF106+$CN106 +Rezone!R106 + IF(home_land=CV$2,CW106) + Explore!Z94</f>
        <v>0</v>
      </c>
      <c r="CW106" s="159">
        <f>IF(Explore!S106=1,25) - N106 + BV106</f>
        <v>0</v>
      </c>
      <c r="CY106" s="152">
        <f t="shared" si="98"/>
        <v>150</v>
      </c>
      <c r="CZ106" s="164">
        <f t="shared" si="99"/>
        <v>150</v>
      </c>
      <c r="DA106" s="16">
        <f t="shared" si="100"/>
        <v>150</v>
      </c>
      <c r="DB106" s="164">
        <f t="shared" si="101"/>
        <v>150</v>
      </c>
      <c r="DC106" s="164">
        <f t="shared" si="102"/>
        <v>150</v>
      </c>
      <c r="DD106" s="16">
        <f t="shared" si="103"/>
        <v>150</v>
      </c>
      <c r="DE106" s="166">
        <f t="shared" si="104"/>
        <v>100</v>
      </c>
      <c r="DF106" s="164">
        <f t="shared" ca="1" si="105"/>
        <v>150</v>
      </c>
      <c r="DG106" s="16">
        <f t="shared" si="106"/>
        <v>0</v>
      </c>
      <c r="DH106" s="16">
        <f t="shared" si="107"/>
        <v>106</v>
      </c>
      <c r="DI106" s="166"/>
    </row>
    <row r="107" spans="1:113" s="16" customFormat="1" x14ac:dyDescent="0.25">
      <c r="A107" s="36">
        <f t="shared" si="85"/>
        <v>820</v>
      </c>
      <c r="B107" s="36">
        <f t="shared" si="86"/>
        <v>180</v>
      </c>
      <c r="C107" s="83">
        <f t="shared" si="87"/>
        <v>0</v>
      </c>
      <c r="D107" s="572"/>
      <c r="E107" s="16">
        <f t="shared" si="88"/>
        <v>1000</v>
      </c>
      <c r="F107" s="86">
        <f t="shared" si="89"/>
        <v>70</v>
      </c>
      <c r="G107" s="37">
        <f t="shared" si="90"/>
        <v>100</v>
      </c>
      <c r="H107" s="247">
        <f t="shared" si="91"/>
        <v>150</v>
      </c>
      <c r="I107" s="38">
        <f t="shared" si="92"/>
        <v>150</v>
      </c>
      <c r="J107" s="39">
        <f t="shared" si="93"/>
        <v>100</v>
      </c>
      <c r="K107" s="40">
        <f t="shared" si="94"/>
        <v>150</v>
      </c>
      <c r="L107" s="498">
        <f t="shared" si="95"/>
        <v>100</v>
      </c>
      <c r="M107" s="633">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0">
        <f>Imps!L107</f>
        <v>43769.083333333081</v>
      </c>
      <c r="AH107" s="91">
        <f>MIN(25%,(BG107+CE107)/(E107-Explore!S107*20))</f>
        <v>0</v>
      </c>
      <c r="AI107" s="59">
        <f t="shared" si="81"/>
        <v>0</v>
      </c>
      <c r="AJ107" s="56">
        <f ca="1">Production!$H107</f>
        <v>4995383</v>
      </c>
      <c r="AK107" s="57">
        <f ca="1">Production!$J107</f>
        <v>286920</v>
      </c>
      <c r="AL107" s="152">
        <f ca="1">ROUND( (1 - MIN(facs_constr_factor*$AH107,facs_constr_max)) * (1+MIN(tech_construction*Techs!AC107,tech_conquerors_crafts*Techs!AS107)) * AU107*(1+race_construction_cost),0)</f>
        <v>1615</v>
      </c>
      <c r="AM107" s="166">
        <f t="shared" si="110"/>
        <v>263</v>
      </c>
      <c r="AN107" s="152">
        <f ca="1">ROUND( (1 - MIN(facs_constr_factor*$AI107,facs_constr_max)) * (1+MIN(tech_construction*Techs!AE107,tech_conquerors_crafts*Techs!AU107)) * AU107*(1+race_construction_cost),0)</f>
        <v>1615</v>
      </c>
      <c r="AO107" s="166">
        <f t="shared" si="111"/>
        <v>263</v>
      </c>
      <c r="AP107" s="16">
        <f t="shared" ca="1" si="108"/>
        <v>0</v>
      </c>
      <c r="AQ107" s="53">
        <f t="shared" si="109"/>
        <v>0</v>
      </c>
      <c r="AR107" s="16">
        <f>MIN(SUM(F106:L106)+SUM(Explore!T95:Z95)+SUM(BV107:CN107),SUM($N107:$AF107))</f>
        <v>0</v>
      </c>
      <c r="AS107" s="16">
        <f>IF(Explore!S107&lt;&gt;0,MAX(0, MIN(20, 20 + SUM(N107:AF107) - SUM(BV107:CN107) - SUM(F106:L106)-SUM(Explore!T95:Z95)-20*Explore!S107)),0)</f>
        <v>0</v>
      </c>
      <c r="AU107" s="152">
        <f t="shared" si="83"/>
        <v>1615</v>
      </c>
      <c r="AV107" s="166">
        <f t="shared" si="84"/>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1"/>
      <c r="BS107" s="156">
        <f t="shared" si="96"/>
        <v>1000</v>
      </c>
      <c r="BT107" s="572">
        <f t="shared" si="97"/>
        <v>43772.333333333081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498">
        <f>-$AF107+$CN107 +Rezone!R107 + IF(home_land=CV$2,CW107) + Explore!Z95</f>
        <v>0</v>
      </c>
      <c r="CW107" s="159">
        <f>IF(Explore!S107=1,25) - N107 + BV107</f>
        <v>0</v>
      </c>
      <c r="CY107" s="152">
        <f t="shared" si="98"/>
        <v>150</v>
      </c>
      <c r="CZ107" s="164">
        <f t="shared" si="99"/>
        <v>150</v>
      </c>
      <c r="DA107" s="16">
        <f t="shared" si="100"/>
        <v>150</v>
      </c>
      <c r="DB107" s="164">
        <f t="shared" si="101"/>
        <v>150</v>
      </c>
      <c r="DC107" s="164">
        <f t="shared" si="102"/>
        <v>150</v>
      </c>
      <c r="DD107" s="16">
        <f t="shared" si="103"/>
        <v>150</v>
      </c>
      <c r="DE107" s="166">
        <f t="shared" si="104"/>
        <v>100</v>
      </c>
      <c r="DF107" s="164">
        <f t="shared" ca="1" si="105"/>
        <v>150</v>
      </c>
      <c r="DG107" s="16">
        <f t="shared" si="106"/>
        <v>0</v>
      </c>
      <c r="DH107" s="16">
        <f t="shared" si="107"/>
        <v>107</v>
      </c>
      <c r="DI107" s="166"/>
    </row>
    <row r="108" spans="1:113" s="16" customFormat="1" x14ac:dyDescent="0.25">
      <c r="A108" s="36">
        <f t="shared" si="85"/>
        <v>820</v>
      </c>
      <c r="B108" s="36">
        <f t="shared" si="86"/>
        <v>180</v>
      </c>
      <c r="C108" s="83">
        <f t="shared" si="87"/>
        <v>0</v>
      </c>
      <c r="D108" s="572"/>
      <c r="E108" s="16">
        <f t="shared" si="88"/>
        <v>1000</v>
      </c>
      <c r="F108" s="86">
        <f t="shared" si="89"/>
        <v>70</v>
      </c>
      <c r="G108" s="37">
        <f t="shared" si="90"/>
        <v>100</v>
      </c>
      <c r="H108" s="247">
        <f t="shared" si="91"/>
        <v>150</v>
      </c>
      <c r="I108" s="38">
        <f t="shared" si="92"/>
        <v>150</v>
      </c>
      <c r="J108" s="39">
        <f t="shared" si="93"/>
        <v>100</v>
      </c>
      <c r="K108" s="40">
        <f t="shared" si="94"/>
        <v>150</v>
      </c>
      <c r="L108" s="498">
        <f t="shared" si="95"/>
        <v>100</v>
      </c>
      <c r="M108" s="633">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0">
        <f>Imps!L108</f>
        <v>43769.093749999745</v>
      </c>
      <c r="AH108" s="91">
        <f>MIN(25%,(BG108+CE108)/(E108-Explore!S108*20))</f>
        <v>0</v>
      </c>
      <c r="AI108" s="59">
        <f t="shared" si="81"/>
        <v>0</v>
      </c>
      <c r="AJ108" s="56">
        <f ca="1">Production!$H108</f>
        <v>5000364</v>
      </c>
      <c r="AK108" s="57">
        <f ca="1">Production!$J108</f>
        <v>286551</v>
      </c>
      <c r="AL108" s="152">
        <f ca="1">ROUND( (1 - MIN(facs_constr_factor*$AH108,facs_constr_max)) * (1+MIN(tech_construction*Techs!AC108,tech_conquerors_crafts*Techs!AS108)) * AU108*(1+race_construction_cost),0)</f>
        <v>1615</v>
      </c>
      <c r="AM108" s="166">
        <f t="shared" si="110"/>
        <v>263</v>
      </c>
      <c r="AN108" s="152">
        <f ca="1">ROUND( (1 - MIN(facs_constr_factor*$AI108,facs_constr_max)) * (1+MIN(tech_construction*Techs!AE108,tech_conquerors_crafts*Techs!AU108)) * AU108*(1+race_construction_cost),0)</f>
        <v>1615</v>
      </c>
      <c r="AO108" s="166">
        <f t="shared" si="111"/>
        <v>263</v>
      </c>
      <c r="AP108" s="16">
        <f t="shared" ca="1" si="108"/>
        <v>0</v>
      </c>
      <c r="AQ108" s="53">
        <f t="shared" si="109"/>
        <v>0</v>
      </c>
      <c r="AR108" s="16">
        <f>MIN(SUM(F107:L107)+SUM(Explore!T96:Z96)+SUM(BV108:CN108),SUM($N108:$AF108))</f>
        <v>0</v>
      </c>
      <c r="AS108" s="16">
        <f>IF(Explore!S108&lt;&gt;0,MAX(0, MIN(20, 20 + SUM(N108:AF108) - SUM(BV108:CN108) - SUM(F107:L107)-SUM(Explore!T96:Z96)-20*Explore!S108)),0)</f>
        <v>0</v>
      </c>
      <c r="AU108" s="152">
        <f t="shared" si="83"/>
        <v>1615</v>
      </c>
      <c r="AV108" s="166">
        <f t="shared" si="84"/>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1"/>
      <c r="BS108" s="156">
        <f t="shared" si="96"/>
        <v>1000</v>
      </c>
      <c r="BT108" s="572">
        <f t="shared" si="97"/>
        <v>43772.374999999745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498">
        <f>-$AF108+$CN108 +Rezone!R108 + IF(home_land=CV$2,CW108) + Explore!Z96</f>
        <v>0</v>
      </c>
      <c r="CW108" s="159">
        <f>IF(Explore!S108=1,25) - N108 + BV108</f>
        <v>0</v>
      </c>
      <c r="CY108" s="152">
        <f t="shared" si="98"/>
        <v>150</v>
      </c>
      <c r="CZ108" s="164">
        <f t="shared" si="99"/>
        <v>150</v>
      </c>
      <c r="DA108" s="16">
        <f t="shared" si="100"/>
        <v>150</v>
      </c>
      <c r="DB108" s="164">
        <f t="shared" si="101"/>
        <v>150</v>
      </c>
      <c r="DC108" s="164">
        <f t="shared" si="102"/>
        <v>150</v>
      </c>
      <c r="DD108" s="16">
        <f t="shared" si="103"/>
        <v>150</v>
      </c>
      <c r="DE108" s="166">
        <f t="shared" si="104"/>
        <v>100</v>
      </c>
      <c r="DF108" s="164">
        <f t="shared" ca="1" si="105"/>
        <v>150</v>
      </c>
      <c r="DG108" s="16">
        <f t="shared" si="106"/>
        <v>0</v>
      </c>
      <c r="DH108" s="16">
        <f t="shared" si="107"/>
        <v>108</v>
      </c>
      <c r="DI108" s="166"/>
    </row>
    <row r="109" spans="1:113" s="16" customFormat="1" x14ac:dyDescent="0.25">
      <c r="A109" s="36">
        <f t="shared" si="85"/>
        <v>820</v>
      </c>
      <c r="B109" s="36">
        <f t="shared" si="86"/>
        <v>180</v>
      </c>
      <c r="C109" s="83">
        <f t="shared" si="87"/>
        <v>0</v>
      </c>
      <c r="D109" s="572"/>
      <c r="E109" s="16">
        <f t="shared" si="88"/>
        <v>1000</v>
      </c>
      <c r="F109" s="86">
        <f t="shared" si="89"/>
        <v>70</v>
      </c>
      <c r="G109" s="37">
        <f t="shared" si="90"/>
        <v>100</v>
      </c>
      <c r="H109" s="247">
        <f t="shared" si="91"/>
        <v>150</v>
      </c>
      <c r="I109" s="38">
        <f t="shared" si="92"/>
        <v>150</v>
      </c>
      <c r="J109" s="39">
        <f t="shared" si="93"/>
        <v>100</v>
      </c>
      <c r="K109" s="40">
        <f t="shared" si="94"/>
        <v>150</v>
      </c>
      <c r="L109" s="498">
        <f t="shared" si="95"/>
        <v>100</v>
      </c>
      <c r="M109" s="633">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0">
        <f>Imps!L109</f>
        <v>43769.10416666641</v>
      </c>
      <c r="AH109" s="91">
        <f>MIN(25%,(BG109+CE109)/(E109-Explore!S109*20))</f>
        <v>0</v>
      </c>
      <c r="AI109" s="59">
        <f t="shared" si="81"/>
        <v>0</v>
      </c>
      <c r="AJ109" s="56">
        <f ca="1">Production!$H109</f>
        <v>5005345</v>
      </c>
      <c r="AK109" s="57">
        <f ca="1">Production!$J109</f>
        <v>286185</v>
      </c>
      <c r="AL109" s="152">
        <f ca="1">ROUND( (1 - MIN(facs_constr_factor*$AH109,facs_constr_max)) * (1+MIN(tech_construction*Techs!AC109,tech_conquerors_crafts*Techs!AS109)) * AU109*(1+race_construction_cost),0)</f>
        <v>1615</v>
      </c>
      <c r="AM109" s="166">
        <f t="shared" si="110"/>
        <v>263</v>
      </c>
      <c r="AN109" s="152">
        <f ca="1">ROUND( (1 - MIN(facs_constr_factor*$AI109,facs_constr_max)) * (1+MIN(tech_construction*Techs!AE109,tech_conquerors_crafts*Techs!AU109)) * AU109*(1+race_construction_cost),0)</f>
        <v>1615</v>
      </c>
      <c r="AO109" s="166">
        <f t="shared" si="111"/>
        <v>263</v>
      </c>
      <c r="AP109" s="16">
        <f t="shared" ca="1" si="108"/>
        <v>0</v>
      </c>
      <c r="AQ109" s="53">
        <f t="shared" si="109"/>
        <v>0</v>
      </c>
      <c r="AR109" s="16">
        <f>MIN(SUM(F108:L108)+SUM(Explore!T97:Z97)+SUM(BV109:CN109),SUM($N109:$AF109))</f>
        <v>0</v>
      </c>
      <c r="AS109" s="16">
        <f>IF(Explore!S109&lt;&gt;0,MAX(0, MIN(20, 20 + SUM(N109:AF109) - SUM(BV109:CN109) - SUM(F108:L108)-SUM(Explore!T97:Z97)-20*Explore!S109)),0)</f>
        <v>0</v>
      </c>
      <c r="AU109" s="152">
        <f t="shared" si="83"/>
        <v>1615</v>
      </c>
      <c r="AV109" s="166">
        <f t="shared" si="84"/>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1"/>
      <c r="BS109" s="156">
        <f t="shared" si="96"/>
        <v>1000</v>
      </c>
      <c r="BT109" s="572">
        <f t="shared" si="97"/>
        <v>43772.41666666641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498">
        <f>-$AF109+$CN109 +Rezone!R109 + IF(home_land=CV$2,CW109) + Explore!Z97</f>
        <v>0</v>
      </c>
      <c r="CW109" s="159">
        <f>IF(Explore!S109=1,25) - N109 + BV109</f>
        <v>0</v>
      </c>
      <c r="CY109" s="152">
        <f t="shared" si="98"/>
        <v>150</v>
      </c>
      <c r="CZ109" s="164">
        <f t="shared" si="99"/>
        <v>150</v>
      </c>
      <c r="DA109" s="16">
        <f t="shared" si="100"/>
        <v>150</v>
      </c>
      <c r="DB109" s="164">
        <f t="shared" si="101"/>
        <v>150</v>
      </c>
      <c r="DC109" s="164">
        <f t="shared" si="102"/>
        <v>150</v>
      </c>
      <c r="DD109" s="16">
        <f t="shared" si="103"/>
        <v>150</v>
      </c>
      <c r="DE109" s="166">
        <f t="shared" si="104"/>
        <v>100</v>
      </c>
      <c r="DF109" s="164">
        <f t="shared" ca="1" si="105"/>
        <v>150</v>
      </c>
      <c r="DG109" s="16">
        <f t="shared" si="106"/>
        <v>0</v>
      </c>
      <c r="DH109" s="16">
        <f t="shared" si="107"/>
        <v>109</v>
      </c>
      <c r="DI109" s="166"/>
    </row>
    <row r="110" spans="1:113" s="16" customFormat="1" x14ac:dyDescent="0.25">
      <c r="A110" s="36">
        <f t="shared" si="85"/>
        <v>820</v>
      </c>
      <c r="B110" s="36">
        <f t="shared" si="86"/>
        <v>180</v>
      </c>
      <c r="C110" s="83">
        <f t="shared" si="87"/>
        <v>0</v>
      </c>
      <c r="D110" s="572"/>
      <c r="E110" s="16">
        <f t="shared" si="88"/>
        <v>1000</v>
      </c>
      <c r="F110" s="86">
        <f t="shared" si="89"/>
        <v>70</v>
      </c>
      <c r="G110" s="37">
        <f t="shared" si="90"/>
        <v>100</v>
      </c>
      <c r="H110" s="247">
        <f t="shared" si="91"/>
        <v>150</v>
      </c>
      <c r="I110" s="38">
        <f t="shared" si="92"/>
        <v>150</v>
      </c>
      <c r="J110" s="39">
        <f t="shared" si="93"/>
        <v>100</v>
      </c>
      <c r="K110" s="40">
        <f t="shared" si="94"/>
        <v>150</v>
      </c>
      <c r="L110" s="498">
        <f t="shared" si="95"/>
        <v>100</v>
      </c>
      <c r="M110" s="633">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0">
        <f>Imps!L110</f>
        <v>43769.114583333074</v>
      </c>
      <c r="AH110" s="91">
        <f>MIN(25%,(BG110+CE110)/(E110-Explore!S110*20))</f>
        <v>0</v>
      </c>
      <c r="AI110" s="59">
        <f t="shared" si="81"/>
        <v>0</v>
      </c>
      <c r="AJ110" s="56">
        <f ca="1">Production!$H110</f>
        <v>5010326</v>
      </c>
      <c r="AK110" s="57">
        <f ca="1">Production!$J110</f>
        <v>285823</v>
      </c>
      <c r="AL110" s="152">
        <f ca="1">ROUND( (1 - MIN(facs_constr_factor*$AH110,facs_constr_max)) * (1+MIN(tech_construction*Techs!AC110,tech_conquerors_crafts*Techs!AS110)) * AU110*(1+race_construction_cost),0)</f>
        <v>1615</v>
      </c>
      <c r="AM110" s="166">
        <f t="shared" si="110"/>
        <v>263</v>
      </c>
      <c r="AN110" s="152">
        <f ca="1">ROUND( (1 - MIN(facs_constr_factor*$AI110,facs_constr_max)) * (1+MIN(tech_construction*Techs!AE110,tech_conquerors_crafts*Techs!AU110)) * AU110*(1+race_construction_cost),0)</f>
        <v>1615</v>
      </c>
      <c r="AO110" s="166">
        <f t="shared" si="111"/>
        <v>263</v>
      </c>
      <c r="AP110" s="16">
        <f t="shared" ca="1" si="108"/>
        <v>0</v>
      </c>
      <c r="AQ110" s="53">
        <f t="shared" si="109"/>
        <v>0</v>
      </c>
      <c r="AR110" s="16">
        <f>MIN(SUM(F109:L109)+SUM(Explore!T98:Z98)+SUM(BV110:CN110),SUM($N110:$AF110))</f>
        <v>0</v>
      </c>
      <c r="AS110" s="16">
        <f>IF(Explore!S110&lt;&gt;0,MAX(0, MIN(20, 20 + SUM(N110:AF110) - SUM(BV110:CN110) - SUM(F109:L109)-SUM(Explore!T98:Z98)-20*Explore!S110)),0)</f>
        <v>0</v>
      </c>
      <c r="AU110" s="152">
        <f t="shared" si="83"/>
        <v>1615</v>
      </c>
      <c r="AV110" s="166">
        <f t="shared" si="84"/>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1"/>
      <c r="BS110" s="156">
        <f t="shared" si="96"/>
        <v>1000</v>
      </c>
      <c r="BT110" s="572">
        <f t="shared" si="97"/>
        <v>43772.458333333074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498">
        <f>-$AF110+$CN110 +Rezone!R110 + IF(home_land=CV$2,CW110) + Explore!Z98</f>
        <v>0</v>
      </c>
      <c r="CW110" s="159">
        <f>IF(Explore!S110=1,25) - N110 + BV110</f>
        <v>0</v>
      </c>
      <c r="CY110" s="152">
        <f t="shared" si="98"/>
        <v>150</v>
      </c>
      <c r="CZ110" s="164">
        <f t="shared" si="99"/>
        <v>150</v>
      </c>
      <c r="DA110" s="16">
        <f t="shared" si="100"/>
        <v>150</v>
      </c>
      <c r="DB110" s="164">
        <f t="shared" si="101"/>
        <v>150</v>
      </c>
      <c r="DC110" s="164">
        <f t="shared" si="102"/>
        <v>150</v>
      </c>
      <c r="DD110" s="16">
        <f t="shared" si="103"/>
        <v>150</v>
      </c>
      <c r="DE110" s="166">
        <f t="shared" si="104"/>
        <v>100</v>
      </c>
      <c r="DF110" s="164">
        <f t="shared" ca="1" si="105"/>
        <v>150</v>
      </c>
      <c r="DG110" s="16">
        <f t="shared" si="106"/>
        <v>0</v>
      </c>
      <c r="DH110" s="16">
        <f t="shared" si="107"/>
        <v>110</v>
      </c>
      <c r="DI110" s="166"/>
    </row>
    <row r="111" spans="1:113" s="12" customFormat="1" x14ac:dyDescent="0.25">
      <c r="A111" s="779">
        <f t="shared" si="85"/>
        <v>820</v>
      </c>
      <c r="B111" s="779">
        <f t="shared" si="86"/>
        <v>180</v>
      </c>
      <c r="C111" s="780">
        <f t="shared" si="87"/>
        <v>0</v>
      </c>
      <c r="D111" s="676"/>
      <c r="E111" s="12">
        <f t="shared" si="88"/>
        <v>1000</v>
      </c>
      <c r="F111" s="781">
        <f t="shared" si="89"/>
        <v>70</v>
      </c>
      <c r="G111" s="782">
        <f t="shared" si="90"/>
        <v>100</v>
      </c>
      <c r="H111" s="272">
        <f t="shared" si="91"/>
        <v>150</v>
      </c>
      <c r="I111" s="783">
        <f t="shared" si="92"/>
        <v>150</v>
      </c>
      <c r="J111" s="784">
        <f t="shared" si="93"/>
        <v>100</v>
      </c>
      <c r="K111" s="785">
        <f t="shared" si="94"/>
        <v>150</v>
      </c>
      <c r="L111" s="786">
        <f t="shared" si="95"/>
        <v>100</v>
      </c>
      <c r="M111" s="751">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4">
        <f>Imps!L111</f>
        <v>43769.124999999738</v>
      </c>
      <c r="AH111" s="306">
        <f>MIN(25%,(BG111+CE111)/(E111-Explore!S111*20))</f>
        <v>0</v>
      </c>
      <c r="AI111" s="58">
        <f t="shared" si="81"/>
        <v>0</v>
      </c>
      <c r="AJ111" s="54">
        <f ca="1">Production!$H111</f>
        <v>5015307</v>
      </c>
      <c r="AK111" s="55">
        <f ca="1">Production!$J111</f>
        <v>285465</v>
      </c>
      <c r="AL111" s="151">
        <f ca="1">ROUND( (1 - MIN(facs_constr_factor*$AH111,facs_constr_max)) * (1+MIN(tech_construction*Techs!AC111,tech_conquerors_crafts*Techs!AS111)) * AU111*(1+race_construction_cost),0)</f>
        <v>1615</v>
      </c>
      <c r="AM111" s="158">
        <f t="shared" si="110"/>
        <v>263</v>
      </c>
      <c r="AN111" s="151">
        <f ca="1">ROUND( (1 - MIN(facs_constr_factor*$AI111,facs_constr_max)) * (1+MIN(tech_construction*Techs!AE111,tech_conquerors_crafts*Techs!AU111)) * AU111*(1+race_construction_cost),0)</f>
        <v>1615</v>
      </c>
      <c r="AO111" s="158">
        <f t="shared" si="111"/>
        <v>263</v>
      </c>
      <c r="AP111" s="12">
        <f t="shared" ca="1" si="108"/>
        <v>0</v>
      </c>
      <c r="AQ111" s="51">
        <f t="shared" si="109"/>
        <v>0</v>
      </c>
      <c r="AR111" s="12">
        <f>MIN(SUM(F110:L110)+SUM(Explore!T99:Z99)+SUM(BV111:CN111),SUM($N111:$AF111))</f>
        <v>0</v>
      </c>
      <c r="AS111" s="12">
        <f>IF(Explore!S111&lt;&gt;0,MAX(0, MIN(20, 20 + SUM(N111:AF111) - SUM(BV111:CN111) - SUM(F110:L110)-SUM(Explore!T99:Z99)-20*Explore!S111)),0)</f>
        <v>0</v>
      </c>
      <c r="AU111" s="151">
        <f t="shared" si="83"/>
        <v>1615</v>
      </c>
      <c r="AV111" s="158">
        <f t="shared" si="84"/>
        <v>262.5</v>
      </c>
      <c r="AW111" s="153"/>
      <c r="AX111" s="787">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28"/>
      <c r="BS111" s="184">
        <f t="shared" si="96"/>
        <v>1000</v>
      </c>
      <c r="BT111" s="676">
        <f t="shared" si="97"/>
        <v>43772.499999999738</v>
      </c>
      <c r="BV111" s="373"/>
      <c r="BW111" s="349"/>
      <c r="BX111" s="349"/>
      <c r="BY111" s="349"/>
      <c r="BZ111" s="349"/>
      <c r="CA111" s="349"/>
      <c r="CB111" s="349"/>
      <c r="CC111" s="349"/>
      <c r="CD111" s="349"/>
      <c r="CE111" s="349"/>
      <c r="CF111" s="349"/>
      <c r="CG111" s="349"/>
      <c r="CH111" s="349"/>
      <c r="CI111" s="349"/>
      <c r="CJ111" s="349"/>
      <c r="CK111" s="349"/>
      <c r="CL111" s="349"/>
      <c r="CM111" s="788"/>
      <c r="CN111" s="374"/>
      <c r="CP111" s="781">
        <f>-SUM($O111:$R111)+SUM($BW111:BZ111)+Rezone!L111+IF(home_land=CP$2,CW111) + Explore!T99</f>
        <v>0</v>
      </c>
      <c r="CQ111" s="782">
        <f>-SUM($S111:$T111)+SUM($CA111:$CB111) +Rezone!M111 + IF(home_land=CQ$2,CW111) + Explore!U99</f>
        <v>0</v>
      </c>
      <c r="CR111" s="272">
        <f>-SUM($U111:$V111)+SUM($CC111:$CD111) +Rezone!N111 + IF(home_land=CR$2,CW111) + Explore!V99</f>
        <v>0</v>
      </c>
      <c r="CS111" s="783">
        <f>-SUM($W111:$Z111)+SUM($CE111:$CH111) +Rezone!O111 + IF(home_land=CS$2,CW111) + Explore!W99</f>
        <v>0</v>
      </c>
      <c r="CT111" s="784">
        <f>-SUM($AA111:$AC111)+SUM($CI111:$CK111) +Rezone!P111 + IF(home_land=CT$2,CW111) + Explore!X99</f>
        <v>0</v>
      </c>
      <c r="CU111" s="785">
        <f xml:space="preserve"> - SUM($AD111,$AE111)+SUM($CL111,$CM111) +Rezone!Q111 + IF(home_land=CU$2,CW111)+Explore!Y99</f>
        <v>0</v>
      </c>
      <c r="CV111" s="786">
        <f>-$AF111+$CN111 +Rezone!R111 + IF(home_land=CV$2,CW111) + Explore!Z99</f>
        <v>0</v>
      </c>
      <c r="CW111" s="287">
        <f>IF(Explore!S111=1,25) - N111 + BV111</f>
        <v>0</v>
      </c>
      <c r="CY111" s="151">
        <f t="shared" si="98"/>
        <v>150</v>
      </c>
      <c r="CZ111" s="153">
        <f t="shared" si="99"/>
        <v>150</v>
      </c>
      <c r="DA111" s="12">
        <f t="shared" si="100"/>
        <v>150</v>
      </c>
      <c r="DB111" s="153">
        <f t="shared" si="101"/>
        <v>150</v>
      </c>
      <c r="DC111" s="153">
        <f t="shared" si="102"/>
        <v>150</v>
      </c>
      <c r="DD111" s="12">
        <f t="shared" si="103"/>
        <v>150</v>
      </c>
      <c r="DE111" s="158">
        <f t="shared" si="104"/>
        <v>100</v>
      </c>
      <c r="DF111" s="153">
        <f t="shared" ca="1" si="105"/>
        <v>150</v>
      </c>
      <c r="DG111" s="12">
        <f t="shared" si="106"/>
        <v>0</v>
      </c>
      <c r="DH111" s="12">
        <f t="shared" si="107"/>
        <v>111</v>
      </c>
      <c r="DI111" s="158"/>
    </row>
    <row r="112" spans="1:113" s="16" customFormat="1" x14ac:dyDescent="0.25">
      <c r="A112" s="36">
        <f t="shared" si="85"/>
        <v>820</v>
      </c>
      <c r="B112" s="36">
        <f t="shared" si="86"/>
        <v>180</v>
      </c>
      <c r="C112" s="83">
        <f t="shared" si="87"/>
        <v>0</v>
      </c>
      <c r="D112" s="572"/>
      <c r="E112" s="16">
        <f t="shared" si="88"/>
        <v>1000</v>
      </c>
      <c r="F112" s="86">
        <f t="shared" si="89"/>
        <v>70</v>
      </c>
      <c r="G112" s="37">
        <f t="shared" si="90"/>
        <v>100</v>
      </c>
      <c r="H112" s="247">
        <f t="shared" si="91"/>
        <v>150</v>
      </c>
      <c r="I112" s="38">
        <f t="shared" si="92"/>
        <v>150</v>
      </c>
      <c r="J112" s="39">
        <f t="shared" si="93"/>
        <v>100</v>
      </c>
      <c r="K112" s="40">
        <f t="shared" si="94"/>
        <v>150</v>
      </c>
      <c r="L112" s="498">
        <f t="shared" si="95"/>
        <v>100</v>
      </c>
      <c r="M112" s="633">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0">
        <f>Imps!L112</f>
        <v>43769.135416666402</v>
      </c>
      <c r="AH112" s="91">
        <f>MIN(25%,(BG112+CE112)/(E112-Explore!S112*20))</f>
        <v>0</v>
      </c>
      <c r="AI112" s="59">
        <f t="shared" si="81"/>
        <v>0</v>
      </c>
      <c r="AJ112" s="56">
        <f ca="1">Production!$H112</f>
        <v>5020288</v>
      </c>
      <c r="AK112" s="57">
        <f ca="1">Production!$J112</f>
        <v>285110</v>
      </c>
      <c r="AL112" s="152">
        <f ca="1">ROUND( (1 - MIN(facs_constr_factor*$AH112,facs_constr_max)) * (1+MIN(tech_construction*Techs!AC112,tech_conquerors_crafts*Techs!AS112)) * AU112*(1+race_construction_cost),0)</f>
        <v>1615</v>
      </c>
      <c r="AM112" s="166">
        <f t="shared" si="110"/>
        <v>263</v>
      </c>
      <c r="AN112" s="152">
        <f ca="1">ROUND( (1 - MIN(facs_constr_factor*$AI112,facs_constr_max)) * (1+MIN(tech_construction*Techs!AE112,tech_conquerors_crafts*Techs!AU112)) * AU112*(1+race_construction_cost),0)</f>
        <v>1615</v>
      </c>
      <c r="AO112" s="166">
        <f t="shared" si="111"/>
        <v>263</v>
      </c>
      <c r="AP112" s="16">
        <f t="shared" ca="1" si="108"/>
        <v>0</v>
      </c>
      <c r="AQ112" s="53">
        <f t="shared" si="109"/>
        <v>0</v>
      </c>
      <c r="AR112" s="16">
        <f>MIN(SUM(F111:L111)+SUM(Explore!T100:Z100)+SUM(BV112:CN112),SUM($N112:$AF112))</f>
        <v>0</v>
      </c>
      <c r="AS112" s="16">
        <f>IF(Explore!S112&lt;&gt;0,MAX(0, MIN(20, 20 + SUM(N112:AF112) - SUM(BV112:CN112) - SUM(F111:L111)-SUM(Explore!T100:Z100)-20*Explore!S112)),0)</f>
        <v>0</v>
      </c>
      <c r="AU112" s="152">
        <f t="shared" si="83"/>
        <v>1615</v>
      </c>
      <c r="AV112" s="166">
        <f t="shared" si="84"/>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1"/>
      <c r="BS112" s="156">
        <f t="shared" si="96"/>
        <v>1000</v>
      </c>
      <c r="BT112" s="572">
        <f t="shared" si="97"/>
        <v>43772.541666666402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498">
        <f>-$AF112+$CN112 +Rezone!R112 + IF(home_land=CV$2,CW112) + Explore!Z100</f>
        <v>0</v>
      </c>
      <c r="CW112" s="159">
        <f>IF(Explore!S112=1,25) - N112 + BV112</f>
        <v>0</v>
      </c>
      <c r="CY112" s="152">
        <f t="shared" si="98"/>
        <v>150</v>
      </c>
      <c r="CZ112" s="164">
        <f t="shared" si="99"/>
        <v>150</v>
      </c>
      <c r="DA112" s="16">
        <f t="shared" si="100"/>
        <v>150</v>
      </c>
      <c r="DB112" s="164">
        <f t="shared" si="101"/>
        <v>150</v>
      </c>
      <c r="DC112" s="164">
        <f t="shared" si="102"/>
        <v>150</v>
      </c>
      <c r="DD112" s="16">
        <f t="shared" si="103"/>
        <v>150</v>
      </c>
      <c r="DE112" s="166">
        <f t="shared" si="104"/>
        <v>100</v>
      </c>
      <c r="DF112" s="164">
        <f t="shared" ca="1" si="105"/>
        <v>150</v>
      </c>
      <c r="DG112" s="16">
        <f t="shared" si="106"/>
        <v>0</v>
      </c>
      <c r="DH112" s="16">
        <f t="shared" si="107"/>
        <v>112</v>
      </c>
      <c r="DI112" s="166"/>
    </row>
    <row r="113" spans="1:113" s="16" customFormat="1" x14ac:dyDescent="0.25">
      <c r="A113" s="36">
        <f t="shared" si="85"/>
        <v>820</v>
      </c>
      <c r="B113" s="36">
        <f t="shared" si="86"/>
        <v>180</v>
      </c>
      <c r="C113" s="83">
        <f t="shared" si="87"/>
        <v>0</v>
      </c>
      <c r="D113" s="572"/>
      <c r="E113" s="16">
        <f t="shared" si="88"/>
        <v>1000</v>
      </c>
      <c r="F113" s="86">
        <f t="shared" si="89"/>
        <v>70</v>
      </c>
      <c r="G113" s="37">
        <f t="shared" si="90"/>
        <v>100</v>
      </c>
      <c r="H113" s="247">
        <f t="shared" si="91"/>
        <v>150</v>
      </c>
      <c r="I113" s="38">
        <f t="shared" si="92"/>
        <v>150</v>
      </c>
      <c r="J113" s="39">
        <f t="shared" si="93"/>
        <v>100</v>
      </c>
      <c r="K113" s="40">
        <f t="shared" si="94"/>
        <v>150</v>
      </c>
      <c r="L113" s="498">
        <f t="shared" si="95"/>
        <v>100</v>
      </c>
      <c r="M113" s="633">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0">
        <f>Imps!L113</f>
        <v>43769.145833333067</v>
      </c>
      <c r="AH113" s="91">
        <f>MIN(25%,(BG113+CE113)/(E113-Explore!S113*20))</f>
        <v>0</v>
      </c>
      <c r="AI113" s="59">
        <f t="shared" si="81"/>
        <v>0</v>
      </c>
      <c r="AJ113" s="56">
        <f ca="1">Production!$H113</f>
        <v>5025269</v>
      </c>
      <c r="AK113" s="57">
        <f ca="1">Production!$J113</f>
        <v>284759</v>
      </c>
      <c r="AL113" s="152">
        <f ca="1">ROUND( (1 - MIN(facs_constr_factor*$AH113,facs_constr_max)) * (1+MIN(tech_construction*Techs!AC113,tech_conquerors_crafts*Techs!AS113)) * AU113*(1+race_construction_cost),0)</f>
        <v>1615</v>
      </c>
      <c r="AM113" s="166">
        <f t="shared" si="110"/>
        <v>263</v>
      </c>
      <c r="AN113" s="152">
        <f ca="1">ROUND( (1 - MIN(facs_constr_factor*$AI113,facs_constr_max)) * (1+MIN(tech_construction*Techs!AE113,tech_conquerors_crafts*Techs!AU113)) * AU113*(1+race_construction_cost),0)</f>
        <v>1615</v>
      </c>
      <c r="AO113" s="166">
        <f t="shared" si="111"/>
        <v>263</v>
      </c>
      <c r="AP113" s="16">
        <f t="shared" ca="1" si="108"/>
        <v>0</v>
      </c>
      <c r="AQ113" s="53">
        <f t="shared" si="109"/>
        <v>0</v>
      </c>
      <c r="AR113" s="16">
        <f>MIN(SUM(F112:L112)+SUM(Explore!T101:Z101)+SUM(BV113:CN113),SUM($N113:$AF113))</f>
        <v>0</v>
      </c>
      <c r="AS113" s="16">
        <f>IF(Explore!S113&lt;&gt;0,MAX(0, MIN(20, 20 + SUM(N113:AF113) - SUM(BV113:CN113) - SUM(F112:L112)-SUM(Explore!T101:Z101)-20*Explore!S113)),0)</f>
        <v>0</v>
      </c>
      <c r="AU113" s="152">
        <f t="shared" si="83"/>
        <v>1615</v>
      </c>
      <c r="AV113" s="166">
        <f t="shared" si="84"/>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1"/>
      <c r="BS113" s="156">
        <f t="shared" si="96"/>
        <v>1000</v>
      </c>
      <c r="BT113" s="572">
        <f t="shared" si="97"/>
        <v>43772.583333333067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498">
        <f>-$AF113+$CN113 +Rezone!R113 + IF(home_land=CV$2,CW113) + Explore!Z101</f>
        <v>0</v>
      </c>
      <c r="CW113" s="159">
        <f>IF(Explore!S113=1,25) - N113 + BV113</f>
        <v>0</v>
      </c>
      <c r="CY113" s="152">
        <f t="shared" si="98"/>
        <v>150</v>
      </c>
      <c r="CZ113" s="164">
        <f t="shared" si="99"/>
        <v>150</v>
      </c>
      <c r="DA113" s="16">
        <f t="shared" si="100"/>
        <v>150</v>
      </c>
      <c r="DB113" s="164">
        <f t="shared" si="101"/>
        <v>150</v>
      </c>
      <c r="DC113" s="164">
        <f t="shared" si="102"/>
        <v>150</v>
      </c>
      <c r="DD113" s="16">
        <f t="shared" si="103"/>
        <v>150</v>
      </c>
      <c r="DE113" s="166">
        <f t="shared" si="104"/>
        <v>100</v>
      </c>
      <c r="DF113" s="164">
        <f t="shared" ca="1" si="105"/>
        <v>150</v>
      </c>
      <c r="DG113" s="16">
        <f t="shared" si="106"/>
        <v>0</v>
      </c>
      <c r="DH113" s="16">
        <f t="shared" si="107"/>
        <v>113</v>
      </c>
      <c r="DI113" s="166"/>
    </row>
    <row r="114" spans="1:113" s="16" customFormat="1" x14ac:dyDescent="0.25">
      <c r="A114" s="36">
        <f t="shared" si="85"/>
        <v>820</v>
      </c>
      <c r="B114" s="36">
        <f t="shared" si="86"/>
        <v>180</v>
      </c>
      <c r="C114" s="83">
        <f t="shared" si="87"/>
        <v>0</v>
      </c>
      <c r="D114" s="572"/>
      <c r="E114" s="16">
        <f t="shared" si="88"/>
        <v>1000</v>
      </c>
      <c r="F114" s="86">
        <f t="shared" si="89"/>
        <v>70</v>
      </c>
      <c r="G114" s="37">
        <f t="shared" si="90"/>
        <v>100</v>
      </c>
      <c r="H114" s="247">
        <f t="shared" si="91"/>
        <v>150</v>
      </c>
      <c r="I114" s="38">
        <f t="shared" si="92"/>
        <v>150</v>
      </c>
      <c r="J114" s="39">
        <f t="shared" si="93"/>
        <v>100</v>
      </c>
      <c r="K114" s="40">
        <f t="shared" si="94"/>
        <v>150</v>
      </c>
      <c r="L114" s="498">
        <f t="shared" si="95"/>
        <v>100</v>
      </c>
      <c r="M114" s="633">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0">
        <f>Imps!L114</f>
        <v>43769.156249999731</v>
      </c>
      <c r="AH114" s="91">
        <f>MIN(25%,(BG114+CE114)/(E114-Explore!S114*20))</f>
        <v>0</v>
      </c>
      <c r="AI114" s="59">
        <f t="shared" si="81"/>
        <v>0</v>
      </c>
      <c r="AJ114" s="56">
        <f ca="1">Production!$H114</f>
        <v>5030250</v>
      </c>
      <c r="AK114" s="57">
        <f ca="1">Production!$J114</f>
        <v>284411</v>
      </c>
      <c r="AL114" s="152">
        <f ca="1">ROUND( (1 - MIN(facs_constr_factor*$AH114,facs_constr_max)) * (1+MIN(tech_construction*Techs!AC114,tech_conquerors_crafts*Techs!AS114)) * AU114*(1+race_construction_cost),0)</f>
        <v>1615</v>
      </c>
      <c r="AM114" s="166">
        <f t="shared" si="110"/>
        <v>263</v>
      </c>
      <c r="AN114" s="152">
        <f ca="1">ROUND( (1 - MIN(facs_constr_factor*$AI114,facs_constr_max)) * (1+MIN(tech_construction*Techs!AE114,tech_conquerors_crafts*Techs!AU114)) * AU114*(1+race_construction_cost),0)</f>
        <v>1615</v>
      </c>
      <c r="AO114" s="166">
        <f t="shared" si="111"/>
        <v>263</v>
      </c>
      <c r="AP114" s="16">
        <f t="shared" ca="1" si="108"/>
        <v>0</v>
      </c>
      <c r="AQ114" s="53">
        <f t="shared" si="109"/>
        <v>0</v>
      </c>
      <c r="AR114" s="16">
        <f>MIN(SUM(F113:L113)+SUM(Explore!T102:Z102)+SUM(BV114:CN114),SUM($N114:$AF114))</f>
        <v>0</v>
      </c>
      <c r="AS114" s="16">
        <f>IF(Explore!S114&lt;&gt;0,MAX(0, MIN(20, 20 + SUM(N114:AF114) - SUM(BV114:CN114) - SUM(F113:L113)-SUM(Explore!T102:Z102)-20*Explore!S114)),0)</f>
        <v>0</v>
      </c>
      <c r="AU114" s="152">
        <f t="shared" si="83"/>
        <v>1615</v>
      </c>
      <c r="AV114" s="166">
        <f t="shared" si="84"/>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1"/>
      <c r="BS114" s="156">
        <f t="shared" si="96"/>
        <v>1000</v>
      </c>
      <c r="BT114" s="572">
        <f t="shared" si="97"/>
        <v>43772.624999999731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498">
        <f>-$AF114+$CN114 +Rezone!R114 + IF(home_land=CV$2,CW114) + Explore!Z102</f>
        <v>0</v>
      </c>
      <c r="CW114" s="159">
        <f>IF(Explore!S114=1,25) - N114 + BV114</f>
        <v>0</v>
      </c>
      <c r="CY114" s="152">
        <f t="shared" si="98"/>
        <v>150</v>
      </c>
      <c r="CZ114" s="164">
        <f t="shared" si="99"/>
        <v>150</v>
      </c>
      <c r="DA114" s="16">
        <f t="shared" si="100"/>
        <v>150</v>
      </c>
      <c r="DB114" s="164">
        <f t="shared" si="101"/>
        <v>150</v>
      </c>
      <c r="DC114" s="164">
        <f t="shared" si="102"/>
        <v>150</v>
      </c>
      <c r="DD114" s="16">
        <f t="shared" si="103"/>
        <v>150</v>
      </c>
      <c r="DE114" s="166">
        <f t="shared" si="104"/>
        <v>100</v>
      </c>
      <c r="DF114" s="164">
        <f t="shared" ca="1" si="105"/>
        <v>150</v>
      </c>
      <c r="DG114" s="16">
        <f t="shared" si="106"/>
        <v>0</v>
      </c>
      <c r="DH114" s="16">
        <f t="shared" si="107"/>
        <v>114</v>
      </c>
      <c r="DI114" s="166"/>
    </row>
    <row r="115" spans="1:113" s="16" customFormat="1" x14ac:dyDescent="0.25">
      <c r="A115" s="36">
        <f t="shared" si="85"/>
        <v>820</v>
      </c>
      <c r="B115" s="36">
        <f t="shared" si="86"/>
        <v>180</v>
      </c>
      <c r="C115" s="83">
        <f t="shared" si="87"/>
        <v>0</v>
      </c>
      <c r="D115" s="572"/>
      <c r="E115" s="16">
        <f t="shared" si="88"/>
        <v>1000</v>
      </c>
      <c r="F115" s="86">
        <f t="shared" si="89"/>
        <v>70</v>
      </c>
      <c r="G115" s="37">
        <f t="shared" si="90"/>
        <v>100</v>
      </c>
      <c r="H115" s="247">
        <f t="shared" si="91"/>
        <v>150</v>
      </c>
      <c r="I115" s="38">
        <f t="shared" si="92"/>
        <v>150</v>
      </c>
      <c r="J115" s="39">
        <f t="shared" si="93"/>
        <v>100</v>
      </c>
      <c r="K115" s="40">
        <f t="shared" si="94"/>
        <v>150</v>
      </c>
      <c r="L115" s="498">
        <f t="shared" si="95"/>
        <v>100</v>
      </c>
      <c r="M115" s="633">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0">
        <f>Imps!L115</f>
        <v>43769.166666666395</v>
      </c>
      <c r="AH115" s="91">
        <f>MIN(25%,(BG115+CE115)/(E115-Explore!S115*20))</f>
        <v>0</v>
      </c>
      <c r="AI115" s="59">
        <f t="shared" si="81"/>
        <v>0</v>
      </c>
      <c r="AJ115" s="56">
        <f ca="1">Production!$H115</f>
        <v>5035231</v>
      </c>
      <c r="AK115" s="57">
        <f ca="1">Production!$J115</f>
        <v>284067</v>
      </c>
      <c r="AL115" s="152">
        <f ca="1">ROUND( (1 - MIN(facs_constr_factor*$AH115,facs_constr_max)) * (1+MIN(tech_construction*Techs!AC115,tech_conquerors_crafts*Techs!AS115)) * AU115*(1+race_construction_cost),0)</f>
        <v>1615</v>
      </c>
      <c r="AM115" s="166">
        <f t="shared" si="110"/>
        <v>263</v>
      </c>
      <c r="AN115" s="152">
        <f ca="1">ROUND( (1 - MIN(facs_constr_factor*$AI115,facs_constr_max)) * (1+MIN(tech_construction*Techs!AE115,tech_conquerors_crafts*Techs!AU115)) * AU115*(1+race_construction_cost),0)</f>
        <v>1615</v>
      </c>
      <c r="AO115" s="166">
        <f t="shared" si="111"/>
        <v>263</v>
      </c>
      <c r="AP115" s="16">
        <f t="shared" ca="1" si="108"/>
        <v>0</v>
      </c>
      <c r="AQ115" s="53">
        <f t="shared" si="109"/>
        <v>0</v>
      </c>
      <c r="AR115" s="16">
        <f>MIN(SUM(F114:L114)+SUM(Explore!T103:Z103)+SUM(BV115:CN115),SUM($N115:$AF115))</f>
        <v>0</v>
      </c>
      <c r="AS115" s="16">
        <f>IF(Explore!S115&lt;&gt;0,MAX(0, MIN(20, 20 + SUM(N115:AF115) - SUM(BV115:CN115) - SUM(F114:L114)-SUM(Explore!T103:Z103)-20*Explore!S115)),0)</f>
        <v>0</v>
      </c>
      <c r="AU115" s="152">
        <f t="shared" si="83"/>
        <v>1615</v>
      </c>
      <c r="AV115" s="166">
        <f t="shared" si="84"/>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1"/>
      <c r="BS115" s="156">
        <f t="shared" si="96"/>
        <v>1000</v>
      </c>
      <c r="BT115" s="572">
        <f t="shared" si="97"/>
        <v>43772.666666666395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498">
        <f>-$AF115+$CN115 +Rezone!R115 + IF(home_land=CV$2,CW115) + Explore!Z103</f>
        <v>0</v>
      </c>
      <c r="CW115" s="159">
        <f>IF(Explore!S115=1,25) - N115 + BV115</f>
        <v>0</v>
      </c>
      <c r="CY115" s="152">
        <f t="shared" si="98"/>
        <v>150</v>
      </c>
      <c r="CZ115" s="164">
        <f t="shared" si="99"/>
        <v>150</v>
      </c>
      <c r="DA115" s="16">
        <f t="shared" si="100"/>
        <v>150</v>
      </c>
      <c r="DB115" s="164">
        <f t="shared" si="101"/>
        <v>150</v>
      </c>
      <c r="DC115" s="164">
        <f t="shared" si="102"/>
        <v>150</v>
      </c>
      <c r="DD115" s="16">
        <f t="shared" si="103"/>
        <v>150</v>
      </c>
      <c r="DE115" s="166">
        <f t="shared" si="104"/>
        <v>100</v>
      </c>
      <c r="DF115" s="164">
        <f t="shared" ca="1" si="105"/>
        <v>150</v>
      </c>
      <c r="DG115" s="16">
        <f t="shared" si="106"/>
        <v>0</v>
      </c>
      <c r="DH115" s="16">
        <f t="shared" si="107"/>
        <v>115</v>
      </c>
      <c r="DI115" s="166"/>
    </row>
    <row r="116" spans="1:113" s="16" customFormat="1" x14ac:dyDescent="0.25">
      <c r="A116" s="36">
        <f t="shared" si="85"/>
        <v>820</v>
      </c>
      <c r="B116" s="36">
        <f t="shared" si="86"/>
        <v>180</v>
      </c>
      <c r="C116" s="83">
        <f t="shared" si="87"/>
        <v>0</v>
      </c>
      <c r="D116" s="572"/>
      <c r="E116" s="16">
        <f t="shared" si="88"/>
        <v>1000</v>
      </c>
      <c r="F116" s="86">
        <f t="shared" si="89"/>
        <v>70</v>
      </c>
      <c r="G116" s="37">
        <f t="shared" si="90"/>
        <v>100</v>
      </c>
      <c r="H116" s="247">
        <f t="shared" si="91"/>
        <v>150</v>
      </c>
      <c r="I116" s="38">
        <f t="shared" si="92"/>
        <v>150</v>
      </c>
      <c r="J116" s="39">
        <f t="shared" si="93"/>
        <v>100</v>
      </c>
      <c r="K116" s="40">
        <f t="shared" si="94"/>
        <v>150</v>
      </c>
      <c r="L116" s="498">
        <f t="shared" si="95"/>
        <v>100</v>
      </c>
      <c r="M116" s="633">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0">
        <f>Imps!L116</f>
        <v>43769.177083333059</v>
      </c>
      <c r="AH116" s="91">
        <f>MIN(25%,(BG116+CE116)/(E116-Explore!S116*20))</f>
        <v>0</v>
      </c>
      <c r="AI116" s="59">
        <f t="shared" si="81"/>
        <v>0</v>
      </c>
      <c r="AJ116" s="56">
        <f ca="1">Production!$H116</f>
        <v>5040212</v>
      </c>
      <c r="AK116" s="57">
        <f ca="1">Production!$J116</f>
        <v>283726</v>
      </c>
      <c r="AL116" s="152">
        <f ca="1">ROUND( (1 - MIN(facs_constr_factor*$AH116,facs_constr_max)) * (1+MIN(tech_construction*Techs!AC116,tech_conquerors_crafts*Techs!AS116)) * AU116*(1+race_construction_cost),0)</f>
        <v>1615</v>
      </c>
      <c r="AM116" s="166">
        <f t="shared" si="110"/>
        <v>263</v>
      </c>
      <c r="AN116" s="152">
        <f ca="1">ROUND( (1 - MIN(facs_constr_factor*$AI116,facs_constr_max)) * (1+MIN(tech_construction*Techs!AE116,tech_conquerors_crafts*Techs!AU116)) * AU116*(1+race_construction_cost),0)</f>
        <v>1615</v>
      </c>
      <c r="AO116" s="166">
        <f t="shared" si="111"/>
        <v>263</v>
      </c>
      <c r="AP116" s="16">
        <f t="shared" ca="1" si="108"/>
        <v>0</v>
      </c>
      <c r="AQ116" s="53">
        <f t="shared" si="109"/>
        <v>0</v>
      </c>
      <c r="AR116" s="16">
        <f>MIN(SUM(F115:L115)+SUM(Explore!T104:Z104)+SUM(BV116:CN116),SUM($N116:$AF116))</f>
        <v>0</v>
      </c>
      <c r="AS116" s="16">
        <f>IF(Explore!S116&lt;&gt;0,MAX(0, MIN(20, 20 + SUM(N116:AF116) - SUM(BV116:CN116) - SUM(F115:L115)-SUM(Explore!T104:Z104)-20*Explore!S116)),0)</f>
        <v>0</v>
      </c>
      <c r="AU116" s="152">
        <f t="shared" si="83"/>
        <v>1615</v>
      </c>
      <c r="AV116" s="166">
        <f t="shared" si="84"/>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1"/>
      <c r="BS116" s="156">
        <f t="shared" si="96"/>
        <v>1000</v>
      </c>
      <c r="BT116" s="572">
        <f t="shared" si="97"/>
        <v>43772.708333333059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498">
        <f>-$AF116+$CN116 +Rezone!R116 + IF(home_land=CV$2,CW116) + Explore!Z104</f>
        <v>0</v>
      </c>
      <c r="CW116" s="159">
        <f>IF(Explore!S116=1,25) - N116 + BV116</f>
        <v>0</v>
      </c>
      <c r="CY116" s="152">
        <f t="shared" si="98"/>
        <v>150</v>
      </c>
      <c r="CZ116" s="164">
        <f t="shared" si="99"/>
        <v>150</v>
      </c>
      <c r="DA116" s="16">
        <f t="shared" si="100"/>
        <v>150</v>
      </c>
      <c r="DB116" s="164">
        <f t="shared" si="101"/>
        <v>150</v>
      </c>
      <c r="DC116" s="164">
        <f t="shared" si="102"/>
        <v>150</v>
      </c>
      <c r="DD116" s="16">
        <f t="shared" si="103"/>
        <v>150</v>
      </c>
      <c r="DE116" s="166">
        <f t="shared" si="104"/>
        <v>100</v>
      </c>
      <c r="DF116" s="164">
        <f t="shared" ca="1" si="105"/>
        <v>150</v>
      </c>
      <c r="DG116" s="16">
        <f t="shared" si="106"/>
        <v>0</v>
      </c>
      <c r="DH116" s="16">
        <f t="shared" si="107"/>
        <v>116</v>
      </c>
      <c r="DI116" s="166"/>
    </row>
    <row r="117" spans="1:113" s="16" customFormat="1" x14ac:dyDescent="0.25">
      <c r="A117" s="36">
        <f t="shared" si="85"/>
        <v>820</v>
      </c>
      <c r="B117" s="36">
        <f t="shared" si="86"/>
        <v>180</v>
      </c>
      <c r="C117" s="83">
        <f t="shared" si="87"/>
        <v>0</v>
      </c>
      <c r="D117" s="572"/>
      <c r="E117" s="16">
        <f t="shared" si="88"/>
        <v>1000</v>
      </c>
      <c r="F117" s="86">
        <f t="shared" si="89"/>
        <v>70</v>
      </c>
      <c r="G117" s="37">
        <f t="shared" si="90"/>
        <v>100</v>
      </c>
      <c r="H117" s="247">
        <f t="shared" si="91"/>
        <v>150</v>
      </c>
      <c r="I117" s="38">
        <f t="shared" si="92"/>
        <v>150</v>
      </c>
      <c r="J117" s="39">
        <f t="shared" si="93"/>
        <v>100</v>
      </c>
      <c r="K117" s="40">
        <f t="shared" si="94"/>
        <v>150</v>
      </c>
      <c r="L117" s="498">
        <f t="shared" si="95"/>
        <v>100</v>
      </c>
      <c r="M117" s="633">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0">
        <f>Imps!L117</f>
        <v>43769.187499999724</v>
      </c>
      <c r="AH117" s="91">
        <f>MIN(25%,(BG117+CE117)/(E117-Explore!S117*20))</f>
        <v>0</v>
      </c>
      <c r="AI117" s="59">
        <f t="shared" si="81"/>
        <v>0</v>
      </c>
      <c r="AJ117" s="56">
        <f ca="1">Production!$H117</f>
        <v>5045193</v>
      </c>
      <c r="AK117" s="57">
        <f ca="1">Production!$J117</f>
        <v>283389</v>
      </c>
      <c r="AL117" s="152">
        <f ca="1">ROUND( (1 - MIN(facs_constr_factor*$AH117,facs_constr_max)) * (1+MIN(tech_construction*Techs!AC117,tech_conquerors_crafts*Techs!AS117)) * AU117*(1+race_construction_cost),0)</f>
        <v>1615</v>
      </c>
      <c r="AM117" s="166">
        <f t="shared" si="110"/>
        <v>263</v>
      </c>
      <c r="AN117" s="152">
        <f ca="1">ROUND( (1 - MIN(facs_constr_factor*$AI117,facs_constr_max)) * (1+MIN(tech_construction*Techs!AE117,tech_conquerors_crafts*Techs!AU117)) * AU117*(1+race_construction_cost),0)</f>
        <v>1615</v>
      </c>
      <c r="AO117" s="166">
        <f t="shared" si="111"/>
        <v>263</v>
      </c>
      <c r="AP117" s="16">
        <f t="shared" ca="1" si="108"/>
        <v>0</v>
      </c>
      <c r="AQ117" s="53">
        <f t="shared" si="109"/>
        <v>0</v>
      </c>
      <c r="AR117" s="16">
        <f>MIN(SUM(F116:L116)+SUM(Explore!T105:Z105)+SUM(BV117:CN117),SUM($N117:$AF117))</f>
        <v>0</v>
      </c>
      <c r="AS117" s="16">
        <f>IF(Explore!S117&lt;&gt;0,MAX(0, MIN(20, 20 + SUM(N117:AF117) - SUM(BV117:CN117) - SUM(F116:L116)-SUM(Explore!T105:Z105)-20*Explore!S117)),0)</f>
        <v>0</v>
      </c>
      <c r="AU117" s="152">
        <f t="shared" si="83"/>
        <v>1615</v>
      </c>
      <c r="AV117" s="166">
        <f t="shared" si="84"/>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1"/>
      <c r="BS117" s="156">
        <f t="shared" si="96"/>
        <v>1000</v>
      </c>
      <c r="BT117" s="572">
        <f t="shared" si="97"/>
        <v>43772.749999999724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498">
        <f>-$AF117+$CN117 +Rezone!R117 + IF(home_land=CV$2,CW117) + Explore!Z105</f>
        <v>0</v>
      </c>
      <c r="CW117" s="159">
        <f>IF(Explore!S117=1,25) - N117 + BV117</f>
        <v>0</v>
      </c>
      <c r="CY117" s="152">
        <f t="shared" si="98"/>
        <v>150</v>
      </c>
      <c r="CZ117" s="164">
        <f t="shared" si="99"/>
        <v>150</v>
      </c>
      <c r="DA117" s="16">
        <f t="shared" si="100"/>
        <v>150</v>
      </c>
      <c r="DB117" s="164">
        <f t="shared" si="101"/>
        <v>150</v>
      </c>
      <c r="DC117" s="164">
        <f t="shared" si="102"/>
        <v>150</v>
      </c>
      <c r="DD117" s="16">
        <f t="shared" si="103"/>
        <v>150</v>
      </c>
      <c r="DE117" s="166">
        <f t="shared" si="104"/>
        <v>100</v>
      </c>
      <c r="DF117" s="164">
        <f t="shared" ca="1" si="105"/>
        <v>150</v>
      </c>
      <c r="DG117" s="16">
        <f t="shared" si="106"/>
        <v>0</v>
      </c>
      <c r="DH117" s="16">
        <f t="shared" si="107"/>
        <v>117</v>
      </c>
      <c r="DI117" s="166"/>
    </row>
    <row r="118" spans="1:113" s="16" customFormat="1" x14ac:dyDescent="0.25">
      <c r="A118" s="36">
        <f t="shared" si="85"/>
        <v>820</v>
      </c>
      <c r="B118" s="36">
        <f t="shared" si="86"/>
        <v>180</v>
      </c>
      <c r="C118" s="83">
        <f t="shared" si="87"/>
        <v>0</v>
      </c>
      <c r="D118" s="572"/>
      <c r="E118" s="16">
        <f t="shared" si="88"/>
        <v>1000</v>
      </c>
      <c r="F118" s="86">
        <f t="shared" si="89"/>
        <v>70</v>
      </c>
      <c r="G118" s="37">
        <f t="shared" si="90"/>
        <v>100</v>
      </c>
      <c r="H118" s="247">
        <f t="shared" si="91"/>
        <v>150</v>
      </c>
      <c r="I118" s="38">
        <f t="shared" si="92"/>
        <v>150</v>
      </c>
      <c r="J118" s="39">
        <f t="shared" si="93"/>
        <v>100</v>
      </c>
      <c r="K118" s="40">
        <f t="shared" si="94"/>
        <v>150</v>
      </c>
      <c r="L118" s="498">
        <f t="shared" si="95"/>
        <v>100</v>
      </c>
      <c r="M118" s="633">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0">
        <f>Imps!L118</f>
        <v>43769.197916666388</v>
      </c>
      <c r="AH118" s="91">
        <f>MIN(25%,(BG118+CE118)/(E118-Explore!S118*20))</f>
        <v>0</v>
      </c>
      <c r="AI118" s="59">
        <f t="shared" si="81"/>
        <v>0</v>
      </c>
      <c r="AJ118" s="56">
        <f ca="1">Production!$H118</f>
        <v>5050174</v>
      </c>
      <c r="AK118" s="57">
        <f ca="1">Production!$J118</f>
        <v>283055</v>
      </c>
      <c r="AL118" s="152">
        <f ca="1">ROUND( (1 - MIN(facs_constr_factor*$AH118,facs_constr_max)) * (1+MIN(tech_construction*Techs!AC118,tech_conquerors_crafts*Techs!AS118)) * AU118*(1+race_construction_cost),0)</f>
        <v>1615</v>
      </c>
      <c r="AM118" s="166">
        <f t="shared" si="110"/>
        <v>263</v>
      </c>
      <c r="AN118" s="152">
        <f ca="1">ROUND( (1 - MIN(facs_constr_factor*$AI118,facs_constr_max)) * (1+MIN(tech_construction*Techs!AE118,tech_conquerors_crafts*Techs!AU118)) * AU118*(1+race_construction_cost),0)</f>
        <v>1615</v>
      </c>
      <c r="AO118" s="166">
        <f t="shared" si="111"/>
        <v>263</v>
      </c>
      <c r="AP118" s="16">
        <f t="shared" ca="1" si="108"/>
        <v>0</v>
      </c>
      <c r="AQ118" s="53">
        <f t="shared" si="109"/>
        <v>0</v>
      </c>
      <c r="AR118" s="16">
        <f>MIN(SUM(F117:L117)+SUM(Explore!T106:Z106)+SUM(BV118:CN118),SUM($N118:$AF118))</f>
        <v>0</v>
      </c>
      <c r="AS118" s="16">
        <f>IF(Explore!S118&lt;&gt;0,MAX(0, MIN(20, 20 + SUM(N118:AF118) - SUM(BV118:CN118) - SUM(F117:L117)-SUM(Explore!T106:Z106)-20*Explore!S118)),0)</f>
        <v>0</v>
      </c>
      <c r="AU118" s="152">
        <f t="shared" si="83"/>
        <v>1615</v>
      </c>
      <c r="AV118" s="166">
        <f t="shared" si="84"/>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1"/>
      <c r="BS118" s="156">
        <f t="shared" si="96"/>
        <v>1000</v>
      </c>
      <c r="BT118" s="572">
        <f t="shared" si="97"/>
        <v>43772.791666666388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498">
        <f>-$AF118+$CN118 +Rezone!R118 + IF(home_land=CV$2,CW118) + Explore!Z106</f>
        <v>0</v>
      </c>
      <c r="CW118" s="159">
        <f>IF(Explore!S118=1,25) - N118 + BV118</f>
        <v>0</v>
      </c>
      <c r="CY118" s="152">
        <f t="shared" si="98"/>
        <v>150</v>
      </c>
      <c r="CZ118" s="164">
        <f t="shared" si="99"/>
        <v>150</v>
      </c>
      <c r="DA118" s="16">
        <f t="shared" si="100"/>
        <v>150</v>
      </c>
      <c r="DB118" s="164">
        <f t="shared" si="101"/>
        <v>150</v>
      </c>
      <c r="DC118" s="164">
        <f t="shared" si="102"/>
        <v>150</v>
      </c>
      <c r="DD118" s="16">
        <f t="shared" si="103"/>
        <v>150</v>
      </c>
      <c r="DE118" s="166">
        <f t="shared" si="104"/>
        <v>100</v>
      </c>
      <c r="DF118" s="164">
        <f t="shared" ca="1" si="105"/>
        <v>150</v>
      </c>
      <c r="DG118" s="16">
        <f t="shared" si="106"/>
        <v>0</v>
      </c>
      <c r="DH118" s="16">
        <f t="shared" si="107"/>
        <v>118</v>
      </c>
      <c r="DI118" s="166"/>
    </row>
    <row r="119" spans="1:113" s="16" customFormat="1" x14ac:dyDescent="0.25">
      <c r="A119" s="36">
        <f t="shared" si="85"/>
        <v>820</v>
      </c>
      <c r="B119" s="36">
        <f t="shared" si="86"/>
        <v>180</v>
      </c>
      <c r="C119" s="83">
        <f t="shared" si="87"/>
        <v>0</v>
      </c>
      <c r="D119" s="572"/>
      <c r="E119" s="16">
        <f t="shared" si="88"/>
        <v>1000</v>
      </c>
      <c r="F119" s="86">
        <f t="shared" si="89"/>
        <v>70</v>
      </c>
      <c r="G119" s="37">
        <f t="shared" si="90"/>
        <v>100</v>
      </c>
      <c r="H119" s="247">
        <f t="shared" si="91"/>
        <v>150</v>
      </c>
      <c r="I119" s="38">
        <f t="shared" si="92"/>
        <v>150</v>
      </c>
      <c r="J119" s="39">
        <f t="shared" si="93"/>
        <v>100</v>
      </c>
      <c r="K119" s="40">
        <f t="shared" si="94"/>
        <v>150</v>
      </c>
      <c r="L119" s="498">
        <f t="shared" si="95"/>
        <v>100</v>
      </c>
      <c r="M119" s="633">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0">
        <f>Imps!L119</f>
        <v>43769.208333333052</v>
      </c>
      <c r="AH119" s="91">
        <f>MIN(25%,(BG119+CE119)/(E119-Explore!S119*20))</f>
        <v>0</v>
      </c>
      <c r="AI119" s="59">
        <f t="shared" si="81"/>
        <v>0</v>
      </c>
      <c r="AJ119" s="56">
        <f ca="1">Production!$H119</f>
        <v>5055155</v>
      </c>
      <c r="AK119" s="57">
        <f ca="1">Production!$J119</f>
        <v>282724</v>
      </c>
      <c r="AL119" s="152">
        <f ca="1">ROUND( (1 - MIN(facs_constr_factor*$AH119,facs_constr_max)) * (1+MIN(tech_construction*Techs!AC119,tech_conquerors_crafts*Techs!AS119)) * AU119*(1+race_construction_cost),0)</f>
        <v>1615</v>
      </c>
      <c r="AM119" s="166">
        <f t="shared" si="110"/>
        <v>263</v>
      </c>
      <c r="AN119" s="152">
        <f ca="1">ROUND( (1 - MIN(facs_constr_factor*$AI119,facs_constr_max)) * (1+MIN(tech_construction*Techs!AE119,tech_conquerors_crafts*Techs!AU119)) * AU119*(1+race_construction_cost),0)</f>
        <v>1615</v>
      </c>
      <c r="AO119" s="166">
        <f t="shared" si="111"/>
        <v>263</v>
      </c>
      <c r="AP119" s="16">
        <f t="shared" ca="1" si="108"/>
        <v>0</v>
      </c>
      <c r="AQ119" s="53">
        <f t="shared" si="109"/>
        <v>0</v>
      </c>
      <c r="AR119" s="16">
        <f>MIN(SUM(F118:L118)+SUM(Explore!T107:Z107)+SUM(BV119:CN119),SUM($N119:$AF119))</f>
        <v>0</v>
      </c>
      <c r="AS119" s="16">
        <f>IF(Explore!S119&lt;&gt;0,MAX(0, MIN(20, 20 + SUM(N119:AF119) - SUM(BV119:CN119) - SUM(F118:L118)-SUM(Explore!T107:Z107)-20*Explore!S119)),0)</f>
        <v>0</v>
      </c>
      <c r="AU119" s="152">
        <f t="shared" si="83"/>
        <v>1615</v>
      </c>
      <c r="AV119" s="166">
        <f t="shared" si="84"/>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1"/>
      <c r="BS119" s="156">
        <f t="shared" si="96"/>
        <v>1000</v>
      </c>
      <c r="BT119" s="572">
        <f t="shared" si="97"/>
        <v>43772.833333333052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498">
        <f>-$AF119+$CN119 +Rezone!R119 + IF(home_land=CV$2,CW119) + Explore!Z107</f>
        <v>0</v>
      </c>
      <c r="CW119" s="159">
        <f>IF(Explore!S119=1,25) - N119 + BV119</f>
        <v>0</v>
      </c>
      <c r="CY119" s="152">
        <f t="shared" si="98"/>
        <v>150</v>
      </c>
      <c r="CZ119" s="164">
        <f t="shared" si="99"/>
        <v>150</v>
      </c>
      <c r="DA119" s="16">
        <f t="shared" si="100"/>
        <v>150</v>
      </c>
      <c r="DB119" s="164">
        <f t="shared" si="101"/>
        <v>150</v>
      </c>
      <c r="DC119" s="164">
        <f t="shared" si="102"/>
        <v>150</v>
      </c>
      <c r="DD119" s="16">
        <f t="shared" si="103"/>
        <v>150</v>
      </c>
      <c r="DE119" s="166">
        <f t="shared" si="104"/>
        <v>100</v>
      </c>
      <c r="DF119" s="164">
        <f t="shared" ca="1" si="105"/>
        <v>150</v>
      </c>
      <c r="DG119" s="16">
        <f t="shared" si="106"/>
        <v>0</v>
      </c>
      <c r="DH119" s="16">
        <f t="shared" si="107"/>
        <v>119</v>
      </c>
      <c r="DI119" s="166"/>
    </row>
    <row r="120" spans="1:113" s="16" customFormat="1" x14ac:dyDescent="0.25">
      <c r="A120" s="36">
        <f t="shared" si="85"/>
        <v>820</v>
      </c>
      <c r="B120" s="36">
        <f t="shared" si="86"/>
        <v>180</v>
      </c>
      <c r="C120" s="83">
        <f t="shared" si="87"/>
        <v>0</v>
      </c>
      <c r="D120" s="572"/>
      <c r="E120" s="16">
        <f t="shared" si="88"/>
        <v>1000</v>
      </c>
      <c r="F120" s="86">
        <f t="shared" si="89"/>
        <v>70</v>
      </c>
      <c r="G120" s="37">
        <f t="shared" si="90"/>
        <v>100</v>
      </c>
      <c r="H120" s="247">
        <f t="shared" si="91"/>
        <v>150</v>
      </c>
      <c r="I120" s="38">
        <f t="shared" si="92"/>
        <v>150</v>
      </c>
      <c r="J120" s="39">
        <f t="shared" si="93"/>
        <v>100</v>
      </c>
      <c r="K120" s="40">
        <f t="shared" si="94"/>
        <v>150</v>
      </c>
      <c r="L120" s="498">
        <f t="shared" si="95"/>
        <v>100</v>
      </c>
      <c r="M120" s="633">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0">
        <f>Imps!L120</f>
        <v>43769.218749999716</v>
      </c>
      <c r="AH120" s="91">
        <f>MIN(25%,(BG120+CE120)/(E120-Explore!S120*20))</f>
        <v>0</v>
      </c>
      <c r="AI120" s="59">
        <f t="shared" si="81"/>
        <v>0</v>
      </c>
      <c r="AJ120" s="56">
        <f ca="1">Production!$H120</f>
        <v>5060136</v>
      </c>
      <c r="AK120" s="57">
        <f ca="1">Production!$J120</f>
        <v>282397</v>
      </c>
      <c r="AL120" s="152">
        <f ca="1">ROUND( (1 - MIN(facs_constr_factor*$AH120,facs_constr_max)) * (1+MIN(tech_construction*Techs!AC120,tech_conquerors_crafts*Techs!AS120)) * AU120*(1+race_construction_cost),0)</f>
        <v>1615</v>
      </c>
      <c r="AM120" s="166">
        <f t="shared" si="110"/>
        <v>263</v>
      </c>
      <c r="AN120" s="152">
        <f ca="1">ROUND( (1 - MIN(facs_constr_factor*$AI120,facs_constr_max)) * (1+MIN(tech_construction*Techs!AE120,tech_conquerors_crafts*Techs!AU120)) * AU120*(1+race_construction_cost),0)</f>
        <v>1615</v>
      </c>
      <c r="AO120" s="166">
        <f t="shared" si="111"/>
        <v>263</v>
      </c>
      <c r="AP120" s="16">
        <f t="shared" ca="1" si="108"/>
        <v>0</v>
      </c>
      <c r="AQ120" s="53">
        <f t="shared" si="109"/>
        <v>0</v>
      </c>
      <c r="AR120" s="16">
        <f>MIN(SUM(F119:L119)+SUM(Explore!T108:Z108)+SUM(BV120:CN120),SUM($N120:$AF120))</f>
        <v>0</v>
      </c>
      <c r="AS120" s="16">
        <f>IF(Explore!S120&lt;&gt;0,MAX(0, MIN(20, 20 + SUM(N120:AF120) - SUM(BV120:CN120) - SUM(F119:L119)-SUM(Explore!T108:Z108)-20*Explore!S120)),0)</f>
        <v>0</v>
      </c>
      <c r="AU120" s="152">
        <f t="shared" si="83"/>
        <v>1615</v>
      </c>
      <c r="AV120" s="166">
        <f t="shared" si="84"/>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1"/>
      <c r="BS120" s="156">
        <f t="shared" si="96"/>
        <v>1000</v>
      </c>
      <c r="BT120" s="572">
        <f t="shared" si="97"/>
        <v>43772.874999999716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498">
        <f>-$AF120+$CN120 +Rezone!R120 + IF(home_land=CV$2,CW120) + Explore!Z108</f>
        <v>0</v>
      </c>
      <c r="CW120" s="159">
        <f>IF(Explore!S120=1,25) - N120 + BV120</f>
        <v>0</v>
      </c>
      <c r="CY120" s="152">
        <f t="shared" si="98"/>
        <v>150</v>
      </c>
      <c r="CZ120" s="164">
        <f t="shared" si="99"/>
        <v>150</v>
      </c>
      <c r="DA120" s="16">
        <f t="shared" si="100"/>
        <v>150</v>
      </c>
      <c r="DB120" s="164">
        <f t="shared" si="101"/>
        <v>150</v>
      </c>
      <c r="DC120" s="164">
        <f t="shared" si="102"/>
        <v>150</v>
      </c>
      <c r="DD120" s="16">
        <f t="shared" si="103"/>
        <v>150</v>
      </c>
      <c r="DE120" s="166">
        <f t="shared" si="104"/>
        <v>100</v>
      </c>
      <c r="DF120" s="164">
        <f t="shared" ca="1" si="105"/>
        <v>150</v>
      </c>
      <c r="DG120" s="16">
        <f t="shared" si="106"/>
        <v>0</v>
      </c>
      <c r="DH120" s="16">
        <f t="shared" si="107"/>
        <v>120</v>
      </c>
      <c r="DI120" s="166"/>
    </row>
    <row r="121" spans="1:113" s="16" customFormat="1" x14ac:dyDescent="0.25">
      <c r="A121" s="36">
        <f t="shared" si="85"/>
        <v>820</v>
      </c>
      <c r="B121" s="36">
        <f t="shared" si="86"/>
        <v>180</v>
      </c>
      <c r="C121" s="83">
        <f t="shared" si="87"/>
        <v>0</v>
      </c>
      <c r="D121" s="572"/>
      <c r="E121" s="16">
        <f t="shared" si="88"/>
        <v>1000</v>
      </c>
      <c r="F121" s="86">
        <f t="shared" si="89"/>
        <v>70</v>
      </c>
      <c r="G121" s="37">
        <f t="shared" si="90"/>
        <v>100</v>
      </c>
      <c r="H121" s="247">
        <f t="shared" si="91"/>
        <v>150</v>
      </c>
      <c r="I121" s="38">
        <f t="shared" si="92"/>
        <v>150</v>
      </c>
      <c r="J121" s="39">
        <f t="shared" si="93"/>
        <v>100</v>
      </c>
      <c r="K121" s="40">
        <f t="shared" si="94"/>
        <v>150</v>
      </c>
      <c r="L121" s="498">
        <f t="shared" si="95"/>
        <v>100</v>
      </c>
      <c r="M121" s="633">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0">
        <f>Imps!L121</f>
        <v>43769.22916666638</v>
      </c>
      <c r="AH121" s="91">
        <f>MIN(25%,(BG121+CE121)/(E121-Explore!S121*20))</f>
        <v>0</v>
      </c>
      <c r="AI121" s="59">
        <f t="shared" si="81"/>
        <v>0</v>
      </c>
      <c r="AJ121" s="56">
        <f ca="1">Production!$H121</f>
        <v>5065117</v>
      </c>
      <c r="AK121" s="57">
        <f ca="1">Production!$J121</f>
        <v>282073</v>
      </c>
      <c r="AL121" s="152">
        <f ca="1">ROUND( (1 - MIN(facs_constr_factor*$AH121,facs_constr_max)) * (1+MIN(tech_construction*Techs!AC121,tech_conquerors_crafts*Techs!AS121)) * AU121*(1+race_construction_cost),0)</f>
        <v>1615</v>
      </c>
      <c r="AM121" s="166">
        <f t="shared" si="110"/>
        <v>263</v>
      </c>
      <c r="AN121" s="152">
        <f ca="1">ROUND( (1 - MIN(facs_constr_factor*$AI121,facs_constr_max)) * (1+MIN(tech_construction*Techs!AE121,tech_conquerors_crafts*Techs!AU121)) * AU121*(1+race_construction_cost),0)</f>
        <v>1615</v>
      </c>
      <c r="AO121" s="166">
        <f t="shared" si="111"/>
        <v>263</v>
      </c>
      <c r="AP121" s="16">
        <f t="shared" ca="1" si="108"/>
        <v>0</v>
      </c>
      <c r="AQ121" s="53">
        <f t="shared" si="109"/>
        <v>0</v>
      </c>
      <c r="AR121" s="16">
        <f>MIN(SUM(F120:L120)+SUM(Explore!T109:Z109)+SUM(BV121:CN121),SUM($N121:$AF121))</f>
        <v>0</v>
      </c>
      <c r="AS121" s="16">
        <f>IF(Explore!S121&lt;&gt;0,MAX(0, MIN(20, 20 + SUM(N121:AF121) - SUM(BV121:CN121) - SUM(F120:L120)-SUM(Explore!T109:Z109)-20*Explore!S121)),0)</f>
        <v>0</v>
      </c>
      <c r="AU121" s="152">
        <f t="shared" si="83"/>
        <v>1615</v>
      </c>
      <c r="AV121" s="166">
        <f t="shared" si="84"/>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1"/>
      <c r="BS121" s="156">
        <f t="shared" si="96"/>
        <v>1000</v>
      </c>
      <c r="BT121" s="572">
        <f t="shared" si="97"/>
        <v>43772.91666666638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498">
        <f>-$AF121+$CN121 +Rezone!R121 + IF(home_land=CV$2,CW121) + Explore!Z109</f>
        <v>0</v>
      </c>
      <c r="CW121" s="159">
        <f>IF(Explore!S121=1,25) - N121 + BV121</f>
        <v>0</v>
      </c>
      <c r="CY121" s="152">
        <f t="shared" si="98"/>
        <v>150</v>
      </c>
      <c r="CZ121" s="164">
        <f t="shared" si="99"/>
        <v>150</v>
      </c>
      <c r="DA121" s="16">
        <f t="shared" si="100"/>
        <v>150</v>
      </c>
      <c r="DB121" s="164">
        <f t="shared" si="101"/>
        <v>150</v>
      </c>
      <c r="DC121" s="164">
        <f t="shared" si="102"/>
        <v>150</v>
      </c>
      <c r="DD121" s="16">
        <f t="shared" si="103"/>
        <v>150</v>
      </c>
      <c r="DE121" s="166">
        <f t="shared" si="104"/>
        <v>100</v>
      </c>
      <c r="DF121" s="164">
        <f t="shared" ca="1" si="105"/>
        <v>150</v>
      </c>
      <c r="DG121" s="16">
        <f t="shared" si="106"/>
        <v>0</v>
      </c>
      <c r="DH121" s="16">
        <f t="shared" si="107"/>
        <v>121</v>
      </c>
      <c r="DI121" s="166"/>
    </row>
    <row r="122" spans="1:113" s="16" customFormat="1" ht="13.8" thickBot="1" x14ac:dyDescent="0.3">
      <c r="A122" s="36">
        <f t="shared" si="85"/>
        <v>820</v>
      </c>
      <c r="B122" s="36">
        <f t="shared" si="86"/>
        <v>180</v>
      </c>
      <c r="C122" s="83">
        <f t="shared" si="87"/>
        <v>0</v>
      </c>
      <c r="D122" s="572"/>
      <c r="E122" s="16">
        <f t="shared" si="88"/>
        <v>1000</v>
      </c>
      <c r="F122" s="86">
        <f t="shared" si="89"/>
        <v>70</v>
      </c>
      <c r="G122" s="37">
        <f t="shared" si="90"/>
        <v>100</v>
      </c>
      <c r="H122" s="247">
        <f t="shared" si="91"/>
        <v>150</v>
      </c>
      <c r="I122" s="38">
        <f t="shared" si="92"/>
        <v>150</v>
      </c>
      <c r="J122" s="39">
        <f t="shared" si="93"/>
        <v>100</v>
      </c>
      <c r="K122" s="40">
        <f t="shared" si="94"/>
        <v>150</v>
      </c>
      <c r="L122" s="498">
        <f t="shared" si="95"/>
        <v>100</v>
      </c>
      <c r="M122" s="633">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0">
        <f>Imps!L122</f>
        <v>43769.239583333045</v>
      </c>
      <c r="AH122" s="91">
        <f>MIN(25%,(BG122+CE122)/(E122-Explore!S122*20))</f>
        <v>0</v>
      </c>
      <c r="AI122" s="59">
        <f t="shared" si="81"/>
        <v>0</v>
      </c>
      <c r="AJ122" s="56">
        <f ca="1">Production!$H122</f>
        <v>5070098</v>
      </c>
      <c r="AK122" s="57">
        <f ca="1">Production!$J122</f>
        <v>281752</v>
      </c>
      <c r="AL122" s="152">
        <f ca="1">ROUND( (1 - MIN(facs_constr_factor*$AH122,facs_constr_max)) * (1+MIN(tech_construction*Techs!AC122,tech_conquerors_crafts*Techs!AS122)) * AU122*(1+race_construction_cost),0)</f>
        <v>1615</v>
      </c>
      <c r="AM122" s="166">
        <f t="shared" si="110"/>
        <v>263</v>
      </c>
      <c r="AN122" s="152">
        <f ca="1">ROUND( (1 - MIN(facs_constr_factor*$AI122,facs_constr_max)) * (1+MIN(tech_construction*Techs!AE122,tech_conquerors_crafts*Techs!AU122)) * AU122*(1+race_construction_cost),0)</f>
        <v>1615</v>
      </c>
      <c r="AO122" s="166">
        <f t="shared" si="111"/>
        <v>263</v>
      </c>
      <c r="AP122" s="16">
        <f t="shared" ca="1" si="108"/>
        <v>0</v>
      </c>
      <c r="AQ122" s="53">
        <f t="shared" si="109"/>
        <v>0</v>
      </c>
      <c r="AR122" s="16">
        <f>MIN(SUM(F121:L121)+SUM(Explore!T110:Z110)+SUM(BV122:CN122),SUM($N122:$AF122))</f>
        <v>0</v>
      </c>
      <c r="AS122" s="16">
        <f>IF(Explore!S122&lt;&gt;0,MAX(0, MIN(20, 20 + SUM(N122:AF122) - SUM(BV122:CN122) - SUM(F121:L121)-SUM(Explore!T110:Z110)-20*Explore!S122)),0)</f>
        <v>0</v>
      </c>
      <c r="AU122" s="152">
        <f t="shared" si="83"/>
        <v>1615</v>
      </c>
      <c r="AV122" s="166">
        <f t="shared" si="84"/>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1"/>
      <c r="BS122" s="156">
        <f t="shared" si="96"/>
        <v>1000</v>
      </c>
      <c r="BT122" s="572">
        <f t="shared" si="97"/>
        <v>43772.958333333045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498">
        <f>-$AF122+$CN122 +Rezone!R122 + IF(home_land=CV$2,CW122) + Explore!Z110</f>
        <v>0</v>
      </c>
      <c r="CW122" s="159">
        <f>IF(Explore!S122=1,25) - N122 + BV122</f>
        <v>0</v>
      </c>
      <c r="CY122" s="152">
        <f t="shared" si="98"/>
        <v>150</v>
      </c>
      <c r="CZ122" s="164">
        <f t="shared" si="99"/>
        <v>150</v>
      </c>
      <c r="DA122" s="16">
        <f t="shared" si="100"/>
        <v>150</v>
      </c>
      <c r="DB122" s="164">
        <f t="shared" si="101"/>
        <v>150</v>
      </c>
      <c r="DC122" s="164">
        <f t="shared" si="102"/>
        <v>150</v>
      </c>
      <c r="DD122" s="16">
        <f t="shared" si="103"/>
        <v>150</v>
      </c>
      <c r="DE122" s="166">
        <f t="shared" si="104"/>
        <v>100</v>
      </c>
      <c r="DF122" s="164">
        <f t="shared" ca="1" si="105"/>
        <v>150</v>
      </c>
      <c r="DG122" s="16">
        <f t="shared" si="106"/>
        <v>0</v>
      </c>
      <c r="DH122" s="16">
        <f t="shared" si="107"/>
        <v>122</v>
      </c>
      <c r="DI122" s="166"/>
    </row>
    <row r="123" spans="1:113" s="111" customFormat="1" ht="14.4" thickTop="1" thickBot="1" x14ac:dyDescent="0.3">
      <c r="A123" s="125">
        <f t="shared" si="85"/>
        <v>820</v>
      </c>
      <c r="B123" s="125">
        <f t="shared" si="86"/>
        <v>180</v>
      </c>
      <c r="C123" s="126">
        <f t="shared" si="87"/>
        <v>0</v>
      </c>
      <c r="D123" s="573"/>
      <c r="E123" s="111">
        <f t="shared" si="88"/>
        <v>1000</v>
      </c>
      <c r="F123" s="127">
        <f t="shared" si="89"/>
        <v>70</v>
      </c>
      <c r="G123" s="128">
        <f t="shared" si="90"/>
        <v>100</v>
      </c>
      <c r="H123" s="276">
        <f t="shared" si="91"/>
        <v>150</v>
      </c>
      <c r="I123" s="129">
        <f t="shared" si="92"/>
        <v>150</v>
      </c>
      <c r="J123" s="130">
        <f t="shared" si="93"/>
        <v>100</v>
      </c>
      <c r="K123" s="131">
        <f t="shared" si="94"/>
        <v>150</v>
      </c>
      <c r="L123" s="499">
        <f t="shared" si="95"/>
        <v>100</v>
      </c>
      <c r="M123" s="635">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78">
        <f>Imps!L123</f>
        <v>43769.249999999709</v>
      </c>
      <c r="AH123" s="133">
        <f>MIN(25%,(BG123+CE123)/(E123-Explore!S123*20))</f>
        <v>0</v>
      </c>
      <c r="AI123" s="136">
        <f t="shared" si="81"/>
        <v>0</v>
      </c>
      <c r="AJ123" s="110">
        <f ca="1">Production!$H123</f>
        <v>5075079</v>
      </c>
      <c r="AK123" s="109">
        <f ca="1">Production!$J123</f>
        <v>281434</v>
      </c>
      <c r="AL123" s="273">
        <f ca="1">ROUND( (1 - MIN(facs_constr_factor*$AH123,facs_constr_max)) * (1+MIN(tech_construction*Techs!AC123,tech_conquerors_crafts*Techs!AS123)) * AU123*(1+race_construction_cost),0)</f>
        <v>1615</v>
      </c>
      <c r="AM123" s="274">
        <f t="shared" si="110"/>
        <v>263</v>
      </c>
      <c r="AN123" s="273">
        <f ca="1">ROUND( (1 - MIN(facs_constr_factor*$AI123,facs_constr_max)) * (1+MIN(tech_construction*Techs!AE123,tech_conquerors_crafts*Techs!AU123)) * AU123*(1+race_construction_cost),0)</f>
        <v>1615</v>
      </c>
      <c r="AO123" s="274">
        <f t="shared" si="111"/>
        <v>263</v>
      </c>
      <c r="AP123" s="111">
        <f t="shared" ca="1" si="108"/>
        <v>0</v>
      </c>
      <c r="AQ123" s="115">
        <f t="shared" si="109"/>
        <v>0</v>
      </c>
      <c r="AR123" s="111">
        <f>MIN(SUM(F122:L122)+SUM(Explore!T111:Z111)+SUM(BV123:CN123),SUM($N123:$AF123))</f>
        <v>0</v>
      </c>
      <c r="AS123" s="111">
        <f>IF(Explore!S123&lt;&gt;0,MAX(0, MIN(20, 20 + SUM(N123:AF123) - SUM(BV123:CN123) - SUM(F122:L122)-SUM(Explore!T111:Z111)-20*Explore!S123)),0)</f>
        <v>0</v>
      </c>
      <c r="AU123" s="273">
        <f t="shared" si="83"/>
        <v>1615</v>
      </c>
      <c r="AV123" s="274">
        <f t="shared" si="84"/>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2"/>
      <c r="BS123" s="275">
        <f t="shared" si="96"/>
        <v>1000</v>
      </c>
      <c r="BT123" s="573">
        <f t="shared" si="97"/>
        <v>43772.999999999709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499">
        <f>-$AF123+$CN123 +Rezone!R123 + IF(home_land=CV$2,CW123) + Explore!Z111</f>
        <v>0</v>
      </c>
      <c r="CW123" s="290">
        <f>IF(Explore!S123=1,25) - N123 + BV123</f>
        <v>0</v>
      </c>
      <c r="CY123" s="273">
        <f t="shared" si="98"/>
        <v>150</v>
      </c>
      <c r="CZ123" s="277">
        <f t="shared" si="99"/>
        <v>150</v>
      </c>
      <c r="DA123" s="111">
        <f t="shared" si="100"/>
        <v>150</v>
      </c>
      <c r="DB123" s="277">
        <f t="shared" si="101"/>
        <v>150</v>
      </c>
      <c r="DC123" s="277">
        <f t="shared" si="102"/>
        <v>150</v>
      </c>
      <c r="DD123" s="111">
        <f t="shared" si="103"/>
        <v>150</v>
      </c>
      <c r="DE123" s="274">
        <f t="shared" si="104"/>
        <v>100</v>
      </c>
      <c r="DF123" s="277">
        <f t="shared" ca="1" si="105"/>
        <v>150</v>
      </c>
      <c r="DG123" s="111">
        <f t="shared" si="106"/>
        <v>0</v>
      </c>
      <c r="DH123" s="111">
        <f t="shared" si="107"/>
        <v>123</v>
      </c>
      <c r="DI123" s="274"/>
    </row>
    <row r="124" spans="1:113" s="16" customFormat="1" ht="13.8" thickTop="1" x14ac:dyDescent="0.25">
      <c r="A124" s="36">
        <f t="shared" si="85"/>
        <v>820</v>
      </c>
      <c r="B124" s="36">
        <f t="shared" si="86"/>
        <v>180</v>
      </c>
      <c r="C124" s="83">
        <f t="shared" si="87"/>
        <v>0</v>
      </c>
      <c r="D124" s="572"/>
      <c r="E124" s="16">
        <f t="shared" si="88"/>
        <v>1000</v>
      </c>
      <c r="F124" s="86">
        <f t="shared" si="89"/>
        <v>70</v>
      </c>
      <c r="G124" s="37">
        <f t="shared" si="90"/>
        <v>100</v>
      </c>
      <c r="H124" s="247">
        <f t="shared" si="91"/>
        <v>150</v>
      </c>
      <c r="I124" s="38">
        <f t="shared" si="92"/>
        <v>150</v>
      </c>
      <c r="J124" s="39">
        <f t="shared" si="93"/>
        <v>100</v>
      </c>
      <c r="K124" s="40">
        <f t="shared" si="94"/>
        <v>150</v>
      </c>
      <c r="L124" s="498">
        <f t="shared" si="95"/>
        <v>100</v>
      </c>
      <c r="M124" s="633">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0">
        <f>Imps!L124</f>
        <v>43769.260416666373</v>
      </c>
      <c r="AH124" s="91">
        <f>MIN(25%,(BG124+CE124)/(E124-Explore!S124*20))</f>
        <v>0</v>
      </c>
      <c r="AI124" s="59">
        <f t="shared" si="81"/>
        <v>0</v>
      </c>
      <c r="AJ124" s="56">
        <f ca="1">Production!$H124</f>
        <v>5080060</v>
      </c>
      <c r="AK124" s="57">
        <f ca="1">Production!$J124</f>
        <v>281120</v>
      </c>
      <c r="AL124" s="152">
        <f ca="1">ROUND( (1 - MIN(facs_constr_factor*$AH124,facs_constr_max)) * (1+MIN(tech_construction*Techs!AC124,tech_conquerors_crafts*Techs!AS124)) * AU124*(1+race_construction_cost),0)</f>
        <v>1615</v>
      </c>
      <c r="AM124" s="166">
        <f t="shared" si="110"/>
        <v>263</v>
      </c>
      <c r="AN124" s="152">
        <f ca="1">ROUND( (1 - MIN(facs_constr_factor*$AI124,facs_constr_max)) * (1+MIN(tech_construction*Techs!AE124,tech_conquerors_crafts*Techs!AU124)) * AU124*(1+race_construction_cost),0)</f>
        <v>1615</v>
      </c>
      <c r="AO124" s="166">
        <f t="shared" si="111"/>
        <v>263</v>
      </c>
      <c r="AP124" s="16">
        <f t="shared" ca="1" si="108"/>
        <v>0</v>
      </c>
      <c r="AQ124" s="53">
        <f t="shared" si="109"/>
        <v>0</v>
      </c>
      <c r="AR124" s="16">
        <f>MIN(SUM(F123:L123)+SUM(Explore!T112:Z112)+SUM(BV124:CN124),SUM($N124:$AF124))</f>
        <v>0</v>
      </c>
      <c r="AS124" s="16">
        <f>IF(Explore!S124&lt;&gt;0,MAX(0, MIN(20, 20 + SUM(N124:AF124) - SUM(BV124:CN124) - SUM(F123:L123)-SUM(Explore!T112:Z112)-20*Explore!S124)),0)</f>
        <v>0</v>
      </c>
      <c r="AU124" s="152">
        <f t="shared" si="83"/>
        <v>1615</v>
      </c>
      <c r="AV124" s="166">
        <f t="shared" si="84"/>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1"/>
      <c r="BS124" s="156">
        <f t="shared" si="96"/>
        <v>1000</v>
      </c>
      <c r="BT124" s="572">
        <f t="shared" si="97"/>
        <v>43773.041666666373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498">
        <f>-$AF124+$CN124 +Rezone!R124 + IF(home_land=CV$2,CW124) + Explore!Z112</f>
        <v>0</v>
      </c>
      <c r="CW124" s="159">
        <f>IF(Explore!S124=1,25) - N124 + BV124</f>
        <v>0</v>
      </c>
      <c r="CY124" s="152">
        <f t="shared" si="98"/>
        <v>150</v>
      </c>
      <c r="CZ124" s="164">
        <f t="shared" si="99"/>
        <v>150</v>
      </c>
      <c r="DA124" s="16">
        <f t="shared" si="100"/>
        <v>150</v>
      </c>
      <c r="DB124" s="164">
        <f t="shared" si="101"/>
        <v>150</v>
      </c>
      <c r="DC124" s="164">
        <f t="shared" si="102"/>
        <v>150</v>
      </c>
      <c r="DD124" s="16">
        <f t="shared" si="103"/>
        <v>150</v>
      </c>
      <c r="DE124" s="166">
        <f t="shared" si="104"/>
        <v>100</v>
      </c>
      <c r="DF124" s="164">
        <f t="shared" ca="1" si="105"/>
        <v>150</v>
      </c>
      <c r="DG124" s="16">
        <f t="shared" si="106"/>
        <v>0</v>
      </c>
      <c r="DH124" s="16">
        <f t="shared" si="107"/>
        <v>124</v>
      </c>
      <c r="DI124" s="166"/>
    </row>
    <row r="125" spans="1:113" s="16" customFormat="1" x14ac:dyDescent="0.25">
      <c r="A125" s="36">
        <f t="shared" si="85"/>
        <v>820</v>
      </c>
      <c r="B125" s="36">
        <f t="shared" si="86"/>
        <v>180</v>
      </c>
      <c r="C125" s="83">
        <f t="shared" si="87"/>
        <v>0</v>
      </c>
      <c r="D125" s="572"/>
      <c r="E125" s="16">
        <f t="shared" si="88"/>
        <v>1000</v>
      </c>
      <c r="F125" s="86">
        <f t="shared" si="89"/>
        <v>70</v>
      </c>
      <c r="G125" s="37">
        <f t="shared" si="90"/>
        <v>100</v>
      </c>
      <c r="H125" s="247">
        <f t="shared" si="91"/>
        <v>150</v>
      </c>
      <c r="I125" s="38">
        <f t="shared" si="92"/>
        <v>150</v>
      </c>
      <c r="J125" s="39">
        <f t="shared" si="93"/>
        <v>100</v>
      </c>
      <c r="K125" s="40">
        <f t="shared" si="94"/>
        <v>150</v>
      </c>
      <c r="L125" s="498">
        <f t="shared" si="95"/>
        <v>100</v>
      </c>
      <c r="M125" s="633">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0">
        <f>Imps!L125</f>
        <v>43769.270833333037</v>
      </c>
      <c r="AH125" s="91">
        <f>MIN(25%,(BG125+CE125)/(E125-Explore!S125*20))</f>
        <v>0</v>
      </c>
      <c r="AI125" s="59">
        <f t="shared" si="81"/>
        <v>0</v>
      </c>
      <c r="AJ125" s="56">
        <f ca="1">Production!$H125</f>
        <v>5085041</v>
      </c>
      <c r="AK125" s="57">
        <f ca="1">Production!$J125</f>
        <v>280809</v>
      </c>
      <c r="AL125" s="152">
        <f ca="1">ROUND( (1 - MIN(facs_constr_factor*$AH125,facs_constr_max)) * (1+MIN(tech_construction*Techs!AC125,tech_conquerors_crafts*Techs!AS125)) * AU125*(1+race_construction_cost),0)</f>
        <v>1615</v>
      </c>
      <c r="AM125" s="166">
        <f t="shared" si="110"/>
        <v>263</v>
      </c>
      <c r="AN125" s="152">
        <f ca="1">ROUND( (1 - MIN(facs_constr_factor*$AI125,facs_constr_max)) * (1+MIN(tech_construction*Techs!AE125,tech_conquerors_crafts*Techs!AU125)) * AU125*(1+race_construction_cost),0)</f>
        <v>1615</v>
      </c>
      <c r="AO125" s="166">
        <f t="shared" si="111"/>
        <v>263</v>
      </c>
      <c r="AP125" s="16">
        <f t="shared" ca="1" si="108"/>
        <v>0</v>
      </c>
      <c r="AQ125" s="53">
        <f t="shared" si="109"/>
        <v>0</v>
      </c>
      <c r="AR125" s="16">
        <f>MIN(SUM(F124:L124)+SUM(Explore!T113:Z113)+SUM(BV125:CN125),SUM($N125:$AF125))</f>
        <v>0</v>
      </c>
      <c r="AS125" s="16">
        <f>IF(Explore!S125&lt;&gt;0,MAX(0, MIN(20, 20 + SUM(N125:AF125) - SUM(BV125:CN125) - SUM(F124:L124)-SUM(Explore!T113:Z113)-20*Explore!S125)),0)</f>
        <v>0</v>
      </c>
      <c r="AU125" s="152">
        <f t="shared" si="83"/>
        <v>1615</v>
      </c>
      <c r="AV125" s="166">
        <f t="shared" si="84"/>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1"/>
      <c r="BS125" s="156">
        <f t="shared" si="96"/>
        <v>1000</v>
      </c>
      <c r="BT125" s="572">
        <f t="shared" si="97"/>
        <v>43773.083333333037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498">
        <f>-$AF125+$CN125 +Rezone!R125 + IF(home_land=CV$2,CW125) + Explore!Z113</f>
        <v>0</v>
      </c>
      <c r="CW125" s="159">
        <f>IF(Explore!S125=1,25) - N125 + BV125</f>
        <v>0</v>
      </c>
      <c r="CY125" s="152">
        <f t="shared" si="98"/>
        <v>150</v>
      </c>
      <c r="CZ125" s="164">
        <f t="shared" si="99"/>
        <v>150</v>
      </c>
      <c r="DA125" s="16">
        <f t="shared" si="100"/>
        <v>150</v>
      </c>
      <c r="DB125" s="164">
        <f t="shared" si="101"/>
        <v>150</v>
      </c>
      <c r="DC125" s="164">
        <f t="shared" si="102"/>
        <v>150</v>
      </c>
      <c r="DD125" s="16">
        <f t="shared" si="103"/>
        <v>150</v>
      </c>
      <c r="DE125" s="166">
        <f t="shared" si="104"/>
        <v>100</v>
      </c>
      <c r="DF125" s="164">
        <f t="shared" ca="1" si="105"/>
        <v>150</v>
      </c>
      <c r="DG125" s="16">
        <f t="shared" si="106"/>
        <v>0</v>
      </c>
      <c r="DH125" s="16">
        <f t="shared" si="107"/>
        <v>125</v>
      </c>
      <c r="DI125" s="166"/>
    </row>
    <row r="126" spans="1:113" s="16" customFormat="1" x14ac:dyDescent="0.25">
      <c r="A126" s="36">
        <f t="shared" si="85"/>
        <v>820</v>
      </c>
      <c r="B126" s="36">
        <f t="shared" si="86"/>
        <v>180</v>
      </c>
      <c r="C126" s="83">
        <f t="shared" si="87"/>
        <v>0</v>
      </c>
      <c r="D126" s="572"/>
      <c r="E126" s="16">
        <f t="shared" si="88"/>
        <v>1000</v>
      </c>
      <c r="F126" s="86">
        <f t="shared" si="89"/>
        <v>70</v>
      </c>
      <c r="G126" s="37">
        <f t="shared" si="90"/>
        <v>100</v>
      </c>
      <c r="H126" s="247">
        <f t="shared" si="91"/>
        <v>150</v>
      </c>
      <c r="I126" s="38">
        <f t="shared" si="92"/>
        <v>150</v>
      </c>
      <c r="J126" s="39">
        <f t="shared" si="93"/>
        <v>100</v>
      </c>
      <c r="K126" s="40">
        <f t="shared" si="94"/>
        <v>150</v>
      </c>
      <c r="L126" s="498">
        <f t="shared" si="95"/>
        <v>100</v>
      </c>
      <c r="M126" s="633">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0">
        <f>Imps!L126</f>
        <v>43769.281249999702</v>
      </c>
      <c r="AH126" s="91">
        <f>MIN(25%,(BG126+CE126)/(E126-Explore!S126*20))</f>
        <v>0</v>
      </c>
      <c r="AI126" s="59">
        <f t="shared" si="81"/>
        <v>0</v>
      </c>
      <c r="AJ126" s="56">
        <f ca="1">Production!$H126</f>
        <v>5090022</v>
      </c>
      <c r="AK126" s="57">
        <f ca="1">Production!$J126</f>
        <v>280501</v>
      </c>
      <c r="AL126" s="152">
        <f ca="1">ROUND( (1 - MIN(facs_constr_factor*$AH126,facs_constr_max)) * (1+MIN(tech_construction*Techs!AC126,tech_conquerors_crafts*Techs!AS126)) * AU126*(1+race_construction_cost),0)</f>
        <v>1615</v>
      </c>
      <c r="AM126" s="166">
        <f t="shared" si="110"/>
        <v>263</v>
      </c>
      <c r="AN126" s="152">
        <f ca="1">ROUND( (1 - MIN(facs_constr_factor*$AI126,facs_constr_max)) * (1+MIN(tech_construction*Techs!AE126,tech_conquerors_crafts*Techs!AU126)) * AU126*(1+race_construction_cost),0)</f>
        <v>1615</v>
      </c>
      <c r="AO126" s="166">
        <f t="shared" si="111"/>
        <v>263</v>
      </c>
      <c r="AP126" s="16">
        <f t="shared" ca="1" si="108"/>
        <v>0</v>
      </c>
      <c r="AQ126" s="53">
        <f t="shared" si="109"/>
        <v>0</v>
      </c>
      <c r="AR126" s="16">
        <f>MIN(SUM(F125:L125)+SUM(Explore!T114:Z114)+SUM(BV126:CN126),SUM($N126:$AF126))</f>
        <v>0</v>
      </c>
      <c r="AS126" s="16">
        <f>IF(Explore!S126&lt;&gt;0,MAX(0, MIN(20, 20 + SUM(N126:AF126) - SUM(BV126:CN126) - SUM(F125:L125)-SUM(Explore!T114:Z114)-20*Explore!S126)),0)</f>
        <v>0</v>
      </c>
      <c r="AU126" s="152">
        <f t="shared" si="83"/>
        <v>1615</v>
      </c>
      <c r="AV126" s="166">
        <f t="shared" si="84"/>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1"/>
      <c r="BS126" s="156">
        <f t="shared" si="96"/>
        <v>1000</v>
      </c>
      <c r="BT126" s="572">
        <f t="shared" si="97"/>
        <v>43773.124999999702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498">
        <f>-$AF126+$CN126 +Rezone!R126 + IF(home_land=CV$2,CW126) + Explore!Z114</f>
        <v>0</v>
      </c>
      <c r="CW126" s="159">
        <f>IF(Explore!S126=1,25) - N126 + BV126</f>
        <v>0</v>
      </c>
      <c r="CY126" s="152">
        <f t="shared" si="98"/>
        <v>150</v>
      </c>
      <c r="CZ126" s="164">
        <f t="shared" si="99"/>
        <v>150</v>
      </c>
      <c r="DA126" s="16">
        <f t="shared" si="100"/>
        <v>150</v>
      </c>
      <c r="DB126" s="164">
        <f t="shared" si="101"/>
        <v>150</v>
      </c>
      <c r="DC126" s="164">
        <f t="shared" si="102"/>
        <v>150</v>
      </c>
      <c r="DD126" s="16">
        <f t="shared" si="103"/>
        <v>150</v>
      </c>
      <c r="DE126" s="166">
        <f t="shared" si="104"/>
        <v>100</v>
      </c>
      <c r="DF126" s="164">
        <f t="shared" ca="1" si="105"/>
        <v>150</v>
      </c>
      <c r="DG126" s="16">
        <f t="shared" si="106"/>
        <v>0</v>
      </c>
      <c r="DH126" s="16">
        <f t="shared" si="107"/>
        <v>126</v>
      </c>
      <c r="DI126" s="166"/>
    </row>
    <row r="127" spans="1:113" s="16" customFormat="1" x14ac:dyDescent="0.25">
      <c r="A127" s="36">
        <f t="shared" si="85"/>
        <v>820</v>
      </c>
      <c r="B127" s="36">
        <f t="shared" si="86"/>
        <v>180</v>
      </c>
      <c r="C127" s="83">
        <f t="shared" si="87"/>
        <v>0</v>
      </c>
      <c r="D127" s="572"/>
      <c r="E127" s="16">
        <f t="shared" si="88"/>
        <v>1000</v>
      </c>
      <c r="F127" s="86">
        <f t="shared" si="89"/>
        <v>70</v>
      </c>
      <c r="G127" s="37">
        <f t="shared" si="90"/>
        <v>100</v>
      </c>
      <c r="H127" s="247">
        <f t="shared" si="91"/>
        <v>150</v>
      </c>
      <c r="I127" s="38">
        <f t="shared" si="92"/>
        <v>150</v>
      </c>
      <c r="J127" s="39">
        <f t="shared" si="93"/>
        <v>100</v>
      </c>
      <c r="K127" s="40">
        <f t="shared" si="94"/>
        <v>150</v>
      </c>
      <c r="L127" s="498">
        <f t="shared" si="95"/>
        <v>100</v>
      </c>
      <c r="M127" s="633">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0">
        <f>Imps!L127</f>
        <v>43769.291666666366</v>
      </c>
      <c r="AH127" s="91">
        <f>MIN(25%,(BG127+CE127)/(E127-Explore!S127*20))</f>
        <v>0</v>
      </c>
      <c r="AI127" s="59">
        <f t="shared" si="81"/>
        <v>0</v>
      </c>
      <c r="AJ127" s="56">
        <f ca="1">Production!$H127</f>
        <v>5095003</v>
      </c>
      <c r="AK127" s="57">
        <f ca="1">Production!$J127</f>
        <v>280196</v>
      </c>
      <c r="AL127" s="152">
        <f ca="1">ROUND( (1 - MIN(facs_constr_factor*$AH127,facs_constr_max)) * (1+MIN(tech_construction*Techs!AC127,tech_conquerors_crafts*Techs!AS127)) * AU127*(1+race_construction_cost),0)</f>
        <v>1615</v>
      </c>
      <c r="AM127" s="166">
        <f t="shared" si="110"/>
        <v>263</v>
      </c>
      <c r="AN127" s="152">
        <f ca="1">ROUND( (1 - MIN(facs_constr_factor*$AI127,facs_constr_max)) * (1+MIN(tech_construction*Techs!AE127,tech_conquerors_crafts*Techs!AU127)) * AU127*(1+race_construction_cost),0)</f>
        <v>1615</v>
      </c>
      <c r="AO127" s="166">
        <f t="shared" si="111"/>
        <v>263</v>
      </c>
      <c r="AP127" s="16">
        <f t="shared" ca="1" si="108"/>
        <v>0</v>
      </c>
      <c r="AQ127" s="53">
        <f t="shared" si="109"/>
        <v>0</v>
      </c>
      <c r="AR127" s="16">
        <f>MIN(SUM(F126:L126)+SUM(Explore!T115:Z115)+SUM(BV127:CN127),SUM($N127:$AF127))</f>
        <v>0</v>
      </c>
      <c r="AS127" s="16">
        <f>IF(Explore!S127&lt;&gt;0,MAX(0, MIN(20, 20 + SUM(N127:AF127) - SUM(BV127:CN127) - SUM(F126:L126)-SUM(Explore!T115:Z115)-20*Explore!S127)),0)</f>
        <v>0</v>
      </c>
      <c r="AU127" s="152">
        <f t="shared" si="83"/>
        <v>1615</v>
      </c>
      <c r="AV127" s="166">
        <f t="shared" si="84"/>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1"/>
      <c r="BS127" s="156">
        <f t="shared" si="96"/>
        <v>1000</v>
      </c>
      <c r="BT127" s="572">
        <f t="shared" si="97"/>
        <v>43773.166666666366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498">
        <f>-$AF127+$CN127 +Rezone!R127 + IF(home_land=CV$2,CW127) + Explore!Z115</f>
        <v>0</v>
      </c>
      <c r="CW127" s="159">
        <f>IF(Explore!S127=1,25) - N127 + BV127</f>
        <v>0</v>
      </c>
      <c r="CY127" s="152">
        <f t="shared" si="98"/>
        <v>150</v>
      </c>
      <c r="CZ127" s="164">
        <f t="shared" si="99"/>
        <v>150</v>
      </c>
      <c r="DA127" s="16">
        <f t="shared" si="100"/>
        <v>150</v>
      </c>
      <c r="DB127" s="164">
        <f t="shared" si="101"/>
        <v>150</v>
      </c>
      <c r="DC127" s="164">
        <f t="shared" si="102"/>
        <v>150</v>
      </c>
      <c r="DD127" s="16">
        <f t="shared" si="103"/>
        <v>150</v>
      </c>
      <c r="DE127" s="166">
        <f t="shared" si="104"/>
        <v>100</v>
      </c>
      <c r="DF127" s="164">
        <f t="shared" ca="1" si="105"/>
        <v>150</v>
      </c>
      <c r="DG127" s="16">
        <f t="shared" si="106"/>
        <v>0</v>
      </c>
      <c r="DH127" s="16">
        <f t="shared" si="107"/>
        <v>127</v>
      </c>
      <c r="DI127" s="166"/>
    </row>
    <row r="128" spans="1:113" s="16" customFormat="1" x14ac:dyDescent="0.25">
      <c r="A128" s="36">
        <f t="shared" si="85"/>
        <v>820</v>
      </c>
      <c r="B128" s="36">
        <f t="shared" si="86"/>
        <v>180</v>
      </c>
      <c r="C128" s="83">
        <f t="shared" si="87"/>
        <v>0</v>
      </c>
      <c r="D128" s="572"/>
      <c r="E128" s="16">
        <f t="shared" si="88"/>
        <v>1000</v>
      </c>
      <c r="F128" s="86">
        <f t="shared" si="89"/>
        <v>70</v>
      </c>
      <c r="G128" s="37">
        <f t="shared" si="90"/>
        <v>100</v>
      </c>
      <c r="H128" s="247">
        <f t="shared" si="91"/>
        <v>150</v>
      </c>
      <c r="I128" s="38">
        <f t="shared" si="92"/>
        <v>150</v>
      </c>
      <c r="J128" s="39">
        <f t="shared" si="93"/>
        <v>100</v>
      </c>
      <c r="K128" s="40">
        <f t="shared" si="94"/>
        <v>150</v>
      </c>
      <c r="L128" s="498">
        <f t="shared" si="95"/>
        <v>100</v>
      </c>
      <c r="M128" s="633">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0">
        <f>Imps!L128</f>
        <v>43769.30208333303</v>
      </c>
      <c r="AH128" s="91">
        <f>MIN(25%,(BG128+CE128)/(E128-Explore!S128*20))</f>
        <v>0</v>
      </c>
      <c r="AI128" s="59">
        <f t="shared" si="81"/>
        <v>0</v>
      </c>
      <c r="AJ128" s="56">
        <f ca="1">Production!$H128</f>
        <v>5099984</v>
      </c>
      <c r="AK128" s="57">
        <f ca="1">Production!$J128</f>
        <v>279894</v>
      </c>
      <c r="AL128" s="152">
        <f ca="1">ROUND( (1 - MIN(facs_constr_factor*$AH128,facs_constr_max)) * (1+MIN(tech_construction*Techs!AC128,tech_conquerors_crafts*Techs!AS128)) * AU128*(1+race_construction_cost),0)</f>
        <v>1615</v>
      </c>
      <c r="AM128" s="166">
        <f t="shared" si="110"/>
        <v>263</v>
      </c>
      <c r="AN128" s="152">
        <f ca="1">ROUND( (1 - MIN(facs_constr_factor*$AI128,facs_constr_max)) * (1+MIN(tech_construction*Techs!AE128,tech_conquerors_crafts*Techs!AU128)) * AU128*(1+race_construction_cost),0)</f>
        <v>1615</v>
      </c>
      <c r="AO128" s="166">
        <f t="shared" si="111"/>
        <v>263</v>
      </c>
      <c r="AP128" s="16">
        <f t="shared" ca="1" si="108"/>
        <v>0</v>
      </c>
      <c r="AQ128" s="53">
        <f t="shared" si="109"/>
        <v>0</v>
      </c>
      <c r="AR128" s="16">
        <f>MIN(SUM(F127:L127)+SUM(Explore!T116:Z116)+SUM(BV128:CN128),SUM($N128:$AF128))</f>
        <v>0</v>
      </c>
      <c r="AS128" s="16">
        <f>IF(Explore!S128&lt;&gt;0,MAX(0, MIN(20, 20 + SUM(N128:AF128) - SUM(BV128:CN128) - SUM(F127:L127)-SUM(Explore!T116:Z116)-20*Explore!S128)),0)</f>
        <v>0</v>
      </c>
      <c r="AU128" s="152">
        <f t="shared" si="83"/>
        <v>1615</v>
      </c>
      <c r="AV128" s="166">
        <f t="shared" si="84"/>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1"/>
      <c r="BS128" s="156">
        <f t="shared" si="96"/>
        <v>1000</v>
      </c>
      <c r="BT128" s="572">
        <f t="shared" si="97"/>
        <v>43773.20833333303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498">
        <f>-$AF128+$CN128 +Rezone!R128 + IF(home_land=CV$2,CW128) + Explore!Z116</f>
        <v>0</v>
      </c>
      <c r="CW128" s="159">
        <f>IF(Explore!S128=1,25) - N128 + BV128</f>
        <v>0</v>
      </c>
      <c r="CY128" s="152">
        <f t="shared" si="98"/>
        <v>150</v>
      </c>
      <c r="CZ128" s="164">
        <f t="shared" si="99"/>
        <v>150</v>
      </c>
      <c r="DA128" s="16">
        <f t="shared" si="100"/>
        <v>150</v>
      </c>
      <c r="DB128" s="164">
        <f t="shared" si="101"/>
        <v>150</v>
      </c>
      <c r="DC128" s="164">
        <f t="shared" si="102"/>
        <v>150</v>
      </c>
      <c r="DD128" s="16">
        <f t="shared" si="103"/>
        <v>150</v>
      </c>
      <c r="DE128" s="166">
        <f t="shared" si="104"/>
        <v>100</v>
      </c>
      <c r="DF128" s="164">
        <f t="shared" ca="1" si="105"/>
        <v>150</v>
      </c>
      <c r="DG128" s="16">
        <f t="shared" si="106"/>
        <v>0</v>
      </c>
      <c r="DH128" s="16">
        <f t="shared" si="107"/>
        <v>128</v>
      </c>
      <c r="DI128" s="166"/>
    </row>
    <row r="129" spans="1:113" s="16" customFormat="1" x14ac:dyDescent="0.25">
      <c r="A129" s="36">
        <f t="shared" si="85"/>
        <v>820</v>
      </c>
      <c r="B129" s="36">
        <f t="shared" si="86"/>
        <v>180</v>
      </c>
      <c r="C129" s="83">
        <f t="shared" si="87"/>
        <v>0</v>
      </c>
      <c r="D129" s="572"/>
      <c r="E129" s="16">
        <f t="shared" si="88"/>
        <v>1000</v>
      </c>
      <c r="F129" s="86">
        <f t="shared" si="89"/>
        <v>70</v>
      </c>
      <c r="G129" s="37">
        <f t="shared" si="90"/>
        <v>100</v>
      </c>
      <c r="H129" s="247">
        <f t="shared" si="91"/>
        <v>150</v>
      </c>
      <c r="I129" s="38">
        <f t="shared" si="92"/>
        <v>150</v>
      </c>
      <c r="J129" s="39">
        <f t="shared" si="93"/>
        <v>100</v>
      </c>
      <c r="K129" s="40">
        <f t="shared" si="94"/>
        <v>150</v>
      </c>
      <c r="L129" s="498">
        <f t="shared" si="95"/>
        <v>100</v>
      </c>
      <c r="M129" s="633">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0">
        <f>Imps!L129</f>
        <v>43769.312499999694</v>
      </c>
      <c r="AH129" s="91">
        <f>MIN(25%,(BG129+CE129)/(E129-Explore!S129*20))</f>
        <v>0</v>
      </c>
      <c r="AI129" s="59">
        <f t="shared" si="81"/>
        <v>0</v>
      </c>
      <c r="AJ129" s="56">
        <f ca="1">Production!$H129</f>
        <v>5104965</v>
      </c>
      <c r="AK129" s="57">
        <f ca="1">Production!$J129</f>
        <v>279595</v>
      </c>
      <c r="AL129" s="152">
        <f ca="1">ROUND( (1 - MIN(facs_constr_factor*$AH129,facs_constr_max)) * (1+MIN(tech_construction*Techs!AC129,tech_conquerors_crafts*Techs!AS129)) * AU129*(1+race_construction_cost),0)</f>
        <v>1615</v>
      </c>
      <c r="AM129" s="166">
        <f t="shared" si="110"/>
        <v>263</v>
      </c>
      <c r="AN129" s="152">
        <f ca="1">ROUND( (1 - MIN(facs_constr_factor*$AI129,facs_constr_max)) * (1+MIN(tech_construction*Techs!AE129,tech_conquerors_crafts*Techs!AU129)) * AU129*(1+race_construction_cost),0)</f>
        <v>1615</v>
      </c>
      <c r="AO129" s="166">
        <f t="shared" si="111"/>
        <v>263</v>
      </c>
      <c r="AP129" s="16">
        <f t="shared" ca="1" si="108"/>
        <v>0</v>
      </c>
      <c r="AQ129" s="53">
        <f t="shared" si="109"/>
        <v>0</v>
      </c>
      <c r="AR129" s="16">
        <f>MIN(SUM(F128:L128)+SUM(Explore!T117:Z117)+SUM(BV129:CN129),SUM($N129:$AF129))</f>
        <v>0</v>
      </c>
      <c r="AS129" s="16">
        <f>IF(Explore!S129&lt;&gt;0,MAX(0, MIN(20, 20 + SUM(N129:AF129) - SUM(BV129:CN129) - SUM(F128:L128)-SUM(Explore!T117:Z117)-20*Explore!S129)),0)</f>
        <v>0</v>
      </c>
      <c r="AU129" s="152">
        <f t="shared" si="83"/>
        <v>1615</v>
      </c>
      <c r="AV129" s="166">
        <f t="shared" si="84"/>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1"/>
      <c r="BS129" s="156">
        <f t="shared" si="96"/>
        <v>1000</v>
      </c>
      <c r="BT129" s="572">
        <f t="shared" si="97"/>
        <v>43773.249999999694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498">
        <f>-$AF129+$CN129 +Rezone!R129 + IF(home_land=CV$2,CW129) + Explore!Z117</f>
        <v>0</v>
      </c>
      <c r="CW129" s="159">
        <f>IF(Explore!S129=1,25) - N129 + BV129</f>
        <v>0</v>
      </c>
      <c r="CY129" s="152">
        <f t="shared" si="98"/>
        <v>150</v>
      </c>
      <c r="CZ129" s="164">
        <f t="shared" si="99"/>
        <v>150</v>
      </c>
      <c r="DA129" s="16">
        <f t="shared" si="100"/>
        <v>150</v>
      </c>
      <c r="DB129" s="164">
        <f t="shared" si="101"/>
        <v>150</v>
      </c>
      <c r="DC129" s="164">
        <f t="shared" si="102"/>
        <v>150</v>
      </c>
      <c r="DD129" s="16">
        <f t="shared" si="103"/>
        <v>150</v>
      </c>
      <c r="DE129" s="166">
        <f t="shared" si="104"/>
        <v>100</v>
      </c>
      <c r="DF129" s="164">
        <f t="shared" ca="1" si="105"/>
        <v>150</v>
      </c>
      <c r="DG129" s="16">
        <f t="shared" si="106"/>
        <v>0</v>
      </c>
      <c r="DH129" s="16">
        <f t="shared" si="107"/>
        <v>129</v>
      </c>
      <c r="DI129" s="166"/>
    </row>
    <row r="130" spans="1:113" s="16" customFormat="1" x14ac:dyDescent="0.25">
      <c r="A130" s="36">
        <f t="shared" si="85"/>
        <v>820</v>
      </c>
      <c r="B130" s="36">
        <f t="shared" si="86"/>
        <v>180</v>
      </c>
      <c r="C130" s="83">
        <f t="shared" si="87"/>
        <v>0</v>
      </c>
      <c r="D130" s="572"/>
      <c r="E130" s="16">
        <f t="shared" si="88"/>
        <v>1000</v>
      </c>
      <c r="F130" s="86">
        <f t="shared" si="89"/>
        <v>70</v>
      </c>
      <c r="G130" s="37">
        <f t="shared" si="90"/>
        <v>100</v>
      </c>
      <c r="H130" s="247">
        <f t="shared" si="91"/>
        <v>150</v>
      </c>
      <c r="I130" s="38">
        <f t="shared" si="92"/>
        <v>150</v>
      </c>
      <c r="J130" s="39">
        <f t="shared" si="93"/>
        <v>100</v>
      </c>
      <c r="K130" s="40">
        <f t="shared" si="94"/>
        <v>150</v>
      </c>
      <c r="L130" s="498">
        <f t="shared" si="95"/>
        <v>100</v>
      </c>
      <c r="M130" s="633">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0">
        <f>Imps!L130</f>
        <v>43769.322916666359</v>
      </c>
      <c r="AH130" s="91">
        <f>MIN(25%,(BG130+CE130)/(E130-Explore!S130*20))</f>
        <v>0</v>
      </c>
      <c r="AI130" s="59">
        <f t="shared" si="81"/>
        <v>0</v>
      </c>
      <c r="AJ130" s="56">
        <f ca="1">Production!$H130</f>
        <v>5109946</v>
      </c>
      <c r="AK130" s="57">
        <f ca="1">Production!$J130</f>
        <v>279299</v>
      </c>
      <c r="AL130" s="152">
        <f ca="1">ROUND( (1 - MIN(facs_constr_factor*$AH130,facs_constr_max)) * (1+MIN(tech_construction*Techs!AC130,tech_conquerors_crafts*Techs!AS130)) * AU130*(1+race_construction_cost),0)</f>
        <v>1615</v>
      </c>
      <c r="AM130" s="166">
        <f t="shared" si="110"/>
        <v>263</v>
      </c>
      <c r="AN130" s="152">
        <f ca="1">ROUND( (1 - MIN(facs_constr_factor*$AI130,facs_constr_max)) * (1+MIN(tech_construction*Techs!AE130,tech_conquerors_crafts*Techs!AU130)) * AU130*(1+race_construction_cost),0)</f>
        <v>1615</v>
      </c>
      <c r="AO130" s="166">
        <f t="shared" si="111"/>
        <v>263</v>
      </c>
      <c r="AP130" s="16">
        <f t="shared" ca="1" si="108"/>
        <v>0</v>
      </c>
      <c r="AQ130" s="53">
        <f t="shared" si="109"/>
        <v>0</v>
      </c>
      <c r="AR130" s="16">
        <f>MIN(SUM(F129:L129)+SUM(Explore!T118:Z118)+SUM(BV130:CN130),SUM($N130:$AF130))</f>
        <v>0</v>
      </c>
      <c r="AS130" s="16">
        <f>IF(Explore!S130&lt;&gt;0,MAX(0, MIN(20, 20 + SUM(N130:AF130) - SUM(BV130:CN130) - SUM(F129:L129)-SUM(Explore!T118:Z118)-20*Explore!S130)),0)</f>
        <v>0</v>
      </c>
      <c r="AU130" s="152">
        <f t="shared" si="83"/>
        <v>1615</v>
      </c>
      <c r="AV130" s="166">
        <f t="shared" si="84"/>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1"/>
      <c r="BS130" s="156">
        <f t="shared" si="96"/>
        <v>1000</v>
      </c>
      <c r="BT130" s="572">
        <f t="shared" si="97"/>
        <v>43773.291666666359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498">
        <f>-$AF130+$CN130 +Rezone!R130 + IF(home_land=CV$2,CW130) + Explore!Z118</f>
        <v>0</v>
      </c>
      <c r="CW130" s="159">
        <f>IF(Explore!S130=1,25) - N130 + BV130</f>
        <v>0</v>
      </c>
      <c r="CY130" s="152">
        <f t="shared" si="98"/>
        <v>150</v>
      </c>
      <c r="CZ130" s="164">
        <f t="shared" si="99"/>
        <v>150</v>
      </c>
      <c r="DA130" s="16">
        <f t="shared" si="100"/>
        <v>150</v>
      </c>
      <c r="DB130" s="164">
        <f t="shared" si="101"/>
        <v>150</v>
      </c>
      <c r="DC130" s="164">
        <f t="shared" si="102"/>
        <v>150</v>
      </c>
      <c r="DD130" s="16">
        <f t="shared" si="103"/>
        <v>150</v>
      </c>
      <c r="DE130" s="166">
        <f t="shared" si="104"/>
        <v>100</v>
      </c>
      <c r="DF130" s="164">
        <f t="shared" ca="1" si="105"/>
        <v>150</v>
      </c>
      <c r="DG130" s="16">
        <f t="shared" si="106"/>
        <v>0</v>
      </c>
      <c r="DH130" s="16">
        <f t="shared" si="107"/>
        <v>130</v>
      </c>
      <c r="DI130" s="166"/>
    </row>
    <row r="131" spans="1:113" s="16" customFormat="1" x14ac:dyDescent="0.25">
      <c r="A131" s="36">
        <f t="shared" si="85"/>
        <v>820</v>
      </c>
      <c r="B131" s="36">
        <f t="shared" si="86"/>
        <v>180</v>
      </c>
      <c r="C131" s="83">
        <f t="shared" si="87"/>
        <v>0</v>
      </c>
      <c r="D131" s="572"/>
      <c r="E131" s="16">
        <f t="shared" si="88"/>
        <v>1000</v>
      </c>
      <c r="F131" s="86">
        <f t="shared" si="89"/>
        <v>70</v>
      </c>
      <c r="G131" s="37">
        <f t="shared" si="90"/>
        <v>100</v>
      </c>
      <c r="H131" s="247">
        <f t="shared" si="91"/>
        <v>150</v>
      </c>
      <c r="I131" s="38">
        <f t="shared" si="92"/>
        <v>150</v>
      </c>
      <c r="J131" s="39">
        <f t="shared" si="93"/>
        <v>100</v>
      </c>
      <c r="K131" s="40">
        <f t="shared" si="94"/>
        <v>150</v>
      </c>
      <c r="L131" s="498">
        <f t="shared" si="95"/>
        <v>100</v>
      </c>
      <c r="M131" s="633">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0">
        <f>Imps!L131</f>
        <v>43769.333333333023</v>
      </c>
      <c r="AH131" s="91">
        <f>MIN(25%,(BG131+CE131)/(E131-Explore!S131*20))</f>
        <v>0</v>
      </c>
      <c r="AI131" s="59">
        <f t="shared" si="81"/>
        <v>0</v>
      </c>
      <c r="AJ131" s="56">
        <f ca="1">Production!$H131</f>
        <v>5114927</v>
      </c>
      <c r="AK131" s="57">
        <f ca="1">Production!$J131</f>
        <v>279006</v>
      </c>
      <c r="AL131" s="152">
        <f ca="1">ROUND( (1 - MIN(facs_constr_factor*$AH131,facs_constr_max)) * (1+MIN(tech_construction*Techs!AC131,tech_conquerors_crafts*Techs!AS131)) * AU131*(1+race_construction_cost),0)</f>
        <v>1615</v>
      </c>
      <c r="AM131" s="166">
        <f t="shared" si="110"/>
        <v>263</v>
      </c>
      <c r="AN131" s="152">
        <f ca="1">ROUND( (1 - MIN(facs_constr_factor*$AI131,facs_constr_max)) * (1+MIN(tech_construction*Techs!AE131,tech_conquerors_crafts*Techs!AU131)) * AU131*(1+race_construction_cost),0)</f>
        <v>1615</v>
      </c>
      <c r="AO131" s="166">
        <f t="shared" si="111"/>
        <v>263</v>
      </c>
      <c r="AP131" s="16">
        <f t="shared" ca="1" si="108"/>
        <v>0</v>
      </c>
      <c r="AQ131" s="53">
        <f t="shared" si="109"/>
        <v>0</v>
      </c>
      <c r="AR131" s="16">
        <f>MIN(SUM(F130:L130)+SUM(Explore!T119:Z119)+SUM(BV131:CN131),SUM($N131:$AF131))</f>
        <v>0</v>
      </c>
      <c r="AS131" s="16">
        <f>IF(Explore!S131&lt;&gt;0,MAX(0, MIN(20, 20 + SUM(N131:AF131) - SUM(BV131:CN131) - SUM(F130:L130)-SUM(Explore!T119:Z119)-20*Explore!S131)),0)</f>
        <v>0</v>
      </c>
      <c r="AU131" s="152">
        <f t="shared" si="83"/>
        <v>1615</v>
      </c>
      <c r="AV131" s="166">
        <f t="shared" si="84"/>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1"/>
      <c r="BS131" s="156">
        <f t="shared" si="96"/>
        <v>1000</v>
      </c>
      <c r="BT131" s="572">
        <f t="shared" si="97"/>
        <v>43773.333333333023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498">
        <f>-$AF131+$CN131 +Rezone!R131 + IF(home_land=CV$2,CW131) + Explore!Z119</f>
        <v>0</v>
      </c>
      <c r="CW131" s="159">
        <f>IF(Explore!S131=1,25) - N131 + BV131</f>
        <v>0</v>
      </c>
      <c r="CY131" s="152">
        <f t="shared" si="98"/>
        <v>150</v>
      </c>
      <c r="CZ131" s="164">
        <f t="shared" si="99"/>
        <v>150</v>
      </c>
      <c r="DA131" s="16">
        <f t="shared" si="100"/>
        <v>150</v>
      </c>
      <c r="DB131" s="164">
        <f t="shared" si="101"/>
        <v>150</v>
      </c>
      <c r="DC131" s="164">
        <f t="shared" si="102"/>
        <v>150</v>
      </c>
      <c r="DD131" s="16">
        <f t="shared" si="103"/>
        <v>150</v>
      </c>
      <c r="DE131" s="166">
        <f t="shared" si="104"/>
        <v>100</v>
      </c>
      <c r="DF131" s="164">
        <f t="shared" ca="1" si="105"/>
        <v>150</v>
      </c>
      <c r="DG131" s="16">
        <f t="shared" si="106"/>
        <v>0</v>
      </c>
      <c r="DH131" s="16">
        <f t="shared" si="107"/>
        <v>131</v>
      </c>
      <c r="DI131" s="166"/>
    </row>
    <row r="132" spans="1:113" s="16" customFormat="1" x14ac:dyDescent="0.25">
      <c r="A132" s="36">
        <f t="shared" si="85"/>
        <v>820</v>
      </c>
      <c r="B132" s="36">
        <f t="shared" si="86"/>
        <v>180</v>
      </c>
      <c r="C132" s="83">
        <f t="shared" si="87"/>
        <v>0</v>
      </c>
      <c r="D132" s="572"/>
      <c r="E132" s="16">
        <f t="shared" si="88"/>
        <v>1000</v>
      </c>
      <c r="F132" s="86">
        <f t="shared" si="89"/>
        <v>70</v>
      </c>
      <c r="G132" s="37">
        <f t="shared" si="90"/>
        <v>100</v>
      </c>
      <c r="H132" s="247">
        <f t="shared" si="91"/>
        <v>150</v>
      </c>
      <c r="I132" s="38">
        <f t="shared" si="92"/>
        <v>150</v>
      </c>
      <c r="J132" s="39">
        <f t="shared" si="93"/>
        <v>100</v>
      </c>
      <c r="K132" s="40">
        <f t="shared" si="94"/>
        <v>150</v>
      </c>
      <c r="L132" s="498">
        <f t="shared" si="95"/>
        <v>100</v>
      </c>
      <c r="M132" s="633">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0">
        <f>Imps!L132</f>
        <v>43769.343749999687</v>
      </c>
      <c r="AH132" s="91">
        <f>MIN(25%,(BG132+CE132)/(E132-Explore!S132*20))</f>
        <v>0</v>
      </c>
      <c r="AI132" s="59">
        <f>MIN(25%,(BG132+CE132)/E132)</f>
        <v>0</v>
      </c>
      <c r="AJ132" s="56">
        <f ca="1">Production!$H132</f>
        <v>5119908</v>
      </c>
      <c r="AK132" s="57">
        <f ca="1">Production!$J132</f>
        <v>278716</v>
      </c>
      <c r="AL132" s="152">
        <f ca="1">ROUND( (1 - MIN(facs_constr_factor*$AH132,facs_constr_max)) * (1+MIN(tech_construction*Techs!AC132,tech_conquerors_crafts*Techs!AS132)) * AU132*(1+race_construction_cost),0)</f>
        <v>1615</v>
      </c>
      <c r="AM132" s="166">
        <f t="shared" si="110"/>
        <v>263</v>
      </c>
      <c r="AN132" s="152">
        <f ca="1">ROUND( (1 - MIN(facs_constr_factor*$AI132,facs_constr_max)) * (1+MIN(tech_construction*Techs!AE132,tech_conquerors_crafts*Techs!AU132)) * AU132*(1+race_construction_cost),0)</f>
        <v>1615</v>
      </c>
      <c r="AO132" s="166">
        <f t="shared" si="111"/>
        <v>263</v>
      </c>
      <c r="AP132" s="16">
        <f t="shared" ca="1" si="108"/>
        <v>0</v>
      </c>
      <c r="AQ132" s="53">
        <f t="shared" si="109"/>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1"/>
      <c r="BS132" s="156">
        <f t="shared" si="96"/>
        <v>1000</v>
      </c>
      <c r="BT132" s="572">
        <f t="shared" si="97"/>
        <v>43773.374999999687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498">
        <f>-$AF132+$CN132 +Rezone!R132 + IF(home_land=CV$2,CW132) + Explore!Z120</f>
        <v>0</v>
      </c>
      <c r="CW132" s="159">
        <f>IF(Explore!S132=1,25) - N132 + BV132</f>
        <v>0</v>
      </c>
      <c r="CY132" s="152">
        <f t="shared" si="98"/>
        <v>150</v>
      </c>
      <c r="CZ132" s="164">
        <f t="shared" si="99"/>
        <v>150</v>
      </c>
      <c r="DA132" s="16">
        <f t="shared" si="100"/>
        <v>150</v>
      </c>
      <c r="DB132" s="164">
        <f t="shared" si="101"/>
        <v>150</v>
      </c>
      <c r="DC132" s="164">
        <f t="shared" si="102"/>
        <v>150</v>
      </c>
      <c r="DD132" s="16">
        <f t="shared" si="103"/>
        <v>150</v>
      </c>
      <c r="DE132" s="166">
        <f t="shared" si="104"/>
        <v>100</v>
      </c>
      <c r="DF132" s="164">
        <f t="shared" ca="1" si="105"/>
        <v>150</v>
      </c>
      <c r="DG132" s="16">
        <f t="shared" si="106"/>
        <v>0</v>
      </c>
      <c r="DH132" s="16">
        <f t="shared" si="107"/>
        <v>132</v>
      </c>
      <c r="DI132" s="166"/>
    </row>
    <row r="133" spans="1:113" s="16" customFormat="1" x14ac:dyDescent="0.25">
      <c r="A133" s="36">
        <f t="shared" si="85"/>
        <v>820</v>
      </c>
      <c r="B133" s="36">
        <f t="shared" si="86"/>
        <v>180</v>
      </c>
      <c r="C133" s="83">
        <f t="shared" si="87"/>
        <v>0</v>
      </c>
      <c r="D133" s="572"/>
      <c r="E133" s="16">
        <f t="shared" si="88"/>
        <v>1000</v>
      </c>
      <c r="F133" s="86">
        <f t="shared" si="89"/>
        <v>70</v>
      </c>
      <c r="G133" s="37">
        <f t="shared" si="90"/>
        <v>100</v>
      </c>
      <c r="H133" s="247">
        <f t="shared" si="91"/>
        <v>150</v>
      </c>
      <c r="I133" s="38">
        <f t="shared" si="92"/>
        <v>150</v>
      </c>
      <c r="J133" s="39">
        <f t="shared" si="93"/>
        <v>100</v>
      </c>
      <c r="K133" s="40">
        <f t="shared" si="94"/>
        <v>150</v>
      </c>
      <c r="L133" s="498">
        <f t="shared" si="95"/>
        <v>100</v>
      </c>
      <c r="M133" s="633">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0">
        <f>Imps!L133</f>
        <v>43769.354166666351</v>
      </c>
      <c r="AH133" s="91">
        <f>MIN(25%,(BG133+CE133)/(E133-Explore!S133*20))</f>
        <v>0</v>
      </c>
      <c r="AI133" s="59">
        <f>MIN(25%,(BG133+CE133)/E133)</f>
        <v>0</v>
      </c>
      <c r="AJ133" s="56">
        <f ca="1">Production!$H133</f>
        <v>5124889</v>
      </c>
      <c r="AK133" s="57">
        <f ca="1">Production!$J133</f>
        <v>278429</v>
      </c>
      <c r="AL133" s="152">
        <f ca="1">ROUND( (1 - MIN(facs_constr_factor*$AH133,facs_constr_max)) * (1+MIN(tech_construction*Techs!AC133,tech_conquerors_crafts*Techs!AS133)) * AU133*(1+race_construction_cost),0)</f>
        <v>1615</v>
      </c>
      <c r="AM133" s="166">
        <f t="shared" si="110"/>
        <v>263</v>
      </c>
      <c r="AN133" s="152">
        <f ca="1">ROUND( (1 - MIN(facs_constr_factor*$AI133,facs_constr_max)) * (1+MIN(tech_construction*Techs!AE133,tech_conquerors_crafts*Techs!AU133)) * AU133*(1+race_construction_cost),0)</f>
        <v>1615</v>
      </c>
      <c r="AO133" s="166">
        <f t="shared" si="111"/>
        <v>263</v>
      </c>
      <c r="AP133" s="16">
        <f t="shared" ca="1" si="108"/>
        <v>0</v>
      </c>
      <c r="AQ133" s="53">
        <f t="shared" si="109"/>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1"/>
      <c r="BS133" s="156">
        <f t="shared" si="96"/>
        <v>1000</v>
      </c>
      <c r="BT133" s="572">
        <f t="shared" si="97"/>
        <v>43773.416666666351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498">
        <f>-$AF133+$CN133 +Rezone!R133 + IF(home_land=CV$2,CW133) + Explore!Z121</f>
        <v>0</v>
      </c>
      <c r="CW133" s="159">
        <f>IF(Explore!S133=1,25) - N133 + BV133</f>
        <v>0</v>
      </c>
      <c r="CY133" s="152">
        <f t="shared" si="98"/>
        <v>150</v>
      </c>
      <c r="CZ133" s="164">
        <f t="shared" si="99"/>
        <v>150</v>
      </c>
      <c r="DA133" s="16">
        <f t="shared" si="100"/>
        <v>150</v>
      </c>
      <c r="DB133" s="164">
        <f t="shared" si="101"/>
        <v>150</v>
      </c>
      <c r="DC133" s="164">
        <f t="shared" si="102"/>
        <v>150</v>
      </c>
      <c r="DD133" s="16">
        <f t="shared" si="103"/>
        <v>150</v>
      </c>
      <c r="DE133" s="166">
        <f t="shared" si="104"/>
        <v>100</v>
      </c>
      <c r="DF133" s="164">
        <f t="shared" ca="1" si="105"/>
        <v>150</v>
      </c>
      <c r="DG133" s="16">
        <f t="shared" si="106"/>
        <v>0</v>
      </c>
      <c r="DH133" s="16">
        <f t="shared" si="107"/>
        <v>133</v>
      </c>
      <c r="DI133" s="166"/>
    </row>
    <row r="134" spans="1:113" s="16" customFormat="1" x14ac:dyDescent="0.25">
      <c r="A134" s="36">
        <f t="shared" si="85"/>
        <v>820</v>
      </c>
      <c r="B134" s="36">
        <f t="shared" si="86"/>
        <v>180</v>
      </c>
      <c r="C134" s="83">
        <f t="shared" si="87"/>
        <v>0</v>
      </c>
      <c r="D134" s="572"/>
      <c r="E134" s="16">
        <f t="shared" si="88"/>
        <v>1000</v>
      </c>
      <c r="F134" s="86">
        <f t="shared" si="89"/>
        <v>70</v>
      </c>
      <c r="G134" s="37">
        <f t="shared" si="90"/>
        <v>100</v>
      </c>
      <c r="H134" s="247">
        <f t="shared" si="91"/>
        <v>150</v>
      </c>
      <c r="I134" s="38">
        <f t="shared" si="92"/>
        <v>150</v>
      </c>
      <c r="J134" s="39">
        <f t="shared" si="93"/>
        <v>100</v>
      </c>
      <c r="K134" s="40">
        <f t="shared" si="94"/>
        <v>150</v>
      </c>
      <c r="L134" s="498">
        <f t="shared" si="95"/>
        <v>100</v>
      </c>
      <c r="M134" s="633">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0">
        <f>Imps!L134</f>
        <v>43769.364583333016</v>
      </c>
      <c r="AH134" s="91">
        <f>MIN(25%,(BG134+CE134)/(E134-Explore!S134*20))</f>
        <v>0</v>
      </c>
      <c r="AI134" s="59">
        <f>MIN(25%,(BG134+CE134)/E134)</f>
        <v>0</v>
      </c>
      <c r="AJ134" s="56">
        <f ca="1">Production!$H134</f>
        <v>5129870</v>
      </c>
      <c r="AK134" s="57">
        <f ca="1">Production!$J134</f>
        <v>278145</v>
      </c>
      <c r="AL134" s="152">
        <f ca="1">ROUND( (1 - MIN(facs_constr_factor*$AH134,facs_constr_max)) * (1+MIN(tech_construction*Techs!AC134,tech_conquerors_crafts*Techs!AS134)) * AU134*(1+race_construction_cost),0)</f>
        <v>1615</v>
      </c>
      <c r="AM134" s="166">
        <f t="shared" si="110"/>
        <v>263</v>
      </c>
      <c r="AN134" s="152">
        <f ca="1">ROUND( (1 - MIN(facs_constr_factor*$AI134,facs_constr_max)) * (1+MIN(tech_construction*Techs!AE134,tech_conquerors_crafts*Techs!AU134)) * AU134*(1+race_construction_cost),0)</f>
        <v>1615</v>
      </c>
      <c r="AO134" s="166">
        <f t="shared" si="111"/>
        <v>263</v>
      </c>
      <c r="AP134" s="16">
        <f t="shared" ca="1" si="108"/>
        <v>0</v>
      </c>
      <c r="AQ134" s="53">
        <f t="shared" si="109"/>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1"/>
      <c r="BS134" s="156">
        <f t="shared" si="96"/>
        <v>1000</v>
      </c>
      <c r="BT134" s="572">
        <f t="shared" si="97"/>
        <v>43773.458333333016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498">
        <f>-$AF134+$CN134 +Rezone!R134 + IF(home_land=CV$2,CW134) + Explore!Z122</f>
        <v>0</v>
      </c>
      <c r="CW134" s="159">
        <f>IF(Explore!S134=1,25) - N134 + BV134</f>
        <v>0</v>
      </c>
      <c r="CY134" s="152">
        <f t="shared" si="98"/>
        <v>150</v>
      </c>
      <c r="CZ134" s="164">
        <f t="shared" si="99"/>
        <v>150</v>
      </c>
      <c r="DA134" s="16">
        <f t="shared" si="100"/>
        <v>150</v>
      </c>
      <c r="DB134" s="164">
        <f t="shared" si="101"/>
        <v>150</v>
      </c>
      <c r="DC134" s="164">
        <f t="shared" si="102"/>
        <v>150</v>
      </c>
      <c r="DD134" s="16">
        <f t="shared" si="103"/>
        <v>150</v>
      </c>
      <c r="DE134" s="166">
        <f t="shared" si="104"/>
        <v>100</v>
      </c>
      <c r="DF134" s="164">
        <f t="shared" ca="1" si="105"/>
        <v>150</v>
      </c>
      <c r="DG134" s="16">
        <f t="shared" si="106"/>
        <v>0</v>
      </c>
      <c r="DH134" s="16">
        <f t="shared" si="107"/>
        <v>134</v>
      </c>
      <c r="DI134" s="166"/>
    </row>
    <row r="135" spans="1:113" s="12" customFormat="1" x14ac:dyDescent="0.25">
      <c r="A135" s="779">
        <f t="shared" si="85"/>
        <v>820</v>
      </c>
      <c r="B135" s="779">
        <f t="shared" si="86"/>
        <v>180</v>
      </c>
      <c r="C135" s="780">
        <f t="shared" si="87"/>
        <v>0</v>
      </c>
      <c r="D135" s="676"/>
      <c r="E135" s="12">
        <f t="shared" si="88"/>
        <v>1000</v>
      </c>
      <c r="F135" s="781">
        <f t="shared" si="89"/>
        <v>70</v>
      </c>
      <c r="G135" s="782">
        <f t="shared" si="90"/>
        <v>100</v>
      </c>
      <c r="H135" s="272">
        <f t="shared" si="91"/>
        <v>150</v>
      </c>
      <c r="I135" s="783">
        <f t="shared" si="92"/>
        <v>150</v>
      </c>
      <c r="J135" s="784">
        <f t="shared" si="93"/>
        <v>100</v>
      </c>
      <c r="K135" s="785">
        <f t="shared" si="94"/>
        <v>150</v>
      </c>
      <c r="L135" s="786">
        <f t="shared" si="95"/>
        <v>100</v>
      </c>
      <c r="M135" s="751">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4">
        <f>Imps!L135</f>
        <v>43769.37499999968</v>
      </c>
      <c r="AH135" s="306">
        <f>MIN(25%,(BG135+CE135)/(E135-Explore!S135*20))</f>
        <v>0</v>
      </c>
      <c r="AI135" s="58">
        <f>MIN(25%,(BG135+CE135)/E135)</f>
        <v>0</v>
      </c>
      <c r="AJ135" s="54">
        <f ca="1">Production!$H135</f>
        <v>5134851</v>
      </c>
      <c r="AK135" s="55">
        <f ca="1">Production!$J135</f>
        <v>277864</v>
      </c>
      <c r="AL135" s="151">
        <f ca="1">ROUND( (1 - MIN(facs_constr_factor*$AH135,facs_constr_max)) * (1+MIN(tech_construction*Techs!AC135,tech_conquerors_crafts*Techs!AS135)) * AU135*(1+race_construction_cost),0)</f>
        <v>1615</v>
      </c>
      <c r="AM135" s="158">
        <f t="shared" si="110"/>
        <v>263</v>
      </c>
      <c r="AN135" s="151">
        <f ca="1">ROUND( (1 - MIN(facs_constr_factor*$AI135,facs_constr_max)) * (1+MIN(tech_construction*Techs!AE135,tech_conquerors_crafts*Techs!AU135)) * AU135*(1+race_construction_cost),0)</f>
        <v>1615</v>
      </c>
      <c r="AO135" s="158">
        <f t="shared" si="111"/>
        <v>263</v>
      </c>
      <c r="AP135" s="12">
        <f t="shared" ca="1" si="108"/>
        <v>0</v>
      </c>
      <c r="AQ135" s="51">
        <f t="shared" si="109"/>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87">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28"/>
      <c r="BS135" s="184">
        <f t="shared" si="96"/>
        <v>1000</v>
      </c>
      <c r="BT135" s="676">
        <f t="shared" si="97"/>
        <v>43773.49999999968</v>
      </c>
      <c r="BV135" s="373"/>
      <c r="BW135" s="349"/>
      <c r="BX135" s="349"/>
      <c r="BY135" s="349"/>
      <c r="BZ135" s="349"/>
      <c r="CA135" s="349"/>
      <c r="CB135" s="349"/>
      <c r="CC135" s="349"/>
      <c r="CD135" s="349"/>
      <c r="CE135" s="349"/>
      <c r="CF135" s="349"/>
      <c r="CG135" s="349"/>
      <c r="CH135" s="349"/>
      <c r="CI135" s="349"/>
      <c r="CJ135" s="349"/>
      <c r="CK135" s="349"/>
      <c r="CL135" s="349"/>
      <c r="CM135" s="788"/>
      <c r="CN135" s="374"/>
      <c r="CP135" s="781">
        <f>-SUM($O135:$R135)+SUM($BW135:BZ135)+Rezone!L135+IF(home_land=CP$2,CW135) + Explore!T123</f>
        <v>0</v>
      </c>
      <c r="CQ135" s="782">
        <f>-SUM($S135:$T135)+SUM($CA135:$CB135) +Rezone!M135 + IF(home_land=CQ$2,CW135) + Explore!U123</f>
        <v>0</v>
      </c>
      <c r="CR135" s="272">
        <f>-SUM($U135:$V135)+SUM($CC135:$CD135) +Rezone!N135 + IF(home_land=CR$2,CW135) + Explore!V123</f>
        <v>0</v>
      </c>
      <c r="CS135" s="783">
        <f>-SUM($W135:$Z135)+SUM($CE135:$CH135) +Rezone!O135 + IF(home_land=CS$2,CW135) + Explore!W123</f>
        <v>0</v>
      </c>
      <c r="CT135" s="784">
        <f>-SUM($AA135:$AC135)+SUM($CI135:$CK135) +Rezone!P135 + IF(home_land=CT$2,CW135) + Explore!X123</f>
        <v>0</v>
      </c>
      <c r="CU135" s="785">
        <f xml:space="preserve"> - SUM($AD135,$AE135)+SUM($CL135,$CM135) +Rezone!Q135 + IF(home_land=CU$2,CW135)+Explore!Y123</f>
        <v>0</v>
      </c>
      <c r="CV135" s="786">
        <f>-$AF135+$CN135 +Rezone!R135 + IF(home_land=CV$2,CW135) + Explore!Z123</f>
        <v>0</v>
      </c>
      <c r="CW135" s="287">
        <f>IF(Explore!S135=1,25) - N135 + BV135</f>
        <v>0</v>
      </c>
      <c r="CY135" s="151">
        <f t="shared" si="98"/>
        <v>150</v>
      </c>
      <c r="CZ135" s="153">
        <f t="shared" si="99"/>
        <v>150</v>
      </c>
      <c r="DA135" s="12">
        <f t="shared" si="100"/>
        <v>150</v>
      </c>
      <c r="DB135" s="153">
        <f t="shared" si="101"/>
        <v>150</v>
      </c>
      <c r="DC135" s="153">
        <f t="shared" si="102"/>
        <v>150</v>
      </c>
      <c r="DD135" s="12">
        <f t="shared" si="103"/>
        <v>150</v>
      </c>
      <c r="DE135" s="158">
        <f t="shared" si="104"/>
        <v>100</v>
      </c>
      <c r="DF135" s="153">
        <f t="shared" ca="1" si="105"/>
        <v>150</v>
      </c>
      <c r="DG135" s="12">
        <f t="shared" si="106"/>
        <v>0</v>
      </c>
      <c r="DH135" s="12">
        <f t="shared" si="107"/>
        <v>135</v>
      </c>
      <c r="DI135" s="158"/>
    </row>
    <row r="1268" spans="1:2" x14ac:dyDescent="0.25">
      <c r="A1268" s="1464" t="s">
        <v>330</v>
      </c>
      <c r="B1268" s="1415"/>
    </row>
    <row r="1269" spans="1:2" x14ac:dyDescent="0.25">
      <c r="A1269" s="669">
        <f ca="1">Overview!E17</f>
        <v>-42</v>
      </c>
      <c r="B1269" s="669"/>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236" priority="20" stopIfTrue="1">
      <formula>XFA136&lt;0</formula>
    </cfRule>
  </conditionalFormatting>
  <conditionalFormatting sqref="A136:D1267 A1270:D65536 F1270:J65536 F136:J1267">
    <cfRule type="expression" dxfId="235" priority="21" stopIfTrue="1">
      <formula>XEW136&lt;0</formula>
    </cfRule>
  </conditionalFormatting>
  <conditionalFormatting sqref="E1270:E65536 E136:E1267">
    <cfRule type="expression" dxfId="234" priority="22" stopIfTrue="1">
      <formula>XEV136&lt;0</formula>
    </cfRule>
  </conditionalFormatting>
  <conditionalFormatting sqref="DJ1270:IV52022 N1270:AF52051 DI1270:DI52048 N136:AF1267 BU1270:DH52051 BU136:IV1267">
    <cfRule type="expression" dxfId="233" priority="23" stopIfTrue="1">
      <formula>ROW()-2=#REF!</formula>
    </cfRule>
  </conditionalFormatting>
  <conditionalFormatting sqref="A1268:AF1269 BU1268:IV1269">
    <cfRule type="expression" dxfId="232" priority="24" stopIfTrue="1">
      <formula>$A$1269&gt;144</formula>
    </cfRule>
  </conditionalFormatting>
  <conditionalFormatting sqref="BU3:IV18 N3:AF18 N32:AF135 BU32:IV135 N28:AF30 BU28:IV30 N20:AF26 BU20:IV26">
    <cfRule type="expression" dxfId="231" priority="25" stopIfTrue="1">
      <formula>ROW()-3=$A$1269</formula>
    </cfRule>
  </conditionalFormatting>
  <conditionalFormatting sqref="BU3:CM18 BU32:CM135 BU28:CM30 BU20:CM26">
    <cfRule type="expression" dxfId="230" priority="26" stopIfTrue="1">
      <formula>ROW()-2=#REF!</formula>
    </cfRule>
  </conditionalFormatting>
  <conditionalFormatting sqref="A3:M18 A32:M135 A28:M30 A20:M26">
    <cfRule type="expression" dxfId="229" priority="27" stopIfTrue="1">
      <formula>OR(A3&lt;0,ROW()-3=$A$1269)</formula>
    </cfRule>
  </conditionalFormatting>
  <conditionalFormatting sqref="A2:AM2 A1:AL1 BA1:IV1 AT1:AX1 AP1 AP2:IV2">
    <cfRule type="expression" dxfId="228" priority="28" stopIfTrue="1">
      <formula>$A$1269&lt;0</formula>
    </cfRule>
  </conditionalFormatting>
  <conditionalFormatting sqref="AG3:AM18 AP3:BT18 AP32:BT65536 AG32:AM65536 AP28:BT30 AG28:AM30 AP20:BT26 AG20:AM26">
    <cfRule type="expression" dxfId="227" priority="29" stopIfTrue="1">
      <formula>ROW()-3=$A$1269</formula>
    </cfRule>
  </conditionalFormatting>
  <conditionalFormatting sqref="AN2:AO2 AN1">
    <cfRule type="expression" dxfId="226" priority="18" stopIfTrue="1">
      <formula>$A$1269&lt;0</formula>
    </cfRule>
  </conditionalFormatting>
  <conditionalFormatting sqref="AN3:AO18 AN32:AO65536 AN28:AO30 AN20:AO26">
    <cfRule type="expression" dxfId="225" priority="19" stopIfTrue="1">
      <formula>ROW()-3=$A$1269</formula>
    </cfRule>
  </conditionalFormatting>
  <conditionalFormatting sqref="K1270:L65536 K136:L1267">
    <cfRule type="expression" dxfId="224" priority="42" stopIfTrue="1">
      <formula>A136&lt;0</formula>
    </cfRule>
  </conditionalFormatting>
  <conditionalFormatting sqref="AS1">
    <cfRule type="expression" dxfId="223" priority="17" stopIfTrue="1">
      <formula>$A$1269&lt;0</formula>
    </cfRule>
  </conditionalFormatting>
  <conditionalFormatting sqref="AR1">
    <cfRule type="expression" dxfId="222" priority="16" stopIfTrue="1">
      <formula>$A$1269&lt;0</formula>
    </cfRule>
  </conditionalFormatting>
  <conditionalFormatting sqref="AN19:AO19">
    <cfRule type="expression" dxfId="221" priority="1" stopIfTrue="1">
      <formula>ROW()-3=$A$1269</formula>
    </cfRule>
  </conditionalFormatting>
  <conditionalFormatting sqref="BU31:IV31 N31:AF31">
    <cfRule type="expression" dxfId="220" priority="12" stopIfTrue="1">
      <formula>ROW()-3=$A$1269</formula>
    </cfRule>
  </conditionalFormatting>
  <conditionalFormatting sqref="BU31:CM31">
    <cfRule type="expression" dxfId="219" priority="13" stopIfTrue="1">
      <formula>ROW()-2=#REF!</formula>
    </cfRule>
  </conditionalFormatting>
  <conditionalFormatting sqref="A31:M31">
    <cfRule type="expression" dxfId="218" priority="14" stopIfTrue="1">
      <formula>OR(A31&lt;0,ROW()-3=$A$1269)</formula>
    </cfRule>
  </conditionalFormatting>
  <conditionalFormatting sqref="AG31:AM31 AP31:BT31">
    <cfRule type="expression" dxfId="217" priority="15" stopIfTrue="1">
      <formula>ROW()-3=$A$1269</formula>
    </cfRule>
  </conditionalFormatting>
  <conditionalFormatting sqref="AN31:AO31">
    <cfRule type="expression" dxfId="216" priority="11" stopIfTrue="1">
      <formula>ROW()-3=$A$1269</formula>
    </cfRule>
  </conditionalFormatting>
  <conditionalFormatting sqref="BU27:IV27 N27:AF27">
    <cfRule type="expression" dxfId="215" priority="7" stopIfTrue="1">
      <formula>ROW()-3=$A$1269</formula>
    </cfRule>
  </conditionalFormatting>
  <conditionalFormatting sqref="BU27:CM27">
    <cfRule type="expression" dxfId="214" priority="8" stopIfTrue="1">
      <formula>ROW()-2=#REF!</formula>
    </cfRule>
  </conditionalFormatting>
  <conditionalFormatting sqref="A27:M27">
    <cfRule type="expression" dxfId="213" priority="9" stopIfTrue="1">
      <formula>OR(A27&lt;0,ROW()-3=$A$1269)</formula>
    </cfRule>
  </conditionalFormatting>
  <conditionalFormatting sqref="AG27:AM27 AP27:BT27">
    <cfRule type="expression" dxfId="212" priority="10" stopIfTrue="1">
      <formula>ROW()-3=$A$1269</formula>
    </cfRule>
  </conditionalFormatting>
  <conditionalFormatting sqref="AN27:AO27">
    <cfRule type="expression" dxfId="211" priority="6" stopIfTrue="1">
      <formula>ROW()-3=$A$1269</formula>
    </cfRule>
  </conditionalFormatting>
  <conditionalFormatting sqref="BU19:IV19 N19:AF19">
    <cfRule type="expression" dxfId="210" priority="2" stopIfTrue="1">
      <formula>ROW()-3=$A$1269</formula>
    </cfRule>
  </conditionalFormatting>
  <conditionalFormatting sqref="BU19:CM19">
    <cfRule type="expression" dxfId="209" priority="3" stopIfTrue="1">
      <formula>ROW()-2=#REF!</formula>
    </cfRule>
  </conditionalFormatting>
  <conditionalFormatting sqref="A19:M19">
    <cfRule type="expression" dxfId="208" priority="4" stopIfTrue="1">
      <formula>OR(A19&lt;0,ROW()-3=$A$1269)</formula>
    </cfRule>
  </conditionalFormatting>
  <conditionalFormatting sqref="AG19:AM19 AP19:BT19">
    <cfRule type="expression" dxfId="207" priority="5" stopIfTrue="1">
      <formula>ROW()-3=$A$1269</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I1269"/>
  <sheetViews>
    <sheetView zoomScale="85" workbookViewId="0">
      <pane ySplit="2" topLeftCell="A3" activePane="bottomLeft" state="frozenSplit"/>
      <selection activeCell="S34" sqref="S34"/>
      <selection pane="bottomLeft" activeCell="A3" sqref="A3"/>
    </sheetView>
  </sheetViews>
  <sheetFormatPr defaultColWidth="3.44140625" defaultRowHeight="13.2" x14ac:dyDescent="0.25"/>
  <cols>
    <col min="1" max="1" width="5.109375" style="323" customWidth="1"/>
    <col min="2" max="2" width="5.109375" bestFit="1" customWidth="1"/>
    <col min="3" max="3" width="5" customWidth="1"/>
    <col min="4" max="4" width="7.44140625" style="2" bestFit="1" customWidth="1"/>
    <col min="5" max="5" width="6.44140625" style="3" bestFit="1" customWidth="1"/>
    <col min="6" max="6" width="9.5546875" style="4" bestFit="1" customWidth="1"/>
    <col min="7" max="7" width="4.5546875" style="5" bestFit="1" customWidth="1"/>
    <col min="8" max="8" width="7.44140625" style="6" bestFit="1" customWidth="1"/>
    <col min="9" max="9" width="8" style="7" bestFit="1" customWidth="1"/>
    <col min="10" max="10" width="6" style="8" bestFit="1" customWidth="1"/>
    <col min="11" max="11" width="3.44140625" customWidth="1"/>
    <col min="12" max="12" width="12.88671875" customWidth="1"/>
    <col min="13" max="13" width="10" customWidth="1"/>
    <col min="14" max="14" width="9" bestFit="1" customWidth="1"/>
    <col min="15" max="15" width="9.44140625" bestFit="1" customWidth="1"/>
    <col min="16" max="16" width="8.44140625" bestFit="1" customWidth="1"/>
    <col min="17" max="17" width="5.109375" bestFit="1" customWidth="1"/>
    <col min="18" max="18" width="5.109375" style="445" bestFit="1" customWidth="1"/>
    <col min="19" max="19" width="10.44140625" bestFit="1" customWidth="1"/>
    <col min="20" max="20" width="8" bestFit="1" customWidth="1"/>
    <col min="21" max="21" width="6.44140625" bestFit="1" customWidth="1"/>
    <col min="22" max="22" width="8.5546875" bestFit="1" customWidth="1"/>
    <col min="23" max="23" width="3.5546875" bestFit="1" customWidth="1"/>
    <col min="24" max="24" width="7.44140625" bestFit="1" customWidth="1"/>
    <col min="25" max="25" width="7" bestFit="1" customWidth="1"/>
    <col min="26" max="26" width="6" bestFit="1" customWidth="1"/>
    <col min="27" max="27" width="5.6640625" bestFit="1" customWidth="1"/>
    <col min="28" max="28" width="8.109375" bestFit="1" customWidth="1"/>
    <col min="29" max="29" width="9.33203125" bestFit="1" customWidth="1"/>
    <col min="30" max="30" width="7.109375" bestFit="1" customWidth="1"/>
    <col min="31" max="32" width="8.44140625" bestFit="1" customWidth="1"/>
    <col min="33" max="33" width="12.44140625" bestFit="1" customWidth="1"/>
    <col min="34" max="34" width="8.33203125" bestFit="1" customWidth="1"/>
    <col min="35" max="35" width="8.109375" bestFit="1" customWidth="1"/>
    <col min="36" max="36" width="8" customWidth="1"/>
  </cols>
  <sheetData>
    <row r="1" spans="1:35" s="106" customFormat="1" x14ac:dyDescent="0.25">
      <c r="A1" s="328"/>
      <c r="D1" s="106" t="s">
        <v>56</v>
      </c>
      <c r="L1" s="1478" t="s">
        <v>315</v>
      </c>
      <c r="M1" s="1415"/>
      <c r="N1" s="1415"/>
      <c r="O1" s="1415"/>
      <c r="P1" s="1415"/>
      <c r="Q1" s="1415"/>
      <c r="R1" s="580"/>
      <c r="S1" s="106" t="s">
        <v>369</v>
      </c>
      <c r="T1" s="106" t="s">
        <v>188</v>
      </c>
      <c r="AB1" s="1470" t="s">
        <v>80</v>
      </c>
      <c r="AC1" s="1470"/>
      <c r="AF1" s="106" t="s">
        <v>33</v>
      </c>
    </row>
    <row r="2" spans="1:35" s="521" customFormat="1" ht="13.8" thickBot="1" x14ac:dyDescent="0.3">
      <c r="A2" s="544" t="s">
        <v>0</v>
      </c>
      <c r="B2" s="521" t="s">
        <v>1</v>
      </c>
      <c r="D2" s="650" t="s">
        <v>57</v>
      </c>
      <c r="E2" s="651" t="s">
        <v>60</v>
      </c>
      <c r="F2" s="652" t="s">
        <v>189</v>
      </c>
      <c r="G2" s="653" t="s">
        <v>62</v>
      </c>
      <c r="H2" s="654" t="s">
        <v>63</v>
      </c>
      <c r="I2" s="655" t="s">
        <v>64</v>
      </c>
      <c r="J2" s="656" t="s">
        <v>65</v>
      </c>
      <c r="N2" s="658" t="s">
        <v>196</v>
      </c>
      <c r="O2" s="658" t="s">
        <v>377</v>
      </c>
      <c r="P2" s="658" t="s">
        <v>376</v>
      </c>
      <c r="Q2" s="521" t="s">
        <v>1</v>
      </c>
      <c r="R2" s="1404" t="s">
        <v>760</v>
      </c>
      <c r="S2" s="659" t="s">
        <v>239</v>
      </c>
      <c r="T2" s="650" t="s">
        <v>257</v>
      </c>
      <c r="U2" s="651" t="s">
        <v>60</v>
      </c>
      <c r="V2" s="652" t="s">
        <v>259</v>
      </c>
      <c r="W2" s="653" t="s">
        <v>258</v>
      </c>
      <c r="X2" s="654" t="s">
        <v>63</v>
      </c>
      <c r="Y2" s="655" t="s">
        <v>256</v>
      </c>
      <c r="Z2" s="656" t="s">
        <v>65</v>
      </c>
      <c r="AA2" s="521" t="s">
        <v>325</v>
      </c>
      <c r="AB2" s="521" t="s">
        <v>24</v>
      </c>
      <c r="AC2" s="521" t="s">
        <v>2</v>
      </c>
      <c r="AD2" s="820"/>
      <c r="AE2" s="313" t="s">
        <v>583</v>
      </c>
      <c r="AF2" s="521" t="s">
        <v>59</v>
      </c>
      <c r="AG2" s="521" t="s">
        <v>190</v>
      </c>
      <c r="AH2" s="521" t="s">
        <v>2</v>
      </c>
      <c r="AI2" s="521" t="s">
        <v>24</v>
      </c>
    </row>
    <row r="3" spans="1:35" s="686" customFormat="1" x14ac:dyDescent="0.25">
      <c r="A3" s="680">
        <f>Rezone!J3</f>
        <v>1</v>
      </c>
      <c r="B3" s="687">
        <f>Construction!E3</f>
        <v>1000</v>
      </c>
      <c r="C3" s="702"/>
      <c r="D3" s="689">
        <f>Construction!F3</f>
        <v>70</v>
      </c>
      <c r="E3" s="690">
        <f>Construction!G3</f>
        <v>100</v>
      </c>
      <c r="F3" s="691">
        <f>Construction!H3</f>
        <v>150</v>
      </c>
      <c r="G3" s="692">
        <f>Construction!I3</f>
        <v>150</v>
      </c>
      <c r="H3" s="693">
        <f>Construction!J3</f>
        <v>100</v>
      </c>
      <c r="I3" s="694">
        <f>Construction!K3</f>
        <v>150</v>
      </c>
      <c r="J3" s="695">
        <f>Construction!L3</f>
        <v>100</v>
      </c>
      <c r="K3" s="681"/>
      <c r="L3" s="681"/>
      <c r="M3" s="681"/>
      <c r="N3" s="700">
        <f>Military!AB3</f>
        <v>0</v>
      </c>
      <c r="O3" s="703">
        <f ca="1">Population!I3</f>
        <v>0.32653061224489793</v>
      </c>
      <c r="P3" s="700">
        <f ca="1">Imps!J3</f>
        <v>2.2058823529411766</v>
      </c>
      <c r="Q3" s="687">
        <f t="shared" ref="Q3:Q34" si="0">B3</f>
        <v>1000</v>
      </c>
      <c r="R3" s="749">
        <v>1</v>
      </c>
      <c r="S3" s="704"/>
      <c r="T3" s="696"/>
      <c r="U3" s="696"/>
      <c r="V3" s="696"/>
      <c r="W3" s="696"/>
      <c r="X3" s="696"/>
      <c r="Y3" s="696"/>
      <c r="Z3" s="697"/>
      <c r="AA3" s="705">
        <f>Imps!CM3</f>
        <v>43768</v>
      </c>
      <c r="AB3" s="685">
        <f ca="1">Military!Z3</f>
        <v>4725</v>
      </c>
      <c r="AC3" s="684">
        <f ca="1">Production!H3</f>
        <v>4350000</v>
      </c>
      <c r="AD3" s="536"/>
      <c r="AE3" s="1037">
        <f>B3-S3*20</f>
        <v>1000</v>
      </c>
      <c r="AF3" s="682">
        <f>ROUND(IF(AE3&gt;=300,1000+3*(AE3-300)^MIN(MAX(1.05/(AE3^0.019),1.09),1.119),1000-3*(300-AE3))*(1+IF(Overview!$B$14="Ants",ant_explore_penalty,0)+MIN(tech_explore_cost*Techs!Z3,tech_explore_cost2*Techs!AB3,tech_enchanted_lands_explore*Techs!AT3)),0)</f>
        <v>4787</v>
      </c>
      <c r="AG3" s="683">
        <f>ROUND(MAX(IF(AE3&gt;=300,5+0.003*(AE3-300)^1.07,5-300/AE3)+MIN(tech_explore_draft1*Techs!AA3,tech_explore_draft2*Techs!AB3),3),0)</f>
        <v>8</v>
      </c>
      <c r="AH3" s="683">
        <f t="shared" ref="AH3:AH66" si="1">SUM(T3:Z3)*AF3</f>
        <v>0</v>
      </c>
      <c r="AI3" s="684">
        <f t="shared" ref="AI3:AI66" si="2">SUM(T3:Z3)*AG3</f>
        <v>0</v>
      </c>
    </row>
    <row r="4" spans="1:35" s="191" customFormat="1" x14ac:dyDescent="0.25">
      <c r="A4" s="509">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0">
        <v>2</v>
      </c>
      <c r="S4" s="335"/>
      <c r="T4" s="345"/>
      <c r="U4" s="345"/>
      <c r="V4" s="345"/>
      <c r="W4" s="345"/>
      <c r="X4" s="345"/>
      <c r="Y4" s="345"/>
      <c r="Z4" s="353"/>
      <c r="AA4" s="533">
        <f>Imps!CM4</f>
        <v>43768.010416666664</v>
      </c>
      <c r="AB4" s="156">
        <f ca="1">Military!Z4</f>
        <v>4835</v>
      </c>
      <c r="AC4" s="167">
        <f ca="1">Production!H4</f>
        <v>4359720</v>
      </c>
      <c r="AD4" s="170"/>
      <c r="AE4" s="159">
        <f t="shared" ref="AE4:AE67" si="3">B4-S4*20</f>
        <v>1000</v>
      </c>
      <c r="AF4" s="172">
        <f>ROUND(IF(AE4&gt;=300,1000+3*(AE4-300)^MIN(MAX(1.05/(AE4^0.019),1.09),1.119),1000-3*(300-AE4))*(1+IF(Overview!$B$14="Ants",ant_explore_penalty,0)+MIN(tech_explore_cost*Techs!Z4,tech_explore_cost2*Techs!AB4,tech_enchanted_lands_explore*Techs!AT4)),0)</f>
        <v>4787</v>
      </c>
      <c r="AG4" s="168">
        <f>ROUND(MAX(IF(AE4&gt;=300,5+0.003*(AE4-300)^1.07,5-300/AE4)+MIN(tech_explore_draft1*Techs!AA4,tech_explore_draft2*Techs!AB4),3),0)</f>
        <v>8</v>
      </c>
      <c r="AH4" s="168">
        <f t="shared" si="1"/>
        <v>0</v>
      </c>
      <c r="AI4" s="167">
        <f t="shared" si="2"/>
        <v>0</v>
      </c>
    </row>
    <row r="5" spans="1:35" s="170" customFormat="1" x14ac:dyDescent="0.25">
      <c r="A5" s="508">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2">
        <v>3</v>
      </c>
      <c r="S5" s="335"/>
      <c r="T5" s="345"/>
      <c r="U5" s="345"/>
      <c r="V5" s="345"/>
      <c r="W5" s="345"/>
      <c r="X5" s="345"/>
      <c r="Y5" s="345"/>
      <c r="Z5" s="353"/>
      <c r="AA5" s="532">
        <f>Imps!CM5</f>
        <v>43768.020833333328</v>
      </c>
      <c r="AB5" s="156">
        <f ca="1">Military!Z5</f>
        <v>4939</v>
      </c>
      <c r="AC5" s="166">
        <f ca="1">Production!H5</f>
        <v>4369440</v>
      </c>
      <c r="AE5" s="159">
        <f t="shared" si="3"/>
        <v>1000</v>
      </c>
      <c r="AF5" s="152">
        <f>ROUND(IF(AE5&gt;=300,1000+3*(AE5-300)^MIN(MAX(1.05/(AE5^0.019),1.09),1.119),1000-3*(300-AE5))*(1+IF(Overview!$B$14="Ants",ant_explore_penalty,0)+MIN(tech_explore_cost*Techs!Z5,tech_explore_cost2*Techs!AB5,tech_enchanted_lands_explore*Techs!AT5)),0)</f>
        <v>4787</v>
      </c>
      <c r="AG5" s="164">
        <f>ROUND(MAX(IF(AE5&gt;=300,5+0.003*(AE5-300)^1.07,5-300/AE5)+MIN(tech_explore_draft1*Techs!AA5,tech_explore_draft2*Techs!AB5),3),0)</f>
        <v>8</v>
      </c>
      <c r="AH5" s="164">
        <f t="shared" si="1"/>
        <v>0</v>
      </c>
      <c r="AI5" s="166">
        <f t="shared" si="2"/>
        <v>0</v>
      </c>
    </row>
    <row r="6" spans="1:35" s="16" customFormat="1" x14ac:dyDescent="0.25">
      <c r="A6" s="511">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2">
        <v>4</v>
      </c>
      <c r="S6" s="340"/>
      <c r="T6" s="363"/>
      <c r="U6" s="348"/>
      <c r="V6" s="348"/>
      <c r="W6" s="348"/>
      <c r="X6" s="348"/>
      <c r="Y6" s="348"/>
      <c r="Z6" s="357"/>
      <c r="AA6" s="535">
        <f>Imps!CM6</f>
        <v>43768.031249999993</v>
      </c>
      <c r="AB6" s="156">
        <f ca="1">Military!Z6</f>
        <v>5036</v>
      </c>
      <c r="AC6" s="57">
        <f ca="1">Production!H6</f>
        <v>4379160</v>
      </c>
      <c r="AE6" s="63">
        <f t="shared" si="3"/>
        <v>1000</v>
      </c>
      <c r="AF6" s="152">
        <f>ROUND(IF(AE6&gt;=300,1000+3*(AE6-300)^MIN(MAX(1.05/(AE6^0.019),1.09),1.119),1000-3*(300-AE6))*(1+IF(Overview!$B$14="Ants",ant_explore_penalty,0)+MIN(tech_explore_cost*Techs!Z6,tech_explore_cost2*Techs!AB6,tech_enchanted_lands_explore*Techs!AT6)),0)</f>
        <v>4787</v>
      </c>
      <c r="AG6" s="164">
        <f>ROUND(MAX(IF(AE6&gt;=300,5+0.003*(AE6-300)^1.07,5-300/AE6)+MIN(tech_explore_draft1*Techs!AA6,tech_explore_draft2*Techs!AB6),3),0)</f>
        <v>8</v>
      </c>
      <c r="AH6" s="26">
        <f t="shared" si="1"/>
        <v>0</v>
      </c>
      <c r="AI6" s="57">
        <f t="shared" si="2"/>
        <v>0</v>
      </c>
    </row>
    <row r="7" spans="1:35" s="16" customFormat="1" x14ac:dyDescent="0.25">
      <c r="A7" s="511">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2">
        <v>5</v>
      </c>
      <c r="S7" s="340"/>
      <c r="T7" s="363"/>
      <c r="U7" s="348"/>
      <c r="V7" s="348"/>
      <c r="W7" s="348"/>
      <c r="X7" s="348"/>
      <c r="Y7" s="348"/>
      <c r="Z7" s="357"/>
      <c r="AA7" s="535">
        <f>Imps!CM7</f>
        <v>43768.041666666657</v>
      </c>
      <c r="AB7" s="156">
        <f ca="1">Military!Z7</f>
        <v>5128</v>
      </c>
      <c r="AC7" s="57">
        <f ca="1">Production!H7</f>
        <v>4388880</v>
      </c>
      <c r="AE7" s="63">
        <f t="shared" si="3"/>
        <v>1000</v>
      </c>
      <c r="AF7" s="152">
        <f>ROUND(IF(AE7&gt;=300,1000+3*(AE7-300)^MIN(MAX(1.05/(AE7^0.019),1.09),1.119),1000-3*(300-AE7))*(1+IF(Overview!$B$14="Ants",ant_explore_penalty,0)+MIN(tech_explore_cost*Techs!Z7,tech_explore_cost2*Techs!AB7,tech_enchanted_lands_explore*Techs!AT7)),0)</f>
        <v>4787</v>
      </c>
      <c r="AG7" s="164">
        <f>ROUND(MAX(IF(AE7&gt;=300,5+0.003*(AE7-300)^1.07,5-300/AE7)+MIN(tech_explore_draft1*Techs!AA7,tech_explore_draft2*Techs!AB7),3),0)</f>
        <v>8</v>
      </c>
      <c r="AH7" s="26">
        <f t="shared" si="1"/>
        <v>0</v>
      </c>
      <c r="AI7" s="57">
        <f t="shared" si="2"/>
        <v>0</v>
      </c>
    </row>
    <row r="8" spans="1:35" s="16" customFormat="1" x14ac:dyDescent="0.25">
      <c r="A8" s="511">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2">
        <v>6</v>
      </c>
      <c r="S8" s="340"/>
      <c r="T8" s="348"/>
      <c r="U8" s="348"/>
      <c r="V8" s="348"/>
      <c r="W8" s="348"/>
      <c r="X8" s="348"/>
      <c r="Y8" s="348"/>
      <c r="Z8" s="357"/>
      <c r="AA8" s="535">
        <f>Imps!CM8</f>
        <v>43768.052083333321</v>
      </c>
      <c r="AB8" s="156">
        <f ca="1">Military!Z8</f>
        <v>5214</v>
      </c>
      <c r="AC8" s="57">
        <f ca="1">Production!H8</f>
        <v>4398600</v>
      </c>
      <c r="AE8" s="63">
        <f t="shared" si="3"/>
        <v>1000</v>
      </c>
      <c r="AF8" s="152">
        <f>ROUND(IF(AE8&gt;=300,1000+3*(AE8-300)^MIN(MAX(1.05/(AE8^0.019),1.09),1.119),1000-3*(300-AE8))*(1+IF(Overview!$B$14="Ants",ant_explore_penalty,0)+MIN(tech_explore_cost*Techs!Z8,tech_explore_cost2*Techs!AB8,tech_enchanted_lands_explore*Techs!AT8)),0)</f>
        <v>4787</v>
      </c>
      <c r="AG8" s="164">
        <f>ROUND(MAX(IF(AE8&gt;=300,5+0.003*(AE8-300)^1.07,5-300/AE8)+MIN(tech_explore_draft1*Techs!AA8,tech_explore_draft2*Techs!AB8),3),0)</f>
        <v>8</v>
      </c>
      <c r="AH8" s="26">
        <f t="shared" si="1"/>
        <v>0</v>
      </c>
      <c r="AI8" s="57">
        <f t="shared" si="2"/>
        <v>0</v>
      </c>
    </row>
    <row r="9" spans="1:35" s="16" customFormat="1" x14ac:dyDescent="0.25">
      <c r="A9" s="511">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2">
        <v>7</v>
      </c>
      <c r="S9" s="340"/>
      <c r="T9" s="348"/>
      <c r="U9" s="348"/>
      <c r="V9" s="348"/>
      <c r="W9" s="348"/>
      <c r="X9" s="348"/>
      <c r="Y9" s="348"/>
      <c r="Z9" s="357"/>
      <c r="AA9" s="535">
        <f>Imps!CM9</f>
        <v>43768.062499999985</v>
      </c>
      <c r="AB9" s="156">
        <f ca="1">Military!Z9</f>
        <v>5295</v>
      </c>
      <c r="AC9" s="57">
        <f ca="1">Production!H9</f>
        <v>4408320</v>
      </c>
      <c r="AE9" s="63">
        <f>B9-S9*20</f>
        <v>1000</v>
      </c>
      <c r="AF9" s="152">
        <f>ROUND(IF(AE9&gt;=300,1000+3*(AE9-300)^MIN(MAX(1.05/(AE9^0.019),1.09),1.119),1000-3*(300-AE9))*(1+IF(Overview!$B$14="Ants",ant_explore_penalty,0)+MIN(tech_explore_cost*Techs!Z9,tech_explore_cost2*Techs!AB9,tech_enchanted_lands_explore*Techs!AT9)),0)</f>
        <v>4787</v>
      </c>
      <c r="AG9" s="164">
        <f>ROUND(MAX(IF(AE9&gt;=300,5+0.003*(AE9-300)^1.07,5-300/AE9)+MIN(tech_explore_draft1*Techs!AA9,tech_explore_draft2*Techs!AB9),3),0)</f>
        <v>8</v>
      </c>
      <c r="AH9" s="26">
        <f t="shared" si="1"/>
        <v>0</v>
      </c>
      <c r="AI9" s="57">
        <f t="shared" si="2"/>
        <v>0</v>
      </c>
    </row>
    <row r="10" spans="1:35" s="16" customFormat="1" x14ac:dyDescent="0.25">
      <c r="A10" s="511">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2">
        <v>8</v>
      </c>
      <c r="S10" s="340"/>
      <c r="T10" s="348"/>
      <c r="U10" s="348"/>
      <c r="V10" s="348"/>
      <c r="W10" s="348"/>
      <c r="X10" s="348"/>
      <c r="Y10" s="348"/>
      <c r="Z10" s="357"/>
      <c r="AA10" s="535">
        <f>Imps!CM10</f>
        <v>43768.07291666665</v>
      </c>
      <c r="AB10" s="156">
        <f ca="1">Military!Z10</f>
        <v>5295</v>
      </c>
      <c r="AC10" s="57">
        <f ca="1">Production!H10</f>
        <v>4418040</v>
      </c>
      <c r="AE10" s="63">
        <f t="shared" si="3"/>
        <v>1000</v>
      </c>
      <c r="AF10" s="152">
        <f>ROUND(IF(AE10&gt;=300,1000+3*(AE10-300)^MIN(MAX(1.05/(AE10^0.019),1.09),1.119),1000-3*(300-AE10))*(1+IF(Overview!$B$14="Ants",ant_explore_penalty,0)+MIN(tech_explore_cost*Techs!Z10,tech_explore_cost2*Techs!AB10,tech_enchanted_lands_explore*Techs!AT10)),0)</f>
        <v>4787</v>
      </c>
      <c r="AG10" s="164">
        <f>ROUND(MAX(IF(AE10&gt;=300,5+0.003*(AE10-300)^1.07,5-300/AE10)+MIN(tech_explore_draft1*Techs!AA10,tech_explore_draft2*Techs!AB10),3),0)</f>
        <v>8</v>
      </c>
      <c r="AH10" s="26">
        <f t="shared" si="1"/>
        <v>0</v>
      </c>
      <c r="AI10" s="57">
        <f t="shared" si="2"/>
        <v>0</v>
      </c>
    </row>
    <row r="11" spans="1:35" s="16" customFormat="1" x14ac:dyDescent="0.25">
      <c r="A11" s="511">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2">
        <v>9</v>
      </c>
      <c r="S11" s="340"/>
      <c r="T11" s="345"/>
      <c r="U11" s="348"/>
      <c r="V11" s="348"/>
      <c r="W11" s="348"/>
      <c r="X11" s="348"/>
      <c r="Y11" s="348"/>
      <c r="Z11" s="357"/>
      <c r="AA11" s="535">
        <f>Imps!CM11</f>
        <v>43768.083333333314</v>
      </c>
      <c r="AB11" s="156">
        <f ca="1">Military!Z11</f>
        <v>5295</v>
      </c>
      <c r="AC11" s="57">
        <f ca="1">Production!H11</f>
        <v>4427760</v>
      </c>
      <c r="AE11" s="63">
        <f t="shared" si="3"/>
        <v>1000</v>
      </c>
      <c r="AF11" s="152">
        <f>ROUND(IF(AE11&gt;=300,1000+3*(AE11-300)^MIN(MAX(1.05/(AE11^0.019),1.09),1.119),1000-3*(300-AE11))*(1+IF(Overview!$B$14="Ants",ant_explore_penalty,0)+MIN(tech_explore_cost*Techs!Z11,tech_explore_cost2*Techs!AB11,tech_enchanted_lands_explore*Techs!AT11)),0)</f>
        <v>4787</v>
      </c>
      <c r="AG11" s="164">
        <f>ROUND(MAX(IF(AE11&gt;=300,5+0.003*(AE11-300)^1.07,5-300/AE11)+MIN(tech_explore_draft1*Techs!AA11,tech_explore_draft2*Techs!AB11),3),0)</f>
        <v>8</v>
      </c>
      <c r="AH11" s="26">
        <f t="shared" si="1"/>
        <v>0</v>
      </c>
      <c r="AI11" s="57">
        <f t="shared" si="2"/>
        <v>0</v>
      </c>
    </row>
    <row r="12" spans="1:35" s="16" customFormat="1" x14ac:dyDescent="0.25">
      <c r="A12" s="511">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2">
        <v>10</v>
      </c>
      <c r="S12" s="340"/>
      <c r="T12" s="348"/>
      <c r="U12" s="348"/>
      <c r="V12" s="348"/>
      <c r="W12" s="348"/>
      <c r="X12" s="348"/>
      <c r="Y12" s="348"/>
      <c r="Z12" s="357"/>
      <c r="AA12" s="535">
        <f>Imps!CM12</f>
        <v>43768.093749999978</v>
      </c>
      <c r="AB12" s="156">
        <f ca="1">Military!Z12</f>
        <v>5295</v>
      </c>
      <c r="AC12" s="57">
        <f ca="1">Production!H12</f>
        <v>4437480</v>
      </c>
      <c r="AE12" s="63">
        <f t="shared" si="3"/>
        <v>1000</v>
      </c>
      <c r="AF12" s="152">
        <f>ROUND(IF(AE12&gt;=300,1000+3*(AE12-300)^MIN(MAX(1.05/(AE12^0.019),1.09),1.119),1000-3*(300-AE12))*(1+IF(Overview!$B$14="Ants",ant_explore_penalty,0)+MIN(tech_explore_cost*Techs!Z12,tech_explore_cost2*Techs!AB12,tech_enchanted_lands_explore*Techs!AT12)),0)</f>
        <v>4787</v>
      </c>
      <c r="AG12" s="164">
        <f>ROUND(MAX(IF(AE12&gt;=300,5+0.003*(AE12-300)^1.07,5-300/AE12)+MIN(tech_explore_draft1*Techs!AA12,tech_explore_draft2*Techs!AB12),3),0)</f>
        <v>8</v>
      </c>
      <c r="AH12" s="26">
        <f t="shared" si="1"/>
        <v>0</v>
      </c>
      <c r="AI12" s="57">
        <f t="shared" si="2"/>
        <v>0</v>
      </c>
    </row>
    <row r="13" spans="1:35" s="16" customFormat="1" x14ac:dyDescent="0.25">
      <c r="A13" s="511">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2">
        <v>11</v>
      </c>
      <c r="S13" s="340"/>
      <c r="T13" s="348"/>
      <c r="U13" s="348"/>
      <c r="V13" s="348"/>
      <c r="W13" s="348"/>
      <c r="X13" s="348"/>
      <c r="Y13" s="348"/>
      <c r="Z13" s="357"/>
      <c r="AA13" s="535">
        <f>Imps!CM13</f>
        <v>43768.104166666642</v>
      </c>
      <c r="AB13" s="156">
        <f ca="1">Military!Z13</f>
        <v>5295</v>
      </c>
      <c r="AC13" s="57">
        <f ca="1">Production!H13</f>
        <v>4447200</v>
      </c>
      <c r="AE13" s="63">
        <f t="shared" si="3"/>
        <v>1000</v>
      </c>
      <c r="AF13" s="152">
        <f>ROUND(IF(AE13&gt;=300,1000+3*(AE13-300)^MIN(MAX(1.05/(AE13^0.019),1.09),1.119),1000-3*(300-AE13))*(1+IF(Overview!$B$14="Ants",ant_explore_penalty,0)+MIN(tech_explore_cost*Techs!Z13,tech_explore_cost2*Techs!AB13,tech_enchanted_lands_explore*Techs!AT13)),0)</f>
        <v>4787</v>
      </c>
      <c r="AG13" s="164">
        <f>ROUND(MAX(IF(AE13&gt;=300,5+0.003*(AE13-300)^1.07,5-300/AE13)+MIN(tech_explore_draft1*Techs!AA13,tech_explore_draft2*Techs!AB13),3),0)</f>
        <v>8</v>
      </c>
      <c r="AH13" s="26">
        <f t="shared" si="1"/>
        <v>0</v>
      </c>
      <c r="AI13" s="57">
        <f t="shared" si="2"/>
        <v>0</v>
      </c>
    </row>
    <row r="14" spans="1:35" s="170" customFormat="1" x14ac:dyDescent="0.25">
      <c r="A14" s="508">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78"/>
      <c r="M14" s="726"/>
      <c r="N14" s="826">
        <f>Military!AB14</f>
        <v>0</v>
      </c>
      <c r="O14" s="187">
        <f ca="1">Population!I14</f>
        <v>0.61171214206110025</v>
      </c>
      <c r="P14" s="251">
        <f ca="1">Imps!J14</f>
        <v>1.5658432834472658</v>
      </c>
      <c r="Q14" s="157">
        <f t="shared" si="0"/>
        <v>1000</v>
      </c>
      <c r="R14" s="632">
        <v>12</v>
      </c>
      <c r="S14" s="335"/>
      <c r="T14" s="363"/>
      <c r="U14" s="345"/>
      <c r="V14" s="345"/>
      <c r="W14" s="345"/>
      <c r="X14" s="345"/>
      <c r="Y14" s="345"/>
      <c r="Z14" s="353"/>
      <c r="AA14" s="532">
        <f>Imps!CM14</f>
        <v>43768.114583333307</v>
      </c>
      <c r="AB14" s="156">
        <f ca="1">Military!Z14</f>
        <v>5295</v>
      </c>
      <c r="AC14" s="166">
        <f ca="1">Production!H14</f>
        <v>4456920</v>
      </c>
      <c r="AE14" s="159">
        <f t="shared" si="3"/>
        <v>1000</v>
      </c>
      <c r="AF14" s="152">
        <f>ROUND(IF(AE14&gt;=300,1000+3*(AE14-300)^MIN(MAX(1.05/(AE14^0.019),1.09),1.119),1000-3*(300-AE14))*(1+IF(Overview!$B$14="Ants",ant_explore_penalty,0)+MIN(tech_explore_cost*Techs!Z14,tech_explore_cost2*Techs!AB14,tech_enchanted_lands_explore*Techs!AT14)),0)</f>
        <v>4787</v>
      </c>
      <c r="AG14" s="164">
        <f>ROUND(MAX(IF(AE14&gt;=300,5+0.003*(AE14-300)^1.07,5-300/AE14)+MIN(tech_explore_draft1*Techs!AA14,tech_explore_draft2*Techs!AB14),3),0)</f>
        <v>8</v>
      </c>
      <c r="AH14" s="164">
        <f t="shared" si="1"/>
        <v>0</v>
      </c>
      <c r="AI14" s="166">
        <f t="shared" si="2"/>
        <v>0</v>
      </c>
    </row>
    <row r="15" spans="1:35" s="163" customFormat="1" ht="13.8" thickBot="1" x14ac:dyDescent="0.3">
      <c r="A15" s="507">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479" t="s">
        <v>393</v>
      </c>
      <c r="M15" s="1480"/>
      <c r="N15" s="305">
        <f>Military!AB15</f>
        <v>0</v>
      </c>
      <c r="O15" s="186">
        <f ca="1">Population!I15</f>
        <v>0.64390751795905288</v>
      </c>
      <c r="P15" s="305">
        <f ca="1">Imps!J15</f>
        <v>1.5246309512076754</v>
      </c>
      <c r="Q15" s="185">
        <f t="shared" si="0"/>
        <v>1000</v>
      </c>
      <c r="R15" s="318">
        <v>13</v>
      </c>
      <c r="S15" s="516"/>
      <c r="T15" s="346"/>
      <c r="U15" s="346"/>
      <c r="V15" s="346"/>
      <c r="W15" s="346"/>
      <c r="X15" s="346"/>
      <c r="Y15" s="346"/>
      <c r="Z15" s="372"/>
      <c r="AA15" s="531">
        <f>Imps!CM15</f>
        <v>43768.124999999971</v>
      </c>
      <c r="AB15" s="184">
        <f ca="1">Military!Z15</f>
        <v>5295</v>
      </c>
      <c r="AC15" s="158">
        <f ca="1">Production!H15</f>
        <v>4466640</v>
      </c>
      <c r="AE15" s="287">
        <f t="shared" si="3"/>
        <v>1000</v>
      </c>
      <c r="AF15" s="151">
        <f>ROUND(IF(AE15&gt;=300,1000+3*(AE15-300)^MIN(MAX(1.05/(AE15^0.019),1.09),1.119),1000-3*(300-AE15))*(1+IF(Overview!$B$14="Ants",ant_explore_penalty,0)+MIN(tech_explore_cost*Techs!Z15,tech_explore_cost2*Techs!AB15,tech_enchanted_lands_explore*Techs!AT15)),0)</f>
        <v>4787</v>
      </c>
      <c r="AG15" s="153">
        <f>ROUND(MAX(IF(AE15&gt;=300,5+0.003*(AE15-300)^1.07,5-300/AE15)+MIN(tech_explore_draft1*Techs!AA15,tech_explore_draft2*Techs!AB15),3),0)</f>
        <v>8</v>
      </c>
      <c r="AH15" s="153">
        <f t="shared" si="1"/>
        <v>0</v>
      </c>
      <c r="AI15" s="158">
        <f t="shared" si="2"/>
        <v>0</v>
      </c>
    </row>
    <row r="16" spans="1:35" s="170" customFormat="1" x14ac:dyDescent="0.25">
      <c r="A16" s="508">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2" t="s">
        <v>381</v>
      </c>
      <c r="M16" s="837"/>
      <c r="N16" s="538">
        <f>Military!AB16</f>
        <v>0</v>
      </c>
      <c r="O16" s="187">
        <f ca="1">Population!I16</f>
        <v>0.6777973873253188</v>
      </c>
      <c r="P16" s="251">
        <f ca="1">Imps!J16</f>
        <v>1.4854792355800648</v>
      </c>
      <c r="Q16" s="157">
        <f t="shared" si="0"/>
        <v>1000</v>
      </c>
      <c r="R16" s="632">
        <v>14</v>
      </c>
      <c r="S16" s="335"/>
      <c r="T16" s="345"/>
      <c r="U16" s="345"/>
      <c r="V16" s="345"/>
      <c r="W16" s="345"/>
      <c r="X16" s="345"/>
      <c r="Y16" s="345"/>
      <c r="Z16" s="353"/>
      <c r="AA16" s="532">
        <f>Imps!CM16</f>
        <v>43768.135416666635</v>
      </c>
      <c r="AB16" s="156">
        <f ca="1">Military!Z16</f>
        <v>5295</v>
      </c>
      <c r="AC16" s="166">
        <f ca="1">Production!H16</f>
        <v>4476360</v>
      </c>
      <c r="AE16" s="159">
        <f t="shared" si="3"/>
        <v>1000</v>
      </c>
      <c r="AF16" s="152">
        <f>ROUND(IF(AE16&gt;=300,1000+3*(AE16-300)^MIN(MAX(1.05/(AE16^0.019),1.09),1.119),1000-3*(300-AE16))*(1+IF(Overview!$B$14="Ants",ant_explore_penalty,0)+MIN(tech_explore_cost*Techs!Z16,tech_explore_cost2*Techs!AB16,tech_enchanted_lands_explore*Techs!AT16)),0)</f>
        <v>4787</v>
      </c>
      <c r="AG16" s="164">
        <f>ROUND(MAX(IF(AE16&gt;=300,5+0.003*(AE16-300)^1.07,5-300/AE16)+MIN(tech_explore_draft1*Techs!AA16,tech_explore_draft2*Techs!AB16),3),0)</f>
        <v>8</v>
      </c>
      <c r="AH16" s="164">
        <f t="shared" si="1"/>
        <v>0</v>
      </c>
      <c r="AI16" s="166">
        <f t="shared" si="2"/>
        <v>0</v>
      </c>
    </row>
    <row r="17" spans="1:35" s="170" customFormat="1" x14ac:dyDescent="0.25">
      <c r="A17" s="508">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29" t="s">
        <v>380</v>
      </c>
      <c r="M17" s="838"/>
      <c r="N17" s="538">
        <f>Military!AB17</f>
        <v>0</v>
      </c>
      <c r="O17" s="187">
        <f ca="1">Population!I17</f>
        <v>0.71347093402665129</v>
      </c>
      <c r="P17" s="251">
        <f ca="1">Imps!J17</f>
        <v>1.4482851057338348</v>
      </c>
      <c r="Q17" s="157">
        <f t="shared" si="0"/>
        <v>1000</v>
      </c>
      <c r="R17" s="632">
        <v>15</v>
      </c>
      <c r="S17" s="335"/>
      <c r="T17" s="345"/>
      <c r="U17" s="345"/>
      <c r="V17" s="345"/>
      <c r="W17" s="345"/>
      <c r="X17" s="345"/>
      <c r="Y17" s="345"/>
      <c r="Z17" s="353"/>
      <c r="AA17" s="532">
        <f>Imps!CM17</f>
        <v>43768.145833333299</v>
      </c>
      <c r="AB17" s="156">
        <f ca="1">Military!Z17</f>
        <v>5295</v>
      </c>
      <c r="AC17" s="166">
        <f ca="1">Production!H17</f>
        <v>4486080</v>
      </c>
      <c r="AE17" s="159">
        <f t="shared" si="3"/>
        <v>1000</v>
      </c>
      <c r="AF17" s="152">
        <f>ROUND(IF(AE17&gt;=300,1000+3*(AE17-300)^MIN(MAX(1.05/(AE17^0.019),1.09),1.119),1000-3*(300-AE17))*(1+IF(Overview!$B$14="Ants",ant_explore_penalty,0)+MIN(tech_explore_cost*Techs!Z17,tech_explore_cost2*Techs!AB17,tech_enchanted_lands_explore*Techs!AT17)),0)</f>
        <v>4787</v>
      </c>
      <c r="AG17" s="164">
        <f>ROUND(MAX(IF(AE17&gt;=300,5+0.003*(AE17-300)^1.07,5-300/AE17)+MIN(tech_explore_draft1*Techs!AA17,tech_explore_draft2*Techs!AB17),3),0)</f>
        <v>8</v>
      </c>
      <c r="AH17" s="164">
        <f t="shared" si="1"/>
        <v>0</v>
      </c>
      <c r="AI17" s="166">
        <f t="shared" si="2"/>
        <v>0</v>
      </c>
    </row>
    <row r="18" spans="1:35" s="16" customFormat="1" x14ac:dyDescent="0.25">
      <c r="A18" s="511">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29" t="s">
        <v>378</v>
      </c>
      <c r="M18" s="839"/>
      <c r="N18" s="60">
        <f>Military!AB18</f>
        <v>0</v>
      </c>
      <c r="O18" s="59">
        <f ca="1">Population!I18</f>
        <v>0.75102203581752769</v>
      </c>
      <c r="P18" s="91">
        <f ca="1">Imps!J18</f>
        <v>1.4129506823799161</v>
      </c>
      <c r="Q18" s="53">
        <f t="shared" si="0"/>
        <v>1000</v>
      </c>
      <c r="R18" s="632">
        <v>16</v>
      </c>
      <c r="S18" s="340"/>
      <c r="T18" s="363"/>
      <c r="U18" s="348"/>
      <c r="V18" s="348"/>
      <c r="W18" s="348"/>
      <c r="X18" s="348"/>
      <c r="Y18" s="348"/>
      <c r="Z18" s="357"/>
      <c r="AA18" s="535">
        <f>Imps!CM18</f>
        <v>43768.156249999964</v>
      </c>
      <c r="AB18" s="156">
        <f ca="1">Military!Z18</f>
        <v>5295</v>
      </c>
      <c r="AC18" s="57">
        <f ca="1">Production!H18</f>
        <v>4495800</v>
      </c>
      <c r="AE18" s="63">
        <f t="shared" si="3"/>
        <v>1000</v>
      </c>
      <c r="AF18" s="152">
        <f>ROUND(IF(AE18&gt;=300,1000+3*(AE18-300)^MIN(MAX(1.05/(AE18^0.019),1.09),1.119),1000-3*(300-AE18))*(1+IF(Overview!$B$14="Ants",ant_explore_penalty,0)+MIN(tech_explore_cost*Techs!Z18,tech_explore_cost2*Techs!AB18,tech_enchanted_lands_explore*Techs!AT18)),0)</f>
        <v>4787</v>
      </c>
      <c r="AG18" s="164">
        <f>ROUND(MAX(IF(AE18&gt;=300,5+0.003*(AE18-300)^1.07,5-300/AE18)+MIN(tech_explore_draft1*Techs!AA18,tech_explore_draft2*Techs!AB18),3),0)</f>
        <v>8</v>
      </c>
      <c r="AH18" s="26">
        <f t="shared" si="1"/>
        <v>0</v>
      </c>
      <c r="AI18" s="57">
        <f t="shared" si="2"/>
        <v>0</v>
      </c>
    </row>
    <row r="19" spans="1:35" s="163" customFormat="1" x14ac:dyDescent="0.25">
      <c r="A19" s="507">
        <f>Rezone!J19</f>
        <v>17</v>
      </c>
      <c r="B19" s="185">
        <f>Construction!E19</f>
        <v>1000</v>
      </c>
      <c r="C19" s="185"/>
      <c r="D19" s="196">
        <f>Construction!F19</f>
        <v>70</v>
      </c>
      <c r="E19" s="197">
        <f>Construction!G19</f>
        <v>100</v>
      </c>
      <c r="F19" s="198">
        <f>Construction!H19</f>
        <v>150</v>
      </c>
      <c r="G19" s="199">
        <f>Construction!I19</f>
        <v>150</v>
      </c>
      <c r="H19" s="200">
        <f>Construction!J19</f>
        <v>100</v>
      </c>
      <c r="I19" s="201">
        <f>Construction!K19</f>
        <v>150</v>
      </c>
      <c r="J19" s="202">
        <f>Construction!L19</f>
        <v>100</v>
      </c>
      <c r="L19" s="1479" t="s">
        <v>379</v>
      </c>
      <c r="M19" s="1480"/>
      <c r="N19" s="305">
        <f>Military!AB19</f>
        <v>0</v>
      </c>
      <c r="O19" s="186">
        <f ca="1">Population!I19</f>
        <v>0.79054951138687124</v>
      </c>
      <c r="P19" s="305">
        <f ca="1">Imps!J19</f>
        <v>1.3793829801936934</v>
      </c>
      <c r="Q19" s="185">
        <f t="shared" si="0"/>
        <v>1000</v>
      </c>
      <c r="R19" s="318">
        <v>17</v>
      </c>
      <c r="S19" s="516"/>
      <c r="T19" s="346"/>
      <c r="U19" s="346"/>
      <c r="V19" s="346"/>
      <c r="W19" s="346"/>
      <c r="X19" s="346"/>
      <c r="Y19" s="346"/>
      <c r="Z19" s="372"/>
      <c r="AA19" s="531">
        <f>Imps!CM19</f>
        <v>43768.166666666628</v>
      </c>
      <c r="AB19" s="184">
        <f ca="1">Military!Z19</f>
        <v>5295</v>
      </c>
      <c r="AC19" s="158">
        <f ca="1">Production!H19</f>
        <v>4505520</v>
      </c>
      <c r="AE19" s="287">
        <f t="shared" si="3"/>
        <v>1000</v>
      </c>
      <c r="AF19" s="151">
        <f>ROUND(IF(AE19&gt;=300,1000+3*(AE19-300)^MIN(MAX(1.05/(AE19^0.019),1.09),1.119),1000-3*(300-AE19))*(1+IF(Overview!$B$14="Ants",ant_explore_penalty,0)+MIN(tech_explore_cost*Techs!Z19,tech_explore_cost2*Techs!AB19,tech_enchanted_lands_explore*Techs!AT19)),0)</f>
        <v>4787</v>
      </c>
      <c r="AG19" s="153">
        <f>ROUND(MAX(IF(AE19&gt;=300,5+0.003*(AE19-300)^1.07,5-300/AE19)+MIN(tech_explore_draft1*Techs!AA19,tech_explore_draft2*Techs!AB19),3),0)</f>
        <v>8</v>
      </c>
      <c r="AH19" s="153">
        <f t="shared" si="1"/>
        <v>0</v>
      </c>
      <c r="AI19" s="158">
        <f t="shared" si="2"/>
        <v>0</v>
      </c>
    </row>
    <row r="20" spans="1:35" s="16" customFormat="1" x14ac:dyDescent="0.25">
      <c r="A20" s="511">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29" t="s">
        <v>526</v>
      </c>
      <c r="M20" s="839"/>
      <c r="N20" s="60">
        <f>Military!AB20</f>
        <v>0</v>
      </c>
      <c r="O20" s="59">
        <f ca="1">Population!I20</f>
        <v>0.83215738040723286</v>
      </c>
      <c r="P20" s="91">
        <f ca="1">Imps!J20</f>
        <v>1.347493663116782</v>
      </c>
      <c r="Q20" s="63">
        <f t="shared" si="0"/>
        <v>1000</v>
      </c>
      <c r="R20" s="632">
        <v>18</v>
      </c>
      <c r="S20" s="340"/>
      <c r="T20" s="348"/>
      <c r="U20" s="348"/>
      <c r="V20" s="348"/>
      <c r="W20" s="348"/>
      <c r="X20" s="348"/>
      <c r="Y20" s="348"/>
      <c r="Z20" s="357"/>
      <c r="AA20" s="535">
        <f>Imps!CM20</f>
        <v>43768.177083333292</v>
      </c>
      <c r="AB20" s="156">
        <f ca="1">Military!Z20</f>
        <v>5295</v>
      </c>
      <c r="AC20" s="57">
        <f ca="1">Production!H20</f>
        <v>4515240</v>
      </c>
      <c r="AE20" s="63">
        <f t="shared" si="3"/>
        <v>1000</v>
      </c>
      <c r="AF20" s="152">
        <f>ROUND(IF(AE20&gt;=300,1000+3*(AE20-300)^MIN(MAX(1.05/(AE20^0.019),1.09),1.119),1000-3*(300-AE20))*(1+IF(Overview!$B$14="Ants",ant_explore_penalty,0)+MIN(tech_explore_cost*Techs!Z20,tech_explore_cost2*Techs!AB20,tech_enchanted_lands_explore*Techs!AT20)),0)</f>
        <v>4787</v>
      </c>
      <c r="AG20" s="164">
        <f>ROUND(MAX(IF(AE20&gt;=300,5+0.003*(AE20-300)^1.07,5-300/AE20)+MIN(tech_explore_draft1*Techs!AA20,tech_explore_draft2*Techs!AB20),3),0)</f>
        <v>8</v>
      </c>
      <c r="AH20" s="26">
        <f t="shared" si="1"/>
        <v>0</v>
      </c>
      <c r="AI20" s="57">
        <f t="shared" si="2"/>
        <v>0</v>
      </c>
    </row>
    <row r="21" spans="1:35" s="16" customFormat="1" x14ac:dyDescent="0.25">
      <c r="A21" s="511">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29"/>
      <c r="M21" s="839"/>
      <c r="N21" s="60">
        <f>Military!AB21</f>
        <v>0</v>
      </c>
      <c r="O21" s="59">
        <f ca="1">Population!I21</f>
        <v>0.87595513727077146</v>
      </c>
      <c r="P21" s="91">
        <f ca="1">Imps!J21</f>
        <v>1.3171988118937159</v>
      </c>
      <c r="Q21" s="63">
        <f t="shared" si="0"/>
        <v>1000</v>
      </c>
      <c r="R21" s="632">
        <v>19</v>
      </c>
      <c r="S21" s="340"/>
      <c r="T21" s="348"/>
      <c r="U21" s="348"/>
      <c r="V21" s="348"/>
      <c r="W21" s="348"/>
      <c r="X21" s="348"/>
      <c r="Y21" s="348"/>
      <c r="Z21" s="357"/>
      <c r="AA21" s="535">
        <f>Imps!CM21</f>
        <v>43768.187499999956</v>
      </c>
      <c r="AB21" s="156">
        <f ca="1">Military!Z21</f>
        <v>5295</v>
      </c>
      <c r="AC21" s="57">
        <f ca="1">Production!H21</f>
        <v>4524960</v>
      </c>
      <c r="AE21" s="63">
        <f t="shared" si="3"/>
        <v>1000</v>
      </c>
      <c r="AF21" s="152">
        <f>ROUND(IF(AE21&gt;=300,1000+3*(AE21-300)^MIN(MAX(1.05/(AE21^0.019),1.09),1.119),1000-3*(300-AE21))*(1+IF(Overview!$B$14="Ants",ant_explore_penalty,0)+MIN(tech_explore_cost*Techs!Z21,tech_explore_cost2*Techs!AB21,tech_enchanted_lands_explore*Techs!AT21)),0)</f>
        <v>4787</v>
      </c>
      <c r="AG21" s="164">
        <f>ROUND(MAX(IF(AE21&gt;=300,5+0.003*(AE21-300)^1.07,5-300/AE21)+MIN(tech_explore_draft1*Techs!AA21,tech_explore_draft2*Techs!AB21),3),0)</f>
        <v>8</v>
      </c>
      <c r="AH21" s="26">
        <f t="shared" si="1"/>
        <v>0</v>
      </c>
      <c r="AI21" s="57">
        <f t="shared" si="2"/>
        <v>0</v>
      </c>
    </row>
    <row r="22" spans="1:35" s="16" customFormat="1" ht="13.8" thickBot="1" x14ac:dyDescent="0.3">
      <c r="A22" s="511">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0"/>
      <c r="M22" s="840"/>
      <c r="N22" s="60">
        <f>Military!AB22</f>
        <v>0</v>
      </c>
      <c r="O22" s="59">
        <f ca="1">Population!I22</f>
        <v>0.92205803923239094</v>
      </c>
      <c r="P22" s="91">
        <f ca="1">Imps!J22</f>
        <v>1.2884187032318033</v>
      </c>
      <c r="Q22" s="63">
        <f t="shared" si="0"/>
        <v>1000</v>
      </c>
      <c r="R22" s="632">
        <v>20</v>
      </c>
      <c r="S22" s="340"/>
      <c r="T22" s="348"/>
      <c r="U22" s="348"/>
      <c r="V22" s="348"/>
      <c r="W22" s="348"/>
      <c r="X22" s="348"/>
      <c r="Y22" s="348"/>
      <c r="Z22" s="357"/>
      <c r="AA22" s="535">
        <f>Imps!CM22</f>
        <v>43768.197916666621</v>
      </c>
      <c r="AB22" s="156">
        <f ca="1">Military!Z22</f>
        <v>5295</v>
      </c>
      <c r="AC22" s="57">
        <f ca="1">Production!H22</f>
        <v>4534680</v>
      </c>
      <c r="AE22" s="63">
        <f t="shared" si="3"/>
        <v>1000</v>
      </c>
      <c r="AF22" s="152">
        <f>ROUND(IF(AE22&gt;=300,1000+3*(AE22-300)^MIN(MAX(1.05/(AE22^0.019),1.09),1.119),1000-3*(300-AE22))*(1+IF(Overview!$B$14="Ants",ant_explore_penalty,0)+MIN(tech_explore_cost*Techs!Z22,tech_explore_cost2*Techs!AB22,tech_enchanted_lands_explore*Techs!AT22)),0)</f>
        <v>4787</v>
      </c>
      <c r="AG22" s="164">
        <f>ROUND(MAX(IF(AE22&gt;=300,5+0.003*(AE22-300)^1.07,5-300/AE22)+MIN(tech_explore_draft1*Techs!AA22,tech_explore_draft2*Techs!AB22),3),0)</f>
        <v>8</v>
      </c>
      <c r="AH22" s="26">
        <f t="shared" si="1"/>
        <v>0</v>
      </c>
      <c r="AI22" s="57">
        <f t="shared" si="2"/>
        <v>0</v>
      </c>
    </row>
    <row r="23" spans="1:35" s="16" customFormat="1" x14ac:dyDescent="0.25">
      <c r="A23" s="511">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6">
        <v>21</v>
      </c>
      <c r="S23" s="340"/>
      <c r="T23" s="348"/>
      <c r="U23" s="348"/>
      <c r="V23" s="348"/>
      <c r="W23" s="348"/>
      <c r="X23" s="348"/>
      <c r="Y23" s="348"/>
      <c r="Z23" s="357"/>
      <c r="AA23" s="535">
        <f>Imps!CM23</f>
        <v>43768.208333333285</v>
      </c>
      <c r="AB23" s="156">
        <f ca="1">Military!Z23</f>
        <v>5295</v>
      </c>
      <c r="AC23" s="57">
        <f ca="1">Production!H23</f>
        <v>4544400</v>
      </c>
      <c r="AE23" s="63">
        <f t="shared" si="3"/>
        <v>1000</v>
      </c>
      <c r="AF23" s="152">
        <f>ROUND(IF(AE23&gt;=300,1000+3*(AE23-300)^MIN(MAX(1.05/(AE23^0.019),1.09),1.119),1000-3*(300-AE23))*(1+IF(Overview!$B$14="Ants",ant_explore_penalty,0)+MIN(tech_explore_cost*Techs!Z23,tech_explore_cost2*Techs!AB23,tech_enchanted_lands_explore*Techs!AT23)),0)</f>
        <v>4787</v>
      </c>
      <c r="AG23" s="164">
        <f>ROUND(MAX(IF(AE23&gt;=300,5+0.003*(AE23-300)^1.07,5-300/AE23)+MIN(tech_explore_draft1*Techs!AA23,tech_explore_draft2*Techs!AB23),3),0)</f>
        <v>8</v>
      </c>
      <c r="AH23" s="26">
        <f t="shared" si="1"/>
        <v>0</v>
      </c>
      <c r="AI23" s="57">
        <f t="shared" si="2"/>
        <v>0</v>
      </c>
    </row>
    <row r="24" spans="1:35" s="16" customFormat="1" x14ac:dyDescent="0.25">
      <c r="A24" s="511">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41" t="s">
        <v>394</v>
      </c>
      <c r="M24" s="1481"/>
      <c r="N24" s="91">
        <f>Military!AB24</f>
        <v>0</v>
      </c>
      <c r="O24" s="59">
        <f ca="1">Population!I24</f>
        <v>1</v>
      </c>
      <c r="P24" s="91">
        <f ca="1">Imps!J24</f>
        <v>1.2351035519356102</v>
      </c>
      <c r="Q24" s="53">
        <f t="shared" si="0"/>
        <v>1000</v>
      </c>
      <c r="R24" s="646">
        <v>22</v>
      </c>
      <c r="S24" s="340"/>
      <c r="T24" s="348"/>
      <c r="U24" s="348"/>
      <c r="V24" s="348"/>
      <c r="W24" s="348"/>
      <c r="X24" s="348"/>
      <c r="Y24" s="348"/>
      <c r="Z24" s="357"/>
      <c r="AA24" s="535">
        <f>Imps!CM24</f>
        <v>43768.218749999949</v>
      </c>
      <c r="AB24" s="156">
        <f ca="1">Military!Z24</f>
        <v>5295</v>
      </c>
      <c r="AC24" s="57">
        <f ca="1">Production!H24</f>
        <v>4554120</v>
      </c>
      <c r="AE24" s="63">
        <f t="shared" si="3"/>
        <v>1000</v>
      </c>
      <c r="AF24" s="152">
        <f>ROUND(IF(AE24&gt;=300,1000+3*(AE24-300)^MIN(MAX(1.05/(AE24^0.019),1.09),1.119),1000-3*(300-AE24))*(1+IF(Overview!$B$14="Ants",ant_explore_penalty,0)+MIN(tech_explore_cost*Techs!Z24,tech_explore_cost2*Techs!AB24,tech_enchanted_lands_explore*Techs!AT24)),0)</f>
        <v>4787</v>
      </c>
      <c r="AG24" s="164">
        <f>ROUND(MAX(IF(AE24&gt;=300,5+0.003*(AE24-300)^1.07,5-300/AE24)+MIN(tech_explore_draft1*Techs!AA24,tech_explore_draft2*Techs!AB24),3),0)</f>
        <v>8</v>
      </c>
      <c r="AH24" s="26">
        <f t="shared" si="1"/>
        <v>0</v>
      </c>
      <c r="AI24" s="57">
        <f t="shared" si="2"/>
        <v>0</v>
      </c>
    </row>
    <row r="25" spans="1:35" s="16" customFormat="1" x14ac:dyDescent="0.25">
      <c r="A25" s="511">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381</v>
      </c>
      <c r="M25" s="824">
        <f ca="1">Military!AN66</f>
        <v>4791162</v>
      </c>
      <c r="N25" s="91">
        <f>Military!AB25</f>
        <v>0</v>
      </c>
      <c r="O25" s="59">
        <f ca="1">Population!I25</f>
        <v>1</v>
      </c>
      <c r="P25" s="91">
        <f ca="1">Imps!J25</f>
        <v>1.2104282062716025</v>
      </c>
      <c r="Q25" s="53">
        <f t="shared" si="0"/>
        <v>1000</v>
      </c>
      <c r="R25" s="632">
        <v>23</v>
      </c>
      <c r="S25" s="340"/>
      <c r="T25" s="348"/>
      <c r="U25" s="348"/>
      <c r="V25" s="348"/>
      <c r="W25" s="348"/>
      <c r="X25" s="348"/>
      <c r="Y25" s="348"/>
      <c r="Z25" s="357"/>
      <c r="AA25" s="535">
        <f>Imps!CM25</f>
        <v>43768.229166666613</v>
      </c>
      <c r="AB25" s="156">
        <f ca="1">Military!Z25</f>
        <v>5295</v>
      </c>
      <c r="AC25" s="57">
        <f ca="1">Production!H25</f>
        <v>4563633</v>
      </c>
      <c r="AE25" s="63">
        <f t="shared" si="3"/>
        <v>1000</v>
      </c>
      <c r="AF25" s="152">
        <f>ROUND(IF(AE25&gt;=300,1000+3*(AE25-300)^MIN(MAX(1.05/(AE25^0.019),1.09),1.119),1000-3*(300-AE25))*(1+IF(Overview!$B$14="Ants",ant_explore_penalty,0)+MIN(tech_explore_cost*Techs!Z25,tech_explore_cost2*Techs!AB25,tech_enchanted_lands_explore*Techs!AT25)),0)</f>
        <v>4787</v>
      </c>
      <c r="AG25" s="164">
        <f>ROUND(MAX(IF(AE25&gt;=300,5+0.003*(AE25-300)^1.07,5-300/AE25)+MIN(tech_explore_draft1*Techs!AA25,tech_explore_draft2*Techs!AB25),3),0)</f>
        <v>8</v>
      </c>
      <c r="AH25" s="26">
        <f t="shared" si="1"/>
        <v>0</v>
      </c>
      <c r="AI25" s="57">
        <f t="shared" si="2"/>
        <v>0</v>
      </c>
    </row>
    <row r="26" spans="1:35" s="170" customFormat="1" x14ac:dyDescent="0.25">
      <c r="A26" s="508">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380</v>
      </c>
      <c r="M26" s="578">
        <f ca="1">Production!S75</f>
        <v>4981</v>
      </c>
      <c r="N26" s="251">
        <f>Military!AB26</f>
        <v>0</v>
      </c>
      <c r="O26" s="187">
        <f ca="1">Population!I26</f>
        <v>1</v>
      </c>
      <c r="P26" s="251">
        <f ca="1">Imps!J26</f>
        <v>1.1869866278907957</v>
      </c>
      <c r="Q26" s="157">
        <f t="shared" si="0"/>
        <v>1000</v>
      </c>
      <c r="R26" s="632">
        <v>24</v>
      </c>
      <c r="S26" s="335"/>
      <c r="T26" s="363"/>
      <c r="U26" s="345"/>
      <c r="V26" s="345"/>
      <c r="W26" s="345"/>
      <c r="X26" s="345"/>
      <c r="Y26" s="345"/>
      <c r="Z26" s="353"/>
      <c r="AA26" s="532">
        <f>Imps!CM26</f>
        <v>43768.239583333278</v>
      </c>
      <c r="AB26" s="156">
        <f ca="1">Military!Z26</f>
        <v>5295</v>
      </c>
      <c r="AC26" s="166">
        <f ca="1">Production!H26</f>
        <v>4572671</v>
      </c>
      <c r="AE26" s="159">
        <f t="shared" si="3"/>
        <v>1000</v>
      </c>
      <c r="AF26" s="152">
        <f>ROUND(IF(AE26&gt;=300,1000+3*(AE26-300)^MIN(MAX(1.05/(AE26^0.019),1.09),1.119),1000-3*(300-AE26))*(1+IF(Overview!$B$14="Ants",ant_explore_penalty,0)+MIN(tech_explore_cost*Techs!Z26,tech_explore_cost2*Techs!AB26,tech_enchanted_lands_explore*Techs!AT26)),0)</f>
        <v>4787</v>
      </c>
      <c r="AG26" s="164">
        <f>ROUND(MAX(IF(AE26&gt;=300,5+0.003*(AE26-300)^1.07,5-300/AE26)+MIN(tech_explore_draft1*Techs!AA26,tech_explore_draft2*Techs!AB26),3),0)</f>
        <v>8</v>
      </c>
      <c r="AH26" s="164">
        <f t="shared" si="1"/>
        <v>0</v>
      </c>
      <c r="AI26" s="166">
        <f t="shared" si="2"/>
        <v>0</v>
      </c>
    </row>
    <row r="27" spans="1:35" s="16" customFormat="1" x14ac:dyDescent="0.25">
      <c r="A27" s="511">
        <f>Rezone!J27</f>
        <v>25</v>
      </c>
      <c r="B27" s="53">
        <f>Construction!E27</f>
        <v>1000</v>
      </c>
      <c r="C27" s="53"/>
      <c r="D27" s="68">
        <f>Construction!F27</f>
        <v>70</v>
      </c>
      <c r="E27" s="29">
        <f>Construction!G27</f>
        <v>100</v>
      </c>
      <c r="F27" s="30">
        <f>Construction!H27</f>
        <v>150</v>
      </c>
      <c r="G27" s="31">
        <f>Construction!I27</f>
        <v>150</v>
      </c>
      <c r="H27" s="32">
        <f>Construction!J27</f>
        <v>100</v>
      </c>
      <c r="I27" s="33">
        <f>Construction!K27</f>
        <v>150</v>
      </c>
      <c r="J27" s="69">
        <f>Construction!L27</f>
        <v>100</v>
      </c>
      <c r="L27" s="529" t="s">
        <v>378</v>
      </c>
      <c r="M27" s="839">
        <f ca="1">Military!Z63</f>
        <v>5295</v>
      </c>
      <c r="N27" s="60">
        <f>Military!AB27</f>
        <v>0</v>
      </c>
      <c r="O27" s="59">
        <f ca="1">Population!I27</f>
        <v>1</v>
      </c>
      <c r="P27" s="91">
        <f ca="1">Imps!J27</f>
        <v>1.1647171284290287</v>
      </c>
      <c r="Q27" s="63">
        <f t="shared" si="0"/>
        <v>1000</v>
      </c>
      <c r="R27" s="632">
        <v>25</v>
      </c>
      <c r="S27" s="340"/>
      <c r="T27" s="348"/>
      <c r="U27" s="348"/>
      <c r="V27" s="348"/>
      <c r="W27" s="348"/>
      <c r="X27" s="348"/>
      <c r="Y27" s="348"/>
      <c r="Z27" s="357"/>
      <c r="AA27" s="535">
        <f>Imps!CM27</f>
        <v>43768.249999999942</v>
      </c>
      <c r="AB27" s="156">
        <f ca="1">Military!Z27</f>
        <v>5295</v>
      </c>
      <c r="AC27" s="57">
        <f ca="1">Production!H27</f>
        <v>4581257</v>
      </c>
      <c r="AE27" s="63">
        <f t="shared" si="3"/>
        <v>1000</v>
      </c>
      <c r="AF27" s="152">
        <f>ROUND(IF(AE27&gt;=300,1000+3*(AE27-300)^MIN(MAX(1.05/(AE27^0.019),1.09),1.119),1000-3*(300-AE27))*(1+IF(Overview!$B$14="Ants",ant_explore_penalty,0)+MIN(tech_explore_cost*Techs!Z27,tech_explore_cost2*Techs!AB27,tech_enchanted_lands_explore*Techs!AT27)),0)</f>
        <v>4787</v>
      </c>
      <c r="AG27" s="164">
        <f>ROUND(MAX(IF(AE27&gt;=300,5+0.003*(AE27-300)^1.07,5-300/AE27)+MIN(tech_explore_draft1*Techs!AA27,tech_explore_draft2*Techs!AB27),3),0)</f>
        <v>8</v>
      </c>
      <c r="AH27" s="26">
        <f t="shared" si="1"/>
        <v>0</v>
      </c>
      <c r="AI27" s="57">
        <f t="shared" si="2"/>
        <v>0</v>
      </c>
    </row>
    <row r="28" spans="1:35" s="170" customFormat="1" x14ac:dyDescent="0.25">
      <c r="A28" s="508">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379</v>
      </c>
      <c r="M28" s="577">
        <f>Q75</f>
        <v>1000</v>
      </c>
      <c r="N28" s="251">
        <f>Military!AB28</f>
        <v>0</v>
      </c>
      <c r="O28" s="187">
        <f ca="1">Population!I28</f>
        <v>1</v>
      </c>
      <c r="P28" s="251">
        <f ca="1">Imps!J28</f>
        <v>1.1435611039403506</v>
      </c>
      <c r="Q28" s="159">
        <f t="shared" si="0"/>
        <v>1000</v>
      </c>
      <c r="R28" s="632">
        <v>26</v>
      </c>
      <c r="S28" s="335"/>
      <c r="T28" s="363"/>
      <c r="U28" s="345"/>
      <c r="V28" s="345"/>
      <c r="W28" s="345"/>
      <c r="X28" s="345"/>
      <c r="Y28" s="345"/>
      <c r="Z28" s="353"/>
      <c r="AA28" s="532">
        <f>Imps!CM28</f>
        <v>43768.260416666606</v>
      </c>
      <c r="AB28" s="156">
        <f ca="1">Military!Z28</f>
        <v>5295</v>
      </c>
      <c r="AC28" s="166">
        <f ca="1">Production!H28</f>
        <v>4589413</v>
      </c>
      <c r="AE28" s="159">
        <f t="shared" si="3"/>
        <v>1000</v>
      </c>
      <c r="AF28" s="152">
        <f>ROUND(IF(AE28&gt;=300,1000+3*(AE28-300)^MIN(MAX(1.05/(AE28^0.019),1.09),1.119),1000-3*(300-AE28))*(1+IF(Overview!$B$14="Ants",ant_explore_penalty,0)+MIN(tech_explore_cost*Techs!Z28,tech_explore_cost2*Techs!AB28,tech_enchanted_lands_explore*Techs!AT28)),0)</f>
        <v>4787</v>
      </c>
      <c r="AG28" s="164">
        <f>ROUND(MAX(IF(AE28&gt;=300,5+0.003*(AE28-300)^1.07,5-300/AE28)+MIN(tech_explore_draft1*Techs!AA28,tech_explore_draft2*Techs!AB28),3),0)</f>
        <v>8</v>
      </c>
      <c r="AH28" s="164">
        <f t="shared" si="1"/>
        <v>0</v>
      </c>
      <c r="AI28" s="166">
        <f t="shared" si="2"/>
        <v>0</v>
      </c>
    </row>
    <row r="29" spans="1:35" s="170" customFormat="1" x14ac:dyDescent="0.25">
      <c r="A29" s="508">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526</v>
      </c>
      <c r="M29" s="166">
        <f>Techs!D75</f>
        <v>0</v>
      </c>
      <c r="N29" s="251">
        <f>Military!AB29</f>
        <v>0</v>
      </c>
      <c r="O29" s="187">
        <f ca="1">Population!I29</f>
        <v>1</v>
      </c>
      <c r="P29" s="251">
        <f ca="1">Imps!J29</f>
        <v>1.1234628806761062</v>
      </c>
      <c r="Q29" s="159">
        <f t="shared" si="0"/>
        <v>1000</v>
      </c>
      <c r="R29" s="632">
        <v>27</v>
      </c>
      <c r="S29" s="335"/>
      <c r="T29" s="363"/>
      <c r="U29" s="345"/>
      <c r="V29" s="345"/>
      <c r="W29" s="345"/>
      <c r="X29" s="345"/>
      <c r="Y29" s="345"/>
      <c r="Z29" s="353"/>
      <c r="AA29" s="532">
        <f>Imps!CM29</f>
        <v>43768.27083333327</v>
      </c>
      <c r="AB29" s="156">
        <f ca="1">Military!Z29</f>
        <v>5295</v>
      </c>
      <c r="AC29" s="166">
        <f ca="1">Production!H29</f>
        <v>4597162</v>
      </c>
      <c r="AE29" s="159">
        <f t="shared" si="3"/>
        <v>1000</v>
      </c>
      <c r="AF29" s="152">
        <f>ROUND(IF(AE29&gt;=300,1000+3*(AE29-300)^MIN(MAX(1.05/(AE29^0.019),1.09),1.119),1000-3*(300-AE29))*(1+IF(Overview!$B$14="Ants",ant_explore_penalty,0)+MIN(tech_explore_cost*Techs!Z29,tech_explore_cost2*Techs!AB29,tech_enchanted_lands_explore*Techs!AT29)),0)</f>
        <v>4787</v>
      </c>
      <c r="AG29" s="164">
        <f>ROUND(MAX(IF(AE29&gt;=300,5+0.003*(AE29-300)^1.07,5-300/AE29)+MIN(tech_explore_draft1*Techs!AA29,tech_explore_draft2*Techs!AB29),3),0)</f>
        <v>8</v>
      </c>
      <c r="AH29" s="164">
        <f t="shared" si="1"/>
        <v>0</v>
      </c>
      <c r="AI29" s="166">
        <f t="shared" si="2"/>
        <v>0</v>
      </c>
    </row>
    <row r="30" spans="1:35" s="16" customFormat="1" ht="13.8" thickBot="1" x14ac:dyDescent="0.3">
      <c r="A30" s="511">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2">
        <v>28</v>
      </c>
      <c r="S30" s="340"/>
      <c r="T30" s="363"/>
      <c r="U30" s="348"/>
      <c r="V30" s="348"/>
      <c r="W30" s="348"/>
      <c r="X30" s="348"/>
      <c r="Y30" s="348"/>
      <c r="Z30" s="357"/>
      <c r="AA30" s="535">
        <f>Imps!CM30</f>
        <v>43768.281249999935</v>
      </c>
      <c r="AB30" s="156">
        <f ca="1">Military!Z30</f>
        <v>5295</v>
      </c>
      <c r="AC30" s="57">
        <f ca="1">Production!H30</f>
        <v>4604523</v>
      </c>
      <c r="AE30" s="63">
        <f t="shared" si="3"/>
        <v>1000</v>
      </c>
      <c r="AF30" s="152">
        <f>ROUND(IF(AE30&gt;=300,1000+3*(AE30-300)^MIN(MAX(1.05/(AE30^0.019),1.09),1.119),1000-3*(300-AE30))*(1+IF(Overview!$B$14="Ants",ant_explore_penalty,0)+MIN(tech_explore_cost*Techs!Z30,tech_explore_cost2*Techs!AB30,tech_enchanted_lands_explore*Techs!AT30)),0)</f>
        <v>4787</v>
      </c>
      <c r="AG30" s="164">
        <f>ROUND(MAX(IF(AE30&gt;=300,5+0.003*(AE30-300)^1.07,5-300/AE30)+MIN(tech_explore_draft1*Techs!AA30,tech_explore_draft2*Techs!AB30),3),0)</f>
        <v>8</v>
      </c>
      <c r="AH30" s="26">
        <f t="shared" si="1"/>
        <v>0</v>
      </c>
      <c r="AI30" s="57">
        <f t="shared" si="2"/>
        <v>0</v>
      </c>
    </row>
    <row r="31" spans="1:35" s="1203" customFormat="1" ht="14.4" thickTop="1" thickBot="1" x14ac:dyDescent="0.3">
      <c r="A31" s="1224">
        <f>Rezone!J31</f>
        <v>29</v>
      </c>
      <c r="B31" s="1222">
        <f>Construction!E31</f>
        <v>1000</v>
      </c>
      <c r="C31" s="1222"/>
      <c r="D31" s="1199">
        <f>Construction!F31</f>
        <v>70</v>
      </c>
      <c r="E31" s="1203">
        <f>Construction!G31</f>
        <v>100</v>
      </c>
      <c r="F31" s="1203">
        <f>Construction!H31</f>
        <v>150</v>
      </c>
      <c r="G31" s="1203">
        <f>Construction!I31</f>
        <v>150</v>
      </c>
      <c r="H31" s="1203">
        <f>Construction!J31</f>
        <v>100</v>
      </c>
      <c r="I31" s="1203">
        <f>Construction!K31</f>
        <v>150</v>
      </c>
      <c r="J31" s="1222">
        <f>Construction!L31</f>
        <v>100</v>
      </c>
      <c r="L31" s="1225"/>
      <c r="M31" s="1198"/>
      <c r="N31" s="1220">
        <f>Military!AB31</f>
        <v>0</v>
      </c>
      <c r="O31" s="1221">
        <f ca="1">Population!I31</f>
        <v>1</v>
      </c>
      <c r="P31" s="1220">
        <f ca="1">Imps!J31</f>
        <v>1.0862309220790933</v>
      </c>
      <c r="Q31" s="1200">
        <f t="shared" si="0"/>
        <v>1000</v>
      </c>
      <c r="R31" s="1197">
        <v>29</v>
      </c>
      <c r="S31" s="1226"/>
      <c r="T31" s="1200"/>
      <c r="U31" s="1200"/>
      <c r="V31" s="1200"/>
      <c r="W31" s="1200"/>
      <c r="X31" s="1200"/>
      <c r="Y31" s="1200"/>
      <c r="Z31" s="1223"/>
      <c r="AA31" s="1227">
        <f>Imps!CM31</f>
        <v>43768.291666666599</v>
      </c>
      <c r="AB31" s="1199">
        <f ca="1">Military!Z31</f>
        <v>5295</v>
      </c>
      <c r="AC31" s="1198">
        <f ca="1">Production!H31</f>
        <v>4611516</v>
      </c>
      <c r="AE31" s="1200">
        <f t="shared" si="3"/>
        <v>1000</v>
      </c>
      <c r="AF31" s="1192">
        <f>ROUND(IF(AE31&gt;=300,1000+3*(AE31-300)^MIN(MAX(1.05/(AE31^0.019),1.09),1.119),1000-3*(300-AE31))*(1+IF(Overview!$B$14="Ants",ant_explore_penalty,0)+MIN(tech_explore_cost*Techs!Z31,tech_explore_cost2*Techs!AB31,tech_enchanted_lands_explore*Techs!AT31)),0)</f>
        <v>4787</v>
      </c>
      <c r="AG31" s="1193">
        <f>ROUND(MAX(IF(AE31&gt;=300,5+0.003*(AE31-300)^1.07,5-300/AE31)+MIN(tech_explore_draft1*Techs!AA31,tech_explore_draft2*Techs!AB31),3),0)</f>
        <v>8</v>
      </c>
      <c r="AH31" s="1193">
        <f t="shared" si="1"/>
        <v>0</v>
      </c>
      <c r="AI31" s="1198">
        <f t="shared" si="2"/>
        <v>0</v>
      </c>
    </row>
    <row r="32" spans="1:35" s="16" customFormat="1" ht="13.8" thickTop="1" x14ac:dyDescent="0.25">
      <c r="A32" s="511">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2">
        <v>30</v>
      </c>
      <c r="S32" s="340"/>
      <c r="T32" s="363"/>
      <c r="U32" s="348"/>
      <c r="V32" s="348"/>
      <c r="W32" s="348"/>
      <c r="X32" s="348"/>
      <c r="Y32" s="348"/>
      <c r="Z32" s="357"/>
      <c r="AA32" s="535">
        <f>Imps!CM32</f>
        <v>43768.302083333263</v>
      </c>
      <c r="AB32" s="156">
        <f ca="1">Military!Z32</f>
        <v>5295</v>
      </c>
      <c r="AC32" s="57">
        <f ca="1">Production!H32</f>
        <v>4618159</v>
      </c>
      <c r="AE32" s="63">
        <f t="shared" si="3"/>
        <v>1000</v>
      </c>
      <c r="AF32" s="152">
        <f>ROUND(IF(AE32&gt;=300,1000+3*(AE32-300)^MIN(MAX(1.05/(AE32^0.019),1.09),1.119),1000-3*(300-AE32))*(1+IF(Overview!$B$14="Ants",ant_explore_penalty,0)+MIN(tech_explore_cost*Techs!Z32,tech_explore_cost2*Techs!AB32,tech_enchanted_lands_explore*Techs!AT32)),0)</f>
        <v>4787</v>
      </c>
      <c r="AG32" s="164">
        <f>ROUND(MAX(IF(AE32&gt;=300,5+0.003*(AE32-300)^1.07,5-300/AE32)+MIN(tech_explore_draft1*Techs!AA32,tech_explore_draft2*Techs!AB32),3),0)</f>
        <v>8</v>
      </c>
      <c r="AH32" s="26">
        <f t="shared" si="1"/>
        <v>0</v>
      </c>
      <c r="AI32" s="57">
        <f t="shared" si="2"/>
        <v>0</v>
      </c>
    </row>
    <row r="33" spans="1:35" s="16" customFormat="1" x14ac:dyDescent="0.25">
      <c r="A33" s="511">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2">
        <v>31</v>
      </c>
      <c r="S33" s="340"/>
      <c r="T33" s="348"/>
      <c r="U33" s="348"/>
      <c r="V33" s="348"/>
      <c r="W33" s="348"/>
      <c r="X33" s="348"/>
      <c r="Y33" s="348"/>
      <c r="Z33" s="357"/>
      <c r="AA33" s="535">
        <f>Imps!CM33</f>
        <v>43768.312499999927</v>
      </c>
      <c r="AB33" s="156">
        <f ca="1">Military!Z33</f>
        <v>5295</v>
      </c>
      <c r="AC33" s="57">
        <f ca="1">Production!H33</f>
        <v>4624470</v>
      </c>
      <c r="AE33" s="63">
        <f t="shared" si="3"/>
        <v>1000</v>
      </c>
      <c r="AF33" s="152">
        <f>ROUND(IF(AE33&gt;=300,1000+3*(AE33-300)^MIN(MAX(1.05/(AE33^0.019),1.09),1.119),1000-3*(300-AE33))*(1+IF(Overview!$B$14="Ants",ant_explore_penalty,0)+MIN(tech_explore_cost*Techs!Z33,tech_explore_cost2*Techs!AB33,tech_enchanted_lands_explore*Techs!AT33)),0)</f>
        <v>4787</v>
      </c>
      <c r="AG33" s="164">
        <f>ROUND(MAX(IF(AE33&gt;=300,5+0.003*(AE33-300)^1.07,5-300/AE33)+MIN(tech_explore_draft1*Techs!AA33,tech_explore_draft2*Techs!AB33),3),0)</f>
        <v>8</v>
      </c>
      <c r="AH33" s="26">
        <f t="shared" si="1"/>
        <v>0</v>
      </c>
      <c r="AI33" s="57">
        <f t="shared" si="2"/>
        <v>0</v>
      </c>
    </row>
    <row r="34" spans="1:35" s="16" customFormat="1" x14ac:dyDescent="0.25">
      <c r="A34" s="511">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2">
        <v>32</v>
      </c>
      <c r="S34" s="340"/>
      <c r="T34" s="348"/>
      <c r="U34" s="348"/>
      <c r="V34" s="348"/>
      <c r="W34" s="348"/>
      <c r="X34" s="348"/>
      <c r="Y34" s="348"/>
      <c r="Z34" s="357"/>
      <c r="AA34" s="535">
        <f>Imps!CM34</f>
        <v>43768.322916666591</v>
      </c>
      <c r="AB34" s="156">
        <f ca="1">Military!Z34</f>
        <v>5295</v>
      </c>
      <c r="AC34" s="57">
        <f ca="1">Production!H34</f>
        <v>4630466</v>
      </c>
      <c r="AE34" s="63">
        <f t="shared" si="3"/>
        <v>1000</v>
      </c>
      <c r="AF34" s="152">
        <f>ROUND(IF(AE34&gt;=300,1000+3*(AE34-300)^MIN(MAX(1.05/(AE34^0.019),1.09),1.119),1000-3*(300-AE34))*(1+IF(Overview!$B$14="Ants",ant_explore_penalty,0)+MIN(tech_explore_cost*Techs!Z34,tech_explore_cost2*Techs!AB34,tech_enchanted_lands_explore*Techs!AT34)),0)</f>
        <v>4787</v>
      </c>
      <c r="AG34" s="164">
        <f>ROUND(MAX(IF(AE34&gt;=300,5+0.003*(AE34-300)^1.07,5-300/AE34)+MIN(tech_explore_draft1*Techs!AA34,tech_explore_draft2*Techs!AB34),3),0)</f>
        <v>8</v>
      </c>
      <c r="AH34" s="26">
        <f t="shared" si="1"/>
        <v>0</v>
      </c>
      <c r="AI34" s="57">
        <f t="shared" si="2"/>
        <v>0</v>
      </c>
    </row>
    <row r="35" spans="1:35" s="16" customFormat="1" x14ac:dyDescent="0.25">
      <c r="A35" s="511">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2">
        <v>33</v>
      </c>
      <c r="S35" s="340"/>
      <c r="T35" s="348"/>
      <c r="U35" s="348"/>
      <c r="V35" s="348"/>
      <c r="W35" s="348"/>
      <c r="X35" s="348"/>
      <c r="Y35" s="348"/>
      <c r="Z35" s="357"/>
      <c r="AA35" s="535">
        <f>Imps!CM35</f>
        <v>43768.333333333256</v>
      </c>
      <c r="AB35" s="156">
        <f ca="1">Military!Z35</f>
        <v>5295</v>
      </c>
      <c r="AC35" s="57">
        <f ca="1">Production!H35</f>
        <v>4636162</v>
      </c>
      <c r="AE35" s="63">
        <f t="shared" si="3"/>
        <v>1000</v>
      </c>
      <c r="AF35" s="152">
        <f>ROUND(IF(AE35&gt;=300,1000+3*(AE35-300)^MIN(MAX(1.05/(AE35^0.019),1.09),1.119),1000-3*(300-AE35))*(1+IF(Overview!$B$14="Ants",ant_explore_penalty,0)+MIN(tech_explore_cost*Techs!Z35,tech_explore_cost2*Techs!AB35,tech_enchanted_lands_explore*Techs!AT35)),0)</f>
        <v>4787</v>
      </c>
      <c r="AG35" s="164">
        <f>ROUND(MAX(IF(AE35&gt;=300,5+0.003*(AE35-300)^1.07,5-300/AE35)+MIN(tech_explore_draft1*Techs!AA35,tech_explore_draft2*Techs!AB35),3),0)</f>
        <v>8</v>
      </c>
      <c r="AH35" s="26">
        <f t="shared" si="1"/>
        <v>0</v>
      </c>
      <c r="AI35" s="57">
        <f t="shared" si="2"/>
        <v>0</v>
      </c>
    </row>
    <row r="36" spans="1:35" s="16" customFormat="1" x14ac:dyDescent="0.25">
      <c r="A36" s="511">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2">
        <v>34</v>
      </c>
      <c r="S36" s="340"/>
      <c r="T36" s="348"/>
      <c r="U36" s="348"/>
      <c r="V36" s="348"/>
      <c r="W36" s="348"/>
      <c r="X36" s="348"/>
      <c r="Y36" s="348"/>
      <c r="Z36" s="357"/>
      <c r="AA36" s="535">
        <f>Imps!CM36</f>
        <v>43768.34374999992</v>
      </c>
      <c r="AB36" s="156">
        <f ca="1">Military!Z36</f>
        <v>5295</v>
      </c>
      <c r="AC36" s="57">
        <f ca="1">Production!H36</f>
        <v>4641573</v>
      </c>
      <c r="AE36" s="63">
        <f t="shared" si="3"/>
        <v>1000</v>
      </c>
      <c r="AF36" s="152">
        <f>ROUND(IF(AE36&gt;=300,1000+3*(AE36-300)^MIN(MAX(1.05/(AE36^0.019),1.09),1.119),1000-3*(300-AE36))*(1+IF(Overview!$B$14="Ants",ant_explore_penalty,0)+MIN(tech_explore_cost*Techs!Z36,tech_explore_cost2*Techs!AB36,tech_enchanted_lands_explore*Techs!AT36)),0)</f>
        <v>4787</v>
      </c>
      <c r="AG36" s="164">
        <f>ROUND(MAX(IF(AE36&gt;=300,5+0.003*(AE36-300)^1.07,5-300/AE36)+MIN(tech_explore_draft1*Techs!AA36,tech_explore_draft2*Techs!AB36),3),0)</f>
        <v>8</v>
      </c>
      <c r="AH36" s="26">
        <f t="shared" si="1"/>
        <v>0</v>
      </c>
      <c r="AI36" s="57">
        <f t="shared" si="2"/>
        <v>0</v>
      </c>
    </row>
    <row r="37" spans="1:35" s="16" customFormat="1" x14ac:dyDescent="0.25">
      <c r="A37" s="511">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2">
        <v>35</v>
      </c>
      <c r="S37" s="340"/>
      <c r="T37" s="376"/>
      <c r="U37" s="348"/>
      <c r="V37" s="348"/>
      <c r="W37" s="348"/>
      <c r="X37" s="348"/>
      <c r="Y37" s="348"/>
      <c r="Z37" s="357"/>
      <c r="AA37" s="535">
        <f>Imps!CM37</f>
        <v>43768.354166666584</v>
      </c>
      <c r="AB37" s="156">
        <f ca="1">Military!Z37</f>
        <v>5295</v>
      </c>
      <c r="AC37" s="57">
        <f ca="1">Production!H37</f>
        <v>4646713</v>
      </c>
      <c r="AE37" s="63">
        <f t="shared" si="3"/>
        <v>1000</v>
      </c>
      <c r="AF37" s="152">
        <f>ROUND(IF(AE37&gt;=300,1000+3*(AE37-300)^MIN(MAX(1.05/(AE37^0.019),1.09),1.119),1000-3*(300-AE37))*(1+IF(Overview!$B$14="Ants",ant_explore_penalty,0)+MIN(tech_explore_cost*Techs!Z37,tech_explore_cost2*Techs!AB37,tech_enchanted_lands_explore*Techs!AT37)),0)</f>
        <v>4787</v>
      </c>
      <c r="AG37" s="164">
        <f>ROUND(MAX(IF(AE37&gt;=300,5+0.003*(AE37-300)^1.07,5-300/AE37)+MIN(tech_explore_draft1*Techs!AA37,tech_explore_draft2*Techs!AB37),3),0)</f>
        <v>8</v>
      </c>
      <c r="AH37" s="26">
        <f t="shared" si="1"/>
        <v>0</v>
      </c>
      <c r="AI37" s="57">
        <f t="shared" si="2"/>
        <v>0</v>
      </c>
    </row>
    <row r="38" spans="1:35" s="25" customFormat="1" x14ac:dyDescent="0.25">
      <c r="A38" s="512">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17">
        <v>36</v>
      </c>
      <c r="S38" s="340"/>
      <c r="T38" s="348"/>
      <c r="U38" s="348"/>
      <c r="V38" s="348"/>
      <c r="W38" s="348"/>
      <c r="X38" s="348"/>
      <c r="Y38" s="348"/>
      <c r="Z38" s="357"/>
      <c r="AA38" s="567">
        <f>Imps!CM38</f>
        <v>43768.364583333248</v>
      </c>
      <c r="AB38" s="156">
        <f ca="1">Military!Z38</f>
        <v>5295</v>
      </c>
      <c r="AC38" s="73">
        <f ca="1">Production!H38</f>
        <v>4651694</v>
      </c>
      <c r="AD38" s="16"/>
      <c r="AE38" s="63">
        <f t="shared" si="3"/>
        <v>1000</v>
      </c>
      <c r="AF38" s="152">
        <f>ROUND(IF(AE38&gt;=300,1000+3*(AE38-300)^MIN(MAX(1.05/(AE38^0.019),1.09),1.119),1000-3*(300-AE38))*(1+IF(Overview!$B$14="Ants",ant_explore_penalty,0)+MIN(tech_explore_cost*Techs!Z38,tech_explore_cost2*Techs!AB38,tech_enchanted_lands_explore*Techs!AT38)),0)</f>
        <v>4787</v>
      </c>
      <c r="AG38" s="164">
        <f>ROUND(MAX(IF(AE38&gt;=300,5+0.003*(AE38-300)^1.07,5-300/AE38)+MIN(tech_explore_draft1*Techs!AA38,tech_explore_draft2*Techs!AB38),3),0)</f>
        <v>8</v>
      </c>
      <c r="AH38" s="24">
        <f t="shared" si="1"/>
        <v>0</v>
      </c>
      <c r="AI38" s="73">
        <f t="shared" si="2"/>
        <v>0</v>
      </c>
    </row>
    <row r="39" spans="1:35" s="12" customFormat="1" ht="12.75" customHeight="1" x14ac:dyDescent="0.25">
      <c r="A39" s="513">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18"/>
      <c r="T39" s="349"/>
      <c r="U39" s="349"/>
      <c r="V39" s="349"/>
      <c r="W39" s="349"/>
      <c r="X39" s="349"/>
      <c r="Y39" s="349"/>
      <c r="Z39" s="374"/>
      <c r="AA39" s="568">
        <f>Imps!CM39</f>
        <v>43768.374999999913</v>
      </c>
      <c r="AB39" s="184">
        <f ca="1">Military!Z39</f>
        <v>5295</v>
      </c>
      <c r="AC39" s="55">
        <f ca="1">Production!H39</f>
        <v>4656675</v>
      </c>
      <c r="AD39" s="50"/>
      <c r="AE39" s="286">
        <f t="shared" si="3"/>
        <v>1000</v>
      </c>
      <c r="AF39" s="151">
        <f>ROUND(IF(AE39&gt;=300,1000+3*(AE39-300)^MIN(MAX(1.05/(AE39^0.019),1.09),1.119),1000-3*(300-AE39))*(1+IF(Overview!$B$14="Ants",ant_explore_penalty,0)+MIN(tech_explore_cost*Techs!Z39,tech_explore_cost2*Techs!AB39,tech_enchanted_lands_explore*Techs!AT39)),0)</f>
        <v>4787</v>
      </c>
      <c r="AG39" s="153">
        <f>ROUND(MAX(IF(AE39&gt;=300,5+0.003*(AE39-300)^1.07,5-300/AE39)+MIN(tech_explore_draft1*Techs!AA39,tech_explore_draft2*Techs!AB39),3),0)</f>
        <v>8</v>
      </c>
      <c r="AH39" s="13">
        <f t="shared" si="1"/>
        <v>0</v>
      </c>
      <c r="AI39" s="55">
        <f t="shared" si="2"/>
        <v>0</v>
      </c>
    </row>
    <row r="40" spans="1:35" s="15" customFormat="1" x14ac:dyDescent="0.25">
      <c r="A40" s="514">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0">
        <v>38</v>
      </c>
      <c r="S40" s="340"/>
      <c r="T40" s="348"/>
      <c r="U40" s="348"/>
      <c r="V40" s="348"/>
      <c r="W40" s="348"/>
      <c r="X40" s="348"/>
      <c r="Y40" s="348"/>
      <c r="Z40" s="357"/>
      <c r="AA40" s="569">
        <f>Imps!CM40</f>
        <v>43768.385416666577</v>
      </c>
      <c r="AB40" s="156">
        <f ca="1">Military!Z40</f>
        <v>5295</v>
      </c>
      <c r="AC40" s="71">
        <f ca="1">Production!H40</f>
        <v>4661656</v>
      </c>
      <c r="AD40" s="16"/>
      <c r="AE40" s="63">
        <f t="shared" si="3"/>
        <v>1000</v>
      </c>
      <c r="AF40" s="152">
        <f>ROUND(IF(AE40&gt;=300,1000+3*(AE40-300)^MIN(MAX(1.05/(AE40^0.019),1.09),1.119),1000-3*(300-AE40))*(1+IF(Overview!$B$14="Ants",ant_explore_penalty,0)+MIN(tech_explore_cost*Techs!Z40,tech_explore_cost2*Techs!AB40,tech_enchanted_lands_explore*Techs!AT40)),0)</f>
        <v>4787</v>
      </c>
      <c r="AG40" s="164">
        <f>ROUND(MAX(IF(AE40&gt;=300,5+0.003*(AE40-300)^1.07,5-300/AE40)+MIN(tech_explore_draft1*Techs!AA40,tech_explore_draft2*Techs!AB40),3),0)</f>
        <v>8</v>
      </c>
      <c r="AH40" s="23">
        <f t="shared" si="1"/>
        <v>0</v>
      </c>
      <c r="AI40" s="71">
        <f t="shared" si="2"/>
        <v>0</v>
      </c>
    </row>
    <row r="41" spans="1:35" s="16" customFormat="1" x14ac:dyDescent="0.25">
      <c r="A41" s="511">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2">
        <v>39</v>
      </c>
      <c r="S41" s="340"/>
      <c r="T41" s="348"/>
      <c r="U41" s="348"/>
      <c r="V41" s="348"/>
      <c r="W41" s="348"/>
      <c r="X41" s="348"/>
      <c r="Y41" s="348"/>
      <c r="Z41" s="357"/>
      <c r="AA41" s="535">
        <f>Imps!CM41</f>
        <v>43768.395833333241</v>
      </c>
      <c r="AB41" s="156">
        <f ca="1">Military!Z41</f>
        <v>5295</v>
      </c>
      <c r="AC41" s="57">
        <f ca="1">Production!H41</f>
        <v>4666637</v>
      </c>
      <c r="AE41" s="63">
        <f t="shared" si="3"/>
        <v>1000</v>
      </c>
      <c r="AF41" s="152">
        <f>ROUND(IF(AE41&gt;=300,1000+3*(AE41-300)^MIN(MAX(1.05/(AE41^0.019),1.09),1.119),1000-3*(300-AE41))*(1+IF(Overview!$B$14="Ants",ant_explore_penalty,0)+MIN(tech_explore_cost*Techs!Z41,tech_explore_cost2*Techs!AB41,tech_enchanted_lands_explore*Techs!AT41)),0)</f>
        <v>4787</v>
      </c>
      <c r="AG41" s="164">
        <f>ROUND(MAX(IF(AE41&gt;=300,5+0.003*(AE41-300)^1.07,5-300/AE41)+MIN(tech_explore_draft1*Techs!AA41,tech_explore_draft2*Techs!AB41),3),0)</f>
        <v>8</v>
      </c>
      <c r="AH41" s="26">
        <f t="shared" si="1"/>
        <v>0</v>
      </c>
      <c r="AI41" s="57">
        <f t="shared" si="2"/>
        <v>0</v>
      </c>
    </row>
    <row r="42" spans="1:35" s="16" customFormat="1" x14ac:dyDescent="0.25">
      <c r="A42" s="511">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2">
        <v>40</v>
      </c>
      <c r="S42" s="340"/>
      <c r="T42" s="348"/>
      <c r="U42" s="348"/>
      <c r="V42" s="348"/>
      <c r="W42" s="348"/>
      <c r="X42" s="348"/>
      <c r="Y42" s="348"/>
      <c r="Z42" s="357"/>
      <c r="AA42" s="535">
        <f>Imps!CM42</f>
        <v>43768.406249999905</v>
      </c>
      <c r="AB42" s="156">
        <f ca="1">Military!Z42</f>
        <v>5295</v>
      </c>
      <c r="AC42" s="57">
        <f ca="1">Production!H42</f>
        <v>4671618</v>
      </c>
      <c r="AE42" s="63">
        <f t="shared" si="3"/>
        <v>1000</v>
      </c>
      <c r="AF42" s="152">
        <f>ROUND(IF(AE42&gt;=300,1000+3*(AE42-300)^MIN(MAX(1.05/(AE42^0.019),1.09),1.119),1000-3*(300-AE42))*(1+IF(Overview!$B$14="Ants",ant_explore_penalty,0)+MIN(tech_explore_cost*Techs!Z42,tech_explore_cost2*Techs!AB42,tech_enchanted_lands_explore*Techs!AT42)),0)</f>
        <v>4787</v>
      </c>
      <c r="AG42" s="164">
        <f>ROUND(MAX(IF(AE42&gt;=300,5+0.003*(AE42-300)^1.07,5-300/AE42)+MIN(tech_explore_draft1*Techs!AA42,tech_explore_draft2*Techs!AB42),3),0)</f>
        <v>8</v>
      </c>
      <c r="AH42" s="26">
        <f t="shared" si="1"/>
        <v>0</v>
      </c>
      <c r="AI42" s="57">
        <f t="shared" si="2"/>
        <v>0</v>
      </c>
    </row>
    <row r="43" spans="1:35" s="16" customFormat="1" x14ac:dyDescent="0.25">
      <c r="A43" s="511">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2">
        <v>41</v>
      </c>
      <c r="S43" s="340"/>
      <c r="T43" s="348"/>
      <c r="U43" s="348"/>
      <c r="V43" s="348"/>
      <c r="W43" s="348"/>
      <c r="X43" s="348"/>
      <c r="Y43" s="348"/>
      <c r="Z43" s="357"/>
      <c r="AA43" s="535">
        <f>Imps!CM43</f>
        <v>43768.41666666657</v>
      </c>
      <c r="AB43" s="156">
        <f ca="1">Military!Z43</f>
        <v>5295</v>
      </c>
      <c r="AC43" s="57">
        <f ca="1">Production!H43</f>
        <v>4676599</v>
      </c>
      <c r="AE43" s="63">
        <f t="shared" si="3"/>
        <v>1000</v>
      </c>
      <c r="AF43" s="152">
        <f>ROUND(IF(AE43&gt;=300,1000+3*(AE43-300)^MIN(MAX(1.05/(AE43^0.019),1.09),1.119),1000-3*(300-AE43))*(1+IF(Overview!$B$14="Ants",ant_explore_penalty,0)+MIN(tech_explore_cost*Techs!Z43,tech_explore_cost2*Techs!AB43,tech_enchanted_lands_explore*Techs!AT43)),0)</f>
        <v>4787</v>
      </c>
      <c r="AG43" s="164">
        <f>ROUND(MAX(IF(AE43&gt;=300,5+0.003*(AE43-300)^1.07,5-300/AE43)+MIN(tech_explore_draft1*Techs!AA43,tech_explore_draft2*Techs!AB43),3),0)</f>
        <v>8</v>
      </c>
      <c r="AH43" s="26">
        <f t="shared" si="1"/>
        <v>0</v>
      </c>
      <c r="AI43" s="57">
        <f t="shared" si="2"/>
        <v>0</v>
      </c>
    </row>
    <row r="44" spans="1:35" s="16" customFormat="1" x14ac:dyDescent="0.25">
      <c r="A44" s="511">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2">
        <v>42</v>
      </c>
      <c r="S44" s="340"/>
      <c r="T44" s="348"/>
      <c r="U44" s="348"/>
      <c r="V44" s="348"/>
      <c r="W44" s="348"/>
      <c r="X44" s="348"/>
      <c r="Y44" s="348"/>
      <c r="Z44" s="357"/>
      <c r="AA44" s="535">
        <f>Imps!CM44</f>
        <v>43768.427083333234</v>
      </c>
      <c r="AB44" s="156">
        <f ca="1">Military!Z44</f>
        <v>5295</v>
      </c>
      <c r="AC44" s="57">
        <f ca="1">Production!H44</f>
        <v>4681580</v>
      </c>
      <c r="AE44" s="63">
        <f t="shared" si="3"/>
        <v>1000</v>
      </c>
      <c r="AF44" s="152">
        <f>ROUND(IF(AE44&gt;=300,1000+3*(AE44-300)^MIN(MAX(1.05/(AE44^0.019),1.09),1.119),1000-3*(300-AE44))*(1+IF(Overview!$B$14="Ants",ant_explore_penalty,0)+MIN(tech_explore_cost*Techs!Z44,tech_explore_cost2*Techs!AB44,tech_enchanted_lands_explore*Techs!AT44)),0)</f>
        <v>4787</v>
      </c>
      <c r="AG44" s="164">
        <f>ROUND(MAX(IF(AE44&gt;=300,5+0.003*(AE44-300)^1.07,5-300/AE44)+MIN(tech_explore_draft1*Techs!AA44,tech_explore_draft2*Techs!AB44),3),0)</f>
        <v>8</v>
      </c>
      <c r="AH44" s="26">
        <f t="shared" si="1"/>
        <v>0</v>
      </c>
      <c r="AI44" s="57">
        <f t="shared" si="2"/>
        <v>0</v>
      </c>
    </row>
    <row r="45" spans="1:35" s="16" customFormat="1" x14ac:dyDescent="0.25">
      <c r="A45" s="511">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2">
        <v>43</v>
      </c>
      <c r="S45" s="340"/>
      <c r="T45" s="348"/>
      <c r="U45" s="348"/>
      <c r="V45" s="348"/>
      <c r="W45" s="348"/>
      <c r="X45" s="348"/>
      <c r="Y45" s="348"/>
      <c r="Z45" s="357"/>
      <c r="AA45" s="535">
        <f>Imps!CM45</f>
        <v>43768.437499999898</v>
      </c>
      <c r="AB45" s="156">
        <f ca="1">Military!Z45</f>
        <v>5295</v>
      </c>
      <c r="AC45" s="57">
        <f ca="1">Production!H45</f>
        <v>4686561</v>
      </c>
      <c r="AE45" s="63">
        <f t="shared" si="3"/>
        <v>1000</v>
      </c>
      <c r="AF45" s="152">
        <f>ROUND(IF(AE45&gt;=300,1000+3*(AE45-300)^MIN(MAX(1.05/(AE45^0.019),1.09),1.119),1000-3*(300-AE45))*(1+IF(Overview!$B$14="Ants",ant_explore_penalty,0)+MIN(tech_explore_cost*Techs!Z45,tech_explore_cost2*Techs!AB45,tech_enchanted_lands_explore*Techs!AT45)),0)</f>
        <v>4787</v>
      </c>
      <c r="AG45" s="164">
        <f>ROUND(MAX(IF(AE45&gt;=300,5+0.003*(AE45-300)^1.07,5-300/AE45)+MIN(tech_explore_draft1*Techs!AA45,tech_explore_draft2*Techs!AB45),3),0)</f>
        <v>8</v>
      </c>
      <c r="AH45" s="26">
        <f t="shared" si="1"/>
        <v>0</v>
      </c>
      <c r="AI45" s="57">
        <f t="shared" si="2"/>
        <v>0</v>
      </c>
    </row>
    <row r="46" spans="1:35" s="16" customFormat="1" x14ac:dyDescent="0.25">
      <c r="A46" s="511">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2">
        <v>44</v>
      </c>
      <c r="S46" s="340"/>
      <c r="T46" s="348"/>
      <c r="U46" s="348"/>
      <c r="V46" s="348"/>
      <c r="W46" s="348"/>
      <c r="X46" s="348"/>
      <c r="Y46" s="348"/>
      <c r="Z46" s="357"/>
      <c r="AA46" s="535">
        <f>Imps!CM46</f>
        <v>43768.447916666562</v>
      </c>
      <c r="AB46" s="156">
        <f ca="1">Military!Z46</f>
        <v>5295</v>
      </c>
      <c r="AC46" s="57">
        <f ca="1">Production!H46</f>
        <v>4691542</v>
      </c>
      <c r="AE46" s="63">
        <f t="shared" si="3"/>
        <v>1000</v>
      </c>
      <c r="AF46" s="152">
        <f>ROUND(IF(AE46&gt;=300,1000+3*(AE46-300)^MIN(MAX(1.05/(AE46^0.019),1.09),1.119),1000-3*(300-AE46))*(1+IF(Overview!$B$14="Ants",ant_explore_penalty,0)+MIN(tech_explore_cost*Techs!Z46,tech_explore_cost2*Techs!AB46,tech_enchanted_lands_explore*Techs!AT46)),0)</f>
        <v>4787</v>
      </c>
      <c r="AG46" s="164">
        <f>ROUND(MAX(IF(AE46&gt;=300,5+0.003*(AE46-300)^1.07,5-300/AE46)+MIN(tech_explore_draft1*Techs!AA46,tech_explore_draft2*Techs!AB46),3),0)</f>
        <v>8</v>
      </c>
      <c r="AH46" s="26">
        <f t="shared" si="1"/>
        <v>0</v>
      </c>
      <c r="AI46" s="57">
        <f t="shared" si="2"/>
        <v>0</v>
      </c>
    </row>
    <row r="47" spans="1:35" s="16" customFormat="1" x14ac:dyDescent="0.25">
      <c r="A47" s="511">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2">
        <v>45</v>
      </c>
      <c r="S47" s="340"/>
      <c r="T47" s="348"/>
      <c r="U47" s="348"/>
      <c r="V47" s="348"/>
      <c r="W47" s="348"/>
      <c r="X47" s="348"/>
      <c r="Y47" s="348"/>
      <c r="Z47" s="357"/>
      <c r="AA47" s="535">
        <f>Imps!CM47</f>
        <v>43768.458333333227</v>
      </c>
      <c r="AB47" s="156">
        <f ca="1">Military!Z47</f>
        <v>5295</v>
      </c>
      <c r="AC47" s="57">
        <f ca="1">Production!H47</f>
        <v>4696523</v>
      </c>
      <c r="AE47" s="63">
        <f t="shared" si="3"/>
        <v>1000</v>
      </c>
      <c r="AF47" s="152">
        <f>ROUND(IF(AE47&gt;=300,1000+3*(AE47-300)^MIN(MAX(1.05/(AE47^0.019),1.09),1.119),1000-3*(300-AE47))*(1+IF(Overview!$B$14="Ants",ant_explore_penalty,0)+MIN(tech_explore_cost*Techs!Z47,tech_explore_cost2*Techs!AB47,tech_enchanted_lands_explore*Techs!AT47)),0)</f>
        <v>4787</v>
      </c>
      <c r="AG47" s="164">
        <f>ROUND(MAX(IF(AE47&gt;=300,5+0.003*(AE47-300)^1.07,5-300/AE47)+MIN(tech_explore_draft1*Techs!AA47,tech_explore_draft2*Techs!AB47),3),0)</f>
        <v>8</v>
      </c>
      <c r="AH47" s="26">
        <f t="shared" si="1"/>
        <v>0</v>
      </c>
      <c r="AI47" s="57">
        <f t="shared" si="2"/>
        <v>0</v>
      </c>
    </row>
    <row r="48" spans="1:35" s="16" customFormat="1" x14ac:dyDescent="0.25">
      <c r="A48" s="511">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2">
        <v>46</v>
      </c>
      <c r="S48" s="340"/>
      <c r="T48" s="348"/>
      <c r="U48" s="348"/>
      <c r="V48" s="348"/>
      <c r="W48" s="348"/>
      <c r="X48" s="348"/>
      <c r="Y48" s="348"/>
      <c r="Z48" s="357"/>
      <c r="AA48" s="535">
        <f>Imps!CM48</f>
        <v>43768.468749999891</v>
      </c>
      <c r="AB48" s="156">
        <f ca="1">Military!Z48</f>
        <v>5295</v>
      </c>
      <c r="AC48" s="57">
        <f ca="1">Production!H48</f>
        <v>4701504</v>
      </c>
      <c r="AE48" s="63">
        <f t="shared" si="3"/>
        <v>1000</v>
      </c>
      <c r="AF48" s="152">
        <f>ROUND(IF(AE48&gt;=300,1000+3*(AE48-300)^MIN(MAX(1.05/(AE48^0.019),1.09),1.119),1000-3*(300-AE48))*(1+IF(Overview!$B$14="Ants",ant_explore_penalty,0)+MIN(tech_explore_cost*Techs!Z48,tech_explore_cost2*Techs!AB48,tech_enchanted_lands_explore*Techs!AT48)),0)</f>
        <v>4787</v>
      </c>
      <c r="AG48" s="164">
        <f>ROUND(MAX(IF(AE48&gt;=300,5+0.003*(AE48-300)^1.07,5-300/AE48)+MIN(tech_explore_draft1*Techs!AA48,tech_explore_draft2*Techs!AB48),3),0)</f>
        <v>8</v>
      </c>
      <c r="AH48" s="26">
        <f t="shared" si="1"/>
        <v>0</v>
      </c>
      <c r="AI48" s="57">
        <f t="shared" si="2"/>
        <v>0</v>
      </c>
    </row>
    <row r="49" spans="1:35" s="16" customFormat="1" x14ac:dyDescent="0.25">
      <c r="A49" s="511">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2">
        <v>47</v>
      </c>
      <c r="S49" s="340"/>
      <c r="T49" s="348"/>
      <c r="U49" s="348"/>
      <c r="V49" s="348"/>
      <c r="W49" s="348"/>
      <c r="X49" s="348"/>
      <c r="Y49" s="348"/>
      <c r="Z49" s="357"/>
      <c r="AA49" s="535">
        <f>Imps!CM49</f>
        <v>43768.479166666555</v>
      </c>
      <c r="AB49" s="156">
        <f ca="1">Military!Z49</f>
        <v>5295</v>
      </c>
      <c r="AC49" s="57">
        <f ca="1">Production!H49</f>
        <v>4706485</v>
      </c>
      <c r="AE49" s="63">
        <f t="shared" si="3"/>
        <v>1000</v>
      </c>
      <c r="AF49" s="152">
        <f>ROUND(IF(AE49&gt;=300,1000+3*(AE49-300)^MIN(MAX(1.05/(AE49^0.019),1.09),1.119),1000-3*(300-AE49))*(1+IF(Overview!$B$14="Ants",ant_explore_penalty,0)+MIN(tech_explore_cost*Techs!Z49,tech_explore_cost2*Techs!AB49,tech_enchanted_lands_explore*Techs!AT49)),0)</f>
        <v>4787</v>
      </c>
      <c r="AG49" s="164">
        <f>ROUND(MAX(IF(AE49&gt;=300,5+0.003*(AE49-300)^1.07,5-300/AE49)+MIN(tech_explore_draft1*Techs!AA49,tech_explore_draft2*Techs!AB49),3),0)</f>
        <v>8</v>
      </c>
      <c r="AH49" s="26">
        <f t="shared" si="1"/>
        <v>0</v>
      </c>
      <c r="AI49" s="57">
        <f t="shared" si="2"/>
        <v>0</v>
      </c>
    </row>
    <row r="50" spans="1:35" s="16" customFormat="1" ht="13.8" thickBot="1" x14ac:dyDescent="0.3">
      <c r="A50" s="511">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2">
        <v>48</v>
      </c>
      <c r="S50" s="340"/>
      <c r="T50" s="348"/>
      <c r="U50" s="348"/>
      <c r="V50" s="348"/>
      <c r="W50" s="348"/>
      <c r="X50" s="348"/>
      <c r="Y50" s="348"/>
      <c r="Z50" s="357"/>
      <c r="AA50" s="535">
        <f>Imps!CM50</f>
        <v>43768.489583333219</v>
      </c>
      <c r="AB50" s="156">
        <f ca="1">Military!Z50</f>
        <v>5295</v>
      </c>
      <c r="AC50" s="57">
        <f ca="1">Production!H50</f>
        <v>4711466</v>
      </c>
      <c r="AE50" s="63">
        <f t="shared" si="3"/>
        <v>1000</v>
      </c>
      <c r="AF50" s="152">
        <f>ROUND(IF(AE50&gt;=300,1000+3*(AE50-300)^MIN(MAX(1.05/(AE50^0.019),1.09),1.119),1000-3*(300-AE50))*(1+IF(Overview!$B$14="Ants",ant_explore_penalty,0)+MIN(tech_explore_cost*Techs!Z50,tech_explore_cost2*Techs!AB50,tech_enchanted_lands_explore*Techs!AT50)),0)</f>
        <v>4787</v>
      </c>
      <c r="AG50" s="164">
        <f>ROUND(MAX(IF(AE50&gt;=300,5+0.003*(AE50-300)^1.07,5-300/AE50)+MIN(tech_explore_draft1*Techs!AA50,tech_explore_draft2*Techs!AB50),3),0)</f>
        <v>8</v>
      </c>
      <c r="AH50" s="26">
        <f t="shared" si="1"/>
        <v>0</v>
      </c>
      <c r="AI50" s="57">
        <f t="shared" si="2"/>
        <v>0</v>
      </c>
    </row>
    <row r="51" spans="1:35" s="111" customFormat="1" ht="14.4" thickTop="1" thickBot="1" x14ac:dyDescent="0.3">
      <c r="A51" s="515">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472" t="s">
        <v>314</v>
      </c>
      <c r="M51" s="1475" t="s">
        <v>317</v>
      </c>
      <c r="N51" s="133">
        <f>Military!AB51</f>
        <v>0</v>
      </c>
      <c r="O51" s="136">
        <f ca="1">Population!I51</f>
        <v>1</v>
      </c>
      <c r="P51" s="133">
        <f ca="1">Imps!J51</f>
        <v>1</v>
      </c>
      <c r="Q51" s="116">
        <f t="shared" si="4"/>
        <v>1000</v>
      </c>
      <c r="R51" s="818">
        <v>49</v>
      </c>
      <c r="S51" s="341"/>
      <c r="T51" s="350"/>
      <c r="U51" s="350"/>
      <c r="V51" s="350"/>
      <c r="W51" s="350"/>
      <c r="X51" s="350"/>
      <c r="Y51" s="350"/>
      <c r="Z51" s="359"/>
      <c r="AA51" s="570">
        <f>Imps!CM51</f>
        <v>43768.499999999884</v>
      </c>
      <c r="AB51" s="275">
        <f ca="1">Military!Z51</f>
        <v>5295</v>
      </c>
      <c r="AC51" s="109">
        <f ca="1">Production!H51</f>
        <v>4716447</v>
      </c>
      <c r="AE51" s="116">
        <f t="shared" si="3"/>
        <v>1000</v>
      </c>
      <c r="AF51" s="273">
        <f>ROUND(IF(AE51&gt;=300,1000+3*(AE51-300)^MIN(MAX(1.05/(AE51^0.019),1.09),1.119),1000-3*(300-AE51))*(1+IF(Overview!$B$14="Ants",ant_explore_penalty,0)+MIN(tech_explore_cost*Techs!Z51,tech_explore_cost2*Techs!AB51,tech_enchanted_lands_explore*Techs!AT51)),0)</f>
        <v>4787</v>
      </c>
      <c r="AG51" s="277">
        <f>ROUND(MAX(IF(AE51&gt;=300,5+0.003*(AE51-300)^1.07,5-300/AE51)+MIN(tech_explore_draft1*Techs!AA51,tech_explore_draft2*Techs!AB51),3),0)</f>
        <v>8</v>
      </c>
      <c r="AH51" s="108">
        <f t="shared" si="1"/>
        <v>0</v>
      </c>
      <c r="AI51" s="109">
        <f t="shared" si="2"/>
        <v>0</v>
      </c>
    </row>
    <row r="52" spans="1:35" s="16" customFormat="1" ht="13.8" thickTop="1" x14ac:dyDescent="0.25">
      <c r="A52" s="511">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473"/>
      <c r="M52" s="1476"/>
      <c r="N52" s="91">
        <f>Military!AB52</f>
        <v>0</v>
      </c>
      <c r="O52" s="59">
        <f ca="1">Population!I52</f>
        <v>1</v>
      </c>
      <c r="P52" s="91">
        <f ca="1">Imps!J52</f>
        <v>1</v>
      </c>
      <c r="Q52" s="63">
        <f t="shared" si="4"/>
        <v>1000</v>
      </c>
      <c r="R52" s="632">
        <v>50</v>
      </c>
      <c r="S52" s="340"/>
      <c r="T52" s="348"/>
      <c r="U52" s="348"/>
      <c r="V52" s="348"/>
      <c r="W52" s="348"/>
      <c r="X52" s="348"/>
      <c r="Y52" s="348"/>
      <c r="Z52" s="357"/>
      <c r="AA52" s="535">
        <f>Imps!CM52</f>
        <v>43768.510416666548</v>
      </c>
      <c r="AB52" s="156">
        <f ca="1">Military!Z52</f>
        <v>5295</v>
      </c>
      <c r="AC52" s="57">
        <f ca="1">Production!H52</f>
        <v>4721428</v>
      </c>
      <c r="AE52" s="63">
        <f t="shared" si="3"/>
        <v>1000</v>
      </c>
      <c r="AF52" s="152">
        <f>ROUND(IF(AE52&gt;=300,1000+3*(AE52-300)^MIN(MAX(1.05/(AE52^0.019),1.09),1.119),1000-3*(300-AE52))*(1+IF(Overview!$B$14="Ants",ant_explore_penalty,0)+MIN(tech_explore_cost*Techs!Z52,tech_explore_cost2*Techs!AB52,tech_enchanted_lands_explore*Techs!AT52)),0)</f>
        <v>4787</v>
      </c>
      <c r="AG52" s="164">
        <f>ROUND(MAX(IF(AE52&gt;=300,5+0.003*(AE52-300)^1.07,5-300/AE52)+MIN(tech_explore_draft1*Techs!AA52,tech_explore_draft2*Techs!AB52),3),0)</f>
        <v>8</v>
      </c>
      <c r="AH52" s="26">
        <f t="shared" si="1"/>
        <v>0</v>
      </c>
      <c r="AI52" s="57">
        <f t="shared" si="2"/>
        <v>0</v>
      </c>
    </row>
    <row r="53" spans="1:35" s="16" customFormat="1" x14ac:dyDescent="0.25">
      <c r="A53" s="511">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474"/>
      <c r="M53" s="1477"/>
      <c r="N53" s="91">
        <f>Military!AB53</f>
        <v>0</v>
      </c>
      <c r="O53" s="59">
        <f ca="1">Population!I53</f>
        <v>1</v>
      </c>
      <c r="P53" s="91">
        <f ca="1">Imps!J53</f>
        <v>1</v>
      </c>
      <c r="Q53" s="63">
        <f t="shared" si="4"/>
        <v>1000</v>
      </c>
      <c r="R53" s="632">
        <v>51</v>
      </c>
      <c r="S53" s="340"/>
      <c r="T53" s="348"/>
      <c r="U53" s="348"/>
      <c r="V53" s="348"/>
      <c r="W53" s="348"/>
      <c r="X53" s="348"/>
      <c r="Y53" s="348"/>
      <c r="Z53" s="357"/>
      <c r="AA53" s="535">
        <f>Imps!CM53</f>
        <v>43768.520833333212</v>
      </c>
      <c r="AB53" s="156">
        <f ca="1">Military!Z53</f>
        <v>5295</v>
      </c>
      <c r="AC53" s="57">
        <f ca="1">Production!H53</f>
        <v>4726409</v>
      </c>
      <c r="AE53" s="63">
        <f t="shared" si="3"/>
        <v>1000</v>
      </c>
      <c r="AF53" s="152">
        <f>ROUND(IF(AE53&gt;=300,1000+3*(AE53-300)^MIN(MAX(1.05/(AE53^0.019),1.09),1.119),1000-3*(300-AE53))*(1+IF(Overview!$B$14="Ants",ant_explore_penalty,0)+MIN(tech_explore_cost*Techs!Z53,tech_explore_cost2*Techs!AB53,tech_enchanted_lands_explore*Techs!AT53)),0)</f>
        <v>4787</v>
      </c>
      <c r="AG53" s="164">
        <f>ROUND(MAX(IF(AE53&gt;=300,5+0.003*(AE53-300)^1.07,5-300/AE53)+MIN(tech_explore_draft1*Techs!AA53,tech_explore_draft2*Techs!AB53),3),0)</f>
        <v>8</v>
      </c>
      <c r="AH53" s="26">
        <f t="shared" si="1"/>
        <v>0</v>
      </c>
      <c r="AI53" s="57">
        <f t="shared" si="2"/>
        <v>0</v>
      </c>
    </row>
    <row r="54" spans="1:35" s="16" customFormat="1" x14ac:dyDescent="0.25">
      <c r="A54" s="511">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2">
        <v>52</v>
      </c>
      <c r="S54" s="340"/>
      <c r="T54" s="348"/>
      <c r="U54" s="348"/>
      <c r="V54" s="348"/>
      <c r="W54" s="348"/>
      <c r="X54" s="348"/>
      <c r="Y54" s="348"/>
      <c r="Z54" s="357"/>
      <c r="AA54" s="535">
        <f>Imps!CM54</f>
        <v>43768.531249999876</v>
      </c>
      <c r="AB54" s="156">
        <f ca="1">Military!Z54</f>
        <v>5295</v>
      </c>
      <c r="AC54" s="57">
        <f ca="1">Production!H54</f>
        <v>4731390</v>
      </c>
      <c r="AE54" s="63">
        <f t="shared" si="3"/>
        <v>1000</v>
      </c>
      <c r="AF54" s="152">
        <f>ROUND(IF(AE54&gt;=300,1000+3*(AE54-300)^MIN(MAX(1.05/(AE54^0.019),1.09),1.119),1000-3*(300-AE54))*(1+IF(Overview!$B$14="Ants",ant_explore_penalty,0)+MIN(tech_explore_cost*Techs!Z54,tech_explore_cost2*Techs!AB54,tech_enchanted_lands_explore*Techs!AT54)),0)</f>
        <v>4787</v>
      </c>
      <c r="AG54" s="164">
        <f>ROUND(MAX(IF(AE54&gt;=300,5+0.003*(AE54-300)^1.07,5-300/AE54)+MIN(tech_explore_draft1*Techs!AA54,tech_explore_draft2*Techs!AB54),3),0)</f>
        <v>8</v>
      </c>
      <c r="AH54" s="26">
        <f t="shared" si="1"/>
        <v>0</v>
      </c>
      <c r="AI54" s="57">
        <f t="shared" si="2"/>
        <v>0</v>
      </c>
    </row>
    <row r="55" spans="1:35" s="16" customFormat="1" x14ac:dyDescent="0.25">
      <c r="A55" s="511">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2">
        <v>53</v>
      </c>
      <c r="S55" s="340"/>
      <c r="T55" s="348"/>
      <c r="U55" s="348"/>
      <c r="V55" s="348"/>
      <c r="W55" s="348"/>
      <c r="X55" s="348"/>
      <c r="Y55" s="348"/>
      <c r="Z55" s="357"/>
      <c r="AA55" s="535">
        <f>Imps!CM55</f>
        <v>43768.541666666541</v>
      </c>
      <c r="AB55" s="156">
        <f ca="1">Military!Z55</f>
        <v>5295</v>
      </c>
      <c r="AC55" s="57">
        <f ca="1">Production!H55</f>
        <v>4736371</v>
      </c>
      <c r="AE55" s="63">
        <f t="shared" si="3"/>
        <v>1000</v>
      </c>
      <c r="AF55" s="152">
        <f>ROUND(IF(AE55&gt;=300,1000+3*(AE55-300)^MIN(MAX(1.05/(AE55^0.019),1.09),1.119),1000-3*(300-AE55))*(1+IF(Overview!$B$14="Ants",ant_explore_penalty,0)+MIN(tech_explore_cost*Techs!Z55,tech_explore_cost2*Techs!AB55,tech_enchanted_lands_explore*Techs!AT55)),0)</f>
        <v>4787</v>
      </c>
      <c r="AG55" s="164">
        <f>ROUND(MAX(IF(AE55&gt;=300,5+0.003*(AE55-300)^1.07,5-300/AE55)+MIN(tech_explore_draft1*Techs!AA55,tech_explore_draft2*Techs!AB55),3),0)</f>
        <v>8</v>
      </c>
      <c r="AH55" s="26">
        <f t="shared" si="1"/>
        <v>0</v>
      </c>
      <c r="AI55" s="57">
        <f t="shared" si="2"/>
        <v>0</v>
      </c>
    </row>
    <row r="56" spans="1:35" s="16" customFormat="1" x14ac:dyDescent="0.25">
      <c r="A56" s="511">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2">
        <v>54</v>
      </c>
      <c r="S56" s="340"/>
      <c r="T56" s="348"/>
      <c r="U56" s="348"/>
      <c r="V56" s="348"/>
      <c r="W56" s="348"/>
      <c r="X56" s="348"/>
      <c r="Y56" s="348"/>
      <c r="Z56" s="357"/>
      <c r="AA56" s="535">
        <f>Imps!CM56</f>
        <v>43768.552083333205</v>
      </c>
      <c r="AB56" s="156">
        <f ca="1">Military!Z56</f>
        <v>5295</v>
      </c>
      <c r="AC56" s="57">
        <f ca="1">Production!H56</f>
        <v>4741352</v>
      </c>
      <c r="AE56" s="63">
        <f t="shared" si="3"/>
        <v>1000</v>
      </c>
      <c r="AF56" s="152">
        <f>ROUND(IF(AE56&gt;=300,1000+3*(AE56-300)^MIN(MAX(1.05/(AE56^0.019),1.09),1.119),1000-3*(300-AE56))*(1+IF(Overview!$B$14="Ants",ant_explore_penalty,0)+MIN(tech_explore_cost*Techs!Z56,tech_explore_cost2*Techs!AB56,tech_enchanted_lands_explore*Techs!AT56)),0)</f>
        <v>4787</v>
      </c>
      <c r="AG56" s="164">
        <f>ROUND(MAX(IF(AE56&gt;=300,5+0.003*(AE56-300)^1.07,5-300/AE56)+MIN(tech_explore_draft1*Techs!AA56,tech_explore_draft2*Techs!AB56),3),0)</f>
        <v>8</v>
      </c>
      <c r="AH56" s="26">
        <f t="shared" si="1"/>
        <v>0</v>
      </c>
      <c r="AI56" s="57">
        <f t="shared" si="2"/>
        <v>0</v>
      </c>
    </row>
    <row r="57" spans="1:35" s="16" customFormat="1" x14ac:dyDescent="0.25">
      <c r="A57" s="511">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2">
        <v>55</v>
      </c>
      <c r="S57" s="340"/>
      <c r="T57" s="348"/>
      <c r="U57" s="348"/>
      <c r="V57" s="348"/>
      <c r="W57" s="348"/>
      <c r="X57" s="348"/>
      <c r="Y57" s="348"/>
      <c r="Z57" s="357"/>
      <c r="AA57" s="535">
        <f>Imps!CM57</f>
        <v>43768.562499999869</v>
      </c>
      <c r="AB57" s="156">
        <f ca="1">Military!Z57</f>
        <v>5295</v>
      </c>
      <c r="AC57" s="57">
        <f ca="1">Production!H57</f>
        <v>4746333</v>
      </c>
      <c r="AE57" s="63">
        <f t="shared" si="3"/>
        <v>1000</v>
      </c>
      <c r="AF57" s="152">
        <f>ROUND(IF(AE57&gt;=300,1000+3*(AE57-300)^MIN(MAX(1.05/(AE57^0.019),1.09),1.119),1000-3*(300-AE57))*(1+IF(Overview!$B$14="Ants",ant_explore_penalty,0)+MIN(tech_explore_cost*Techs!Z57,tech_explore_cost2*Techs!AB57,tech_enchanted_lands_explore*Techs!AT57)),0)</f>
        <v>4787</v>
      </c>
      <c r="AG57" s="164">
        <f>ROUND(MAX(IF(AE57&gt;=300,5+0.003*(AE57-300)^1.07,5-300/AE57)+MIN(tech_explore_draft1*Techs!AA57,tech_explore_draft2*Techs!AB57),3),0)</f>
        <v>8</v>
      </c>
      <c r="AH57" s="26">
        <f t="shared" si="1"/>
        <v>0</v>
      </c>
      <c r="AI57" s="57">
        <f t="shared" si="2"/>
        <v>0</v>
      </c>
    </row>
    <row r="58" spans="1:35" s="16" customFormat="1" x14ac:dyDescent="0.25">
      <c r="A58" s="511">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2">
        <v>56</v>
      </c>
      <c r="S58" s="340"/>
      <c r="T58" s="348"/>
      <c r="U58" s="348"/>
      <c r="V58" s="348"/>
      <c r="W58" s="348"/>
      <c r="X58" s="348"/>
      <c r="Y58" s="348"/>
      <c r="Z58" s="357"/>
      <c r="AA58" s="535">
        <f>Imps!CM58</f>
        <v>43768.572916666533</v>
      </c>
      <c r="AB58" s="156">
        <f ca="1">Military!Z58</f>
        <v>5295</v>
      </c>
      <c r="AC58" s="57">
        <f ca="1">Production!H58</f>
        <v>4751314</v>
      </c>
      <c r="AE58" s="63">
        <f t="shared" si="3"/>
        <v>1000</v>
      </c>
      <c r="AF58" s="152">
        <f>ROUND(IF(AE58&gt;=300,1000+3*(AE58-300)^MIN(MAX(1.05/(AE58^0.019),1.09),1.119),1000-3*(300-AE58))*(1+IF(Overview!$B$14="Ants",ant_explore_penalty,0)+MIN(tech_explore_cost*Techs!Z58,tech_explore_cost2*Techs!AB58,tech_enchanted_lands_explore*Techs!AT58)),0)</f>
        <v>4787</v>
      </c>
      <c r="AG58" s="164">
        <f>ROUND(MAX(IF(AE58&gt;=300,5+0.003*(AE58-300)^1.07,5-300/AE58)+MIN(tech_explore_draft1*Techs!AA58,tech_explore_draft2*Techs!AB58),3),0)</f>
        <v>8</v>
      </c>
      <c r="AH58" s="26">
        <f t="shared" si="1"/>
        <v>0</v>
      </c>
      <c r="AI58" s="57">
        <f t="shared" si="2"/>
        <v>0</v>
      </c>
    </row>
    <row r="59" spans="1:35" s="16" customFormat="1" x14ac:dyDescent="0.25">
      <c r="A59" s="511">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2">
        <v>57</v>
      </c>
      <c r="S59" s="340"/>
      <c r="T59" s="348"/>
      <c r="U59" s="348"/>
      <c r="V59" s="348"/>
      <c r="W59" s="348"/>
      <c r="X59" s="348"/>
      <c r="Y59" s="348"/>
      <c r="Z59" s="357"/>
      <c r="AA59" s="535">
        <f>Imps!CM59</f>
        <v>43768.583333333198</v>
      </c>
      <c r="AB59" s="156">
        <f ca="1">Military!Z59</f>
        <v>5295</v>
      </c>
      <c r="AC59" s="57">
        <f ca="1">Production!H59</f>
        <v>4756295</v>
      </c>
      <c r="AE59" s="63">
        <f t="shared" si="3"/>
        <v>1000</v>
      </c>
      <c r="AF59" s="152">
        <f>ROUND(IF(AE59&gt;=300,1000+3*(AE59-300)^MIN(MAX(1.05/(AE59^0.019),1.09),1.119),1000-3*(300-AE59))*(1+IF(Overview!$B$14="Ants",ant_explore_penalty,0)+MIN(tech_explore_cost*Techs!Z59,tech_explore_cost2*Techs!AB59,tech_enchanted_lands_explore*Techs!AT59)),0)</f>
        <v>4787</v>
      </c>
      <c r="AG59" s="164">
        <f>ROUND(MAX(IF(AE59&gt;=300,5+0.003*(AE59-300)^1.07,5-300/AE59)+MIN(tech_explore_draft1*Techs!AA59,tech_explore_draft2*Techs!AB59),3),0)</f>
        <v>8</v>
      </c>
      <c r="AH59" s="26">
        <f t="shared" si="1"/>
        <v>0</v>
      </c>
      <c r="AI59" s="57">
        <f t="shared" si="2"/>
        <v>0</v>
      </c>
    </row>
    <row r="60" spans="1:35" s="16" customFormat="1" x14ac:dyDescent="0.25">
      <c r="A60" s="511">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2">
        <v>58</v>
      </c>
      <c r="S60" s="340"/>
      <c r="T60" s="348"/>
      <c r="U60" s="348"/>
      <c r="V60" s="348"/>
      <c r="W60" s="348"/>
      <c r="X60" s="348"/>
      <c r="Y60" s="348"/>
      <c r="Z60" s="357"/>
      <c r="AA60" s="535">
        <f>Imps!CM60</f>
        <v>43768.593749999862</v>
      </c>
      <c r="AB60" s="156">
        <f ca="1">Military!Z60</f>
        <v>5295</v>
      </c>
      <c r="AC60" s="57">
        <f ca="1">Production!H60</f>
        <v>4761276</v>
      </c>
      <c r="AE60" s="63">
        <f t="shared" si="3"/>
        <v>1000</v>
      </c>
      <c r="AF60" s="152">
        <f>ROUND(IF(AE60&gt;=300,1000+3*(AE60-300)^MIN(MAX(1.05/(AE60^0.019),1.09),1.119),1000-3*(300-AE60))*(1+IF(Overview!$B$14="Ants",ant_explore_penalty,0)+MIN(tech_explore_cost*Techs!Z60,tech_explore_cost2*Techs!AB60,tech_enchanted_lands_explore*Techs!AT60)),0)</f>
        <v>4787</v>
      </c>
      <c r="AG60" s="164">
        <f>ROUND(MAX(IF(AE60&gt;=300,5+0.003*(AE60-300)^1.07,5-300/AE60)+MIN(tech_explore_draft1*Techs!AA60,tech_explore_draft2*Techs!AB60),3),0)</f>
        <v>8</v>
      </c>
      <c r="AH60" s="26">
        <f t="shared" si="1"/>
        <v>0</v>
      </c>
      <c r="AI60" s="57">
        <f t="shared" si="2"/>
        <v>0</v>
      </c>
    </row>
    <row r="61" spans="1:35" s="16" customFormat="1" x14ac:dyDescent="0.25">
      <c r="A61" s="511">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2">
        <v>59</v>
      </c>
      <c r="S61" s="340"/>
      <c r="T61" s="348"/>
      <c r="U61" s="348"/>
      <c r="V61" s="348"/>
      <c r="W61" s="348"/>
      <c r="X61" s="348"/>
      <c r="Y61" s="348"/>
      <c r="Z61" s="357"/>
      <c r="AA61" s="535">
        <f>Imps!CM61</f>
        <v>43768.604166666526</v>
      </c>
      <c r="AB61" s="156">
        <f ca="1">Military!Z61</f>
        <v>5295</v>
      </c>
      <c r="AC61" s="57">
        <f ca="1">Production!H61</f>
        <v>4766257</v>
      </c>
      <c r="AE61" s="63">
        <f t="shared" si="3"/>
        <v>1000</v>
      </c>
      <c r="AF61" s="152">
        <f>ROUND(IF(AE61&gt;=300,1000+3*(AE61-300)^MIN(MAX(1.05/(AE61^0.019),1.09),1.119),1000-3*(300-AE61))*(1+IF(Overview!$B$14="Ants",ant_explore_penalty,0)+MIN(tech_explore_cost*Techs!Z61,tech_explore_cost2*Techs!AB61,tech_enchanted_lands_explore*Techs!AT61)),0)</f>
        <v>4787</v>
      </c>
      <c r="AG61" s="164">
        <f>ROUND(MAX(IF(AE61&gt;=300,5+0.003*(AE61-300)^1.07,5-300/AE61)+MIN(tech_explore_draft1*Techs!AA61,tech_explore_draft2*Techs!AB61),3),0)</f>
        <v>8</v>
      </c>
      <c r="AH61" s="26">
        <f t="shared" si="1"/>
        <v>0</v>
      </c>
      <c r="AI61" s="57">
        <f t="shared" si="2"/>
        <v>0</v>
      </c>
    </row>
    <row r="62" spans="1:35" s="16" customFormat="1" x14ac:dyDescent="0.25">
      <c r="A62" s="511">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2">
        <v>60</v>
      </c>
      <c r="S62" s="340"/>
      <c r="T62" s="348"/>
      <c r="U62" s="348"/>
      <c r="V62" s="348"/>
      <c r="W62" s="348"/>
      <c r="X62" s="348"/>
      <c r="Y62" s="348"/>
      <c r="Z62" s="357"/>
      <c r="AA62" s="535">
        <f>Imps!CM62</f>
        <v>43768.61458333319</v>
      </c>
      <c r="AB62" s="156">
        <f ca="1">Military!Z62</f>
        <v>5295</v>
      </c>
      <c r="AC62" s="57">
        <f ca="1">Production!H62</f>
        <v>4771238</v>
      </c>
      <c r="AE62" s="63">
        <f t="shared" si="3"/>
        <v>1000</v>
      </c>
      <c r="AF62" s="152">
        <f>ROUND(IF(AE62&gt;=300,1000+3*(AE62-300)^MIN(MAX(1.05/(AE62^0.019),1.09),1.119),1000-3*(300-AE62))*(1+IF(Overview!$B$14="Ants",ant_explore_penalty,0)+MIN(tech_explore_cost*Techs!Z62,tech_explore_cost2*Techs!AB62,tech_enchanted_lands_explore*Techs!AT62)),0)</f>
        <v>4787</v>
      </c>
      <c r="AG62" s="164">
        <f>ROUND(MAX(IF(AE62&gt;=300,5+0.003*(AE62-300)^1.07,5-300/AE62)+MIN(tech_explore_draft1*Techs!AA62,tech_explore_draft2*Techs!AB62),3),0)</f>
        <v>8</v>
      </c>
      <c r="AH62" s="26">
        <f t="shared" si="1"/>
        <v>0</v>
      </c>
      <c r="AI62" s="57">
        <f t="shared" si="2"/>
        <v>0</v>
      </c>
    </row>
    <row r="63" spans="1:35" s="12" customFormat="1" x14ac:dyDescent="0.25">
      <c r="A63" s="513">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18"/>
      <c r="T63" s="349"/>
      <c r="U63" s="349"/>
      <c r="V63" s="349"/>
      <c r="W63" s="349"/>
      <c r="X63" s="349"/>
      <c r="Y63" s="349"/>
      <c r="Z63" s="374"/>
      <c r="AA63" s="568">
        <f>Imps!CM63</f>
        <v>43768.624999999854</v>
      </c>
      <c r="AB63" s="184">
        <f ca="1">Military!Z63</f>
        <v>5295</v>
      </c>
      <c r="AC63" s="55">
        <f ca="1">Production!H63</f>
        <v>4776219</v>
      </c>
      <c r="AE63" s="286">
        <f t="shared" si="3"/>
        <v>1000</v>
      </c>
      <c r="AF63" s="151">
        <f>ROUND(IF(AE63&gt;=300,1000+3*(AE63-300)^MIN(MAX(1.05/(AE63^0.019),1.09),1.119),1000-3*(300-AE63))*(1+IF(Overview!$B$14="Ants",ant_explore_penalty,0)+MIN(tech_explore_cost*Techs!Z63,tech_explore_cost2*Techs!AB63,tech_enchanted_lands_explore*Techs!AT63)),0)</f>
        <v>4787</v>
      </c>
      <c r="AG63" s="153">
        <f>ROUND(MAX(IF(AE63&gt;=300,5+0.003*(AE63-300)^1.07,5-300/AE63)+MIN(tech_explore_draft1*Techs!AA63,tech_explore_draft2*Techs!AB63),3),0)</f>
        <v>8</v>
      </c>
      <c r="AH63" s="13">
        <f t="shared" si="1"/>
        <v>0</v>
      </c>
      <c r="AI63" s="55">
        <f t="shared" si="2"/>
        <v>0</v>
      </c>
    </row>
    <row r="64" spans="1:35" s="16" customFormat="1" x14ac:dyDescent="0.25">
      <c r="A64" s="511">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2">
        <v>62</v>
      </c>
      <c r="S64" s="340"/>
      <c r="T64" s="348"/>
      <c r="U64" s="348"/>
      <c r="V64" s="348"/>
      <c r="W64" s="348"/>
      <c r="X64" s="348"/>
      <c r="Y64" s="348"/>
      <c r="Z64" s="357"/>
      <c r="AA64" s="535">
        <f>Imps!CM64</f>
        <v>43768.635416666519</v>
      </c>
      <c r="AB64" s="156">
        <f ca="1">Military!Z64</f>
        <v>5295</v>
      </c>
      <c r="AC64" s="57">
        <f ca="1">Production!H64</f>
        <v>4781200</v>
      </c>
      <c r="AE64" s="63">
        <f t="shared" si="3"/>
        <v>1000</v>
      </c>
      <c r="AF64" s="152">
        <f>ROUND(IF(AE64&gt;=300,1000+3*(AE64-300)^MIN(MAX(1.05/(AE64^0.019),1.09),1.119),1000-3*(300-AE64))*(1+IF(Overview!$B$14="Ants",ant_explore_penalty,0)+MIN(tech_explore_cost*Techs!Z64,tech_explore_cost2*Techs!AB64,tech_enchanted_lands_explore*Techs!AT64)),0)</f>
        <v>4787</v>
      </c>
      <c r="AG64" s="164">
        <f>ROUND(MAX(IF(AE64&gt;=300,5+0.003*(AE64-300)^1.07,5-300/AE64)+MIN(tech_explore_draft1*Techs!AA64,tech_explore_draft2*Techs!AB64),3),0)</f>
        <v>8</v>
      </c>
      <c r="AH64" s="26">
        <f t="shared" si="1"/>
        <v>0</v>
      </c>
      <c r="AI64" s="57">
        <f t="shared" si="2"/>
        <v>0</v>
      </c>
    </row>
    <row r="65" spans="1:35" s="16" customFormat="1" x14ac:dyDescent="0.25">
      <c r="A65" s="511">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2">
        <v>63</v>
      </c>
      <c r="S65" s="340"/>
      <c r="T65" s="348"/>
      <c r="U65" s="348"/>
      <c r="V65" s="348"/>
      <c r="W65" s="348"/>
      <c r="X65" s="348"/>
      <c r="Y65" s="348"/>
      <c r="Z65" s="357"/>
      <c r="AA65" s="535">
        <f>Imps!CM65</f>
        <v>43768.645833333183</v>
      </c>
      <c r="AB65" s="156">
        <f ca="1">Military!Z65</f>
        <v>5295</v>
      </c>
      <c r="AC65" s="57">
        <f ca="1">Production!H65</f>
        <v>4786181</v>
      </c>
      <c r="AE65" s="63">
        <f t="shared" si="3"/>
        <v>1000</v>
      </c>
      <c r="AF65" s="152">
        <f>ROUND(IF(AE65&gt;=300,1000+3*(AE65-300)^MIN(MAX(1.05/(AE65^0.019),1.09),1.119),1000-3*(300-AE65))*(1+IF(Overview!$B$14="Ants",ant_explore_penalty,0)+MIN(tech_explore_cost*Techs!Z65,tech_explore_cost2*Techs!AB65,tech_enchanted_lands_explore*Techs!AT65)),0)</f>
        <v>4787</v>
      </c>
      <c r="AG65" s="164">
        <f>ROUND(MAX(IF(AE65&gt;=300,5+0.003*(AE65-300)^1.07,5-300/AE65)+MIN(tech_explore_draft1*Techs!AA65,tech_explore_draft2*Techs!AB65),3),0)</f>
        <v>8</v>
      </c>
      <c r="AH65" s="26">
        <f t="shared" si="1"/>
        <v>0</v>
      </c>
      <c r="AI65" s="57">
        <f t="shared" si="2"/>
        <v>0</v>
      </c>
    </row>
    <row r="66" spans="1:35" s="16" customFormat="1" x14ac:dyDescent="0.25">
      <c r="A66" s="511">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2">
        <v>64</v>
      </c>
      <c r="S66" s="340"/>
      <c r="T66" s="348"/>
      <c r="U66" s="348"/>
      <c r="V66" s="348"/>
      <c r="W66" s="348"/>
      <c r="X66" s="348"/>
      <c r="Y66" s="348"/>
      <c r="Z66" s="357"/>
      <c r="AA66" s="535">
        <f>Imps!CM66</f>
        <v>43768.656249999847</v>
      </c>
      <c r="AB66" s="156">
        <f ca="1">Military!Z66</f>
        <v>5295</v>
      </c>
      <c r="AC66" s="57">
        <f ca="1">Production!H66</f>
        <v>4791162</v>
      </c>
      <c r="AE66" s="63">
        <f t="shared" si="3"/>
        <v>1000</v>
      </c>
      <c r="AF66" s="152">
        <f>ROUND(IF(AE66&gt;=300,1000+3*(AE66-300)^MIN(MAX(1.05/(AE66^0.019),1.09),1.119),1000-3*(300-AE66))*(1+IF(Overview!$B$14="Ants",ant_explore_penalty,0)+MIN(tech_explore_cost*Techs!Z66,tech_explore_cost2*Techs!AB66,tech_enchanted_lands_explore*Techs!AT66)),0)</f>
        <v>4787</v>
      </c>
      <c r="AG66" s="164">
        <f>ROUND(MAX(IF(AE66&gt;=300,5+0.003*(AE66-300)^1.07,5-300/AE66)+MIN(tech_explore_draft1*Techs!AA66,tech_explore_draft2*Techs!AB66),3),0)</f>
        <v>8</v>
      </c>
      <c r="AH66" s="26">
        <f t="shared" si="1"/>
        <v>0</v>
      </c>
      <c r="AI66" s="57">
        <f t="shared" si="2"/>
        <v>0</v>
      </c>
    </row>
    <row r="67" spans="1:35" s="16" customFormat="1" x14ac:dyDescent="0.25">
      <c r="A67" s="511">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2">
        <v>65</v>
      </c>
      <c r="S67" s="340"/>
      <c r="T67" s="348"/>
      <c r="U67" s="348"/>
      <c r="V67" s="348"/>
      <c r="W67" s="348"/>
      <c r="X67" s="348"/>
      <c r="Y67" s="348"/>
      <c r="Z67" s="357"/>
      <c r="AA67" s="535">
        <f>Imps!CM67</f>
        <v>43768.666666666511</v>
      </c>
      <c r="AB67" s="156">
        <f ca="1">Military!Z67</f>
        <v>5295</v>
      </c>
      <c r="AC67" s="57">
        <f ca="1">Production!H67</f>
        <v>4796143</v>
      </c>
      <c r="AE67" s="63">
        <f t="shared" si="3"/>
        <v>1000</v>
      </c>
      <c r="AF67" s="152">
        <f>ROUND(IF(AE67&gt;=300,1000+3*(AE67-300)^MIN(MAX(1.05/(AE67^0.019),1.09),1.119),1000-3*(300-AE67))*(1+IF(Overview!$B$14="Ants",ant_explore_penalty,0)+MIN(tech_explore_cost*Techs!Z67,tech_explore_cost2*Techs!AB67,tech_enchanted_lands_explore*Techs!AT67)),0)</f>
        <v>4787</v>
      </c>
      <c r="AG67" s="164">
        <f>ROUND(MAX(IF(AE67&gt;=300,5+0.003*(AE67-300)^1.07,5-300/AE67)+MIN(tech_explore_draft1*Techs!AA67,tech_explore_draft2*Techs!AB67),3),0)</f>
        <v>8</v>
      </c>
      <c r="AH67" s="26">
        <f t="shared" ref="AH67:AH130" si="6">SUM(T67:Z67)*AF67</f>
        <v>0</v>
      </c>
      <c r="AI67" s="57">
        <f t="shared" ref="AI67:AI130" si="7">SUM(T67:Z67)*AG67</f>
        <v>0</v>
      </c>
    </row>
    <row r="68" spans="1:35" s="16" customFormat="1" x14ac:dyDescent="0.25">
      <c r="A68" s="511">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2">
        <v>66</v>
      </c>
      <c r="S68" s="340"/>
      <c r="T68" s="348"/>
      <c r="U68" s="348"/>
      <c r="V68" s="348"/>
      <c r="W68" s="348"/>
      <c r="X68" s="348"/>
      <c r="Y68" s="348"/>
      <c r="Z68" s="357"/>
      <c r="AA68" s="535">
        <f>Imps!CM68</f>
        <v>43768.677083333176</v>
      </c>
      <c r="AB68" s="156">
        <f ca="1">Military!Z68</f>
        <v>5295</v>
      </c>
      <c r="AC68" s="57">
        <f ca="1">Production!H68</f>
        <v>4801124</v>
      </c>
      <c r="AE68" s="63">
        <f t="shared" ref="AE68:AE131" si="8">B68-S68*20</f>
        <v>1000</v>
      </c>
      <c r="AF68" s="152">
        <f>ROUND(IF(AE68&gt;=300,1000+3*(AE68-300)^MIN(MAX(1.05/(AE68^0.019),1.09),1.119),1000-3*(300-AE68))*(1+IF(Overview!$B$14="Ants",ant_explore_penalty,0)+MIN(tech_explore_cost*Techs!Z68,tech_explore_cost2*Techs!AB68,tech_enchanted_lands_explore*Techs!AT68)),0)</f>
        <v>4787</v>
      </c>
      <c r="AG68" s="164">
        <f>ROUND(MAX(IF(AE68&gt;=300,5+0.003*(AE68-300)^1.07,5-300/AE68)+MIN(tech_explore_draft1*Techs!AA68,tech_explore_draft2*Techs!AB68),3),0)</f>
        <v>8</v>
      </c>
      <c r="AH68" s="26">
        <f t="shared" si="6"/>
        <v>0</v>
      </c>
      <c r="AI68" s="57">
        <f t="shared" si="7"/>
        <v>0</v>
      </c>
    </row>
    <row r="69" spans="1:35" s="16" customFormat="1" x14ac:dyDescent="0.25">
      <c r="A69" s="511">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2">
        <v>67</v>
      </c>
      <c r="S69" s="340"/>
      <c r="T69" s="348"/>
      <c r="U69" s="348"/>
      <c r="V69" s="348"/>
      <c r="W69" s="348"/>
      <c r="X69" s="348"/>
      <c r="Y69" s="348"/>
      <c r="Z69" s="357"/>
      <c r="AA69" s="535">
        <f>Imps!CM69</f>
        <v>43768.68749999984</v>
      </c>
      <c r="AB69" s="156">
        <f ca="1">Military!Z69</f>
        <v>5295</v>
      </c>
      <c r="AC69" s="57">
        <f ca="1">Production!H69</f>
        <v>4806105</v>
      </c>
      <c r="AE69" s="63">
        <f t="shared" si="8"/>
        <v>1000</v>
      </c>
      <c r="AF69" s="152">
        <f>ROUND(IF(AE69&gt;=300,1000+3*(AE69-300)^MIN(MAX(1.05/(AE69^0.019),1.09),1.119),1000-3*(300-AE69))*(1+IF(Overview!$B$14="Ants",ant_explore_penalty,0)+MIN(tech_explore_cost*Techs!Z69,tech_explore_cost2*Techs!AB69,tech_enchanted_lands_explore*Techs!AT69)),0)</f>
        <v>4787</v>
      </c>
      <c r="AG69" s="164">
        <f>ROUND(MAX(IF(AE69&gt;=300,5+0.003*(AE69-300)^1.07,5-300/AE69)+MIN(tech_explore_draft1*Techs!AA69,tech_explore_draft2*Techs!AB69),3),0)</f>
        <v>8</v>
      </c>
      <c r="AH69" s="26">
        <f t="shared" si="6"/>
        <v>0</v>
      </c>
      <c r="AI69" s="57">
        <f t="shared" si="7"/>
        <v>0</v>
      </c>
    </row>
    <row r="70" spans="1:35" s="16" customFormat="1" x14ac:dyDescent="0.25">
      <c r="A70" s="511">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2">
        <v>68</v>
      </c>
      <c r="S70" s="340"/>
      <c r="T70" s="348"/>
      <c r="U70" s="348"/>
      <c r="V70" s="348"/>
      <c r="W70" s="348"/>
      <c r="X70" s="348"/>
      <c r="Y70" s="348"/>
      <c r="Z70" s="357"/>
      <c r="AA70" s="535">
        <f>Imps!CM70</f>
        <v>43768.697916666504</v>
      </c>
      <c r="AB70" s="156">
        <f ca="1">Military!Z70</f>
        <v>5295</v>
      </c>
      <c r="AC70" s="57">
        <f ca="1">Production!H70</f>
        <v>4811086</v>
      </c>
      <c r="AE70" s="63">
        <f t="shared" si="8"/>
        <v>1000</v>
      </c>
      <c r="AF70" s="152">
        <f>ROUND(IF(AE70&gt;=300,1000+3*(AE70-300)^MIN(MAX(1.05/(AE70^0.019),1.09),1.119),1000-3*(300-AE70))*(1+IF(Overview!$B$14="Ants",ant_explore_penalty,0)+MIN(tech_explore_cost*Techs!Z70,tech_explore_cost2*Techs!AB70,tech_enchanted_lands_explore*Techs!AT70)),0)</f>
        <v>4787</v>
      </c>
      <c r="AG70" s="164">
        <f>ROUND(MAX(IF(AE70&gt;=300,5+0.003*(AE70-300)^1.07,5-300/AE70)+MIN(tech_explore_draft1*Techs!AA70,tech_explore_draft2*Techs!AB70),3),0)</f>
        <v>8</v>
      </c>
      <c r="AH70" s="26">
        <f t="shared" si="6"/>
        <v>0</v>
      </c>
      <c r="AI70" s="57">
        <f t="shared" si="7"/>
        <v>0</v>
      </c>
    </row>
    <row r="71" spans="1:35" s="16" customFormat="1" x14ac:dyDescent="0.25">
      <c r="A71" s="511">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2">
        <v>69</v>
      </c>
      <c r="S71" s="340"/>
      <c r="T71" s="348"/>
      <c r="U71" s="348"/>
      <c r="V71" s="348"/>
      <c r="W71" s="348"/>
      <c r="X71" s="348"/>
      <c r="Y71" s="348"/>
      <c r="Z71" s="357"/>
      <c r="AA71" s="535">
        <f>Imps!CM71</f>
        <v>43768.708333333168</v>
      </c>
      <c r="AB71" s="156">
        <f ca="1">Military!Z71</f>
        <v>5295</v>
      </c>
      <c r="AC71" s="57">
        <f ca="1">Production!H71</f>
        <v>4816067</v>
      </c>
      <c r="AE71" s="63">
        <f t="shared" si="8"/>
        <v>1000</v>
      </c>
      <c r="AF71" s="152">
        <f>ROUND(IF(AE71&gt;=300,1000+3*(AE71-300)^MIN(MAX(1.05/(AE71^0.019),1.09),1.119),1000-3*(300-AE71))*(1+IF(Overview!$B$14="Ants",ant_explore_penalty,0)+MIN(tech_explore_cost*Techs!Z71,tech_explore_cost2*Techs!AB71,tech_enchanted_lands_explore*Techs!AT71)),0)</f>
        <v>4787</v>
      </c>
      <c r="AG71" s="164">
        <f>ROUND(MAX(IF(AE71&gt;=300,5+0.003*(AE71-300)^1.07,5-300/AE71)+MIN(tech_explore_draft1*Techs!AA71,tech_explore_draft2*Techs!AB71),3),0)</f>
        <v>8</v>
      </c>
      <c r="AH71" s="26">
        <f t="shared" si="6"/>
        <v>0</v>
      </c>
      <c r="AI71" s="57">
        <f t="shared" si="7"/>
        <v>0</v>
      </c>
    </row>
    <row r="72" spans="1:35" s="16" customFormat="1" x14ac:dyDescent="0.25">
      <c r="A72" s="511">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2">
        <v>70</v>
      </c>
      <c r="S72" s="340"/>
      <c r="T72" s="348"/>
      <c r="U72" s="348"/>
      <c r="V72" s="348"/>
      <c r="W72" s="348"/>
      <c r="X72" s="348"/>
      <c r="Y72" s="348"/>
      <c r="Z72" s="357"/>
      <c r="AA72" s="535">
        <f>Imps!CM72</f>
        <v>43768.718749999833</v>
      </c>
      <c r="AB72" s="156">
        <f ca="1">Military!Z72</f>
        <v>5295</v>
      </c>
      <c r="AC72" s="57">
        <f ca="1">Production!H72</f>
        <v>4821048</v>
      </c>
      <c r="AE72" s="63">
        <f t="shared" si="8"/>
        <v>1000</v>
      </c>
      <c r="AF72" s="152">
        <f>ROUND(IF(AE72&gt;=300,1000+3*(AE72-300)^MIN(MAX(1.05/(AE72^0.019),1.09),1.119),1000-3*(300-AE72))*(1+IF(Overview!$B$14="Ants",ant_explore_penalty,0)+MIN(tech_explore_cost*Techs!Z72,tech_explore_cost2*Techs!AB72,tech_enchanted_lands_explore*Techs!AT72)),0)</f>
        <v>4787</v>
      </c>
      <c r="AG72" s="164">
        <f>ROUND(MAX(IF(AE72&gt;=300,5+0.003*(AE72-300)^1.07,5-300/AE72)+MIN(tech_explore_draft1*Techs!AA72,tech_explore_draft2*Techs!AB72),3),0)</f>
        <v>8</v>
      </c>
      <c r="AH72" s="26">
        <f t="shared" si="6"/>
        <v>0</v>
      </c>
      <c r="AI72" s="57">
        <f t="shared" si="7"/>
        <v>0</v>
      </c>
    </row>
    <row r="73" spans="1:35" s="16" customFormat="1" x14ac:dyDescent="0.25">
      <c r="A73" s="511">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2">
        <v>71</v>
      </c>
      <c r="S73" s="340"/>
      <c r="T73" s="348"/>
      <c r="U73" s="348"/>
      <c r="V73" s="348"/>
      <c r="W73" s="348"/>
      <c r="X73" s="348"/>
      <c r="Y73" s="348"/>
      <c r="Z73" s="357"/>
      <c r="AA73" s="535">
        <f>Imps!CM73</f>
        <v>43768.729166666497</v>
      </c>
      <c r="AB73" s="156">
        <f ca="1">Military!Z73</f>
        <v>5295</v>
      </c>
      <c r="AC73" s="57">
        <f ca="1">Production!H73</f>
        <v>4826029</v>
      </c>
      <c r="AE73" s="63">
        <f t="shared" si="8"/>
        <v>1000</v>
      </c>
      <c r="AF73" s="152">
        <f>ROUND(IF(AE73&gt;=300,1000+3*(AE73-300)^MIN(MAX(1.05/(AE73^0.019),1.09),1.119),1000-3*(300-AE73))*(1+IF(Overview!$B$14="Ants",ant_explore_penalty,0)+MIN(tech_explore_cost*Techs!Z73,tech_explore_cost2*Techs!AB73,tech_enchanted_lands_explore*Techs!AT73)),0)</f>
        <v>4787</v>
      </c>
      <c r="AG73" s="164">
        <f>ROUND(MAX(IF(AE73&gt;=300,5+0.003*(AE73-300)^1.07,5-300/AE73)+MIN(tech_explore_draft1*Techs!AA73,tech_explore_draft2*Techs!AB73),3),0)</f>
        <v>8</v>
      </c>
      <c r="AH73" s="26">
        <f t="shared" si="6"/>
        <v>0</v>
      </c>
      <c r="AI73" s="57">
        <f t="shared" si="7"/>
        <v>0</v>
      </c>
    </row>
    <row r="74" spans="1:35" s="16" customFormat="1" ht="13.8" thickBot="1" x14ac:dyDescent="0.3">
      <c r="A74" s="511">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2">
        <v>72</v>
      </c>
      <c r="S74" s="340"/>
      <c r="T74" s="348"/>
      <c r="U74" s="348"/>
      <c r="V74" s="348"/>
      <c r="W74" s="348"/>
      <c r="X74" s="348"/>
      <c r="Y74" s="348"/>
      <c r="Z74" s="357"/>
      <c r="AA74" s="535">
        <f>Imps!CM74</f>
        <v>43768.739583333161</v>
      </c>
      <c r="AB74" s="156">
        <f ca="1">Military!Z74</f>
        <v>5295</v>
      </c>
      <c r="AC74" s="57">
        <f ca="1">Production!H74</f>
        <v>4831010</v>
      </c>
      <c r="AE74" s="63">
        <f t="shared" si="8"/>
        <v>1000</v>
      </c>
      <c r="AF74" s="152">
        <f>ROUND(IF(AE74&gt;=300,1000+3*(AE74-300)^MIN(MAX(1.05/(AE74^0.019),1.09),1.119),1000-3*(300-AE74))*(1+IF(Overview!$B$14="Ants",ant_explore_penalty,0)+MIN(tech_explore_cost*Techs!Z74,tech_explore_cost2*Techs!AB74,tech_enchanted_lands_explore*Techs!AT74)),0)</f>
        <v>4787</v>
      </c>
      <c r="AG74" s="164">
        <f>ROUND(MAX(IF(AE74&gt;=300,5+0.003*(AE74-300)^1.07,5-300/AE74)+MIN(tech_explore_draft1*Techs!AA74,tech_explore_draft2*Techs!AB74),3),0)</f>
        <v>8</v>
      </c>
      <c r="AH74" s="26">
        <f t="shared" si="6"/>
        <v>0</v>
      </c>
      <c r="AI74" s="57">
        <f t="shared" si="7"/>
        <v>0</v>
      </c>
    </row>
    <row r="75" spans="1:35" s="599" customFormat="1" ht="14.4" thickTop="1" thickBot="1" x14ac:dyDescent="0.3">
      <c r="A75" s="604">
        <f>Rezone!J75</f>
        <v>73</v>
      </c>
      <c r="B75" s="608">
        <f>Construction!E75</f>
        <v>1000</v>
      </c>
      <c r="C75" s="608"/>
      <c r="D75" s="607">
        <f>Construction!F75</f>
        <v>70</v>
      </c>
      <c r="E75" s="599">
        <f>Construction!G75</f>
        <v>100</v>
      </c>
      <c r="F75" s="599">
        <f>Construction!H75</f>
        <v>150</v>
      </c>
      <c r="G75" s="599">
        <f>Construction!I75</f>
        <v>150</v>
      </c>
      <c r="H75" s="599">
        <f>Construction!J75</f>
        <v>100</v>
      </c>
      <c r="I75" s="599">
        <f>Construction!K75</f>
        <v>150</v>
      </c>
      <c r="J75" s="608">
        <f>Construction!L75</f>
        <v>100</v>
      </c>
      <c r="N75" s="614">
        <f>Military!AB75</f>
        <v>0</v>
      </c>
      <c r="O75" s="616">
        <f ca="1">Population!I75</f>
        <v>1</v>
      </c>
      <c r="P75" s="614">
        <f ca="1">Imps!J75</f>
        <v>1</v>
      </c>
      <c r="Q75" s="611">
        <f t="shared" si="5"/>
        <v>1000</v>
      </c>
      <c r="R75" s="819">
        <f>R74+1</f>
        <v>73</v>
      </c>
      <c r="S75" s="617"/>
      <c r="T75" s="611"/>
      <c r="U75" s="611"/>
      <c r="V75" s="611"/>
      <c r="W75" s="611"/>
      <c r="X75" s="611"/>
      <c r="Y75" s="611"/>
      <c r="Z75" s="612"/>
      <c r="AA75" s="618">
        <f>Imps!CM75</f>
        <v>43768.749999999825</v>
      </c>
      <c r="AB75" s="607">
        <f ca="1">Military!Z75</f>
        <v>5295</v>
      </c>
      <c r="AC75" s="596">
        <f ca="1">Production!H75</f>
        <v>4835991</v>
      </c>
      <c r="AE75" s="611">
        <f t="shared" si="8"/>
        <v>1000</v>
      </c>
      <c r="AF75" s="597">
        <f>ROUND(IF(AE75&gt;=300,1000+3*(AE75-300)^MIN(MAX(1.05/(AE75^0.019),1.09),1.119),1000-3*(300-AE75))*(1+IF(Overview!$B$14="Ants",ant_explore_penalty,0)+MIN(tech_explore_cost*Techs!Z75,tech_explore_cost2*Techs!AB75,tech_enchanted_lands_explore*Techs!AT75)),0)</f>
        <v>4787</v>
      </c>
      <c r="AG75" s="598">
        <f>ROUND(MAX(IF(AE75&gt;=300,5+0.003*(AE75-300)^1.07,5-300/AE75)+MIN(tech_explore_draft1*Techs!AA75,tech_explore_draft2*Techs!AB75),3),0)</f>
        <v>8</v>
      </c>
      <c r="AH75" s="598">
        <f t="shared" si="6"/>
        <v>0</v>
      </c>
      <c r="AI75" s="596">
        <f t="shared" si="7"/>
        <v>0</v>
      </c>
    </row>
    <row r="76" spans="1:35" s="191" customFormat="1" ht="13.8" thickTop="1" x14ac:dyDescent="0.25">
      <c r="A76" s="509">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0">
        <f t="shared" ref="R76:R135" si="9">R75+1</f>
        <v>74</v>
      </c>
      <c r="S76" s="335"/>
      <c r="T76" s="345"/>
      <c r="U76" s="345"/>
      <c r="V76" s="345"/>
      <c r="W76" s="345"/>
      <c r="X76" s="345"/>
      <c r="Y76" s="345"/>
      <c r="Z76" s="353"/>
      <c r="AA76" s="533">
        <f>Imps!CM76</f>
        <v>43768.76041666649</v>
      </c>
      <c r="AB76" s="156">
        <f ca="1">Military!Z76</f>
        <v>5295</v>
      </c>
      <c r="AC76" s="167">
        <f ca="1">Production!H76</f>
        <v>4840972</v>
      </c>
      <c r="AD76" s="170"/>
      <c r="AE76" s="159">
        <f t="shared" si="8"/>
        <v>1000</v>
      </c>
      <c r="AF76" s="152">
        <f>ROUND(IF(AE76&gt;=300,1000+3*(AE76-300)^MIN(MAX(1.05/(AE76^0.019),1.09),1.119),1000-3*(300-AE76))*(1+IF(Overview!$B$14="Ants",ant_explore_penalty,0)+MIN(tech_explore_cost*Techs!Z76,tech_explore_cost2*Techs!AB76,tech_enchanted_lands_explore*Techs!AT76)),0)</f>
        <v>4787</v>
      </c>
      <c r="AG76" s="164">
        <f>ROUND(MAX(IF(AE76&gt;=300,5+0.003*(AE76-300)^1.07,5-300/AE76)+MIN(tech_explore_draft1*Techs!AA76,tech_explore_draft2*Techs!AB76),3),0)</f>
        <v>8</v>
      </c>
      <c r="AH76" s="168">
        <f t="shared" si="6"/>
        <v>0</v>
      </c>
      <c r="AI76" s="167">
        <f t="shared" si="7"/>
        <v>0</v>
      </c>
    </row>
    <row r="77" spans="1:35" s="170" customFormat="1" x14ac:dyDescent="0.25">
      <c r="A77" s="508">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2">
        <f t="shared" si="9"/>
        <v>75</v>
      </c>
      <c r="S77" s="335"/>
      <c r="T77" s="345"/>
      <c r="U77" s="345"/>
      <c r="V77" s="345"/>
      <c r="W77" s="345"/>
      <c r="X77" s="345"/>
      <c r="Y77" s="345"/>
      <c r="Z77" s="353"/>
      <c r="AA77" s="532">
        <f>Imps!CM77</f>
        <v>43768.770833333154</v>
      </c>
      <c r="AB77" s="156">
        <f ca="1">Military!Z77</f>
        <v>5295</v>
      </c>
      <c r="AC77" s="166">
        <f ca="1">Production!H77</f>
        <v>4845953</v>
      </c>
      <c r="AE77" s="159">
        <f t="shared" si="8"/>
        <v>1000</v>
      </c>
      <c r="AF77" s="152">
        <f>ROUND(IF(AE77&gt;=300,1000+3*(AE77-300)^MIN(MAX(1.05/(AE77^0.019),1.09),1.119),1000-3*(300-AE77))*(1+IF(Overview!$B$14="Ants",ant_explore_penalty,0)+MIN(tech_explore_cost*Techs!Z77,tech_explore_cost2*Techs!AB77,tech_enchanted_lands_explore*Techs!AT77)),0)</f>
        <v>4787</v>
      </c>
      <c r="AG77" s="164">
        <f>ROUND(MAX(IF(AE77&gt;=300,5+0.003*(AE77-300)^1.07,5-300/AE77)+MIN(tech_explore_draft1*Techs!AA77,tech_explore_draft2*Techs!AB77),3),0)</f>
        <v>8</v>
      </c>
      <c r="AH77" s="164">
        <f t="shared" si="6"/>
        <v>0</v>
      </c>
      <c r="AI77" s="166">
        <f t="shared" si="7"/>
        <v>0</v>
      </c>
    </row>
    <row r="78" spans="1:35" s="16" customFormat="1" x14ac:dyDescent="0.25">
      <c r="A78" s="511">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2">
        <f t="shared" si="9"/>
        <v>76</v>
      </c>
      <c r="S78" s="340"/>
      <c r="T78" s="363"/>
      <c r="U78" s="348"/>
      <c r="V78" s="348"/>
      <c r="W78" s="348"/>
      <c r="X78" s="348"/>
      <c r="Y78" s="348"/>
      <c r="Z78" s="357"/>
      <c r="AA78" s="535">
        <f>Imps!CM78</f>
        <v>43768.781249999818</v>
      </c>
      <c r="AB78" s="156">
        <f ca="1">Military!Z78</f>
        <v>5295</v>
      </c>
      <c r="AC78" s="57">
        <f ca="1">Production!H78</f>
        <v>4850934</v>
      </c>
      <c r="AE78" s="63">
        <f t="shared" si="8"/>
        <v>1000</v>
      </c>
      <c r="AF78" s="152">
        <f>ROUND(IF(AE78&gt;=300,1000+3*(AE78-300)^MIN(MAX(1.05/(AE78^0.019),1.09),1.119),1000-3*(300-AE78))*(1+IF(Overview!$B$14="Ants",ant_explore_penalty,0)+MIN(tech_explore_cost*Techs!Z78,tech_explore_cost2*Techs!AB78,tech_enchanted_lands_explore*Techs!AT78)),0)</f>
        <v>4787</v>
      </c>
      <c r="AG78" s="164">
        <f>ROUND(MAX(IF(AE78&gt;=300,5+0.003*(AE78-300)^1.07,5-300/AE78)+MIN(tech_explore_draft1*Techs!AA78,tech_explore_draft2*Techs!AB78),3),0)</f>
        <v>8</v>
      </c>
      <c r="AH78" s="26">
        <f t="shared" si="6"/>
        <v>0</v>
      </c>
      <c r="AI78" s="57">
        <f t="shared" si="7"/>
        <v>0</v>
      </c>
    </row>
    <row r="79" spans="1:35" s="16" customFormat="1" x14ac:dyDescent="0.25">
      <c r="A79" s="511">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2">
        <f t="shared" si="9"/>
        <v>77</v>
      </c>
      <c r="S79" s="340"/>
      <c r="T79" s="363"/>
      <c r="U79" s="348"/>
      <c r="V79" s="348"/>
      <c r="W79" s="348"/>
      <c r="X79" s="348"/>
      <c r="Y79" s="348"/>
      <c r="Z79" s="357"/>
      <c r="AA79" s="535">
        <f>Imps!CM79</f>
        <v>43768.791666666482</v>
      </c>
      <c r="AB79" s="156">
        <f ca="1">Military!Z79</f>
        <v>5295</v>
      </c>
      <c r="AC79" s="57">
        <f ca="1">Production!H79</f>
        <v>4855915</v>
      </c>
      <c r="AE79" s="63">
        <f t="shared" si="8"/>
        <v>1000</v>
      </c>
      <c r="AF79" s="152">
        <f>ROUND(IF(AE79&gt;=300,1000+3*(AE79-300)^MIN(MAX(1.05/(AE79^0.019),1.09),1.119),1000-3*(300-AE79))*(1+IF(Overview!$B$14="Ants",ant_explore_penalty,0)+MIN(tech_explore_cost*Techs!Z79,tech_explore_cost2*Techs!AB79,tech_enchanted_lands_explore*Techs!AT79)),0)</f>
        <v>4787</v>
      </c>
      <c r="AG79" s="164">
        <f>ROUND(MAX(IF(AE79&gt;=300,5+0.003*(AE79-300)^1.07,5-300/AE79)+MIN(tech_explore_draft1*Techs!AA79,tech_explore_draft2*Techs!AB79),3),0)</f>
        <v>8</v>
      </c>
      <c r="AH79" s="26">
        <f t="shared" si="6"/>
        <v>0</v>
      </c>
      <c r="AI79" s="57">
        <f t="shared" si="7"/>
        <v>0</v>
      </c>
    </row>
    <row r="80" spans="1:35" s="16" customFormat="1" x14ac:dyDescent="0.25">
      <c r="A80" s="511">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2">
        <f t="shared" si="9"/>
        <v>78</v>
      </c>
      <c r="S80" s="340"/>
      <c r="T80" s="348"/>
      <c r="U80" s="348"/>
      <c r="V80" s="348"/>
      <c r="W80" s="348"/>
      <c r="X80" s="348"/>
      <c r="Y80" s="348"/>
      <c r="Z80" s="357"/>
      <c r="AA80" s="535">
        <f>Imps!CM80</f>
        <v>43768.802083333147</v>
      </c>
      <c r="AB80" s="156">
        <f ca="1">Military!Z80</f>
        <v>5295</v>
      </c>
      <c r="AC80" s="57">
        <f ca="1">Production!H80</f>
        <v>4860896</v>
      </c>
      <c r="AE80" s="63">
        <f t="shared" si="8"/>
        <v>1000</v>
      </c>
      <c r="AF80" s="152">
        <f>ROUND(IF(AE80&gt;=300,1000+3*(AE80-300)^MIN(MAX(1.05/(AE80^0.019),1.09),1.119),1000-3*(300-AE80))*(1+IF(Overview!$B$14="Ants",ant_explore_penalty,0)+MIN(tech_explore_cost*Techs!Z80,tech_explore_cost2*Techs!AB80,tech_enchanted_lands_explore*Techs!AT80)),0)</f>
        <v>4787</v>
      </c>
      <c r="AG80" s="164">
        <f>ROUND(MAX(IF(AE80&gt;=300,5+0.003*(AE80-300)^1.07,5-300/AE80)+MIN(tech_explore_draft1*Techs!AA80,tech_explore_draft2*Techs!AB80),3),0)</f>
        <v>8</v>
      </c>
      <c r="AH80" s="26">
        <f t="shared" si="6"/>
        <v>0</v>
      </c>
      <c r="AI80" s="57">
        <f t="shared" si="7"/>
        <v>0</v>
      </c>
    </row>
    <row r="81" spans="1:35" s="16" customFormat="1" x14ac:dyDescent="0.25">
      <c r="A81" s="511">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2">
        <f t="shared" si="9"/>
        <v>79</v>
      </c>
      <c r="S81" s="340"/>
      <c r="T81" s="348"/>
      <c r="U81" s="348"/>
      <c r="V81" s="348"/>
      <c r="W81" s="348"/>
      <c r="X81" s="348"/>
      <c r="Y81" s="348"/>
      <c r="Z81" s="357"/>
      <c r="AA81" s="535">
        <f>Imps!CM81</f>
        <v>43768.812499999811</v>
      </c>
      <c r="AB81" s="156">
        <f ca="1">Military!Z81</f>
        <v>5295</v>
      </c>
      <c r="AC81" s="57">
        <f ca="1">Production!H81</f>
        <v>4865877</v>
      </c>
      <c r="AE81" s="63">
        <f t="shared" si="8"/>
        <v>1000</v>
      </c>
      <c r="AF81" s="152">
        <f>ROUND(IF(AE81&gt;=300,1000+3*(AE81-300)^MIN(MAX(1.05/(AE81^0.019),1.09),1.119),1000-3*(300-AE81))*(1+IF(Overview!$B$14="Ants",ant_explore_penalty,0)+MIN(tech_explore_cost*Techs!Z81,tech_explore_cost2*Techs!AB81,tech_enchanted_lands_explore*Techs!AT81)),0)</f>
        <v>4787</v>
      </c>
      <c r="AG81" s="164">
        <f>ROUND(MAX(IF(AE81&gt;=300,5+0.003*(AE81-300)^1.07,5-300/AE81)+MIN(tech_explore_draft1*Techs!AA81,tech_explore_draft2*Techs!AB81),3),0)</f>
        <v>8</v>
      </c>
      <c r="AH81" s="26">
        <f t="shared" si="6"/>
        <v>0</v>
      </c>
      <c r="AI81" s="57">
        <f t="shared" si="7"/>
        <v>0</v>
      </c>
    </row>
    <row r="82" spans="1:35" s="16" customFormat="1" x14ac:dyDescent="0.25">
      <c r="A82" s="511">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2">
        <f t="shared" si="9"/>
        <v>80</v>
      </c>
      <c r="S82" s="340"/>
      <c r="T82" s="348"/>
      <c r="U82" s="348"/>
      <c r="V82" s="348"/>
      <c r="W82" s="348"/>
      <c r="X82" s="348"/>
      <c r="Y82" s="348"/>
      <c r="Z82" s="357"/>
      <c r="AA82" s="535">
        <f>Imps!CM82</f>
        <v>43768.822916666475</v>
      </c>
      <c r="AB82" s="156">
        <f ca="1">Military!Z82</f>
        <v>5295</v>
      </c>
      <c r="AC82" s="57">
        <f ca="1">Production!H82</f>
        <v>4870858</v>
      </c>
      <c r="AE82" s="63">
        <f t="shared" si="8"/>
        <v>1000</v>
      </c>
      <c r="AF82" s="152">
        <f>ROUND(IF(AE82&gt;=300,1000+3*(AE82-300)^MIN(MAX(1.05/(AE82^0.019),1.09),1.119),1000-3*(300-AE82))*(1+IF(Overview!$B$14="Ants",ant_explore_penalty,0)+MIN(tech_explore_cost*Techs!Z82,tech_explore_cost2*Techs!AB82,tech_enchanted_lands_explore*Techs!AT82)),0)</f>
        <v>4787</v>
      </c>
      <c r="AG82" s="164">
        <f>ROUND(MAX(IF(AE82&gt;=300,5+0.003*(AE82-300)^1.07,5-300/AE82)+MIN(tech_explore_draft1*Techs!AA82,tech_explore_draft2*Techs!AB82),3),0)</f>
        <v>8</v>
      </c>
      <c r="AH82" s="26">
        <f t="shared" si="6"/>
        <v>0</v>
      </c>
      <c r="AI82" s="57">
        <f t="shared" si="7"/>
        <v>0</v>
      </c>
    </row>
    <row r="83" spans="1:35" s="16" customFormat="1" x14ac:dyDescent="0.25">
      <c r="A83" s="511">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2">
        <f t="shared" si="9"/>
        <v>81</v>
      </c>
      <c r="S83" s="340"/>
      <c r="T83" s="345"/>
      <c r="U83" s="348"/>
      <c r="V83" s="348"/>
      <c r="W83" s="348"/>
      <c r="X83" s="348"/>
      <c r="Y83" s="348"/>
      <c r="Z83" s="357"/>
      <c r="AA83" s="535">
        <f>Imps!CM83</f>
        <v>43768.833333333139</v>
      </c>
      <c r="AB83" s="156">
        <f ca="1">Military!Z83</f>
        <v>5295</v>
      </c>
      <c r="AC83" s="57">
        <f ca="1">Production!H83</f>
        <v>4875839</v>
      </c>
      <c r="AE83" s="63">
        <f t="shared" si="8"/>
        <v>1000</v>
      </c>
      <c r="AF83" s="152">
        <f>ROUND(IF(AE83&gt;=300,1000+3*(AE83-300)^MIN(MAX(1.05/(AE83^0.019),1.09),1.119),1000-3*(300-AE83))*(1+IF(Overview!$B$14="Ants",ant_explore_penalty,0)+MIN(tech_explore_cost*Techs!Z83,tech_explore_cost2*Techs!AB83,tech_enchanted_lands_explore*Techs!AT83)),0)</f>
        <v>4787</v>
      </c>
      <c r="AG83" s="164">
        <f>ROUND(MAX(IF(AE83&gt;=300,5+0.003*(AE83-300)^1.07,5-300/AE83)+MIN(tech_explore_draft1*Techs!AA83,tech_explore_draft2*Techs!AB83),3),0)</f>
        <v>8</v>
      </c>
      <c r="AH83" s="26">
        <f t="shared" si="6"/>
        <v>0</v>
      </c>
      <c r="AI83" s="57">
        <f t="shared" si="7"/>
        <v>0</v>
      </c>
    </row>
    <row r="84" spans="1:35" s="16" customFormat="1" x14ac:dyDescent="0.25">
      <c r="A84" s="511">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2">
        <f t="shared" si="9"/>
        <v>82</v>
      </c>
      <c r="S84" s="340"/>
      <c r="T84" s="348"/>
      <c r="U84" s="348"/>
      <c r="V84" s="348"/>
      <c r="W84" s="348"/>
      <c r="X84" s="348"/>
      <c r="Y84" s="348"/>
      <c r="Z84" s="357"/>
      <c r="AA84" s="535">
        <f>Imps!CM84</f>
        <v>43768.843749999804</v>
      </c>
      <c r="AB84" s="156">
        <f ca="1">Military!Z84</f>
        <v>5295</v>
      </c>
      <c r="AC84" s="57">
        <f ca="1">Production!H84</f>
        <v>4880820</v>
      </c>
      <c r="AE84" s="63">
        <f t="shared" si="8"/>
        <v>1000</v>
      </c>
      <c r="AF84" s="152">
        <f>ROUND(IF(AE84&gt;=300,1000+3*(AE84-300)^MIN(MAX(1.05/(AE84^0.019),1.09),1.119),1000-3*(300-AE84))*(1+IF(Overview!$B$14="Ants",ant_explore_penalty,0)+MIN(tech_explore_cost*Techs!Z84,tech_explore_cost2*Techs!AB84,tech_enchanted_lands_explore*Techs!AT84)),0)</f>
        <v>4787</v>
      </c>
      <c r="AG84" s="164">
        <f>ROUND(MAX(IF(AE84&gt;=300,5+0.003*(AE84-300)^1.07,5-300/AE84)+MIN(tech_explore_draft1*Techs!AA84,tech_explore_draft2*Techs!AB84),3),0)</f>
        <v>8</v>
      </c>
      <c r="AH84" s="26">
        <f t="shared" si="6"/>
        <v>0</v>
      </c>
      <c r="AI84" s="57">
        <f t="shared" si="7"/>
        <v>0</v>
      </c>
    </row>
    <row r="85" spans="1:35" s="16" customFormat="1" x14ac:dyDescent="0.25">
      <c r="A85" s="511">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2">
        <f t="shared" si="9"/>
        <v>83</v>
      </c>
      <c r="S85" s="340"/>
      <c r="T85" s="348"/>
      <c r="U85" s="348"/>
      <c r="V85" s="348"/>
      <c r="W85" s="348"/>
      <c r="X85" s="348"/>
      <c r="Y85" s="348"/>
      <c r="Z85" s="357"/>
      <c r="AA85" s="535">
        <f>Imps!CM85</f>
        <v>43768.854166666468</v>
      </c>
      <c r="AB85" s="156">
        <f ca="1">Military!Z85</f>
        <v>5295</v>
      </c>
      <c r="AC85" s="57">
        <f ca="1">Production!H85</f>
        <v>4885801</v>
      </c>
      <c r="AE85" s="63">
        <f t="shared" si="8"/>
        <v>1000</v>
      </c>
      <c r="AF85" s="152">
        <f>ROUND(IF(AE85&gt;=300,1000+3*(AE85-300)^MIN(MAX(1.05/(AE85^0.019),1.09),1.119),1000-3*(300-AE85))*(1+IF(Overview!$B$14="Ants",ant_explore_penalty,0)+MIN(tech_explore_cost*Techs!Z85,tech_explore_cost2*Techs!AB85,tech_enchanted_lands_explore*Techs!AT85)),0)</f>
        <v>4787</v>
      </c>
      <c r="AG85" s="164">
        <f>ROUND(MAX(IF(AE85&gt;=300,5+0.003*(AE85-300)^1.07,5-300/AE85)+MIN(tech_explore_draft1*Techs!AA85,tech_explore_draft2*Techs!AB85),3),0)</f>
        <v>8</v>
      </c>
      <c r="AH85" s="26">
        <f t="shared" si="6"/>
        <v>0</v>
      </c>
      <c r="AI85" s="57">
        <f t="shared" si="7"/>
        <v>0</v>
      </c>
    </row>
    <row r="86" spans="1:35" s="170" customFormat="1" x14ac:dyDescent="0.25">
      <c r="A86" s="508">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78"/>
      <c r="M86" s="726"/>
      <c r="N86" s="826">
        <f>Military!AB86</f>
        <v>0</v>
      </c>
      <c r="O86" s="187">
        <f ca="1">Population!I86</f>
        <v>1</v>
      </c>
      <c r="P86" s="251">
        <f ca="1">Imps!J86</f>
        <v>1</v>
      </c>
      <c r="Q86" s="157">
        <f t="shared" si="5"/>
        <v>1000</v>
      </c>
      <c r="R86" s="632">
        <f t="shared" si="9"/>
        <v>84</v>
      </c>
      <c r="S86" s="335"/>
      <c r="T86" s="363"/>
      <c r="U86" s="345"/>
      <c r="V86" s="345"/>
      <c r="W86" s="345"/>
      <c r="X86" s="345"/>
      <c r="Y86" s="345"/>
      <c r="Z86" s="353"/>
      <c r="AA86" s="532">
        <f>Imps!CM86</f>
        <v>43768.864583333132</v>
      </c>
      <c r="AB86" s="156">
        <f ca="1">Military!Z86</f>
        <v>5295</v>
      </c>
      <c r="AC86" s="166">
        <f ca="1">Production!H86</f>
        <v>4890782</v>
      </c>
      <c r="AE86" s="159">
        <f t="shared" si="8"/>
        <v>1000</v>
      </c>
      <c r="AF86" s="152">
        <f>ROUND(IF(AE86&gt;=300,1000+3*(AE86-300)^MIN(MAX(1.05/(AE86^0.019),1.09),1.119),1000-3*(300-AE86))*(1+IF(Overview!$B$14="Ants",ant_explore_penalty,0)+MIN(tech_explore_cost*Techs!Z86,tech_explore_cost2*Techs!AB86,tech_enchanted_lands_explore*Techs!AT86)),0)</f>
        <v>4787</v>
      </c>
      <c r="AG86" s="164">
        <f>ROUND(MAX(IF(AE86&gt;=300,5+0.003*(AE86-300)^1.07,5-300/AE86)+MIN(tech_explore_draft1*Techs!AA86,tech_explore_draft2*Techs!AB86),3),0)</f>
        <v>8</v>
      </c>
      <c r="AH86" s="164">
        <f t="shared" si="6"/>
        <v>0</v>
      </c>
      <c r="AI86" s="166">
        <f t="shared" si="7"/>
        <v>0</v>
      </c>
    </row>
    <row r="87" spans="1:35" s="163" customFormat="1" ht="13.8" thickBot="1" x14ac:dyDescent="0.3">
      <c r="A87" s="507">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479"/>
      <c r="M87" s="1480"/>
      <c r="N87" s="305">
        <f>Military!AB87</f>
        <v>0</v>
      </c>
      <c r="O87" s="186">
        <f ca="1">Population!I87</f>
        <v>1</v>
      </c>
      <c r="P87" s="305">
        <f ca="1">Imps!J87</f>
        <v>1</v>
      </c>
      <c r="Q87" s="185">
        <f t="shared" si="5"/>
        <v>1000</v>
      </c>
      <c r="R87" s="318">
        <f t="shared" si="9"/>
        <v>85</v>
      </c>
      <c r="S87" s="516"/>
      <c r="T87" s="346"/>
      <c r="U87" s="346"/>
      <c r="V87" s="346"/>
      <c r="W87" s="346"/>
      <c r="X87" s="346"/>
      <c r="Y87" s="346"/>
      <c r="Z87" s="372"/>
      <c r="AA87" s="531">
        <f>Imps!CM87</f>
        <v>43768.874999999796</v>
      </c>
      <c r="AB87" s="184">
        <f ca="1">Military!Z87</f>
        <v>5295</v>
      </c>
      <c r="AC87" s="158">
        <f ca="1">Production!H87</f>
        <v>4895763</v>
      </c>
      <c r="AE87" s="287">
        <f t="shared" si="8"/>
        <v>1000</v>
      </c>
      <c r="AF87" s="151">
        <f>ROUND(IF(AE87&gt;=300,1000+3*(AE87-300)^MIN(MAX(1.05/(AE87^0.019),1.09),1.119),1000-3*(300-AE87))*(1+IF(Overview!$B$14="Ants",ant_explore_penalty,0)+MIN(tech_explore_cost*Techs!Z87,tech_explore_cost2*Techs!AB87,tech_enchanted_lands_explore*Techs!AT87)),0)</f>
        <v>4787</v>
      </c>
      <c r="AG87" s="153">
        <f>ROUND(MAX(IF(AE87&gt;=300,5+0.003*(AE87-300)^1.07,5-300/AE87)+MIN(tech_explore_draft1*Techs!AA87,tech_explore_draft2*Techs!AB87),3),0)</f>
        <v>8</v>
      </c>
      <c r="AH87" s="153">
        <f t="shared" si="6"/>
        <v>0</v>
      </c>
      <c r="AI87" s="158">
        <f t="shared" si="7"/>
        <v>0</v>
      </c>
    </row>
    <row r="88" spans="1:35" s="170" customFormat="1" x14ac:dyDescent="0.25">
      <c r="A88" s="508">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2"/>
      <c r="M88" s="837"/>
      <c r="N88" s="538">
        <f>Military!AB88</f>
        <v>0</v>
      </c>
      <c r="O88" s="187">
        <f ca="1">Population!I88</f>
        <v>1</v>
      </c>
      <c r="P88" s="251">
        <f ca="1">Imps!J88</f>
        <v>1</v>
      </c>
      <c r="Q88" s="157">
        <f t="shared" si="5"/>
        <v>1000</v>
      </c>
      <c r="R88" s="632">
        <f t="shared" si="9"/>
        <v>86</v>
      </c>
      <c r="S88" s="335"/>
      <c r="T88" s="345"/>
      <c r="U88" s="345"/>
      <c r="V88" s="345"/>
      <c r="W88" s="345"/>
      <c r="X88" s="345"/>
      <c r="Y88" s="345"/>
      <c r="Z88" s="353"/>
      <c r="AA88" s="532">
        <f>Imps!CM88</f>
        <v>43768.885416666461</v>
      </c>
      <c r="AB88" s="156">
        <f ca="1">Military!Z88</f>
        <v>5295</v>
      </c>
      <c r="AC88" s="166">
        <f ca="1">Production!H88</f>
        <v>4900744</v>
      </c>
      <c r="AE88" s="159">
        <f t="shared" si="8"/>
        <v>1000</v>
      </c>
      <c r="AF88" s="152">
        <f>ROUND(IF(AE88&gt;=300,1000+3*(AE88-300)^MIN(MAX(1.05/(AE88^0.019),1.09),1.119),1000-3*(300-AE88))*(1+IF(Overview!$B$14="Ants",ant_explore_penalty,0)+MIN(tech_explore_cost*Techs!Z88,tech_explore_cost2*Techs!AB88,tech_enchanted_lands_explore*Techs!AT88)),0)</f>
        <v>4787</v>
      </c>
      <c r="AG88" s="164">
        <f>ROUND(MAX(IF(AE88&gt;=300,5+0.003*(AE88-300)^1.07,5-300/AE88)+MIN(tech_explore_draft1*Techs!AA88,tech_explore_draft2*Techs!AB88),3),0)</f>
        <v>8</v>
      </c>
      <c r="AH88" s="164">
        <f t="shared" si="6"/>
        <v>0</v>
      </c>
      <c r="AI88" s="166">
        <f t="shared" si="7"/>
        <v>0</v>
      </c>
    </row>
    <row r="89" spans="1:35" s="170" customFormat="1" x14ac:dyDescent="0.25">
      <c r="A89" s="508">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29"/>
      <c r="M89" s="838"/>
      <c r="N89" s="538">
        <f>Military!AB89</f>
        <v>0</v>
      </c>
      <c r="O89" s="187">
        <f ca="1">Population!I89</f>
        <v>1</v>
      </c>
      <c r="P89" s="251">
        <f ca="1">Imps!J89</f>
        <v>1</v>
      </c>
      <c r="Q89" s="157">
        <f t="shared" si="5"/>
        <v>1000</v>
      </c>
      <c r="R89" s="632">
        <f t="shared" si="9"/>
        <v>87</v>
      </c>
      <c r="S89" s="335"/>
      <c r="T89" s="345"/>
      <c r="U89" s="345"/>
      <c r="V89" s="345"/>
      <c r="W89" s="345"/>
      <c r="X89" s="345"/>
      <c r="Y89" s="345"/>
      <c r="Z89" s="353"/>
      <c r="AA89" s="532">
        <f>Imps!CM89</f>
        <v>43768.895833333125</v>
      </c>
      <c r="AB89" s="156">
        <f ca="1">Military!Z89</f>
        <v>5295</v>
      </c>
      <c r="AC89" s="166">
        <f ca="1">Production!H89</f>
        <v>4905725</v>
      </c>
      <c r="AE89" s="159">
        <f t="shared" si="8"/>
        <v>1000</v>
      </c>
      <c r="AF89" s="152">
        <f>ROUND(IF(AE89&gt;=300,1000+3*(AE89-300)^MIN(MAX(1.05/(AE89^0.019),1.09),1.119),1000-3*(300-AE89))*(1+IF(Overview!$B$14="Ants",ant_explore_penalty,0)+MIN(tech_explore_cost*Techs!Z89,tech_explore_cost2*Techs!AB89,tech_enchanted_lands_explore*Techs!AT89)),0)</f>
        <v>4787</v>
      </c>
      <c r="AG89" s="164">
        <f>ROUND(MAX(IF(AE89&gt;=300,5+0.003*(AE89-300)^1.07,5-300/AE89)+MIN(tech_explore_draft1*Techs!AA89,tech_explore_draft2*Techs!AB89),3),0)</f>
        <v>8</v>
      </c>
      <c r="AH89" s="164">
        <f t="shared" si="6"/>
        <v>0</v>
      </c>
      <c r="AI89" s="166">
        <f t="shared" si="7"/>
        <v>0</v>
      </c>
    </row>
    <row r="90" spans="1:35" s="16" customFormat="1" x14ac:dyDescent="0.25">
      <c r="A90" s="511">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29"/>
      <c r="M90" s="839"/>
      <c r="N90" s="60">
        <f>Military!AB90</f>
        <v>0</v>
      </c>
      <c r="O90" s="59">
        <f ca="1">Population!I90</f>
        <v>1</v>
      </c>
      <c r="P90" s="91">
        <f ca="1">Imps!J90</f>
        <v>1</v>
      </c>
      <c r="Q90" s="53">
        <f t="shared" si="5"/>
        <v>1000</v>
      </c>
      <c r="R90" s="632">
        <f t="shared" si="9"/>
        <v>88</v>
      </c>
      <c r="S90" s="340"/>
      <c r="T90" s="363"/>
      <c r="U90" s="348"/>
      <c r="V90" s="348"/>
      <c r="W90" s="348"/>
      <c r="X90" s="348"/>
      <c r="Y90" s="348"/>
      <c r="Z90" s="357"/>
      <c r="AA90" s="535">
        <f>Imps!CM90</f>
        <v>43768.906249999789</v>
      </c>
      <c r="AB90" s="156">
        <f ca="1">Military!Z90</f>
        <v>5295</v>
      </c>
      <c r="AC90" s="57">
        <f ca="1">Production!H90</f>
        <v>4910706</v>
      </c>
      <c r="AE90" s="63">
        <f t="shared" si="8"/>
        <v>1000</v>
      </c>
      <c r="AF90" s="152">
        <f>ROUND(IF(AE90&gt;=300,1000+3*(AE90-300)^MIN(MAX(1.05/(AE90^0.019),1.09),1.119),1000-3*(300-AE90))*(1+IF(Overview!$B$14="Ants",ant_explore_penalty,0)+MIN(tech_explore_cost*Techs!Z90,tech_explore_cost2*Techs!AB90,tech_enchanted_lands_explore*Techs!AT90)),0)</f>
        <v>4787</v>
      </c>
      <c r="AG90" s="164">
        <f>ROUND(MAX(IF(AE90&gt;=300,5+0.003*(AE90-300)^1.07,5-300/AE90)+MIN(tech_explore_draft1*Techs!AA90,tech_explore_draft2*Techs!AB90),3),0)</f>
        <v>8</v>
      </c>
      <c r="AH90" s="26">
        <f t="shared" si="6"/>
        <v>0</v>
      </c>
      <c r="AI90" s="57">
        <f t="shared" si="7"/>
        <v>0</v>
      </c>
    </row>
    <row r="91" spans="1:35" s="16" customFormat="1" x14ac:dyDescent="0.25">
      <c r="A91" s="511">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29"/>
      <c r="M91" s="839"/>
      <c r="N91" s="60">
        <f>Military!AB91</f>
        <v>0</v>
      </c>
      <c r="O91" s="59">
        <f ca="1">Population!I91</f>
        <v>1</v>
      </c>
      <c r="P91" s="91">
        <f ca="1">Imps!J91</f>
        <v>1</v>
      </c>
      <c r="Q91" s="53">
        <f t="shared" si="5"/>
        <v>1000</v>
      </c>
      <c r="R91" s="632">
        <f t="shared" si="9"/>
        <v>89</v>
      </c>
      <c r="S91" s="340"/>
      <c r="T91" s="363"/>
      <c r="U91" s="348"/>
      <c r="V91" s="348"/>
      <c r="W91" s="348"/>
      <c r="X91" s="348"/>
      <c r="Y91" s="348"/>
      <c r="Z91" s="357"/>
      <c r="AA91" s="535">
        <f>Imps!CM91</f>
        <v>43768.916666666453</v>
      </c>
      <c r="AB91" s="156">
        <f ca="1">Military!Z91</f>
        <v>5295</v>
      </c>
      <c r="AC91" s="57">
        <f ca="1">Production!H91</f>
        <v>4915687</v>
      </c>
      <c r="AE91" s="63">
        <f t="shared" si="8"/>
        <v>1000</v>
      </c>
      <c r="AF91" s="152">
        <f>ROUND(IF(AE91&gt;=300,1000+3*(AE91-300)^MIN(MAX(1.05/(AE91^0.019),1.09),1.119),1000-3*(300-AE91))*(1+IF(Overview!$B$14="Ants",ant_explore_penalty,0)+MIN(tech_explore_cost*Techs!Z91,tech_explore_cost2*Techs!AB91,tech_enchanted_lands_explore*Techs!AT91)),0)</f>
        <v>4787</v>
      </c>
      <c r="AG91" s="164">
        <f>ROUND(MAX(IF(AE91&gt;=300,5+0.003*(AE91-300)^1.07,5-300/AE91)+MIN(tech_explore_draft1*Techs!AA91,tech_explore_draft2*Techs!AB91),3),0)</f>
        <v>8</v>
      </c>
      <c r="AH91" s="26">
        <f t="shared" si="6"/>
        <v>0</v>
      </c>
      <c r="AI91" s="57">
        <f t="shared" si="7"/>
        <v>0</v>
      </c>
    </row>
    <row r="92" spans="1:35" s="16" customFormat="1" x14ac:dyDescent="0.25">
      <c r="A92" s="511">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29"/>
      <c r="M92" s="839"/>
      <c r="N92" s="60">
        <f>Military!AB92</f>
        <v>0</v>
      </c>
      <c r="O92" s="59">
        <f ca="1">Population!I92</f>
        <v>1</v>
      </c>
      <c r="P92" s="91">
        <f ca="1">Imps!J92</f>
        <v>1</v>
      </c>
      <c r="Q92" s="63">
        <f t="shared" si="5"/>
        <v>1000</v>
      </c>
      <c r="R92" s="632">
        <f t="shared" si="9"/>
        <v>90</v>
      </c>
      <c r="S92" s="340"/>
      <c r="T92" s="348"/>
      <c r="U92" s="348"/>
      <c r="V92" s="348"/>
      <c r="W92" s="348"/>
      <c r="X92" s="348"/>
      <c r="Y92" s="348"/>
      <c r="Z92" s="357"/>
      <c r="AA92" s="535">
        <f>Imps!CM92</f>
        <v>43768.927083333117</v>
      </c>
      <c r="AB92" s="156">
        <f ca="1">Military!Z92</f>
        <v>5295</v>
      </c>
      <c r="AC92" s="57">
        <f ca="1">Production!H92</f>
        <v>4920668</v>
      </c>
      <c r="AE92" s="63">
        <f t="shared" si="8"/>
        <v>1000</v>
      </c>
      <c r="AF92" s="152">
        <f>ROUND(IF(AE92&gt;=300,1000+3*(AE92-300)^MIN(MAX(1.05/(AE92^0.019),1.09),1.119),1000-3*(300-AE92))*(1+IF(Overview!$B$14="Ants",ant_explore_penalty,0)+MIN(tech_explore_cost*Techs!Z92,tech_explore_cost2*Techs!AB92,tech_enchanted_lands_explore*Techs!AT92)),0)</f>
        <v>4787</v>
      </c>
      <c r="AG92" s="164">
        <f>ROUND(MAX(IF(AE92&gt;=300,5+0.003*(AE92-300)^1.07,5-300/AE92)+MIN(tech_explore_draft1*Techs!AA92,tech_explore_draft2*Techs!AB92),3),0)</f>
        <v>8</v>
      </c>
      <c r="AH92" s="26">
        <f t="shared" si="6"/>
        <v>0</v>
      </c>
      <c r="AI92" s="57">
        <f t="shared" si="7"/>
        <v>0</v>
      </c>
    </row>
    <row r="93" spans="1:35" s="16" customFormat="1" x14ac:dyDescent="0.25">
      <c r="A93" s="511">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29"/>
      <c r="M93" s="839"/>
      <c r="N93" s="60">
        <f>Military!AB93</f>
        <v>0</v>
      </c>
      <c r="O93" s="59">
        <f ca="1">Population!I93</f>
        <v>1</v>
      </c>
      <c r="P93" s="91">
        <f ca="1">Imps!J93</f>
        <v>1</v>
      </c>
      <c r="Q93" s="63">
        <f t="shared" si="5"/>
        <v>1000</v>
      </c>
      <c r="R93" s="632">
        <f t="shared" si="9"/>
        <v>91</v>
      </c>
      <c r="S93" s="340"/>
      <c r="T93" s="348"/>
      <c r="U93" s="348"/>
      <c r="V93" s="348"/>
      <c r="W93" s="348"/>
      <c r="X93" s="348"/>
      <c r="Y93" s="348"/>
      <c r="Z93" s="357"/>
      <c r="AA93" s="535">
        <f>Imps!CM93</f>
        <v>43768.937499999782</v>
      </c>
      <c r="AB93" s="156">
        <f ca="1">Military!Z93</f>
        <v>5295</v>
      </c>
      <c r="AC93" s="57">
        <f ca="1">Production!H93</f>
        <v>4925649</v>
      </c>
      <c r="AE93" s="63">
        <f t="shared" si="8"/>
        <v>1000</v>
      </c>
      <c r="AF93" s="152">
        <f>ROUND(IF(AE93&gt;=300,1000+3*(AE93-300)^MIN(MAX(1.05/(AE93^0.019),1.09),1.119),1000-3*(300-AE93))*(1+IF(Overview!$B$14="Ants",ant_explore_penalty,0)+MIN(tech_explore_cost*Techs!Z93,tech_explore_cost2*Techs!AB93,tech_enchanted_lands_explore*Techs!AT93)),0)</f>
        <v>4787</v>
      </c>
      <c r="AG93" s="164">
        <f>ROUND(MAX(IF(AE93&gt;=300,5+0.003*(AE93-300)^1.07,5-300/AE93)+MIN(tech_explore_draft1*Techs!AA93,tech_explore_draft2*Techs!AB93),3),0)</f>
        <v>8</v>
      </c>
      <c r="AH93" s="26">
        <f t="shared" si="6"/>
        <v>0</v>
      </c>
      <c r="AI93" s="57">
        <f t="shared" si="7"/>
        <v>0</v>
      </c>
    </row>
    <row r="94" spans="1:35" s="16" customFormat="1" ht="13.8" thickBot="1" x14ac:dyDescent="0.3">
      <c r="A94" s="511">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0"/>
      <c r="M94" s="840"/>
      <c r="N94" s="60">
        <f>Military!AB94</f>
        <v>0</v>
      </c>
      <c r="O94" s="59">
        <f ca="1">Population!I94</f>
        <v>1</v>
      </c>
      <c r="P94" s="91">
        <f ca="1">Imps!J94</f>
        <v>1</v>
      </c>
      <c r="Q94" s="63">
        <f t="shared" si="5"/>
        <v>1000</v>
      </c>
      <c r="R94" s="632">
        <f t="shared" si="9"/>
        <v>92</v>
      </c>
      <c r="S94" s="340"/>
      <c r="T94" s="348"/>
      <c r="U94" s="348"/>
      <c r="V94" s="348"/>
      <c r="W94" s="348"/>
      <c r="X94" s="348"/>
      <c r="Y94" s="348"/>
      <c r="Z94" s="357"/>
      <c r="AA94" s="535">
        <f>Imps!CM94</f>
        <v>43768.947916666446</v>
      </c>
      <c r="AB94" s="156">
        <f ca="1">Military!Z94</f>
        <v>5295</v>
      </c>
      <c r="AC94" s="57">
        <f ca="1">Production!H94</f>
        <v>4930630</v>
      </c>
      <c r="AE94" s="63">
        <f t="shared" si="8"/>
        <v>1000</v>
      </c>
      <c r="AF94" s="152">
        <f>ROUND(IF(AE94&gt;=300,1000+3*(AE94-300)^MIN(MAX(1.05/(AE94^0.019),1.09),1.119),1000-3*(300-AE94))*(1+IF(Overview!$B$14="Ants",ant_explore_penalty,0)+MIN(tech_explore_cost*Techs!Z94,tech_explore_cost2*Techs!AB94,tech_enchanted_lands_explore*Techs!AT94)),0)</f>
        <v>4787</v>
      </c>
      <c r="AG94" s="164">
        <f>ROUND(MAX(IF(AE94&gt;=300,5+0.003*(AE94-300)^1.07,5-300/AE94)+MIN(tech_explore_draft1*Techs!AA94,tech_explore_draft2*Techs!AB94),3),0)</f>
        <v>8</v>
      </c>
      <c r="AH94" s="26">
        <f t="shared" si="6"/>
        <v>0</v>
      </c>
      <c r="AI94" s="57">
        <f t="shared" si="7"/>
        <v>0</v>
      </c>
    </row>
    <row r="95" spans="1:35" s="16" customFormat="1" x14ac:dyDescent="0.25">
      <c r="A95" s="511">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6">
        <f t="shared" si="9"/>
        <v>93</v>
      </c>
      <c r="S95" s="340"/>
      <c r="T95" s="345"/>
      <c r="U95" s="348"/>
      <c r="V95" s="348"/>
      <c r="W95" s="348"/>
      <c r="X95" s="348"/>
      <c r="Y95" s="348"/>
      <c r="Z95" s="357"/>
      <c r="AA95" s="535">
        <f>Imps!CM95</f>
        <v>43768.95833333311</v>
      </c>
      <c r="AB95" s="156">
        <f ca="1">Military!Z95</f>
        <v>5295</v>
      </c>
      <c r="AC95" s="57">
        <f ca="1">Production!H95</f>
        <v>4935611</v>
      </c>
      <c r="AE95" s="63">
        <f t="shared" si="8"/>
        <v>1000</v>
      </c>
      <c r="AF95" s="152">
        <f>ROUND(IF(AE95&gt;=300,1000+3*(AE95-300)^MIN(MAX(1.05/(AE95^0.019),1.09),1.119),1000-3*(300-AE95))*(1+IF(Overview!$B$14="Ants",ant_explore_penalty,0)+MIN(tech_explore_cost*Techs!Z95,tech_explore_cost2*Techs!AB95,tech_enchanted_lands_explore*Techs!AT95)),0)</f>
        <v>4787</v>
      </c>
      <c r="AG95" s="164">
        <f>ROUND(MAX(IF(AE95&gt;=300,5+0.003*(AE95-300)^1.07,5-300/AE95)+MIN(tech_explore_draft1*Techs!AA95,tech_explore_draft2*Techs!AB95),3),0)</f>
        <v>8</v>
      </c>
      <c r="AH95" s="26">
        <f t="shared" si="6"/>
        <v>0</v>
      </c>
      <c r="AI95" s="57">
        <f t="shared" si="7"/>
        <v>0</v>
      </c>
    </row>
    <row r="96" spans="1:35" s="16" customFormat="1" x14ac:dyDescent="0.25">
      <c r="A96" s="511">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41"/>
      <c r="M96" s="1481"/>
      <c r="N96" s="91">
        <f>Military!AB96</f>
        <v>0</v>
      </c>
      <c r="O96" s="59">
        <f ca="1">Population!I96</f>
        <v>1</v>
      </c>
      <c r="P96" s="91">
        <f ca="1">Imps!J96</f>
        <v>1</v>
      </c>
      <c r="Q96" s="53">
        <f t="shared" si="5"/>
        <v>1000</v>
      </c>
      <c r="R96" s="646">
        <f t="shared" si="9"/>
        <v>94</v>
      </c>
      <c r="S96" s="340"/>
      <c r="T96" s="348"/>
      <c r="U96" s="348"/>
      <c r="V96" s="348"/>
      <c r="W96" s="348"/>
      <c r="X96" s="348"/>
      <c r="Y96" s="348"/>
      <c r="Z96" s="357"/>
      <c r="AA96" s="535">
        <f>Imps!CM96</f>
        <v>43768.968749999774</v>
      </c>
      <c r="AB96" s="156">
        <f ca="1">Military!Z96</f>
        <v>5295</v>
      </c>
      <c r="AC96" s="57">
        <f ca="1">Production!H96</f>
        <v>4940592</v>
      </c>
      <c r="AE96" s="63">
        <f t="shared" si="8"/>
        <v>1000</v>
      </c>
      <c r="AF96" s="152">
        <f>ROUND(IF(AE96&gt;=300,1000+3*(AE96-300)^MIN(MAX(1.05/(AE96^0.019),1.09),1.119),1000-3*(300-AE96))*(1+IF(Overview!$B$14="Ants",ant_explore_penalty,0)+MIN(tech_explore_cost*Techs!Z96,tech_explore_cost2*Techs!AB96,tech_enchanted_lands_explore*Techs!AT96)),0)</f>
        <v>4787</v>
      </c>
      <c r="AG96" s="164">
        <f>ROUND(MAX(IF(AE96&gt;=300,5+0.003*(AE96-300)^1.07,5-300/AE96)+MIN(tech_explore_draft1*Techs!AA96,tech_explore_draft2*Techs!AB96),3),0)</f>
        <v>8</v>
      </c>
      <c r="AH96" s="26">
        <f t="shared" si="6"/>
        <v>0</v>
      </c>
      <c r="AI96" s="57">
        <f t="shared" si="7"/>
        <v>0</v>
      </c>
    </row>
    <row r="97" spans="1:35" s="16" customFormat="1" x14ac:dyDescent="0.25">
      <c r="A97" s="511">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4"/>
      <c r="N97" s="91">
        <f>Military!AB97</f>
        <v>0</v>
      </c>
      <c r="O97" s="59">
        <f ca="1">Population!I97</f>
        <v>1</v>
      </c>
      <c r="P97" s="91">
        <f ca="1">Imps!J97</f>
        <v>1</v>
      </c>
      <c r="Q97" s="53">
        <f t="shared" si="5"/>
        <v>1000</v>
      </c>
      <c r="R97" s="632">
        <f t="shared" si="9"/>
        <v>95</v>
      </c>
      <c r="S97" s="340"/>
      <c r="T97" s="348"/>
      <c r="U97" s="348"/>
      <c r="V97" s="348"/>
      <c r="W97" s="348"/>
      <c r="X97" s="348"/>
      <c r="Y97" s="348"/>
      <c r="Z97" s="357"/>
      <c r="AA97" s="535">
        <f>Imps!CM97</f>
        <v>43768.979166666439</v>
      </c>
      <c r="AB97" s="156">
        <f ca="1">Military!Z97</f>
        <v>5295</v>
      </c>
      <c r="AC97" s="57">
        <f ca="1">Production!H97</f>
        <v>4945573</v>
      </c>
      <c r="AE97" s="63">
        <f t="shared" si="8"/>
        <v>1000</v>
      </c>
      <c r="AF97" s="152">
        <f>ROUND(IF(AE97&gt;=300,1000+3*(AE97-300)^MIN(MAX(1.05/(AE97^0.019),1.09),1.119),1000-3*(300-AE97))*(1+IF(Overview!$B$14="Ants",ant_explore_penalty,0)+MIN(tech_explore_cost*Techs!Z97,tech_explore_cost2*Techs!AB97,tech_enchanted_lands_explore*Techs!AT97)),0)</f>
        <v>4787</v>
      </c>
      <c r="AG97" s="164">
        <f>ROUND(MAX(IF(AE97&gt;=300,5+0.003*(AE97-300)^1.07,5-300/AE97)+MIN(tech_explore_draft1*Techs!AA97,tech_explore_draft2*Techs!AB97),3),0)</f>
        <v>8</v>
      </c>
      <c r="AH97" s="26">
        <f t="shared" si="6"/>
        <v>0</v>
      </c>
      <c r="AI97" s="57">
        <f t="shared" si="7"/>
        <v>0</v>
      </c>
    </row>
    <row r="98" spans="1:35" s="170" customFormat="1" ht="13.8" thickBot="1" x14ac:dyDescent="0.3">
      <c r="A98" s="508">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78"/>
      <c r="N98" s="251">
        <f>Military!AB98</f>
        <v>0</v>
      </c>
      <c r="O98" s="187">
        <f ca="1">Population!I98</f>
        <v>1</v>
      </c>
      <c r="P98" s="251">
        <f ca="1">Imps!J98</f>
        <v>1</v>
      </c>
      <c r="Q98" s="157">
        <f t="shared" si="5"/>
        <v>1000</v>
      </c>
      <c r="R98" s="632">
        <f t="shared" si="9"/>
        <v>96</v>
      </c>
      <c r="S98" s="335"/>
      <c r="T98" s="363"/>
      <c r="U98" s="345"/>
      <c r="V98" s="345"/>
      <c r="W98" s="345"/>
      <c r="X98" s="345"/>
      <c r="Y98" s="345"/>
      <c r="Z98" s="353"/>
      <c r="AA98" s="532">
        <f>Imps!CM98</f>
        <v>43768.989583333103</v>
      </c>
      <c r="AB98" s="156">
        <f ca="1">Military!Z98</f>
        <v>5295</v>
      </c>
      <c r="AC98" s="166">
        <f ca="1">Production!H98</f>
        <v>4950554</v>
      </c>
      <c r="AE98" s="159">
        <f t="shared" si="8"/>
        <v>1000</v>
      </c>
      <c r="AF98" s="152">
        <f>ROUND(IF(AE98&gt;=300,1000+3*(AE98-300)^MIN(MAX(1.05/(AE98^0.019),1.09),1.119),1000-3*(300-AE98))*(1+IF(Overview!$B$14="Ants",ant_explore_penalty,0)+MIN(tech_explore_cost*Techs!Z98,tech_explore_cost2*Techs!AB98,tech_enchanted_lands_explore*Techs!AT98)),0)</f>
        <v>4787</v>
      </c>
      <c r="AG98" s="164">
        <f>ROUND(MAX(IF(AE98&gt;=300,5+0.003*(AE98-300)^1.07,5-300/AE98)+MIN(tech_explore_draft1*Techs!AA98,tech_explore_draft2*Techs!AB98),3),0)</f>
        <v>8</v>
      </c>
      <c r="AH98" s="164">
        <f t="shared" si="6"/>
        <v>0</v>
      </c>
      <c r="AI98" s="166">
        <f t="shared" si="7"/>
        <v>0</v>
      </c>
    </row>
    <row r="99" spans="1:35" s="173" customFormat="1" ht="13.8" thickBot="1" x14ac:dyDescent="0.3">
      <c r="A99" s="510">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78"/>
      <c r="N99" s="261">
        <f>Military!AB99</f>
        <v>0</v>
      </c>
      <c r="O99" s="192">
        <f ca="1">Population!I99</f>
        <v>1</v>
      </c>
      <c r="P99" s="261">
        <f ca="1">Imps!J99</f>
        <v>1</v>
      </c>
      <c r="Q99" s="180">
        <f t="shared" si="5"/>
        <v>1000</v>
      </c>
      <c r="R99" s="634">
        <f t="shared" si="9"/>
        <v>97</v>
      </c>
      <c r="S99" s="338"/>
      <c r="T99" s="347"/>
      <c r="U99" s="347"/>
      <c r="V99" s="347"/>
      <c r="W99" s="347"/>
      <c r="X99" s="347"/>
      <c r="Y99" s="347"/>
      <c r="Z99" s="355"/>
      <c r="AA99" s="534">
        <f>Imps!CM99</f>
        <v>43768.999999999767</v>
      </c>
      <c r="AB99" s="177">
        <f ca="1">Military!Z99</f>
        <v>5295</v>
      </c>
      <c r="AC99" s="179">
        <f ca="1">Production!H99</f>
        <v>4955535</v>
      </c>
      <c r="AE99" s="180">
        <f t="shared" si="8"/>
        <v>1000</v>
      </c>
      <c r="AF99" s="175">
        <f>ROUND(IF(AE99&gt;=300,1000+3*(AE99-300)^MIN(MAX(1.05/(AE99^0.019),1.09),1.119),1000-3*(300-AE99))*(1+IF(Overview!$B$14="Ants",ant_explore_penalty,0)+MIN(tech_explore_cost*Techs!Z99,tech_explore_cost2*Techs!AB99,tech_enchanted_lands_explore*Techs!AT99)),0)</f>
        <v>4787</v>
      </c>
      <c r="AG99" s="174">
        <f>ROUND(MAX(IF(AE99&gt;=300,5+0.003*(AE99-300)^1.07,5-300/AE99)+MIN(tech_explore_draft1*Techs!AA99,tech_explore_draft2*Techs!AB99),3),0)</f>
        <v>8</v>
      </c>
      <c r="AH99" s="174">
        <f t="shared" si="6"/>
        <v>0</v>
      </c>
      <c r="AI99" s="179">
        <f t="shared" si="7"/>
        <v>0</v>
      </c>
    </row>
    <row r="100" spans="1:35" s="170" customFormat="1" x14ac:dyDescent="0.25">
      <c r="A100" s="508">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7"/>
      <c r="N100" s="251">
        <f>Military!AB100</f>
        <v>0</v>
      </c>
      <c r="O100" s="187">
        <f ca="1">Population!I100</f>
        <v>1</v>
      </c>
      <c r="P100" s="251">
        <f ca="1">Imps!J100</f>
        <v>1</v>
      </c>
      <c r="Q100" s="159">
        <f t="shared" si="5"/>
        <v>1000</v>
      </c>
      <c r="R100" s="632">
        <f t="shared" si="9"/>
        <v>98</v>
      </c>
      <c r="S100" s="335"/>
      <c r="T100" s="363"/>
      <c r="U100" s="345"/>
      <c r="V100" s="345"/>
      <c r="W100" s="345"/>
      <c r="X100" s="345"/>
      <c r="Y100" s="345"/>
      <c r="Z100" s="353"/>
      <c r="AA100" s="532">
        <f>Imps!CM100</f>
        <v>43769.010416666431</v>
      </c>
      <c r="AB100" s="156">
        <f ca="1">Military!Z100</f>
        <v>5295</v>
      </c>
      <c r="AC100" s="166">
        <f ca="1">Production!H100</f>
        <v>4960516</v>
      </c>
      <c r="AE100" s="159">
        <f t="shared" si="8"/>
        <v>1000</v>
      </c>
      <c r="AF100" s="152">
        <f>ROUND(IF(AE100&gt;=300,1000+3*(AE100-300)^MIN(MAX(1.05/(AE100^0.019),1.09),1.119),1000-3*(300-AE100))*(1+IF(Overview!$B$14="Ants",ant_explore_penalty,0)+MIN(tech_explore_cost*Techs!Z100,tech_explore_cost2*Techs!AB100,tech_enchanted_lands_explore*Techs!AT100)),0)</f>
        <v>4787</v>
      </c>
      <c r="AG100" s="164">
        <f>ROUND(MAX(IF(AE100&gt;=300,5+0.003*(AE100-300)^1.07,5-300/AE100)+MIN(tech_explore_draft1*Techs!AA100,tech_explore_draft2*Techs!AB100),3),0)</f>
        <v>8</v>
      </c>
      <c r="AH100" s="164">
        <f t="shared" si="6"/>
        <v>0</v>
      </c>
      <c r="AI100" s="166">
        <f t="shared" si="7"/>
        <v>0</v>
      </c>
    </row>
    <row r="101" spans="1:35" s="170" customFormat="1" x14ac:dyDescent="0.25">
      <c r="A101" s="508">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2">
        <f t="shared" si="9"/>
        <v>99</v>
      </c>
      <c r="S101" s="335"/>
      <c r="T101" s="363"/>
      <c r="U101" s="345"/>
      <c r="V101" s="345"/>
      <c r="W101" s="345"/>
      <c r="X101" s="345"/>
      <c r="Y101" s="345"/>
      <c r="Z101" s="353"/>
      <c r="AA101" s="532">
        <f>Imps!CM101</f>
        <v>43769.020833333096</v>
      </c>
      <c r="AB101" s="156">
        <f ca="1">Military!Z101</f>
        <v>5295</v>
      </c>
      <c r="AC101" s="166">
        <f ca="1">Production!H101</f>
        <v>4965497</v>
      </c>
      <c r="AE101" s="159">
        <f t="shared" si="8"/>
        <v>1000</v>
      </c>
      <c r="AF101" s="152">
        <f>ROUND(IF(AE101&gt;=300,1000+3*(AE101-300)^MIN(MAX(1.05/(AE101^0.019),1.09),1.119),1000-3*(300-AE101))*(1+IF(Overview!$B$14="Ants",ant_explore_penalty,0)+MIN(tech_explore_cost*Techs!Z101,tech_explore_cost2*Techs!AB101,tech_enchanted_lands_explore*Techs!AT101)),0)</f>
        <v>4787</v>
      </c>
      <c r="AG101" s="164">
        <f>ROUND(MAX(IF(AE101&gt;=300,5+0.003*(AE101-300)^1.07,5-300/AE101)+MIN(tech_explore_draft1*Techs!AA101,tech_explore_draft2*Techs!AB101),3),0)</f>
        <v>8</v>
      </c>
      <c r="AH101" s="164">
        <f t="shared" si="6"/>
        <v>0</v>
      </c>
      <c r="AI101" s="166">
        <f t="shared" si="7"/>
        <v>0</v>
      </c>
    </row>
    <row r="102" spans="1:35" s="16" customFormat="1" x14ac:dyDescent="0.25">
      <c r="A102" s="511">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2">
        <f t="shared" si="9"/>
        <v>100</v>
      </c>
      <c r="S102" s="340"/>
      <c r="T102" s="363"/>
      <c r="U102" s="348"/>
      <c r="V102" s="348"/>
      <c r="W102" s="348"/>
      <c r="X102" s="348"/>
      <c r="Y102" s="348"/>
      <c r="Z102" s="357"/>
      <c r="AA102" s="535">
        <f>Imps!CM102</f>
        <v>43769.03124999976</v>
      </c>
      <c r="AB102" s="156">
        <f ca="1">Military!Z102</f>
        <v>5295</v>
      </c>
      <c r="AC102" s="57">
        <f ca="1">Production!H102</f>
        <v>4970478</v>
      </c>
      <c r="AE102" s="63">
        <f t="shared" si="8"/>
        <v>1000</v>
      </c>
      <c r="AF102" s="152">
        <f>ROUND(IF(AE102&gt;=300,1000+3*(AE102-300)^MIN(MAX(1.05/(AE102^0.019),1.09),1.119),1000-3*(300-AE102))*(1+IF(Overview!$B$14="Ants",ant_explore_penalty,0)+MIN(tech_explore_cost*Techs!Z102,tech_explore_cost2*Techs!AB102,tech_enchanted_lands_explore*Techs!AT102)),0)</f>
        <v>4787</v>
      </c>
      <c r="AG102" s="164">
        <f>ROUND(MAX(IF(AE102&gt;=300,5+0.003*(AE102-300)^1.07,5-300/AE102)+MIN(tech_explore_draft1*Techs!AA102,tech_explore_draft2*Techs!AB102),3),0)</f>
        <v>8</v>
      </c>
      <c r="AH102" s="26">
        <f t="shared" si="6"/>
        <v>0</v>
      </c>
      <c r="AI102" s="57">
        <f t="shared" si="7"/>
        <v>0</v>
      </c>
    </row>
    <row r="103" spans="1:35" s="16" customFormat="1" x14ac:dyDescent="0.25">
      <c r="A103" s="511">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6"/>
      <c r="M103" s="236"/>
      <c r="N103" s="91">
        <f>Military!AB103</f>
        <v>0</v>
      </c>
      <c r="O103" s="59">
        <f ca="1">Population!I103</f>
        <v>1</v>
      </c>
      <c r="P103" s="91">
        <f ca="1">Imps!J103</f>
        <v>1</v>
      </c>
      <c r="Q103" s="63">
        <f t="shared" si="5"/>
        <v>1000</v>
      </c>
      <c r="R103" s="632">
        <f t="shared" si="9"/>
        <v>101</v>
      </c>
      <c r="S103" s="340"/>
      <c r="T103" s="363"/>
      <c r="U103" s="348"/>
      <c r="V103" s="348"/>
      <c r="W103" s="348"/>
      <c r="X103" s="348"/>
      <c r="Y103" s="348"/>
      <c r="Z103" s="357"/>
      <c r="AA103" s="535">
        <f>Imps!CM103</f>
        <v>43769.041666666424</v>
      </c>
      <c r="AB103" s="156">
        <f ca="1">Military!Z103</f>
        <v>5295</v>
      </c>
      <c r="AC103" s="57">
        <f ca="1">Production!H103</f>
        <v>4975459</v>
      </c>
      <c r="AE103" s="63">
        <f t="shared" si="8"/>
        <v>1000</v>
      </c>
      <c r="AF103" s="152">
        <f>ROUND(IF(AE103&gt;=300,1000+3*(AE103-300)^MIN(MAX(1.05/(AE103^0.019),1.09),1.119),1000-3*(300-AE103))*(1+IF(Overview!$B$14="Ants",ant_explore_penalty,0)+MIN(tech_explore_cost*Techs!Z103,tech_explore_cost2*Techs!AB103,tech_enchanted_lands_explore*Techs!AT103)),0)</f>
        <v>4787</v>
      </c>
      <c r="AG103" s="164">
        <f>ROUND(MAX(IF(AE103&gt;=300,5+0.003*(AE103-300)^1.07,5-300/AE103)+MIN(tech_explore_draft1*Techs!AA103,tech_explore_draft2*Techs!AB103),3),0)</f>
        <v>8</v>
      </c>
      <c r="AH103" s="26">
        <f t="shared" si="6"/>
        <v>0</v>
      </c>
      <c r="AI103" s="57">
        <f t="shared" si="7"/>
        <v>0</v>
      </c>
    </row>
    <row r="104" spans="1:35" s="16" customFormat="1" x14ac:dyDescent="0.25">
      <c r="A104" s="511">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2">
        <f t="shared" si="9"/>
        <v>102</v>
      </c>
      <c r="S104" s="340"/>
      <c r="T104" s="348"/>
      <c r="U104" s="348"/>
      <c r="V104" s="348"/>
      <c r="W104" s="348"/>
      <c r="X104" s="348"/>
      <c r="Y104" s="348"/>
      <c r="Z104" s="357"/>
      <c r="AA104" s="535">
        <f>Imps!CM104</f>
        <v>43769.052083333088</v>
      </c>
      <c r="AB104" s="156">
        <f ca="1">Military!Z104</f>
        <v>5295</v>
      </c>
      <c r="AC104" s="57">
        <f ca="1">Production!H104</f>
        <v>4980440</v>
      </c>
      <c r="AE104" s="63">
        <f t="shared" si="8"/>
        <v>1000</v>
      </c>
      <c r="AF104" s="152">
        <f>ROUND(IF(AE104&gt;=300,1000+3*(AE104-300)^MIN(MAX(1.05/(AE104^0.019),1.09),1.119),1000-3*(300-AE104))*(1+IF(Overview!$B$14="Ants",ant_explore_penalty,0)+MIN(tech_explore_cost*Techs!Z104,tech_explore_cost2*Techs!AB104,tech_enchanted_lands_explore*Techs!AT104)),0)</f>
        <v>4787</v>
      </c>
      <c r="AG104" s="164">
        <f>ROUND(MAX(IF(AE104&gt;=300,5+0.003*(AE104-300)^1.07,5-300/AE104)+MIN(tech_explore_draft1*Techs!AA104,tech_explore_draft2*Techs!AB104),3),0)</f>
        <v>8</v>
      </c>
      <c r="AH104" s="26">
        <f t="shared" si="6"/>
        <v>0</v>
      </c>
      <c r="AI104" s="57">
        <f t="shared" si="7"/>
        <v>0</v>
      </c>
    </row>
    <row r="105" spans="1:35" s="16" customFormat="1" x14ac:dyDescent="0.25">
      <c r="A105" s="511">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2">
        <f t="shared" si="9"/>
        <v>103</v>
      </c>
      <c r="S105" s="340"/>
      <c r="T105" s="348"/>
      <c r="U105" s="348"/>
      <c r="V105" s="348"/>
      <c r="W105" s="348"/>
      <c r="X105" s="348"/>
      <c r="Y105" s="348"/>
      <c r="Z105" s="357"/>
      <c r="AA105" s="535">
        <f>Imps!CM105</f>
        <v>43769.062499999753</v>
      </c>
      <c r="AB105" s="156">
        <f ca="1">Military!Z105</f>
        <v>5295</v>
      </c>
      <c r="AC105" s="57">
        <f ca="1">Production!H105</f>
        <v>4985421</v>
      </c>
      <c r="AE105" s="63">
        <f t="shared" si="8"/>
        <v>1000</v>
      </c>
      <c r="AF105" s="152">
        <f>ROUND(IF(AE105&gt;=300,1000+3*(AE105-300)^MIN(MAX(1.05/(AE105^0.019),1.09),1.119),1000-3*(300-AE105))*(1+IF(Overview!$B$14="Ants",ant_explore_penalty,0)+MIN(tech_explore_cost*Techs!Z105,tech_explore_cost2*Techs!AB105,tech_enchanted_lands_explore*Techs!AT105)),0)</f>
        <v>4787</v>
      </c>
      <c r="AG105" s="164">
        <f>ROUND(MAX(IF(AE105&gt;=300,5+0.003*(AE105-300)^1.07,5-300/AE105)+MIN(tech_explore_draft1*Techs!AA105,tech_explore_draft2*Techs!AB105),3),0)</f>
        <v>8</v>
      </c>
      <c r="AH105" s="26">
        <f t="shared" si="6"/>
        <v>0</v>
      </c>
      <c r="AI105" s="57">
        <f t="shared" si="7"/>
        <v>0</v>
      </c>
    </row>
    <row r="106" spans="1:35" s="16" customFormat="1" x14ac:dyDescent="0.25">
      <c r="A106" s="511">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2">
        <f t="shared" si="9"/>
        <v>104</v>
      </c>
      <c r="S106" s="340"/>
      <c r="T106" s="348"/>
      <c r="U106" s="348"/>
      <c r="V106" s="348"/>
      <c r="W106" s="348"/>
      <c r="X106" s="348"/>
      <c r="Y106" s="348"/>
      <c r="Z106" s="357"/>
      <c r="AA106" s="535">
        <f>Imps!CM106</f>
        <v>43769.072916666417</v>
      </c>
      <c r="AB106" s="156">
        <f ca="1">Military!Z106</f>
        <v>5295</v>
      </c>
      <c r="AC106" s="57">
        <f ca="1">Production!H106</f>
        <v>4990402</v>
      </c>
      <c r="AE106" s="63">
        <f t="shared" si="8"/>
        <v>1000</v>
      </c>
      <c r="AF106" s="152">
        <f>ROUND(IF(AE106&gt;=300,1000+3*(AE106-300)^MIN(MAX(1.05/(AE106^0.019),1.09),1.119),1000-3*(300-AE106))*(1+IF(Overview!$B$14="Ants",ant_explore_penalty,0)+MIN(tech_explore_cost*Techs!Z106,tech_explore_cost2*Techs!AB106,tech_enchanted_lands_explore*Techs!AT106)),0)</f>
        <v>4787</v>
      </c>
      <c r="AG106" s="164">
        <f>ROUND(MAX(IF(AE106&gt;=300,5+0.003*(AE106-300)^1.07,5-300/AE106)+MIN(tech_explore_draft1*Techs!AA106,tech_explore_draft2*Techs!AB106),3),0)</f>
        <v>8</v>
      </c>
      <c r="AH106" s="26">
        <f t="shared" si="6"/>
        <v>0</v>
      </c>
      <c r="AI106" s="57">
        <f t="shared" si="7"/>
        <v>0</v>
      </c>
    </row>
    <row r="107" spans="1:35" s="16" customFormat="1" x14ac:dyDescent="0.25">
      <c r="A107" s="511">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2">
        <f t="shared" si="9"/>
        <v>105</v>
      </c>
      <c r="S107" s="340"/>
      <c r="T107" s="345"/>
      <c r="U107" s="348"/>
      <c r="V107" s="348"/>
      <c r="W107" s="348"/>
      <c r="X107" s="348"/>
      <c r="Y107" s="348"/>
      <c r="Z107" s="357"/>
      <c r="AA107" s="535">
        <f>Imps!CM107</f>
        <v>43769.083333333081</v>
      </c>
      <c r="AB107" s="156">
        <f ca="1">Military!Z107</f>
        <v>5295</v>
      </c>
      <c r="AC107" s="57">
        <f ca="1">Production!H107</f>
        <v>4995383</v>
      </c>
      <c r="AE107" s="63">
        <f t="shared" si="8"/>
        <v>1000</v>
      </c>
      <c r="AF107" s="152">
        <f>ROUND(IF(AE107&gt;=300,1000+3*(AE107-300)^MIN(MAX(1.05/(AE107^0.019),1.09),1.119),1000-3*(300-AE107))*(1+IF(Overview!$B$14="Ants",ant_explore_penalty,0)+MIN(tech_explore_cost*Techs!Z107,tech_explore_cost2*Techs!AB107,tech_enchanted_lands_explore*Techs!AT107)),0)</f>
        <v>4787</v>
      </c>
      <c r="AG107" s="164">
        <f>ROUND(MAX(IF(AE107&gt;=300,5+0.003*(AE107-300)^1.07,5-300/AE107)+MIN(tech_explore_draft1*Techs!AA107,tech_explore_draft2*Techs!AB107),3),0)</f>
        <v>8</v>
      </c>
      <c r="AH107" s="26">
        <f t="shared" si="6"/>
        <v>0</v>
      </c>
      <c r="AI107" s="57">
        <f t="shared" si="7"/>
        <v>0</v>
      </c>
    </row>
    <row r="108" spans="1:35" s="16" customFormat="1" x14ac:dyDescent="0.25">
      <c r="A108" s="511">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2">
        <f t="shared" si="9"/>
        <v>106</v>
      </c>
      <c r="S108" s="340"/>
      <c r="T108" s="348"/>
      <c r="U108" s="348"/>
      <c r="V108" s="348"/>
      <c r="W108" s="348"/>
      <c r="X108" s="348"/>
      <c r="Y108" s="348"/>
      <c r="Z108" s="357"/>
      <c r="AA108" s="535">
        <f>Imps!CM108</f>
        <v>43769.093749999745</v>
      </c>
      <c r="AB108" s="156">
        <f ca="1">Military!Z108</f>
        <v>5295</v>
      </c>
      <c r="AC108" s="57">
        <f ca="1">Production!H108</f>
        <v>5000364</v>
      </c>
      <c r="AE108" s="63">
        <f t="shared" si="8"/>
        <v>1000</v>
      </c>
      <c r="AF108" s="152">
        <f>ROUND(IF(AE108&gt;=300,1000+3*(AE108-300)^MIN(MAX(1.05/(AE108^0.019),1.09),1.119),1000-3*(300-AE108))*(1+IF(Overview!$B$14="Ants",ant_explore_penalty,0)+MIN(tech_explore_cost*Techs!Z108,tech_explore_cost2*Techs!AB108,tech_enchanted_lands_explore*Techs!AT108)),0)</f>
        <v>4787</v>
      </c>
      <c r="AG108" s="164">
        <f>ROUND(MAX(IF(AE108&gt;=300,5+0.003*(AE108-300)^1.07,5-300/AE108)+MIN(tech_explore_draft1*Techs!AA108,tech_explore_draft2*Techs!AB108),3),0)</f>
        <v>8</v>
      </c>
      <c r="AH108" s="26">
        <f t="shared" si="6"/>
        <v>0</v>
      </c>
      <c r="AI108" s="57">
        <f t="shared" si="7"/>
        <v>0</v>
      </c>
    </row>
    <row r="109" spans="1:35" s="16" customFormat="1" x14ac:dyDescent="0.25">
      <c r="A109" s="511">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2">
        <f t="shared" si="9"/>
        <v>107</v>
      </c>
      <c r="S109" s="340"/>
      <c r="T109" s="376"/>
      <c r="U109" s="348"/>
      <c r="V109" s="348"/>
      <c r="W109" s="348"/>
      <c r="X109" s="348"/>
      <c r="Y109" s="348"/>
      <c r="Z109" s="357"/>
      <c r="AA109" s="535">
        <f>Imps!CM109</f>
        <v>43769.10416666641</v>
      </c>
      <c r="AB109" s="156">
        <f ca="1">Military!Z109</f>
        <v>5295</v>
      </c>
      <c r="AC109" s="57">
        <f ca="1">Production!H109</f>
        <v>5005345</v>
      </c>
      <c r="AE109" s="63">
        <f t="shared" si="8"/>
        <v>1000</v>
      </c>
      <c r="AF109" s="152">
        <f>ROUND(IF(AE109&gt;=300,1000+3*(AE109-300)^MIN(MAX(1.05/(AE109^0.019),1.09),1.119),1000-3*(300-AE109))*(1+IF(Overview!$B$14="Ants",ant_explore_penalty,0)+MIN(tech_explore_cost*Techs!Z109,tech_explore_cost2*Techs!AB109,tech_enchanted_lands_explore*Techs!AT109)),0)</f>
        <v>4787</v>
      </c>
      <c r="AG109" s="164">
        <f>ROUND(MAX(IF(AE109&gt;=300,5+0.003*(AE109-300)^1.07,5-300/AE109)+MIN(tech_explore_draft1*Techs!AA109,tech_explore_draft2*Techs!AB109),3),0)</f>
        <v>8</v>
      </c>
      <c r="AH109" s="26">
        <f t="shared" si="6"/>
        <v>0</v>
      </c>
      <c r="AI109" s="57">
        <f t="shared" si="7"/>
        <v>0</v>
      </c>
    </row>
    <row r="110" spans="1:35" s="25" customFormat="1" x14ac:dyDescent="0.25">
      <c r="A110" s="512">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17">
        <f t="shared" si="9"/>
        <v>108</v>
      </c>
      <c r="S110" s="340"/>
      <c r="T110" s="348"/>
      <c r="U110" s="348"/>
      <c r="V110" s="348"/>
      <c r="W110" s="348"/>
      <c r="X110" s="348"/>
      <c r="Y110" s="348"/>
      <c r="Z110" s="357"/>
      <c r="AA110" s="567">
        <f>Imps!CM110</f>
        <v>43769.114583333074</v>
      </c>
      <c r="AB110" s="156">
        <f ca="1">Military!Z110</f>
        <v>5295</v>
      </c>
      <c r="AC110" s="73">
        <f ca="1">Production!H110</f>
        <v>5010326</v>
      </c>
      <c r="AD110" s="16"/>
      <c r="AE110" s="63">
        <f t="shared" si="8"/>
        <v>1000</v>
      </c>
      <c r="AF110" s="152">
        <f>ROUND(IF(AE110&gt;=300,1000+3*(AE110-300)^MIN(MAX(1.05/(AE110^0.019),1.09),1.119),1000-3*(300-AE110))*(1+IF(Overview!$B$14="Ants",ant_explore_penalty,0)+MIN(tech_explore_cost*Techs!Z110,tech_explore_cost2*Techs!AB110,tech_enchanted_lands_explore*Techs!AT110)),0)</f>
        <v>4787</v>
      </c>
      <c r="AG110" s="164">
        <f>ROUND(MAX(IF(AE110&gt;=300,5+0.003*(AE110-300)^1.07,5-300/AE110)+MIN(tech_explore_draft1*Techs!AA110,tech_explore_draft2*Techs!AB110),3),0)</f>
        <v>8</v>
      </c>
      <c r="AH110" s="24">
        <f t="shared" si="6"/>
        <v>0</v>
      </c>
      <c r="AI110" s="73">
        <f t="shared" si="7"/>
        <v>0</v>
      </c>
    </row>
    <row r="111" spans="1:35" s="12" customFormat="1" ht="12.75" customHeight="1" x14ac:dyDescent="0.25">
      <c r="A111" s="513">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18"/>
      <c r="T111" s="349"/>
      <c r="U111" s="349"/>
      <c r="V111" s="349"/>
      <c r="W111" s="349"/>
      <c r="X111" s="349"/>
      <c r="Y111" s="349"/>
      <c r="Z111" s="374"/>
      <c r="AA111" s="568">
        <f>Imps!CM111</f>
        <v>43769.124999999738</v>
      </c>
      <c r="AB111" s="184">
        <f ca="1">Military!Z111</f>
        <v>5295</v>
      </c>
      <c r="AC111" s="55">
        <f ca="1">Production!H111</f>
        <v>5015307</v>
      </c>
      <c r="AD111" s="50"/>
      <c r="AE111" s="286">
        <f t="shared" si="8"/>
        <v>1000</v>
      </c>
      <c r="AF111" s="151">
        <f>ROUND(IF(AE111&gt;=300,1000+3*(AE111-300)^MIN(MAX(1.05/(AE111^0.019),1.09),1.119),1000-3*(300-AE111))*(1+IF(Overview!$B$14="Ants",ant_explore_penalty,0)+MIN(tech_explore_cost*Techs!Z111,tech_explore_cost2*Techs!AB111,tech_enchanted_lands_explore*Techs!AT111)),0)</f>
        <v>4787</v>
      </c>
      <c r="AG111" s="153">
        <f>ROUND(MAX(IF(AE111&gt;=300,5+0.003*(AE111-300)^1.07,5-300/AE111)+MIN(tech_explore_draft1*Techs!AA111,tech_explore_draft2*Techs!AB111),3),0)</f>
        <v>8</v>
      </c>
      <c r="AH111" s="13">
        <f t="shared" si="6"/>
        <v>0</v>
      </c>
      <c r="AI111" s="55">
        <f t="shared" si="7"/>
        <v>0</v>
      </c>
    </row>
    <row r="112" spans="1:35" s="15" customFormat="1" x14ac:dyDescent="0.25">
      <c r="A112" s="514">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0">
        <f t="shared" si="9"/>
        <v>110</v>
      </c>
      <c r="S112" s="340"/>
      <c r="T112" s="348"/>
      <c r="U112" s="348"/>
      <c r="V112" s="348"/>
      <c r="W112" s="348"/>
      <c r="X112" s="348"/>
      <c r="Y112" s="348"/>
      <c r="Z112" s="357"/>
      <c r="AA112" s="569">
        <f>Imps!CM112</f>
        <v>43769.135416666402</v>
      </c>
      <c r="AB112" s="156">
        <f ca="1">Military!Z112</f>
        <v>5295</v>
      </c>
      <c r="AC112" s="71">
        <f ca="1">Production!H112</f>
        <v>5020288</v>
      </c>
      <c r="AD112" s="16"/>
      <c r="AE112" s="63">
        <f t="shared" si="8"/>
        <v>1000</v>
      </c>
      <c r="AF112" s="152">
        <f>ROUND(IF(AE112&gt;=300,1000+3*(AE112-300)^MIN(MAX(1.05/(AE112^0.019),1.09),1.119),1000-3*(300-AE112))*(1+IF(Overview!$B$14="Ants",ant_explore_penalty,0)+MIN(tech_explore_cost*Techs!Z112,tech_explore_cost2*Techs!AB112,tech_enchanted_lands_explore*Techs!AT112)),0)</f>
        <v>4787</v>
      </c>
      <c r="AG112" s="164">
        <f>ROUND(MAX(IF(AE112&gt;=300,5+0.003*(AE112-300)^1.07,5-300/AE112)+MIN(tech_explore_draft1*Techs!AA112,tech_explore_draft2*Techs!AB112),3),0)</f>
        <v>8</v>
      </c>
      <c r="AH112" s="23">
        <f t="shared" si="6"/>
        <v>0</v>
      </c>
      <c r="AI112" s="71">
        <f t="shared" si="7"/>
        <v>0</v>
      </c>
    </row>
    <row r="113" spans="1:35" s="16" customFormat="1" x14ac:dyDescent="0.25">
      <c r="A113" s="511">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2">
        <f t="shared" si="9"/>
        <v>111</v>
      </c>
      <c r="S113" s="340"/>
      <c r="T113" s="348"/>
      <c r="U113" s="348"/>
      <c r="V113" s="348"/>
      <c r="W113" s="348"/>
      <c r="X113" s="348"/>
      <c r="Y113" s="348"/>
      <c r="Z113" s="357"/>
      <c r="AA113" s="535">
        <f>Imps!CM113</f>
        <v>43769.145833333067</v>
      </c>
      <c r="AB113" s="156">
        <f ca="1">Military!Z113</f>
        <v>5295</v>
      </c>
      <c r="AC113" s="57">
        <f ca="1">Production!H113</f>
        <v>5025269</v>
      </c>
      <c r="AE113" s="63">
        <f t="shared" si="8"/>
        <v>1000</v>
      </c>
      <c r="AF113" s="152">
        <f>ROUND(IF(AE113&gt;=300,1000+3*(AE113-300)^MIN(MAX(1.05/(AE113^0.019),1.09),1.119),1000-3*(300-AE113))*(1+IF(Overview!$B$14="Ants",ant_explore_penalty,0)+MIN(tech_explore_cost*Techs!Z113,tech_explore_cost2*Techs!AB113,tech_enchanted_lands_explore*Techs!AT113)),0)</f>
        <v>4787</v>
      </c>
      <c r="AG113" s="164">
        <f>ROUND(MAX(IF(AE113&gt;=300,5+0.003*(AE113-300)^1.07,5-300/AE113)+MIN(tech_explore_draft1*Techs!AA113,tech_explore_draft2*Techs!AB113),3),0)</f>
        <v>8</v>
      </c>
      <c r="AH113" s="26">
        <f t="shared" si="6"/>
        <v>0</v>
      </c>
      <c r="AI113" s="57">
        <f t="shared" si="7"/>
        <v>0</v>
      </c>
    </row>
    <row r="114" spans="1:35" s="16" customFormat="1" x14ac:dyDescent="0.25">
      <c r="A114" s="511">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2">
        <f t="shared" si="9"/>
        <v>112</v>
      </c>
      <c r="S114" s="340"/>
      <c r="T114" s="348"/>
      <c r="U114" s="348"/>
      <c r="V114" s="348"/>
      <c r="W114" s="348"/>
      <c r="X114" s="348"/>
      <c r="Y114" s="348"/>
      <c r="Z114" s="357"/>
      <c r="AA114" s="535">
        <f>Imps!CM114</f>
        <v>43769.156249999731</v>
      </c>
      <c r="AB114" s="156">
        <f ca="1">Military!Z114</f>
        <v>5295</v>
      </c>
      <c r="AC114" s="57">
        <f ca="1">Production!H114</f>
        <v>5030250</v>
      </c>
      <c r="AE114" s="63">
        <f t="shared" si="8"/>
        <v>1000</v>
      </c>
      <c r="AF114" s="152">
        <f>ROUND(IF(AE114&gt;=300,1000+3*(AE114-300)^MIN(MAX(1.05/(AE114^0.019),1.09),1.119),1000-3*(300-AE114))*(1+IF(Overview!$B$14="Ants",ant_explore_penalty,0)+MIN(tech_explore_cost*Techs!Z114,tech_explore_cost2*Techs!AB114,tech_enchanted_lands_explore*Techs!AT114)),0)</f>
        <v>4787</v>
      </c>
      <c r="AG114" s="164">
        <f>ROUND(MAX(IF(AE114&gt;=300,5+0.003*(AE114-300)^1.07,5-300/AE114)+MIN(tech_explore_draft1*Techs!AA114,tech_explore_draft2*Techs!AB114),3),0)</f>
        <v>8</v>
      </c>
      <c r="AH114" s="26">
        <f t="shared" si="6"/>
        <v>0</v>
      </c>
      <c r="AI114" s="57">
        <f t="shared" si="7"/>
        <v>0</v>
      </c>
    </row>
    <row r="115" spans="1:35" s="16" customFormat="1" x14ac:dyDescent="0.25">
      <c r="A115" s="511">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2">
        <f t="shared" si="9"/>
        <v>113</v>
      </c>
      <c r="S115" s="340"/>
      <c r="T115" s="348"/>
      <c r="U115" s="348"/>
      <c r="V115" s="348"/>
      <c r="W115" s="348"/>
      <c r="X115" s="348"/>
      <c r="Y115" s="348"/>
      <c r="Z115" s="357"/>
      <c r="AA115" s="535">
        <f>Imps!CM115</f>
        <v>43769.166666666395</v>
      </c>
      <c r="AB115" s="156">
        <f ca="1">Military!Z115</f>
        <v>5295</v>
      </c>
      <c r="AC115" s="57">
        <f ca="1">Production!H115</f>
        <v>5035231</v>
      </c>
      <c r="AE115" s="63">
        <f t="shared" si="8"/>
        <v>1000</v>
      </c>
      <c r="AF115" s="152">
        <f>ROUND(IF(AE115&gt;=300,1000+3*(AE115-300)^MIN(MAX(1.05/(AE115^0.019),1.09),1.119),1000-3*(300-AE115))*(1+IF(Overview!$B$14="Ants",ant_explore_penalty,0)+MIN(tech_explore_cost*Techs!Z115,tech_explore_cost2*Techs!AB115,tech_enchanted_lands_explore*Techs!AT115)),0)</f>
        <v>4787</v>
      </c>
      <c r="AG115" s="164">
        <f>ROUND(MAX(IF(AE115&gt;=300,5+0.003*(AE115-300)^1.07,5-300/AE115)+MIN(tech_explore_draft1*Techs!AA115,tech_explore_draft2*Techs!AB115),3),0)</f>
        <v>8</v>
      </c>
      <c r="AH115" s="26">
        <f t="shared" si="6"/>
        <v>0</v>
      </c>
      <c r="AI115" s="57">
        <f t="shared" si="7"/>
        <v>0</v>
      </c>
    </row>
    <row r="116" spans="1:35" s="16" customFormat="1" x14ac:dyDescent="0.25">
      <c r="A116" s="511">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2">
        <f t="shared" si="9"/>
        <v>114</v>
      </c>
      <c r="S116" s="340"/>
      <c r="T116" s="348"/>
      <c r="U116" s="348"/>
      <c r="V116" s="348"/>
      <c r="W116" s="348"/>
      <c r="X116" s="348"/>
      <c r="Y116" s="348"/>
      <c r="Z116" s="357"/>
      <c r="AA116" s="535">
        <f>Imps!CM116</f>
        <v>43769.177083333059</v>
      </c>
      <c r="AB116" s="156">
        <f ca="1">Military!Z116</f>
        <v>5295</v>
      </c>
      <c r="AC116" s="57">
        <f ca="1">Production!H116</f>
        <v>5040212</v>
      </c>
      <c r="AE116" s="63">
        <f t="shared" si="8"/>
        <v>1000</v>
      </c>
      <c r="AF116" s="152">
        <f>ROUND(IF(AE116&gt;=300,1000+3*(AE116-300)^MIN(MAX(1.05/(AE116^0.019),1.09),1.119),1000-3*(300-AE116))*(1+IF(Overview!$B$14="Ants",ant_explore_penalty,0)+MIN(tech_explore_cost*Techs!Z116,tech_explore_cost2*Techs!AB116,tech_enchanted_lands_explore*Techs!AT116)),0)</f>
        <v>4787</v>
      </c>
      <c r="AG116" s="164">
        <f>ROUND(MAX(IF(AE116&gt;=300,5+0.003*(AE116-300)^1.07,5-300/AE116)+MIN(tech_explore_draft1*Techs!AA116,tech_explore_draft2*Techs!AB116),3),0)</f>
        <v>8</v>
      </c>
      <c r="AH116" s="26">
        <f t="shared" si="6"/>
        <v>0</v>
      </c>
      <c r="AI116" s="57">
        <f t="shared" si="7"/>
        <v>0</v>
      </c>
    </row>
    <row r="117" spans="1:35" s="16" customFormat="1" x14ac:dyDescent="0.25">
      <c r="A117" s="511">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2">
        <f t="shared" si="9"/>
        <v>115</v>
      </c>
      <c r="S117" s="340"/>
      <c r="T117" s="348"/>
      <c r="U117" s="348"/>
      <c r="V117" s="348"/>
      <c r="W117" s="348"/>
      <c r="X117" s="348"/>
      <c r="Y117" s="348"/>
      <c r="Z117" s="357"/>
      <c r="AA117" s="535">
        <f>Imps!CM117</f>
        <v>43769.187499999724</v>
      </c>
      <c r="AB117" s="156">
        <f ca="1">Military!Z117</f>
        <v>5295</v>
      </c>
      <c r="AC117" s="57">
        <f ca="1">Production!H117</f>
        <v>5045193</v>
      </c>
      <c r="AE117" s="63">
        <f t="shared" si="8"/>
        <v>1000</v>
      </c>
      <c r="AF117" s="152">
        <f>ROUND(IF(AE117&gt;=300,1000+3*(AE117-300)^MIN(MAX(1.05/(AE117^0.019),1.09),1.119),1000-3*(300-AE117))*(1+IF(Overview!$B$14="Ants",ant_explore_penalty,0)+MIN(tech_explore_cost*Techs!Z117,tech_explore_cost2*Techs!AB117,tech_enchanted_lands_explore*Techs!AT117)),0)</f>
        <v>4787</v>
      </c>
      <c r="AG117" s="164">
        <f>ROUND(MAX(IF(AE117&gt;=300,5+0.003*(AE117-300)^1.07,5-300/AE117)+MIN(tech_explore_draft1*Techs!AA117,tech_explore_draft2*Techs!AB117),3),0)</f>
        <v>8</v>
      </c>
      <c r="AH117" s="26">
        <f t="shared" si="6"/>
        <v>0</v>
      </c>
      <c r="AI117" s="57">
        <f t="shared" si="7"/>
        <v>0</v>
      </c>
    </row>
    <row r="118" spans="1:35" s="16" customFormat="1" x14ac:dyDescent="0.25">
      <c r="A118" s="511">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2">
        <f t="shared" si="9"/>
        <v>116</v>
      </c>
      <c r="S118" s="340"/>
      <c r="T118" s="348"/>
      <c r="U118" s="348"/>
      <c r="V118" s="348"/>
      <c r="W118" s="348"/>
      <c r="X118" s="348"/>
      <c r="Y118" s="348"/>
      <c r="Z118" s="357"/>
      <c r="AA118" s="535">
        <f>Imps!CM118</f>
        <v>43769.197916666388</v>
      </c>
      <c r="AB118" s="156">
        <f ca="1">Military!Z118</f>
        <v>5295</v>
      </c>
      <c r="AC118" s="57">
        <f ca="1">Production!H118</f>
        <v>5050174</v>
      </c>
      <c r="AE118" s="63">
        <f t="shared" si="8"/>
        <v>1000</v>
      </c>
      <c r="AF118" s="152">
        <f>ROUND(IF(AE118&gt;=300,1000+3*(AE118-300)^MIN(MAX(1.05/(AE118^0.019),1.09),1.119),1000-3*(300-AE118))*(1+IF(Overview!$B$14="Ants",ant_explore_penalty,0)+MIN(tech_explore_cost*Techs!Z118,tech_explore_cost2*Techs!AB118,tech_enchanted_lands_explore*Techs!AT118)),0)</f>
        <v>4787</v>
      </c>
      <c r="AG118" s="164">
        <f>ROUND(MAX(IF(AE118&gt;=300,5+0.003*(AE118-300)^1.07,5-300/AE118)+MIN(tech_explore_draft1*Techs!AA118,tech_explore_draft2*Techs!AB118),3),0)</f>
        <v>8</v>
      </c>
      <c r="AH118" s="26">
        <f t="shared" si="6"/>
        <v>0</v>
      </c>
      <c r="AI118" s="57">
        <f t="shared" si="7"/>
        <v>0</v>
      </c>
    </row>
    <row r="119" spans="1:35" s="16" customFormat="1" x14ac:dyDescent="0.25">
      <c r="A119" s="511">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2">
        <f t="shared" si="9"/>
        <v>117</v>
      </c>
      <c r="S119" s="340"/>
      <c r="T119" s="348"/>
      <c r="U119" s="348"/>
      <c r="V119" s="348"/>
      <c r="W119" s="348"/>
      <c r="X119" s="348"/>
      <c r="Y119" s="348"/>
      <c r="Z119" s="357"/>
      <c r="AA119" s="535">
        <f>Imps!CM119</f>
        <v>43769.208333333052</v>
      </c>
      <c r="AB119" s="156">
        <f ca="1">Military!Z119</f>
        <v>5295</v>
      </c>
      <c r="AC119" s="57">
        <f ca="1">Production!H119</f>
        <v>5055155</v>
      </c>
      <c r="AE119" s="63">
        <f t="shared" si="8"/>
        <v>1000</v>
      </c>
      <c r="AF119" s="152">
        <f>ROUND(IF(AE119&gt;=300,1000+3*(AE119-300)^MIN(MAX(1.05/(AE119^0.019),1.09),1.119),1000-3*(300-AE119))*(1+IF(Overview!$B$14="Ants",ant_explore_penalty,0)+MIN(tech_explore_cost*Techs!Z119,tech_explore_cost2*Techs!AB119,tech_enchanted_lands_explore*Techs!AT119)),0)</f>
        <v>4787</v>
      </c>
      <c r="AG119" s="164">
        <f>ROUND(MAX(IF(AE119&gt;=300,5+0.003*(AE119-300)^1.07,5-300/AE119)+MIN(tech_explore_draft1*Techs!AA119,tech_explore_draft2*Techs!AB119),3),0)</f>
        <v>8</v>
      </c>
      <c r="AH119" s="26">
        <f t="shared" si="6"/>
        <v>0</v>
      </c>
      <c r="AI119" s="57">
        <f t="shared" si="7"/>
        <v>0</v>
      </c>
    </row>
    <row r="120" spans="1:35" s="16" customFormat="1" x14ac:dyDescent="0.25">
      <c r="A120" s="511">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2">
        <f t="shared" si="9"/>
        <v>118</v>
      </c>
      <c r="S120" s="340"/>
      <c r="T120" s="348"/>
      <c r="U120" s="348"/>
      <c r="V120" s="348"/>
      <c r="W120" s="348"/>
      <c r="X120" s="348"/>
      <c r="Y120" s="348"/>
      <c r="Z120" s="357"/>
      <c r="AA120" s="535">
        <f>Imps!CM120</f>
        <v>43769.218749999716</v>
      </c>
      <c r="AB120" s="156">
        <f ca="1">Military!Z120</f>
        <v>5295</v>
      </c>
      <c r="AC120" s="57">
        <f ca="1">Production!H120</f>
        <v>5060136</v>
      </c>
      <c r="AE120" s="63">
        <f t="shared" si="8"/>
        <v>1000</v>
      </c>
      <c r="AF120" s="152">
        <f>ROUND(IF(AE120&gt;=300,1000+3*(AE120-300)^MIN(MAX(1.05/(AE120^0.019),1.09),1.119),1000-3*(300-AE120))*(1+IF(Overview!$B$14="Ants",ant_explore_penalty,0)+MIN(tech_explore_cost*Techs!Z120,tech_explore_cost2*Techs!AB120,tech_enchanted_lands_explore*Techs!AT120)),0)</f>
        <v>4787</v>
      </c>
      <c r="AG120" s="164">
        <f>ROUND(MAX(IF(AE120&gt;=300,5+0.003*(AE120-300)^1.07,5-300/AE120)+MIN(tech_explore_draft1*Techs!AA120,tech_explore_draft2*Techs!AB120),3),0)</f>
        <v>8</v>
      </c>
      <c r="AH120" s="26">
        <f t="shared" si="6"/>
        <v>0</v>
      </c>
      <c r="AI120" s="57">
        <f t="shared" si="7"/>
        <v>0</v>
      </c>
    </row>
    <row r="121" spans="1:35" s="16" customFormat="1" x14ac:dyDescent="0.25">
      <c r="A121" s="511">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2">
        <f t="shared" si="9"/>
        <v>119</v>
      </c>
      <c r="S121" s="340"/>
      <c r="T121" s="348"/>
      <c r="U121" s="348"/>
      <c r="V121" s="348"/>
      <c r="W121" s="348"/>
      <c r="X121" s="348"/>
      <c r="Y121" s="348"/>
      <c r="Z121" s="357"/>
      <c r="AA121" s="535">
        <f>Imps!CM121</f>
        <v>43769.22916666638</v>
      </c>
      <c r="AB121" s="156">
        <f ca="1">Military!Z121</f>
        <v>5295</v>
      </c>
      <c r="AC121" s="57">
        <f ca="1">Production!H121</f>
        <v>5065117</v>
      </c>
      <c r="AE121" s="63">
        <f t="shared" si="8"/>
        <v>1000</v>
      </c>
      <c r="AF121" s="152">
        <f>ROUND(IF(AE121&gt;=300,1000+3*(AE121-300)^MIN(MAX(1.05/(AE121^0.019),1.09),1.119),1000-3*(300-AE121))*(1+IF(Overview!$B$14="Ants",ant_explore_penalty,0)+MIN(tech_explore_cost*Techs!Z121,tech_explore_cost2*Techs!AB121,tech_enchanted_lands_explore*Techs!AT121)),0)</f>
        <v>4787</v>
      </c>
      <c r="AG121" s="164">
        <f>ROUND(MAX(IF(AE121&gt;=300,5+0.003*(AE121-300)^1.07,5-300/AE121)+MIN(tech_explore_draft1*Techs!AA121,tech_explore_draft2*Techs!AB121),3),0)</f>
        <v>8</v>
      </c>
      <c r="AH121" s="26">
        <f t="shared" si="6"/>
        <v>0</v>
      </c>
      <c r="AI121" s="57">
        <f t="shared" si="7"/>
        <v>0</v>
      </c>
    </row>
    <row r="122" spans="1:35" s="16" customFormat="1" ht="13.8" thickBot="1" x14ac:dyDescent="0.3">
      <c r="A122" s="511">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2">
        <f t="shared" si="9"/>
        <v>120</v>
      </c>
      <c r="S122" s="340"/>
      <c r="T122" s="348"/>
      <c r="U122" s="348"/>
      <c r="V122" s="348"/>
      <c r="W122" s="348"/>
      <c r="X122" s="348"/>
      <c r="Y122" s="348"/>
      <c r="Z122" s="357"/>
      <c r="AA122" s="535">
        <f>Imps!CM122</f>
        <v>43769.239583333045</v>
      </c>
      <c r="AB122" s="156">
        <f ca="1">Military!Z122</f>
        <v>5295</v>
      </c>
      <c r="AC122" s="57">
        <f ca="1">Production!H122</f>
        <v>5070098</v>
      </c>
      <c r="AE122" s="63">
        <f t="shared" si="8"/>
        <v>1000</v>
      </c>
      <c r="AF122" s="152">
        <f>ROUND(IF(AE122&gt;=300,1000+3*(AE122-300)^MIN(MAX(1.05/(AE122^0.019),1.09),1.119),1000-3*(300-AE122))*(1+IF(Overview!$B$14="Ants",ant_explore_penalty,0)+MIN(tech_explore_cost*Techs!Z122,tech_explore_cost2*Techs!AB122,tech_enchanted_lands_explore*Techs!AT122)),0)</f>
        <v>4787</v>
      </c>
      <c r="AG122" s="164">
        <f>ROUND(MAX(IF(AE122&gt;=300,5+0.003*(AE122-300)^1.07,5-300/AE122)+MIN(tech_explore_draft1*Techs!AA122,tech_explore_draft2*Techs!AB122),3),0)</f>
        <v>8</v>
      </c>
      <c r="AH122" s="26">
        <f t="shared" si="6"/>
        <v>0</v>
      </c>
      <c r="AI122" s="57">
        <f t="shared" si="7"/>
        <v>0</v>
      </c>
    </row>
    <row r="123" spans="1:35" s="111" customFormat="1" ht="14.4" thickTop="1" thickBot="1" x14ac:dyDescent="0.3">
      <c r="A123" s="515">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472" t="s">
        <v>314</v>
      </c>
      <c r="M123" s="1475" t="s">
        <v>317</v>
      </c>
      <c r="N123" s="133">
        <f>Military!AB123</f>
        <v>0</v>
      </c>
      <c r="O123" s="136">
        <f ca="1">Population!I123</f>
        <v>1</v>
      </c>
      <c r="P123" s="133">
        <f ca="1">Imps!J123</f>
        <v>1</v>
      </c>
      <c r="Q123" s="116">
        <f t="shared" si="5"/>
        <v>1000</v>
      </c>
      <c r="R123" s="818">
        <f t="shared" si="9"/>
        <v>121</v>
      </c>
      <c r="S123" s="341"/>
      <c r="T123" s="350"/>
      <c r="U123" s="350"/>
      <c r="V123" s="350"/>
      <c r="W123" s="350"/>
      <c r="X123" s="350"/>
      <c r="Y123" s="350"/>
      <c r="Z123" s="359"/>
      <c r="AA123" s="570">
        <f>Imps!CM123</f>
        <v>43769.249999999709</v>
      </c>
      <c r="AB123" s="275">
        <f ca="1">Military!Z123</f>
        <v>5295</v>
      </c>
      <c r="AC123" s="109">
        <f ca="1">Production!H123</f>
        <v>5075079</v>
      </c>
      <c r="AE123" s="116">
        <f t="shared" si="8"/>
        <v>1000</v>
      </c>
      <c r="AF123" s="273">
        <f>ROUND(IF(AE123&gt;=300,1000+3*(AE123-300)^MIN(MAX(1.05/(AE123^0.019),1.09),1.119),1000-3*(300-AE123))*(1+IF(Overview!$B$14="Ants",ant_explore_penalty,0)+MIN(tech_explore_cost*Techs!Z123,tech_explore_cost2*Techs!AB123,tech_enchanted_lands_explore*Techs!AT123)),0)</f>
        <v>4787</v>
      </c>
      <c r="AG123" s="277">
        <f>ROUND(MAX(IF(AE123&gt;=300,5+0.003*(AE123-300)^1.07,5-300/AE123)+MIN(tech_explore_draft1*Techs!AA123,tech_explore_draft2*Techs!AB123),3),0)</f>
        <v>8</v>
      </c>
      <c r="AH123" s="108">
        <f t="shared" si="6"/>
        <v>0</v>
      </c>
      <c r="AI123" s="109">
        <f t="shared" si="7"/>
        <v>0</v>
      </c>
    </row>
    <row r="124" spans="1:35" s="16" customFormat="1" ht="13.8" thickTop="1" x14ac:dyDescent="0.25">
      <c r="A124" s="511">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473"/>
      <c r="M124" s="1476"/>
      <c r="N124" s="91">
        <f>Military!AB124</f>
        <v>0</v>
      </c>
      <c r="O124" s="59">
        <f ca="1">Population!I124</f>
        <v>1</v>
      </c>
      <c r="P124" s="91">
        <f ca="1">Imps!J124</f>
        <v>1</v>
      </c>
      <c r="Q124" s="63">
        <f t="shared" si="5"/>
        <v>1000</v>
      </c>
      <c r="R124" s="632">
        <f t="shared" si="9"/>
        <v>122</v>
      </c>
      <c r="S124" s="340"/>
      <c r="T124" s="348"/>
      <c r="U124" s="348"/>
      <c r="V124" s="348"/>
      <c r="W124" s="348"/>
      <c r="X124" s="348"/>
      <c r="Y124" s="348"/>
      <c r="Z124" s="357"/>
      <c r="AA124" s="535">
        <f>Imps!CM124</f>
        <v>43769.260416666373</v>
      </c>
      <c r="AB124" s="156">
        <f ca="1">Military!Z124</f>
        <v>5295</v>
      </c>
      <c r="AC124" s="57">
        <f ca="1">Production!H124</f>
        <v>5080060</v>
      </c>
      <c r="AE124" s="63">
        <f t="shared" si="8"/>
        <v>1000</v>
      </c>
      <c r="AF124" s="152">
        <f>ROUND(IF(AE124&gt;=300,1000+3*(AE124-300)^MIN(MAX(1.05/(AE124^0.019),1.09),1.119),1000-3*(300-AE124))*(1+IF(Overview!$B$14="Ants",ant_explore_penalty,0)+MIN(tech_explore_cost*Techs!Z124,tech_explore_cost2*Techs!AB124,tech_enchanted_lands_explore*Techs!AT124)),0)</f>
        <v>4787</v>
      </c>
      <c r="AG124" s="164">
        <f>ROUND(MAX(IF(AE124&gt;=300,5+0.003*(AE124-300)^1.07,5-300/AE124)+MIN(tech_explore_draft1*Techs!AA124,tech_explore_draft2*Techs!AB124),3),0)</f>
        <v>8</v>
      </c>
      <c r="AH124" s="26">
        <f t="shared" si="6"/>
        <v>0</v>
      </c>
      <c r="AI124" s="57">
        <f t="shared" si="7"/>
        <v>0</v>
      </c>
    </row>
    <row r="125" spans="1:35" s="16" customFormat="1" x14ac:dyDescent="0.25">
      <c r="A125" s="511">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474"/>
      <c r="M125" s="1477"/>
      <c r="N125" s="91">
        <f>Military!AB125</f>
        <v>0</v>
      </c>
      <c r="O125" s="59">
        <f ca="1">Population!I125</f>
        <v>1</v>
      </c>
      <c r="P125" s="91">
        <f ca="1">Imps!J125</f>
        <v>1</v>
      </c>
      <c r="Q125" s="63">
        <f t="shared" si="5"/>
        <v>1000</v>
      </c>
      <c r="R125" s="632">
        <f t="shared" si="9"/>
        <v>123</v>
      </c>
      <c r="S125" s="340"/>
      <c r="T125" s="348"/>
      <c r="U125" s="348"/>
      <c r="V125" s="348"/>
      <c r="W125" s="348"/>
      <c r="X125" s="348"/>
      <c r="Y125" s="348"/>
      <c r="Z125" s="357"/>
      <c r="AA125" s="535">
        <f>Imps!CM125</f>
        <v>43769.270833333037</v>
      </c>
      <c r="AB125" s="156">
        <f ca="1">Military!Z125</f>
        <v>5295</v>
      </c>
      <c r="AC125" s="57">
        <f ca="1">Production!H125</f>
        <v>5085041</v>
      </c>
      <c r="AE125" s="63">
        <f t="shared" si="8"/>
        <v>1000</v>
      </c>
      <c r="AF125" s="152">
        <f>ROUND(IF(AE125&gt;=300,1000+3*(AE125-300)^MIN(MAX(1.05/(AE125^0.019),1.09),1.119),1000-3*(300-AE125))*(1+IF(Overview!$B$14="Ants",ant_explore_penalty,0)+MIN(tech_explore_cost*Techs!Z125,tech_explore_cost2*Techs!AB125,tech_enchanted_lands_explore*Techs!AT125)),0)</f>
        <v>4787</v>
      </c>
      <c r="AG125" s="164">
        <f>ROUND(MAX(IF(AE125&gt;=300,5+0.003*(AE125-300)^1.07,5-300/AE125)+MIN(tech_explore_draft1*Techs!AA125,tech_explore_draft2*Techs!AB125),3),0)</f>
        <v>8</v>
      </c>
      <c r="AH125" s="26">
        <f t="shared" si="6"/>
        <v>0</v>
      </c>
      <c r="AI125" s="57">
        <f t="shared" si="7"/>
        <v>0</v>
      </c>
    </row>
    <row r="126" spans="1:35" s="16" customFormat="1" x14ac:dyDescent="0.25">
      <c r="A126" s="511">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2">
        <f t="shared" si="9"/>
        <v>124</v>
      </c>
      <c r="S126" s="340"/>
      <c r="T126" s="348"/>
      <c r="U126" s="348"/>
      <c r="V126" s="348"/>
      <c r="W126" s="348"/>
      <c r="X126" s="348"/>
      <c r="Y126" s="348"/>
      <c r="Z126" s="357"/>
      <c r="AA126" s="535">
        <f>Imps!CM126</f>
        <v>43769.281249999702</v>
      </c>
      <c r="AB126" s="156">
        <f ca="1">Military!Z126</f>
        <v>5295</v>
      </c>
      <c r="AC126" s="57">
        <f ca="1">Production!H126</f>
        <v>5090022</v>
      </c>
      <c r="AE126" s="63">
        <f t="shared" si="8"/>
        <v>1000</v>
      </c>
      <c r="AF126" s="152">
        <f>ROUND(IF(AE126&gt;=300,1000+3*(AE126-300)^MIN(MAX(1.05/(AE126^0.019),1.09),1.119),1000-3*(300-AE126))*(1+IF(Overview!$B$14="Ants",ant_explore_penalty,0)+MIN(tech_explore_cost*Techs!Z126,tech_explore_cost2*Techs!AB126,tech_enchanted_lands_explore*Techs!AT126)),0)</f>
        <v>4787</v>
      </c>
      <c r="AG126" s="164">
        <f>ROUND(MAX(IF(AE126&gt;=300,5+0.003*(AE126-300)^1.07,5-300/AE126)+MIN(tech_explore_draft1*Techs!AA126,tech_explore_draft2*Techs!AB126),3),0)</f>
        <v>8</v>
      </c>
      <c r="AH126" s="26">
        <f t="shared" si="6"/>
        <v>0</v>
      </c>
      <c r="AI126" s="57">
        <f t="shared" si="7"/>
        <v>0</v>
      </c>
    </row>
    <row r="127" spans="1:35" s="16" customFormat="1" x14ac:dyDescent="0.25">
      <c r="A127" s="511">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2">
        <f t="shared" si="9"/>
        <v>125</v>
      </c>
      <c r="S127" s="340"/>
      <c r="T127" s="348"/>
      <c r="U127" s="348"/>
      <c r="V127" s="348"/>
      <c r="W127" s="348"/>
      <c r="X127" s="348"/>
      <c r="Y127" s="348"/>
      <c r="Z127" s="357"/>
      <c r="AA127" s="535">
        <f>Imps!CM127</f>
        <v>43769.291666666366</v>
      </c>
      <c r="AB127" s="156">
        <f ca="1">Military!Z127</f>
        <v>5295</v>
      </c>
      <c r="AC127" s="57">
        <f ca="1">Production!H127</f>
        <v>5095003</v>
      </c>
      <c r="AE127" s="63">
        <f t="shared" si="8"/>
        <v>1000</v>
      </c>
      <c r="AF127" s="152">
        <f>ROUND(IF(AE127&gt;=300,1000+3*(AE127-300)^MIN(MAX(1.05/(AE127^0.019),1.09),1.119),1000-3*(300-AE127))*(1+IF(Overview!$B$14="Ants",ant_explore_penalty,0)+MIN(tech_explore_cost*Techs!Z127,tech_explore_cost2*Techs!AB127,tech_enchanted_lands_explore*Techs!AT127)),0)</f>
        <v>4787</v>
      </c>
      <c r="AG127" s="164">
        <f>ROUND(MAX(IF(AE127&gt;=300,5+0.003*(AE127-300)^1.07,5-300/AE127)+MIN(tech_explore_draft1*Techs!AA127,tech_explore_draft2*Techs!AB127),3),0)</f>
        <v>8</v>
      </c>
      <c r="AH127" s="26">
        <f t="shared" si="6"/>
        <v>0</v>
      </c>
      <c r="AI127" s="57">
        <f t="shared" si="7"/>
        <v>0</v>
      </c>
    </row>
    <row r="128" spans="1:35" s="16" customFormat="1" x14ac:dyDescent="0.25">
      <c r="A128" s="511">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2">
        <f t="shared" si="9"/>
        <v>126</v>
      </c>
      <c r="S128" s="340"/>
      <c r="T128" s="348"/>
      <c r="U128" s="348"/>
      <c r="V128" s="348"/>
      <c r="W128" s="348"/>
      <c r="X128" s="348"/>
      <c r="Y128" s="348"/>
      <c r="Z128" s="357"/>
      <c r="AA128" s="535">
        <f>Imps!CM128</f>
        <v>43769.30208333303</v>
      </c>
      <c r="AB128" s="156">
        <f ca="1">Military!Z128</f>
        <v>5295</v>
      </c>
      <c r="AC128" s="57">
        <f ca="1">Production!H128</f>
        <v>5099984</v>
      </c>
      <c r="AE128" s="63">
        <f t="shared" si="8"/>
        <v>1000</v>
      </c>
      <c r="AF128" s="152">
        <f>ROUND(IF(AE128&gt;=300,1000+3*(AE128-300)^MIN(MAX(1.05/(AE128^0.019),1.09),1.119),1000-3*(300-AE128))*(1+IF(Overview!$B$14="Ants",ant_explore_penalty,0)+MIN(tech_explore_cost*Techs!Z128,tech_explore_cost2*Techs!AB128,tech_enchanted_lands_explore*Techs!AT128)),0)</f>
        <v>4787</v>
      </c>
      <c r="AG128" s="164">
        <f>ROUND(MAX(IF(AE128&gt;=300,5+0.003*(AE128-300)^1.07,5-300/AE128)+MIN(tech_explore_draft1*Techs!AA128,tech_explore_draft2*Techs!AB128),3),0)</f>
        <v>8</v>
      </c>
      <c r="AH128" s="26">
        <f t="shared" si="6"/>
        <v>0</v>
      </c>
      <c r="AI128" s="57">
        <f t="shared" si="7"/>
        <v>0</v>
      </c>
    </row>
    <row r="129" spans="1:35" s="16" customFormat="1" x14ac:dyDescent="0.25">
      <c r="A129" s="511">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2">
        <f t="shared" si="9"/>
        <v>127</v>
      </c>
      <c r="S129" s="340"/>
      <c r="T129" s="348"/>
      <c r="U129" s="348"/>
      <c r="V129" s="348"/>
      <c r="W129" s="348"/>
      <c r="X129" s="348"/>
      <c r="Y129" s="348"/>
      <c r="Z129" s="357"/>
      <c r="AA129" s="535">
        <f>Imps!CM129</f>
        <v>43769.312499999694</v>
      </c>
      <c r="AB129" s="156">
        <f ca="1">Military!Z129</f>
        <v>5295</v>
      </c>
      <c r="AC129" s="57">
        <f ca="1">Production!H129</f>
        <v>5104965</v>
      </c>
      <c r="AE129" s="63">
        <f t="shared" si="8"/>
        <v>1000</v>
      </c>
      <c r="AF129" s="152">
        <f>ROUND(IF(AE129&gt;=300,1000+3*(AE129-300)^MIN(MAX(1.05/(AE129^0.019),1.09),1.119),1000-3*(300-AE129))*(1+IF(Overview!$B$14="Ants",ant_explore_penalty,0)+MIN(tech_explore_cost*Techs!Z129,tech_explore_cost2*Techs!AB129,tech_enchanted_lands_explore*Techs!AT129)),0)</f>
        <v>4787</v>
      </c>
      <c r="AG129" s="164">
        <f>ROUND(MAX(IF(AE129&gt;=300,5+0.003*(AE129-300)^1.07,5-300/AE129)+MIN(tech_explore_draft1*Techs!AA129,tech_explore_draft2*Techs!AB129),3),0)</f>
        <v>8</v>
      </c>
      <c r="AH129" s="26">
        <f t="shared" si="6"/>
        <v>0</v>
      </c>
      <c r="AI129" s="57">
        <f t="shared" si="7"/>
        <v>0</v>
      </c>
    </row>
    <row r="130" spans="1:35" s="16" customFormat="1" x14ac:dyDescent="0.25">
      <c r="A130" s="511">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2">
        <f t="shared" si="9"/>
        <v>128</v>
      </c>
      <c r="S130" s="340"/>
      <c r="T130" s="348"/>
      <c r="U130" s="348"/>
      <c r="V130" s="348"/>
      <c r="W130" s="348"/>
      <c r="X130" s="348"/>
      <c r="Y130" s="348"/>
      <c r="Z130" s="357"/>
      <c r="AA130" s="535">
        <f>Imps!CM130</f>
        <v>43769.322916666359</v>
      </c>
      <c r="AB130" s="156">
        <f ca="1">Military!Z130</f>
        <v>5295</v>
      </c>
      <c r="AC130" s="57">
        <f ca="1">Production!H130</f>
        <v>5109946</v>
      </c>
      <c r="AE130" s="63">
        <f t="shared" si="8"/>
        <v>1000</v>
      </c>
      <c r="AF130" s="152">
        <f>ROUND(IF(AE130&gt;=300,1000+3*(AE130-300)^MIN(MAX(1.05/(AE130^0.019),1.09),1.119),1000-3*(300-AE130))*(1+IF(Overview!$B$14="Ants",ant_explore_penalty,0)+MIN(tech_explore_cost*Techs!Z130,tech_explore_cost2*Techs!AB130,tech_enchanted_lands_explore*Techs!AT130)),0)</f>
        <v>4787</v>
      </c>
      <c r="AG130" s="164">
        <f>ROUND(MAX(IF(AE130&gt;=300,5+0.003*(AE130-300)^1.07,5-300/AE130)+MIN(tech_explore_draft1*Techs!AA130,tech_explore_draft2*Techs!AB130),3),0)</f>
        <v>8</v>
      </c>
      <c r="AH130" s="26">
        <f t="shared" si="6"/>
        <v>0</v>
      </c>
      <c r="AI130" s="57">
        <f t="shared" si="7"/>
        <v>0</v>
      </c>
    </row>
    <row r="131" spans="1:35" s="16" customFormat="1" x14ac:dyDescent="0.25">
      <c r="A131" s="511">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2">
        <f t="shared" si="9"/>
        <v>129</v>
      </c>
      <c r="S131" s="340"/>
      <c r="T131" s="348"/>
      <c r="U131" s="348"/>
      <c r="V131" s="348"/>
      <c r="W131" s="348"/>
      <c r="X131" s="348"/>
      <c r="Y131" s="348"/>
      <c r="Z131" s="357"/>
      <c r="AA131" s="535">
        <f>Imps!CM131</f>
        <v>43769.333333333023</v>
      </c>
      <c r="AB131" s="156">
        <f ca="1">Military!Z131</f>
        <v>5295</v>
      </c>
      <c r="AC131" s="57">
        <f ca="1">Production!H131</f>
        <v>5114927</v>
      </c>
      <c r="AE131" s="63">
        <f t="shared" si="8"/>
        <v>1000</v>
      </c>
      <c r="AF131" s="152">
        <f>ROUND(IF(AE131&gt;=300,1000+3*(AE131-300)^MIN(MAX(1.05/(AE131^0.019),1.09),1.119),1000-3*(300-AE131))*(1+IF(Overview!$B$14="Ants",ant_explore_penalty,0)+MIN(tech_explore_cost*Techs!Z131,tech_explore_cost2*Techs!AB131,tech_enchanted_lands_explore*Techs!AT131)),0)</f>
        <v>4787</v>
      </c>
      <c r="AG131" s="164">
        <f>ROUND(MAX(IF(AE131&gt;=300,5+0.003*(AE131-300)^1.07,5-300/AE131)+MIN(tech_explore_draft1*Techs!AA131,tech_explore_draft2*Techs!AB131),3),0)</f>
        <v>8</v>
      </c>
      <c r="AH131" s="26">
        <f>SUM(T131:Z131)*AF131</f>
        <v>0</v>
      </c>
      <c r="AI131" s="57">
        <f>SUM(T131:Z131)*AG131</f>
        <v>0</v>
      </c>
    </row>
    <row r="132" spans="1:35" s="16" customFormat="1" x14ac:dyDescent="0.25">
      <c r="A132" s="511">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2">
        <f t="shared" si="9"/>
        <v>130</v>
      </c>
      <c r="S132" s="340"/>
      <c r="T132" s="348"/>
      <c r="U132" s="348"/>
      <c r="V132" s="348"/>
      <c r="W132" s="348"/>
      <c r="X132" s="348"/>
      <c r="Y132" s="348"/>
      <c r="Z132" s="357"/>
      <c r="AA132" s="535">
        <f>Imps!CM132</f>
        <v>43769.343749999687</v>
      </c>
      <c r="AB132" s="156">
        <f ca="1">Military!Z132</f>
        <v>5295</v>
      </c>
      <c r="AC132" s="57">
        <f ca="1">Production!H132</f>
        <v>5119908</v>
      </c>
      <c r="AE132" s="63">
        <f>B132-S132*20</f>
        <v>1000</v>
      </c>
      <c r="AF132" s="152">
        <f>ROUND(IF(AE132&gt;=300,1000+3*(AE132-300)^MIN(MAX(1.05/(AE132^0.019),1.09),1.119),1000-3*(300-AE132))*(1+IF(Overview!$B$14="Ants",ant_explore_penalty,0)+MIN(tech_explore_cost*Techs!Z132,tech_explore_cost2*Techs!AB132,tech_enchanted_lands_explore*Techs!AT132)),0)</f>
        <v>4787</v>
      </c>
      <c r="AG132" s="164">
        <f>ROUND(MAX(IF(AE132&gt;=300,5+0.003*(AE132-300)^1.07,5-300/AE132)+MIN(tech_explore_draft1*Techs!AA132,tech_explore_draft2*Techs!AB132),3),0)</f>
        <v>8</v>
      </c>
      <c r="AH132" s="26">
        <f>SUM(T132:Z132)*AF132</f>
        <v>0</v>
      </c>
      <c r="AI132" s="57">
        <f>SUM(T132:Z132)*AG132</f>
        <v>0</v>
      </c>
    </row>
    <row r="133" spans="1:35" s="16" customFormat="1" x14ac:dyDescent="0.25">
      <c r="A133" s="511">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2">
        <f t="shared" si="9"/>
        <v>131</v>
      </c>
      <c r="S133" s="340"/>
      <c r="T133" s="348"/>
      <c r="U133" s="348"/>
      <c r="V133" s="348"/>
      <c r="W133" s="348"/>
      <c r="X133" s="348"/>
      <c r="Y133" s="348"/>
      <c r="Z133" s="357"/>
      <c r="AA133" s="535">
        <f>Imps!CM133</f>
        <v>43769.354166666351</v>
      </c>
      <c r="AB133" s="156">
        <f ca="1">Military!Z133</f>
        <v>5295</v>
      </c>
      <c r="AC133" s="57">
        <f ca="1">Production!H133</f>
        <v>5124889</v>
      </c>
      <c r="AE133" s="63">
        <f>B133-S133*20</f>
        <v>1000</v>
      </c>
      <c r="AF133" s="152">
        <f>ROUND(IF(AE133&gt;=300,1000+3*(AE133-300)^MIN(MAX(1.05/(AE133^0.019),1.09),1.119),1000-3*(300-AE133))*(1+IF(Overview!$B$14="Ants",ant_explore_penalty,0)+MIN(tech_explore_cost*Techs!Z133,tech_explore_cost2*Techs!AB133,tech_enchanted_lands_explore*Techs!AT133)),0)</f>
        <v>4787</v>
      </c>
      <c r="AG133" s="164">
        <f>ROUND(MAX(IF(AE133&gt;=300,5+0.003*(AE133-300)^1.07,5-300/AE133)+MIN(tech_explore_draft1*Techs!AA133,tech_explore_draft2*Techs!AB133),3),0)</f>
        <v>8</v>
      </c>
      <c r="AH133" s="26">
        <f>SUM(T133:Z133)*AF133</f>
        <v>0</v>
      </c>
      <c r="AI133" s="57">
        <f>SUM(T133:Z133)*AG133</f>
        <v>0</v>
      </c>
    </row>
    <row r="134" spans="1:35" s="16" customFormat="1" x14ac:dyDescent="0.25">
      <c r="A134" s="511">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2">
        <f t="shared" si="9"/>
        <v>132</v>
      </c>
      <c r="S134" s="340"/>
      <c r="T134" s="348"/>
      <c r="U134" s="348"/>
      <c r="V134" s="348"/>
      <c r="W134" s="348"/>
      <c r="X134" s="348"/>
      <c r="Y134" s="348"/>
      <c r="Z134" s="357"/>
      <c r="AA134" s="535">
        <f>Imps!CM134</f>
        <v>43769.364583333016</v>
      </c>
      <c r="AB134" s="156">
        <f ca="1">Military!Z134</f>
        <v>5295</v>
      </c>
      <c r="AC134" s="57">
        <f ca="1">Production!H134</f>
        <v>5129870</v>
      </c>
      <c r="AE134" s="63">
        <f>B134-S134*20</f>
        <v>1000</v>
      </c>
      <c r="AF134" s="152">
        <f>ROUND(IF(AE134&gt;=300,1000+3*(AE134-300)^MIN(MAX(1.05/(AE134^0.019),1.09),1.119),1000-3*(300-AE134))*(1+IF(Overview!$B$14="Ants",ant_explore_penalty,0)+MIN(tech_explore_cost*Techs!Z134,tech_explore_cost2*Techs!AB134,tech_enchanted_lands_explore*Techs!AT134)),0)</f>
        <v>4787</v>
      </c>
      <c r="AG134" s="164">
        <f>ROUND(MAX(IF(AE134&gt;=300,5+0.003*(AE134-300)^1.07,5-300/AE134)+MIN(tech_explore_draft1*Techs!AA134,tech_explore_draft2*Techs!AB134),3),0)</f>
        <v>8</v>
      </c>
      <c r="AH134" s="26">
        <f>SUM(T134:Z134)*AF134</f>
        <v>0</v>
      </c>
      <c r="AI134" s="57">
        <f>SUM(T134:Z134)*AG134</f>
        <v>0</v>
      </c>
    </row>
    <row r="135" spans="1:35" s="12" customFormat="1" x14ac:dyDescent="0.25">
      <c r="A135" s="513">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18"/>
      <c r="T135" s="349"/>
      <c r="U135" s="349"/>
      <c r="V135" s="349"/>
      <c r="W135" s="349"/>
      <c r="X135" s="349"/>
      <c r="Y135" s="349"/>
      <c r="Z135" s="374"/>
      <c r="AA135" s="568">
        <f>Imps!CM135</f>
        <v>43769.37499999968</v>
      </c>
      <c r="AB135" s="184">
        <f ca="1">Military!Z135</f>
        <v>5295</v>
      </c>
      <c r="AC135" s="55">
        <f ca="1">Production!H135</f>
        <v>5134851</v>
      </c>
      <c r="AE135" s="286">
        <f>B135-S135*20</f>
        <v>1000</v>
      </c>
      <c r="AF135" s="151">
        <f>ROUND(IF(AE135&gt;=300,1000+3*(AE135-300)^MIN(MAX(1.05/(AE135^0.019),1.09),1.119),1000-3*(300-AE135))*(1+IF(Overview!$B$14="Ants",ant_explore_penalty,0)+MIN(tech_explore_cost*Techs!Z135,tech_explore_cost2*Techs!AB135,tech_enchanted_lands_explore*Techs!AT135)),0)</f>
        <v>4787</v>
      </c>
      <c r="AG135" s="153">
        <f>ROUND(MAX(IF(AE135&gt;=300,5+0.003*(AE135-300)^1.07,5-300/AE135)+MIN(tech_explore_draft1*Techs!AA135,tech_explore_draft2*Techs!AB135),3),0)</f>
        <v>8</v>
      </c>
      <c r="AH135" s="13">
        <f>SUM(T135:Z135)*AF135</f>
        <v>0</v>
      </c>
      <c r="AI135" s="55">
        <f>SUM(T135:Z135)*AG135</f>
        <v>0</v>
      </c>
    </row>
    <row r="1268" spans="2:24" x14ac:dyDescent="0.25">
      <c r="B1268" s="1464" t="s">
        <v>330</v>
      </c>
      <c r="C1268" s="1464"/>
      <c r="L1268" s="17"/>
      <c r="M1268" s="17"/>
    </row>
    <row r="1269" spans="2:24" x14ac:dyDescent="0.25">
      <c r="B1269" s="669">
        <f ca="1">Overview!E17</f>
        <v>-42</v>
      </c>
      <c r="C1269" s="669"/>
      <c r="L1269" s="17"/>
      <c r="M1269" s="17"/>
      <c r="X1269" s="35"/>
    </row>
  </sheetData>
  <mergeCells count="12">
    <mergeCell ref="L96:M96"/>
    <mergeCell ref="L123:L125"/>
    <mergeCell ref="M123:M125"/>
    <mergeCell ref="B1268:C1268"/>
    <mergeCell ref="L87:M87"/>
    <mergeCell ref="AB1:AC1"/>
    <mergeCell ref="L51:L53"/>
    <mergeCell ref="M51:M53"/>
    <mergeCell ref="L1:Q1"/>
    <mergeCell ref="L15:M15"/>
    <mergeCell ref="L24:M24"/>
    <mergeCell ref="L19:M19"/>
  </mergeCells>
  <phoneticPr fontId="0" type="noConversion"/>
  <conditionalFormatting sqref="M25:M26 M97:M103 M28:M30">
    <cfRule type="expression" dxfId="206" priority="12" stopIfTrue="1">
      <formula>$M25&lt;$M16</formula>
    </cfRule>
    <cfRule type="expression" dxfId="205" priority="13" stopIfTrue="1">
      <formula>$M16&lt;$M25</formula>
    </cfRule>
  </conditionalFormatting>
  <conditionalFormatting sqref="C1269 D1268:IV1269 A1268:B1269">
    <cfRule type="expression" dxfId="204" priority="14" stopIfTrue="1">
      <formula>$B$1269&gt;144</formula>
    </cfRule>
  </conditionalFormatting>
  <conditionalFormatting sqref="IV64222:IV64923 IV8134:IV8198 IV496:IV1098 T18625:AI29793 AJ18582:IV29750 A1:XFD2 B12458:B20615 B547:C1267 B1270:C1337">
    <cfRule type="expression" dxfId="203" priority="15" stopIfTrue="1">
      <formula>ROW()-2=#REF!</formula>
    </cfRule>
  </conditionalFormatting>
  <conditionalFormatting sqref="L51:L88 L33:M49 L18:M18 L24:L25 L3:L16 M3:M14 AA3:AA18 A3:C18 K3:K18 N3:R18 L123:M135 L99:L103 M88 L105:M121 L90:M94 L96:L97 M16 M51:M86 AD3:IV18 AD32:IV135 N32:R135 K32:K135 A32:C135 AA32:AA135 AD28:IV30 N28:R30 K28:L30 A28:C30 AA28:AA30 AD20:IV26 N20:R26 K20:K26 A20:C26 AA20:AA26 L20:M22">
    <cfRule type="expression" dxfId="202" priority="16" stopIfTrue="1">
      <formula>ROW()-3=$B$1269</formula>
    </cfRule>
  </conditionalFormatting>
  <conditionalFormatting sqref="D3:J18 AB3:AC18 T3:Z18 T32:Z135 AB32:AC135 D32:J135 T28:Z30 AB28:AC30 D28:J30 T20:Z26 AB20:AC26 D20:J26">
    <cfRule type="expression" dxfId="201" priority="17" stopIfTrue="1">
      <formula>OR(ROW()-3=$B$1269,D3&lt;0)</formula>
    </cfRule>
  </conditionalFormatting>
  <conditionalFormatting sqref="S3:S18 S32:S135 S28:S30 S20:S26">
    <cfRule type="expression" dxfId="200" priority="18" stopIfTrue="1">
      <formula>OR(ROW()-3=$B$1269,AND(S3&lt;&gt;1,S3&lt;&gt;""))</formula>
    </cfRule>
  </conditionalFormatting>
  <conditionalFormatting sqref="A1:XFD2">
    <cfRule type="expression" dxfId="199" priority="19" stopIfTrue="1">
      <formula>$B$1269&lt;1</formula>
    </cfRule>
  </conditionalFormatting>
  <conditionalFormatting sqref="AA19 A19:C19 K19:L19 N19:R19 AD19:IV19">
    <cfRule type="expression" dxfId="198" priority="1" stopIfTrue="1">
      <formula>ROW()-3=$B$1269</formula>
    </cfRule>
  </conditionalFormatting>
  <conditionalFormatting sqref="M31">
    <cfRule type="expression" dxfId="197" priority="7" stopIfTrue="1">
      <formula>$M31&lt;$M22</formula>
    </cfRule>
    <cfRule type="expression" dxfId="196" priority="8" stopIfTrue="1">
      <formula>$M22&lt;$M31</formula>
    </cfRule>
  </conditionalFormatting>
  <conditionalFormatting sqref="AA31 A31:C31 K31:L31 N31:R31 AD31:IV31">
    <cfRule type="expression" dxfId="195" priority="9" stopIfTrue="1">
      <formula>ROW()-3=$B$1269</formula>
    </cfRule>
  </conditionalFormatting>
  <conditionalFormatting sqref="D31:J31 AB31:AC31 T31:Z31">
    <cfRule type="expression" dxfId="194" priority="10" stopIfTrue="1">
      <formula>OR(ROW()-3=$B$1269,D31&lt;0)</formula>
    </cfRule>
  </conditionalFormatting>
  <conditionalFormatting sqref="S31">
    <cfRule type="expression" dxfId="193" priority="11" stopIfTrue="1">
      <formula>OR(ROW()-3=$B$1269,AND(S31&lt;&gt;1,S31&lt;&gt;""))</formula>
    </cfRule>
  </conditionalFormatting>
  <conditionalFormatting sqref="AA27 A27:C27 K27:R27 AD27:IV27">
    <cfRule type="expression" dxfId="192" priority="4" stopIfTrue="1">
      <formula>ROW()-3=$B$1269</formula>
    </cfRule>
  </conditionalFormatting>
  <conditionalFormatting sqref="D27:J27 AB27:AC27 T27:Z27">
    <cfRule type="expression" dxfId="191" priority="5" stopIfTrue="1">
      <formula>OR(ROW()-3=$B$1269,D27&lt;0)</formula>
    </cfRule>
  </conditionalFormatting>
  <conditionalFormatting sqref="S27">
    <cfRule type="expression" dxfId="190" priority="6" stopIfTrue="1">
      <formula>OR(ROW()-3=$B$1269,AND(S27&lt;&gt;1,S27&lt;&gt;""))</formula>
    </cfRule>
  </conditionalFormatting>
  <conditionalFormatting sqref="D19:J19 AB19:AC19 T19:Z19">
    <cfRule type="expression" dxfId="189" priority="2" stopIfTrue="1">
      <formula>OR(ROW()-3=$B$1269,D19&lt;0)</formula>
    </cfRule>
  </conditionalFormatting>
  <conditionalFormatting sqref="S19">
    <cfRule type="expression" dxfId="188" priority="3" stopIfTrue="1">
      <formula>OR(ROW()-3=$B$1269,AND(S19&lt;&gt;1,S19&lt;&gt;""))</formula>
    </cfRule>
  </conditionalFormatting>
  <dataValidations count="1">
    <dataValidation type="whole" operator="equal" allowBlank="1" showInputMessage="1" showErrorMessage="1" sqref="S3:S135" xr:uid="{00000000-0002-0000-0400-000000000000}">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Q1269"/>
  <sheetViews>
    <sheetView zoomScale="85" workbookViewId="0">
      <pane ySplit="2" topLeftCell="A3" activePane="bottomLeft" state="frozenSplit"/>
      <selection activeCell="S34" sqref="S34"/>
      <selection pane="bottomLeft" activeCell="A3" sqref="A3"/>
    </sheetView>
  </sheetViews>
  <sheetFormatPr defaultRowHeight="13.2" x14ac:dyDescent="0.25"/>
  <cols>
    <col min="1" max="1" width="5.109375" bestFit="1" customWidth="1"/>
    <col min="2" max="2" width="7" bestFit="1" customWidth="1"/>
    <col min="3" max="3" width="8.6640625" bestFit="1" customWidth="1"/>
    <col min="4" max="4" width="2.109375" bestFit="1" customWidth="1"/>
    <col min="5" max="5" width="10.44140625" bestFit="1" customWidth="1"/>
    <col min="6" max="6" width="12.33203125" bestFit="1" customWidth="1"/>
    <col min="7" max="7" width="10.33203125" bestFit="1" customWidth="1"/>
    <col min="8" max="8" width="12.44140625" bestFit="1" customWidth="1"/>
    <col min="9" max="9" width="10.33203125" bestFit="1" customWidth="1"/>
    <col min="10" max="10" width="13" bestFit="1" customWidth="1"/>
    <col min="11" max="11" width="10.5546875" bestFit="1" customWidth="1"/>
    <col min="12" max="12" width="3.44140625" customWidth="1"/>
    <col min="13" max="13" width="8.6640625" bestFit="1" customWidth="1"/>
    <col min="14" max="14" width="2.109375" bestFit="1" customWidth="1"/>
    <col min="15" max="15" width="6.109375" customWidth="1"/>
    <col min="16" max="16" width="10.6640625" bestFit="1" customWidth="1"/>
    <col min="17" max="17" width="7.5546875" bestFit="1" customWidth="1"/>
    <col min="18" max="18" width="8.88671875" bestFit="1" customWidth="1"/>
    <col min="19" max="19" width="7.109375" customWidth="1"/>
    <col min="20" max="20" width="8.33203125" style="1" customWidth="1"/>
    <col min="21" max="21" width="9" style="1044" customWidth="1"/>
    <col min="22" max="22" width="7.5546875" bestFit="1" customWidth="1"/>
    <col min="23" max="23" width="5.109375" bestFit="1" customWidth="1"/>
    <col min="24" max="24" width="4.88671875" bestFit="1" customWidth="1"/>
    <col min="25" max="25" width="8.44140625" bestFit="1" customWidth="1"/>
    <col min="26" max="26" width="8.109375" bestFit="1" customWidth="1"/>
    <col min="27" max="27" width="3.109375" customWidth="1"/>
    <col min="28" max="28" width="8.33203125" bestFit="1" customWidth="1"/>
    <col min="29" max="29" width="7" bestFit="1" customWidth="1"/>
    <col min="30" max="30" width="4.44140625" customWidth="1"/>
    <col min="31" max="31" width="5.6640625" bestFit="1" customWidth="1"/>
    <col min="32" max="32" width="9.44140625" bestFit="1" customWidth="1"/>
    <col min="33" max="33" width="12.33203125" bestFit="1" customWidth="1"/>
    <col min="34" max="34" width="10.44140625" bestFit="1" customWidth="1"/>
    <col min="35" max="35" width="12.33203125" bestFit="1" customWidth="1"/>
    <col min="36" max="36" width="5.6640625" bestFit="1" customWidth="1"/>
    <col min="37" max="37" width="7.88671875" bestFit="1" customWidth="1"/>
    <col min="38" max="38" width="10.5546875" bestFit="1" customWidth="1"/>
    <col min="39" max="39" width="4.88671875" customWidth="1"/>
    <col min="40" max="40" width="11.33203125" bestFit="1" customWidth="1"/>
    <col min="41" max="45" width="8.44140625" style="16" customWidth="1"/>
    <col min="46" max="46" width="5.88671875" bestFit="1" customWidth="1"/>
    <col min="47" max="47" width="9.33203125" bestFit="1" customWidth="1"/>
    <col min="48" max="48" width="7.6640625" bestFit="1" customWidth="1"/>
    <col min="49" max="52" width="7.6640625" customWidth="1"/>
    <col min="53" max="53" width="5.88671875" bestFit="1" customWidth="1"/>
    <col min="54" max="54" width="5.109375" bestFit="1" customWidth="1"/>
    <col min="55" max="55" width="5.6640625" bestFit="1" customWidth="1"/>
    <col min="56" max="56" width="8.109375" bestFit="1" customWidth="1"/>
    <col min="57" max="57" width="8.5546875" bestFit="1" customWidth="1"/>
    <col min="58" max="58" width="9.44140625" bestFit="1" customWidth="1"/>
    <col min="59" max="59" width="12.33203125" bestFit="1" customWidth="1"/>
    <col min="60" max="60" width="11.88671875" bestFit="1" customWidth="1"/>
    <col min="61" max="61" width="12.33203125" bestFit="1" customWidth="1"/>
    <col min="62" max="62" width="5.6640625" bestFit="1" customWidth="1"/>
    <col min="63" max="63" width="7.88671875" bestFit="1" customWidth="1"/>
    <col min="64" max="64" width="10.5546875" bestFit="1" customWidth="1"/>
    <col min="65" max="65" width="2.109375" bestFit="1" customWidth="1"/>
    <col min="66" max="67" width="6.44140625" bestFit="1" customWidth="1"/>
    <col min="68" max="68" width="7.5546875" bestFit="1" customWidth="1"/>
    <col min="69" max="69" width="7.33203125" bestFit="1" customWidth="1"/>
    <col min="70" max="71" width="7.33203125" customWidth="1"/>
    <col min="72" max="72" width="7.44140625" bestFit="1" customWidth="1"/>
    <col min="73" max="73" width="7.109375" bestFit="1" customWidth="1"/>
    <col min="74" max="76" width="7.109375" customWidth="1"/>
    <col min="77" max="77" width="7.109375" bestFit="1" customWidth="1"/>
    <col min="78" max="78" width="6.88671875" bestFit="1" customWidth="1"/>
    <col min="79" max="83" width="6.88671875" customWidth="1"/>
    <col min="84" max="84" width="7.109375" bestFit="1" customWidth="1"/>
    <col min="85" max="85" width="6.88671875" bestFit="1" customWidth="1"/>
    <col min="86" max="90" width="6.88671875" customWidth="1"/>
    <col min="91" max="91" width="5.6640625" bestFit="1" customWidth="1"/>
    <col min="92" max="92" width="7.6640625" bestFit="1" customWidth="1"/>
    <col min="93" max="93" width="5.6640625" bestFit="1" customWidth="1"/>
    <col min="94" max="94" width="6.109375" style="16" customWidth="1"/>
    <col min="95" max="95" width="7.44140625" bestFit="1" customWidth="1"/>
    <col min="96" max="96" width="6.44140625" bestFit="1" customWidth="1"/>
    <col min="97" max="99" width="6.44140625" customWidth="1"/>
    <col min="100" max="100" width="6.5546875" bestFit="1" customWidth="1"/>
    <col min="101" max="101" width="4.6640625" bestFit="1" customWidth="1"/>
    <col min="102" max="102" width="7" bestFit="1" customWidth="1"/>
    <col min="103" max="103" width="6" bestFit="1" customWidth="1"/>
    <col min="104" max="104" width="5.88671875" bestFit="1" customWidth="1"/>
    <col min="105" max="105" width="5.88671875" customWidth="1"/>
    <col min="106" max="106" width="9.44140625" bestFit="1" customWidth="1"/>
    <col min="107" max="107" width="4.6640625" bestFit="1" customWidth="1"/>
    <col min="108" max="108" width="6.33203125" customWidth="1"/>
    <col min="109" max="109" width="6.88671875" bestFit="1" customWidth="1"/>
    <col min="110" max="110" width="9.33203125" bestFit="1" customWidth="1"/>
    <col min="111" max="111" width="10.44140625" bestFit="1" customWidth="1"/>
    <col min="112" max="124" width="4.6640625" customWidth="1"/>
    <col min="125" max="125" width="8.5546875" bestFit="1" customWidth="1"/>
    <col min="126" max="126" width="10.109375" bestFit="1" customWidth="1"/>
    <col min="128" max="128" width="6.5546875" bestFit="1" customWidth="1"/>
    <col min="129" max="129" width="5.33203125" bestFit="1" customWidth="1"/>
    <col min="130" max="130" width="8.5546875" bestFit="1" customWidth="1"/>
    <col min="131" max="131" width="6" bestFit="1" customWidth="1"/>
    <col min="132" max="132" width="6.6640625" bestFit="1" customWidth="1"/>
    <col min="133" max="133" width="9.33203125" bestFit="1" customWidth="1"/>
    <col min="134" max="134" width="7" bestFit="1" customWidth="1"/>
    <col min="135" max="135" width="6" bestFit="1" customWidth="1"/>
    <col min="136" max="136" width="7.5546875" bestFit="1" customWidth="1"/>
    <col min="137" max="137" width="10.44140625" bestFit="1" customWidth="1"/>
    <col min="138" max="138" width="12.33203125" bestFit="1" customWidth="1"/>
    <col min="139" max="141" width="7.5546875" customWidth="1"/>
    <col min="143" max="143" width="8.6640625" bestFit="1" customWidth="1"/>
  </cols>
  <sheetData>
    <row r="1" spans="1:147" s="34" customFormat="1" x14ac:dyDescent="0.25">
      <c r="E1" s="34" t="s">
        <v>22</v>
      </c>
      <c r="O1" s="1465" t="s">
        <v>31</v>
      </c>
      <c r="P1" s="1465"/>
      <c r="Q1" s="1465"/>
      <c r="R1" s="1483" t="s">
        <v>549</v>
      </c>
      <c r="S1" s="1465"/>
      <c r="T1" s="1046"/>
      <c r="U1" s="1465" t="s">
        <v>550</v>
      </c>
      <c r="V1" s="1465"/>
      <c r="W1" s="314"/>
      <c r="X1" s="1465" t="s">
        <v>24</v>
      </c>
      <c r="Y1" s="1465"/>
      <c r="Z1" s="1465"/>
      <c r="AA1" s="445"/>
      <c r="AF1" s="34" t="s">
        <v>193</v>
      </c>
      <c r="AN1" s="34" t="s">
        <v>80</v>
      </c>
      <c r="AO1" s="495"/>
      <c r="AP1" s="495"/>
      <c r="AQ1" s="495"/>
      <c r="AR1" s="495"/>
      <c r="AS1" s="495"/>
      <c r="AU1" s="34" t="s">
        <v>33</v>
      </c>
      <c r="BE1" s="34" t="s">
        <v>198</v>
      </c>
      <c r="BP1" s="1465" t="s">
        <v>566</v>
      </c>
      <c r="BQ1" s="1465"/>
      <c r="BR1" s="1465"/>
      <c r="BS1" s="1465"/>
      <c r="BT1" s="1465"/>
      <c r="BU1" s="1465"/>
      <c r="BV1" s="1465"/>
      <c r="BW1" s="1465"/>
      <c r="BX1" s="1465"/>
      <c r="BY1" s="1465"/>
      <c r="BZ1" s="1465"/>
      <c r="CA1" s="1465"/>
      <c r="CB1" s="1465"/>
      <c r="CC1" s="1465"/>
      <c r="CD1" s="1465"/>
      <c r="CE1" s="1465"/>
      <c r="CF1" s="1465"/>
      <c r="CG1" s="1465"/>
      <c r="CH1" s="1465"/>
      <c r="CI1" s="1465"/>
      <c r="CJ1" s="1465"/>
      <c r="CK1" s="1465"/>
      <c r="CL1" s="1465"/>
      <c r="CM1" s="1466"/>
      <c r="CN1" s="1466"/>
      <c r="CO1" s="1466"/>
      <c r="CP1" s="495"/>
      <c r="CQ1" s="1468" t="s">
        <v>311</v>
      </c>
      <c r="CR1" s="1415"/>
      <c r="CS1" s="1415"/>
      <c r="CT1" s="1415"/>
      <c r="CU1" s="1415"/>
      <c r="CV1" s="1415"/>
      <c r="CW1" s="445"/>
      <c r="CX1" s="445"/>
      <c r="CY1" s="49"/>
      <c r="CZ1" s="1341"/>
      <c r="DA1" s="1341"/>
      <c r="DB1" s="49"/>
      <c r="DC1" s="445"/>
      <c r="DD1" s="445"/>
      <c r="DE1" s="445"/>
      <c r="DF1" s="445"/>
      <c r="DG1" s="445"/>
      <c r="DH1" s="445"/>
      <c r="DI1" s="1340"/>
      <c r="DJ1" s="445"/>
      <c r="DK1" s="1340"/>
      <c r="DL1" s="445"/>
      <c r="DM1" s="445"/>
      <c r="DN1" s="445"/>
      <c r="DO1" s="445"/>
      <c r="DP1" s="445"/>
      <c r="DQ1" s="445"/>
      <c r="DR1" s="445"/>
      <c r="DS1" s="445"/>
      <c r="DT1" s="445"/>
      <c r="DX1" s="1465" t="s">
        <v>326</v>
      </c>
      <c r="DY1" s="1465"/>
      <c r="DZ1" s="1465"/>
      <c r="EA1" s="1466"/>
      <c r="EB1" s="1466"/>
      <c r="EC1" s="1466"/>
      <c r="ED1" s="1466"/>
      <c r="EE1" s="1466"/>
      <c r="EF1" s="1466"/>
      <c r="EG1" s="320"/>
      <c r="EH1" s="320"/>
      <c r="EI1" s="320"/>
      <c r="EJ1" s="320"/>
      <c r="EK1" s="320"/>
      <c r="EL1" s="320"/>
      <c r="EN1" s="1345"/>
      <c r="EO1" s="1465" t="s">
        <v>267</v>
      </c>
      <c r="EP1" s="1465"/>
      <c r="EQ1" s="34" t="s">
        <v>265</v>
      </c>
    </row>
    <row r="2" spans="1:147" s="820" customFormat="1" ht="13.8" thickBot="1" x14ac:dyDescent="0.3">
      <c r="A2" s="820" t="s">
        <v>760</v>
      </c>
      <c r="B2" s="820" t="s">
        <v>22</v>
      </c>
      <c r="C2" s="820" t="s">
        <v>200</v>
      </c>
      <c r="E2" s="820" t="str">
        <f>Overview!$A$22</f>
        <v>Spearman</v>
      </c>
      <c r="F2" s="820" t="str">
        <f ca="1">Overview!$A$23</f>
        <v>Archer</v>
      </c>
      <c r="G2" s="820" t="str">
        <f ca="1">Overview!$A$24</f>
        <v>Knight</v>
      </c>
      <c r="H2" s="820" t="str">
        <f ca="1">Overview!$A$25</f>
        <v>Cavalry</v>
      </c>
      <c r="I2" s="820" t="s">
        <v>25</v>
      </c>
      <c r="J2" s="820" t="s">
        <v>26</v>
      </c>
      <c r="K2" s="820" t="s">
        <v>27</v>
      </c>
      <c r="M2" s="820" t="s">
        <v>242</v>
      </c>
      <c r="O2" s="1093" t="s">
        <v>201</v>
      </c>
      <c r="P2" s="820" t="s">
        <v>312</v>
      </c>
      <c r="Q2" s="820" t="s">
        <v>238</v>
      </c>
      <c r="R2" s="1040" t="s">
        <v>551</v>
      </c>
      <c r="S2" s="820" t="s">
        <v>548</v>
      </c>
      <c r="T2" s="820" t="s">
        <v>312</v>
      </c>
      <c r="U2" s="1094" t="s">
        <v>551</v>
      </c>
      <c r="V2" s="1095" t="s">
        <v>548</v>
      </c>
      <c r="W2" s="820" t="s">
        <v>1</v>
      </c>
      <c r="X2" s="820" t="s">
        <v>192</v>
      </c>
      <c r="Y2" s="820" t="s">
        <v>191</v>
      </c>
      <c r="Z2" s="820" t="s">
        <v>24</v>
      </c>
      <c r="AB2" s="820" t="s">
        <v>196</v>
      </c>
      <c r="AC2" s="1346" t="s">
        <v>764</v>
      </c>
      <c r="AD2" s="1346" t="s">
        <v>760</v>
      </c>
      <c r="AE2" s="820" t="s">
        <v>325</v>
      </c>
      <c r="AF2" s="820" t="str">
        <f>Overview!$A$22</f>
        <v>Spearman</v>
      </c>
      <c r="AG2" s="820" t="str">
        <f ca="1">Overview!$A$23</f>
        <v>Archer</v>
      </c>
      <c r="AH2" s="820" t="str">
        <f ca="1">Overview!$A$24</f>
        <v>Knight</v>
      </c>
      <c r="AI2" s="820" t="str">
        <f ca="1">Overview!$A$25</f>
        <v>Cavalry</v>
      </c>
      <c r="AJ2" s="820" t="s">
        <v>25</v>
      </c>
      <c r="AK2" s="820" t="s">
        <v>26</v>
      </c>
      <c r="AL2" s="820" t="s">
        <v>27</v>
      </c>
      <c r="AN2" s="820" t="s">
        <v>2</v>
      </c>
      <c r="AO2" s="1268" t="s">
        <v>3</v>
      </c>
      <c r="AP2" s="1181" t="s">
        <v>7</v>
      </c>
      <c r="AQ2" s="1181" t="s">
        <v>4</v>
      </c>
      <c r="AR2" s="1181" t="s">
        <v>12</v>
      </c>
      <c r="AS2" s="1181" t="s">
        <v>5</v>
      </c>
      <c r="AT2" s="1181" t="s">
        <v>85</v>
      </c>
      <c r="AU2" s="820" t="s">
        <v>2</v>
      </c>
      <c r="AV2" s="820" t="s">
        <v>3</v>
      </c>
      <c r="AW2" s="1181" t="s">
        <v>7</v>
      </c>
      <c r="AX2" s="1181" t="s">
        <v>4</v>
      </c>
      <c r="AY2" s="1181" t="s">
        <v>12</v>
      </c>
      <c r="AZ2" s="1181" t="s">
        <v>5</v>
      </c>
      <c r="BA2" s="1181" t="s">
        <v>85</v>
      </c>
      <c r="BB2" s="820" t="s">
        <v>0</v>
      </c>
      <c r="BC2" s="820" t="s">
        <v>325</v>
      </c>
      <c r="BD2" s="820" t="s">
        <v>24</v>
      </c>
      <c r="BE2" s="820" t="s">
        <v>24</v>
      </c>
      <c r="BF2" s="820" t="str">
        <f>Overview!$A$22</f>
        <v>Spearman</v>
      </c>
      <c r="BG2" s="820" t="str">
        <f ca="1">Overview!$A$23</f>
        <v>Archer</v>
      </c>
      <c r="BH2" s="820" t="str">
        <f ca="1">Overview!$A$24</f>
        <v>Knight</v>
      </c>
      <c r="BI2" s="820" t="str">
        <f ca="1">Overview!$A$25</f>
        <v>Cavalry</v>
      </c>
      <c r="BJ2" s="820" t="s">
        <v>25</v>
      </c>
      <c r="BK2" s="820" t="s">
        <v>26</v>
      </c>
      <c r="BL2" s="820" t="s">
        <v>27</v>
      </c>
      <c r="BN2" s="820" t="s">
        <v>244</v>
      </c>
      <c r="BO2" s="820" t="s">
        <v>368</v>
      </c>
      <c r="BP2" s="1181" t="s">
        <v>690</v>
      </c>
      <c r="BQ2" s="1181" t="s">
        <v>691</v>
      </c>
      <c r="BR2" s="1181" t="s">
        <v>709</v>
      </c>
      <c r="BS2" s="1181" t="s">
        <v>710</v>
      </c>
      <c r="BT2" s="1181" t="s">
        <v>692</v>
      </c>
      <c r="BU2" s="1181" t="s">
        <v>693</v>
      </c>
      <c r="BV2" s="1181" t="s">
        <v>695</v>
      </c>
      <c r="BW2" s="1181" t="s">
        <v>696</v>
      </c>
      <c r="BX2" s="1181" t="s">
        <v>697</v>
      </c>
      <c r="BY2" s="820" t="s">
        <v>567</v>
      </c>
      <c r="BZ2" s="820" t="s">
        <v>568</v>
      </c>
      <c r="CA2" s="1181" t="s">
        <v>699</v>
      </c>
      <c r="CB2" s="1181" t="s">
        <v>700</v>
      </c>
      <c r="CC2" s="1181" t="s">
        <v>701</v>
      </c>
      <c r="CD2" s="1181" t="s">
        <v>702</v>
      </c>
      <c r="CE2" s="1181" t="s">
        <v>703</v>
      </c>
      <c r="CF2" s="820" t="s">
        <v>569</v>
      </c>
      <c r="CG2" s="820" t="s">
        <v>570</v>
      </c>
      <c r="CH2" s="1181" t="s">
        <v>704</v>
      </c>
      <c r="CI2" s="1181" t="s">
        <v>705</v>
      </c>
      <c r="CJ2" s="1181" t="s">
        <v>706</v>
      </c>
      <c r="CK2" s="1181" t="s">
        <v>707</v>
      </c>
      <c r="CL2" s="1181" t="s">
        <v>708</v>
      </c>
      <c r="CM2" s="820" t="s">
        <v>25</v>
      </c>
      <c r="CN2" s="820" t="s">
        <v>243</v>
      </c>
      <c r="CO2" s="820" t="s">
        <v>571</v>
      </c>
      <c r="CQ2" s="820" t="str">
        <f>Construction!DF2</f>
        <v>Plain</v>
      </c>
      <c r="CR2" s="820" t="s">
        <v>310</v>
      </c>
      <c r="CS2" s="1181" t="s">
        <v>686</v>
      </c>
      <c r="CT2" s="1181" t="s">
        <v>687</v>
      </c>
      <c r="CU2" s="1181" t="s">
        <v>688</v>
      </c>
      <c r="CV2" s="820" t="s">
        <v>130</v>
      </c>
      <c r="CW2" s="1482" t="s">
        <v>131</v>
      </c>
      <c r="CX2" s="1482"/>
      <c r="CY2" s="820" t="s">
        <v>146</v>
      </c>
      <c r="CZ2" s="1346" t="s">
        <v>746</v>
      </c>
      <c r="DA2" s="1346" t="s">
        <v>750</v>
      </c>
      <c r="DB2" s="820" t="s">
        <v>138</v>
      </c>
      <c r="DC2" s="1482" t="s">
        <v>154</v>
      </c>
      <c r="DD2" s="1482"/>
      <c r="DE2" s="820" t="s">
        <v>342</v>
      </c>
      <c r="DF2" s="820" t="s">
        <v>343</v>
      </c>
      <c r="DG2" s="820" t="s">
        <v>347</v>
      </c>
      <c r="DH2" s="1181" t="s">
        <v>679</v>
      </c>
      <c r="DI2" s="1346" t="s">
        <v>618</v>
      </c>
      <c r="DJ2" s="820" t="s">
        <v>150</v>
      </c>
      <c r="DK2" s="1346" t="s">
        <v>747</v>
      </c>
      <c r="DL2" s="820" t="s">
        <v>574</v>
      </c>
      <c r="DM2" s="1181" t="s">
        <v>598</v>
      </c>
      <c r="DN2" s="1181" t="s">
        <v>680</v>
      </c>
      <c r="DO2" s="1181" t="s">
        <v>681</v>
      </c>
      <c r="DP2" s="1181" t="s">
        <v>689</v>
      </c>
      <c r="DQ2" s="1181" t="s">
        <v>682</v>
      </c>
      <c r="DR2" s="1181" t="s">
        <v>683</v>
      </c>
      <c r="DS2" s="1181" t="s">
        <v>684</v>
      </c>
      <c r="DT2" s="1181" t="s">
        <v>685</v>
      </c>
      <c r="DX2" s="820" t="s">
        <v>130</v>
      </c>
      <c r="DY2" s="820" t="s">
        <v>131</v>
      </c>
      <c r="DZ2" s="820" t="s">
        <v>95</v>
      </c>
      <c r="EA2" s="820" t="s">
        <v>146</v>
      </c>
      <c r="EB2" s="820" t="s">
        <v>99</v>
      </c>
      <c r="EC2" s="820" t="s">
        <v>138</v>
      </c>
      <c r="ED2" s="820" t="s">
        <v>97</v>
      </c>
      <c r="EE2" s="820" t="s">
        <v>154</v>
      </c>
      <c r="EF2" s="820" t="s">
        <v>102</v>
      </c>
      <c r="EG2" s="820" t="s">
        <v>347</v>
      </c>
      <c r="EH2" s="820" t="s">
        <v>348</v>
      </c>
      <c r="EI2" s="820" t="s">
        <v>344</v>
      </c>
      <c r="EM2" s="820" t="s">
        <v>242</v>
      </c>
      <c r="EN2" s="1346"/>
      <c r="EO2" s="820" t="s">
        <v>201</v>
      </c>
      <c r="EP2" s="820" t="s">
        <v>238</v>
      </c>
      <c r="EQ2" s="1346" t="s">
        <v>201</v>
      </c>
    </row>
    <row r="3" spans="1:147" s="1006" customFormat="1" x14ac:dyDescent="0.25">
      <c r="A3" s="1062">
        <f>Rezone!J3</f>
        <v>1</v>
      </c>
      <c r="B3" s="1063">
        <f ca="1">SUM(E3:L3)+SUM($AF$3:AI3)+Z3</f>
        <v>4725</v>
      </c>
      <c r="C3" s="1064">
        <f ca="1">Population!G3</f>
        <v>0.3</v>
      </c>
      <c r="D3" s="1037"/>
      <c r="E3" s="536">
        <f>start_op_specs - BF3</f>
        <v>0</v>
      </c>
      <c r="F3" s="1006">
        <f>start_dp_specs - BG3+days_late*days_late_def_specs</f>
        <v>0</v>
      </c>
      <c r="G3" s="1006">
        <f>start_elite1s - BH3</f>
        <v>0</v>
      </c>
      <c r="H3" s="1006">
        <f>start_elite2s - BI3</f>
        <v>0</v>
      </c>
      <c r="I3" s="1074">
        <f>start_spies - BJ3</f>
        <v>0</v>
      </c>
      <c r="J3" s="1074">
        <f>start_wizards  - AL3 - BK3</f>
        <v>0</v>
      </c>
      <c r="K3" s="1065">
        <f>start_ams  - BL3</f>
        <v>0</v>
      </c>
      <c r="L3" s="1037"/>
      <c r="M3" s="1066">
        <f ca="1">Production!G3</f>
        <v>20900</v>
      </c>
      <c r="N3" s="1037"/>
      <c r="O3" s="1045">
        <f t="shared" ref="O3:O34" ca="1" si="0">E3*(spec_op+spirit*DR3)+G3*(elite1_op+dark_elf*DC3+beast*DN3+sacred*DP3+spirit*DS3+halfer*CZ3+norse*DI3)+H3*(elite2_op+icekin*DH3+woodie*CW3+ants*DM3+beast*DO3+sacred*DQ3+undead*DT3+lizzie*DA3)+kobold*DF3</f>
        <v>0</v>
      </c>
      <c r="P3" s="1067">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68">
        <f ca="1">O3*(1+P3)</f>
        <v>0</v>
      </c>
      <c r="R3" s="1045">
        <f ca="1">F3*(spec_dp+spirit*DR3)+G3*(elite1_dp+woodie*CV3+sylvan*CY3+gnome*DB3+dark_elf*DD3+icekin*DG3+orc*DJ3+nox*DL3+beast*DN3+sacred*DP3+spirit*DS3+blackorc*DK3)+H3*(elite2_dp+woodie*CX3+beast*DO3+sacred*DQ3) + fh_peas_dp*MIN(Population!C3,20*Construction!BD3)+kobold*DE3</f>
        <v>0</v>
      </c>
      <c r="S3" s="1068">
        <f t="shared" ref="S3:S34" ca="1" si="1">R3+Z3*IF(race="Ants",0.1,IF(race="Growth",0.01,1))</f>
        <v>4725</v>
      </c>
      <c r="T3" s="1069">
        <f ca="1">race_defense+Imps!AC3+ROUND(MIN(gt_bonus*Construction!BH3/Construction!$E3,gt_bonus_cap),4)+MAX(IF(Magic!AM3&gt;0,frenzy_bonus,IF(Magic!AQ3&gt;0,blizzard_bonus,IF(Magic!AP3&gt;0,howling_dp_bonus,IF(Magic!AI3&gt;0,ares_call_bonus)))),IF(Magic!AX3&gt;0,MIN(Construction!DF3/Construction!E3,0.2),0))</f>
        <v>0</v>
      </c>
      <c r="U3" s="1070">
        <f ca="1">R3 * (1 + T3)</f>
        <v>0</v>
      </c>
      <c r="V3" s="1071">
        <f ca="1">S3 * (1 + T3)</f>
        <v>4725</v>
      </c>
      <c r="W3" s="1071">
        <f>Construction!E3</f>
        <v>1000</v>
      </c>
      <c r="X3" s="1072"/>
      <c r="Y3" s="1073">
        <f>IF(Overview!$B$14="Growth",1,IF(X3&lt;&gt;"",X3,0.4))</f>
        <v>0.4</v>
      </c>
      <c r="Z3" s="236">
        <f ca="1">start_draftees - IF(race="Lux",AF3,SUM(AF3:AK3)) - BE3 + SUM(BF3:BL3) - Explore!AI3+MIN(13,days_late)*days_late_draftees</f>
        <v>4725</v>
      </c>
      <c r="AA3" s="1074"/>
      <c r="AB3" s="826">
        <f>(Construction!$BA3+Construction!BY3)/(Construction!$E3-Explore!S3*20)</f>
        <v>0</v>
      </c>
      <c r="AC3" s="1514">
        <f ca="1">Imps!AE3</f>
        <v>0</v>
      </c>
      <c r="AD3" s="1061">
        <f>Rezone!J3</f>
        <v>1</v>
      </c>
      <c r="AE3" s="1075">
        <f>Explore!AA3</f>
        <v>43768</v>
      </c>
      <c r="AF3" s="1076"/>
      <c r="AG3" s="1077"/>
      <c r="AH3" s="1077"/>
      <c r="AI3" s="1077"/>
      <c r="AJ3" s="1077"/>
      <c r="AK3" s="1077"/>
      <c r="AL3" s="1078"/>
      <c r="AM3" s="1060"/>
      <c r="AN3" s="1063">
        <f ca="1">Production!$H3</f>
        <v>4350000</v>
      </c>
      <c r="AO3" s="683">
        <f ca="1">Production!$L3</f>
        <v>300000</v>
      </c>
      <c r="AP3" s="1074">
        <f ca="1">Production!J3</f>
        <v>355000</v>
      </c>
      <c r="AQ3" s="1074">
        <f ca="1">Production!M3</f>
        <v>20000</v>
      </c>
      <c r="AR3" s="1074">
        <f ca="1">Production!K3</f>
        <v>20000</v>
      </c>
      <c r="AS3" s="1074">
        <f ca="1">Production!I3</f>
        <v>50000</v>
      </c>
      <c r="AT3" s="1074">
        <f ca="1">Production!N3</f>
        <v>200</v>
      </c>
      <c r="AU3" s="1063">
        <f t="shared" ref="AU3:AU34" ca="1" si="2">$AF3*BP3+$AG3*BT3+$AH3*BY3+$AI3*CF3+AJ3*CM3+AK3*CN3+AL3*CO3</f>
        <v>0</v>
      </c>
      <c r="AV3" s="683">
        <f t="shared" ref="AV3:AV34" ca="1" si="3">$AF3*BQ3+$AG3*BU3+$AH3*BZ3+$AI3*CG3</f>
        <v>0</v>
      </c>
      <c r="AW3" s="683">
        <f ca="1">$AH3*CA3+$AI3*CH3</f>
        <v>0</v>
      </c>
      <c r="AX3" s="683">
        <f ca="1">$AG3*BW3+$AH3*CB3+$AI3*CI3</f>
        <v>0</v>
      </c>
      <c r="AY3" s="683">
        <f ca="1">$AF3*BR3+$AG3*BV3+$AH3*CC3+$AI3*CJ3</f>
        <v>0</v>
      </c>
      <c r="AZ3" s="683">
        <f ca="1">$AF3*BS3+$AG3*BX3+$AH3*CD3+$AI3*CK3</f>
        <v>0</v>
      </c>
      <c r="BA3" s="684">
        <f ca="1">$AH3*CE3+$AI3*CL3</f>
        <v>0</v>
      </c>
      <c r="BB3" s="1006">
        <v>1</v>
      </c>
      <c r="BC3" s="792">
        <f t="shared" ref="BC3:BC14" si="4">AE3</f>
        <v>43768</v>
      </c>
      <c r="BD3" s="1079">
        <f t="shared" ref="BD3:BD14" ca="1" si="5">$Z3</f>
        <v>4725</v>
      </c>
      <c r="BE3" s="1080"/>
      <c r="BF3" s="1077"/>
      <c r="BG3" s="1077"/>
      <c r="BH3" s="1077"/>
      <c r="BI3" s="1077"/>
      <c r="BJ3" s="1081"/>
      <c r="BK3" s="1081"/>
      <c r="BL3" s="1078"/>
      <c r="BN3" s="1082">
        <f>Construction!BM3/Construction!E3</f>
        <v>0</v>
      </c>
      <c r="BO3" s="1064">
        <f>Construction!BD3/Construction!E3</f>
        <v>0</v>
      </c>
      <c r="BP3" s="1063">
        <f ca="1">ROUNDUP((1-MIN(AB3*smithy_bonus,smithy_bonus_cap)-AC3)*(1+Techs!AO3*tech_master_of_frugality)*spec_op_plat,0)</f>
        <v>275</v>
      </c>
      <c r="BQ3" s="1074">
        <f ca="1">ROUNDUP(IF(OR(race="Gnome",race="Imperial Gnome"),1-AC3,(1-MIN(AB3*smithy_bonus,smithy_bonus_cap)-AC3)*(1+Techs!AO3*tech_master_of_frugality))*spec_op_ore,0)</f>
        <v>25</v>
      </c>
      <c r="BR3" s="1074">
        <f t="shared" ref="BR3:BR66" si="6">spec1_mana</f>
        <v>0</v>
      </c>
      <c r="BS3" s="1074">
        <f t="shared" ref="BS3:BS66" si="7">spec1_food</f>
        <v>0</v>
      </c>
      <c r="BT3" s="1074">
        <f ca="1">ROUNDUP((1-MIN(AB3*smithy_bonus,smithy_bonus_cap)-AC3)*(1+Techs!AO3*tech_master_of_frugality)*spec_dp_plat,0)</f>
        <v>275</v>
      </c>
      <c r="BU3" s="1074">
        <f ca="1">ROUNDUP(IF(OR(race="Gnome",race="Imperial Gnome"),1-AC3,(1-MIN(AB3*smithy_bonus,smithy_bonus_cap)-AC3)*(1+Techs!AO3*tech_master_of_frugality))*spec_dp_ore,0)</f>
        <v>10</v>
      </c>
      <c r="BV3" s="1074">
        <f t="shared" ref="BV3:BV66" ca="1" si="8">spec2_mana</f>
        <v>0</v>
      </c>
      <c r="BW3" s="1074">
        <f t="shared" ref="BW3:BW66" ca="1" si="9">spec2_gems</f>
        <v>0</v>
      </c>
      <c r="BX3" s="1074">
        <f t="shared" ref="BX3:BX66" ca="1" si="10">spec2_food</f>
        <v>0</v>
      </c>
      <c r="BY3" s="1074">
        <f ca="1">ROUNDUP((1-MIN(AB3*smithy_bonus,smithy_bonus_cap)-AC3)*(1+Techs!AO3*tech_master_of_frugality)*elite1_plat,0)</f>
        <v>1000</v>
      </c>
      <c r="BZ3" s="1074">
        <f ca="1">ROUNDUP(IF(OR(race="Gnome",race="Imperial Gnome"),1-AC3,(1-MIN(AB3*smithy_bonus,smithy_bonus_cap)-AC3)*(1+Techs!AO3*tech_master_of_frugality))*elite1_ore,0)</f>
        <v>75</v>
      </c>
      <c r="CA3" s="1074">
        <f t="shared" ref="CA3:CA34" ca="1" si="11">ROUNDUP((1-MIN(AB3*smithy_bonus,smithy_bonus_cap))*elite1_lumber,0)</f>
        <v>0</v>
      </c>
      <c r="CB3" s="1074">
        <f t="shared" ref="CB3:CB66" ca="1" si="12">elite1_gems</f>
        <v>0</v>
      </c>
      <c r="CC3" s="1074">
        <f t="shared" ref="CC3:CC66" ca="1" si="13">elite1_mana</f>
        <v>0</v>
      </c>
      <c r="CD3" s="1074">
        <f t="shared" ref="CD3:CD66" ca="1" si="14">elite1_food</f>
        <v>0</v>
      </c>
      <c r="CE3" s="1074">
        <f t="shared" ref="CE3:CE66" ca="1" si="15">elite1_boats</f>
        <v>0</v>
      </c>
      <c r="CF3" s="1074">
        <f ca="1">ROUNDUP((1-MIN(AB3*smithy_bonus,smithy_bonus_cap)-AC3)*(1+Techs!AO3*tech_master_of_frugality)*elite2_plat,0)</f>
        <v>1250</v>
      </c>
      <c r="CG3" s="1074">
        <f ca="1">ROUNDUP(IF(OR(race="Gnome",race="Imperial Gnome"),1-AC3,(1-MIN(AB3*smithy_bonus,smithy_bonus_cap)-AC3)*(1+Techs!AO3*tech_master_of_frugality))*elite2_ore,0)</f>
        <v>100</v>
      </c>
      <c r="CH3" s="1074">
        <f t="shared" ref="CH3:CH34" ca="1" si="16">ROUNDUP((1-MIN(AB3*smithy_bonus,smithy_bonus_cap))*elite2_lumber,0)</f>
        <v>0</v>
      </c>
      <c r="CI3" s="1074">
        <f t="shared" ref="CI3:CI66" ca="1" si="17">elite2_gems</f>
        <v>0</v>
      </c>
      <c r="CJ3" s="1074">
        <f t="shared" ref="CJ3:CJ66" ca="1" si="18">elite2_mana</f>
        <v>0</v>
      </c>
      <c r="CK3" s="1074">
        <f t="shared" ref="CK3:CK66" ca="1" si="19">elite2_food</f>
        <v>0</v>
      </c>
      <c r="CL3" s="1074">
        <f t="shared" ref="CL3:CL66" ca="1" si="20">elite2_boats</f>
        <v>0</v>
      </c>
      <c r="CM3" s="1074">
        <f>ROUNDUP((1+tech_spy_cost*Techs!AJ3)*spy_plat,0)</f>
        <v>500</v>
      </c>
      <c r="CN3" s="1074">
        <f>ROUNDUP((1+tech_wizard_cost*Techs!AM3-MIN(ROUND(wg_wiz_cost_bonus*BN3,4),wg_wiz_cost_cap))*wizard_plat,0)</f>
        <v>500</v>
      </c>
      <c r="CO3" s="236">
        <f>ROUNDUP((1+tech_wizard_cost*Techs!AM3-MIN(ROUND(wg_wiz_cost_bonus*BN3,4),wg_wiz_cost_cap))*archmage_plat,0)</f>
        <v>1000</v>
      </c>
      <c r="CQ3" s="1083">
        <f ca="1">Construction!DF3/Construction!E3</f>
        <v>0.15</v>
      </c>
      <c r="CR3" s="1084">
        <f t="shared" ref="CR3:CR14" si="21">BN3</f>
        <v>0</v>
      </c>
      <c r="CS3" s="1084">
        <f>Construction!BK3/Construction!E3</f>
        <v>0.05</v>
      </c>
      <c r="CT3" s="1084">
        <f>Construction!BJ3/Construction!E3</f>
        <v>0</v>
      </c>
      <c r="CU3" s="1084">
        <f>Construction!AY3/Construction!E3</f>
        <v>0</v>
      </c>
      <c r="CV3" s="1027">
        <f t="shared" ref="CV3:CV34" ca="1" si="22">IF(mystic_cap="none",CQ3/mystic_bonus,MIN(mystic_cap,CQ3/mystic_bonus))</f>
        <v>0.74999999999999989</v>
      </c>
      <c r="CW3" s="1085">
        <f t="shared" ref="CW3:CW34" ca="1" si="23">IF(druid_op_cap="none",CQ3/druid_op_bonus,MIN(druid_op_cap,CQ3/druid_op_bonus))</f>
        <v>0.74999999999999989</v>
      </c>
      <c r="CX3" s="1085">
        <f t="shared" ref="CX3:CX34" ca="1" si="24">IF(druid_dp_cap="none",CQ3/druid_dp_bonus,MIN(druid_dp_cap,CQ3/druid_dp_bonus))</f>
        <v>0.74999999999999989</v>
      </c>
      <c r="CY3" s="1086">
        <f t="shared" ref="CY3:CY34" ca="1" si="25">MIN(dryad_cap,CQ3/dryad_bonus)</f>
        <v>0.74999999999999989</v>
      </c>
      <c r="CZ3" s="1086">
        <f t="shared" ref="CZ3:CZ34" si="26">MIN(staff_cap,EQ3*staff_bonus)</f>
        <v>0</v>
      </c>
      <c r="DA3" s="1086">
        <f t="shared" ref="DA3:DA34" ca="1" si="27">MIN(lizardman_cap,CQ3/lizardman_bonus)</f>
        <v>2.9999999999999996</v>
      </c>
      <c r="DB3" s="1086">
        <f t="shared" ref="DB3:DB34" ca="1" si="28">MIN(rocka_cap,CQ3/rocka_bonus)</f>
        <v>0.74999999999999989</v>
      </c>
      <c r="DC3" s="1085">
        <f t="shared" ref="DC3:DC34" si="29">MIN(adept_op_cap,CR3/adept_op_bonus)</f>
        <v>0</v>
      </c>
      <c r="DD3" s="1087">
        <f>MIN(adept_dp_cap,CR3/adept_dp_bonus)</f>
        <v>0</v>
      </c>
      <c r="DE3" s="1088">
        <f>MIN(G3,H3)*2</f>
        <v>0</v>
      </c>
      <c r="DF3" s="1088">
        <f>MIN(E3,H3)*2</f>
        <v>0</v>
      </c>
      <c r="DG3" s="1027">
        <f t="shared" ref="DG3:DG34" ca="1" si="30">MIN(frost_mage_cap,CQ3/frost_mage_bonus)</f>
        <v>0.74999999999999989</v>
      </c>
      <c r="DH3" s="1089">
        <f>MIN(ice_elem_cap,EO3*ice_elem_bonus)</f>
        <v>0</v>
      </c>
      <c r="DI3" s="1089">
        <f>MIN(valkyrja_cap,Production!O3/valkyrja_bonus)</f>
        <v>1</v>
      </c>
      <c r="DJ3" s="1087">
        <f>MIN(voodoo_magi_cap,Production!O3/voodoo_magi_bonus)</f>
        <v>0.83333333333333337</v>
      </c>
      <c r="DK3" s="1087">
        <f>MIN(warlock_cap,Production!O3/warlock_bonus)</f>
        <v>1</v>
      </c>
      <c r="DL3" s="1087">
        <f ca="1">MIN(nox_nightshade_cap,Construction!DF3/Construction!E3/nox_nightshade_swamp_bonus)</f>
        <v>1.4999999999999998</v>
      </c>
      <c r="DM3" s="1085">
        <f t="shared" ref="DM3:DM34" si="31">MIN(flying_ant_cap,BO3/flying_ant_bonus)</f>
        <v>0</v>
      </c>
      <c r="DN3" s="1188">
        <f t="shared" ref="DN3:DN34" ca="1" si="32">MIN(goat_witch_cap,CQ3/goat_witch_bonus)</f>
        <v>1.4999999999999998</v>
      </c>
      <c r="DO3" s="1188">
        <f t="shared" ref="DO3:DO34" ca="1" si="33">MIN(minotaur_cap,CQ3/minotaur_bonus)</f>
        <v>1.4999999999999998</v>
      </c>
      <c r="DP3" s="1188">
        <f t="shared" ref="DP3:DP34" si="34">MIN(fanatic_cap,CS3/fanatic_bonus)</f>
        <v>1</v>
      </c>
      <c r="DQ3" s="1085">
        <f t="shared" ref="DQ3:DQ34" si="35">MIN(holy_warrior_cap,CT3/holy_warrior_bonus)</f>
        <v>0</v>
      </c>
      <c r="DR3" s="1188">
        <f t="shared" ref="DR3:DR34" si="36">MIN(banshee_cap,CU3/banshee_bonus)</f>
        <v>0</v>
      </c>
      <c r="DS3" s="1085">
        <f t="shared" ref="DS3:DS34" si="37">MIN(phantom_cap,CU3/phantom_bonus)</f>
        <v>0</v>
      </c>
      <c r="DT3" s="1188">
        <f>MIN(wraith_cap,EO3*wraith_bonus)</f>
        <v>0</v>
      </c>
      <c r="DX3" s="1027">
        <f ca="1">MIN(6,CV3+Races!$F$19)*1.8 +  IF(CV3+Races!$F$19&gt;6,(CV3+Races!$F$19-6)*0.2,0) - Races!$N$19</f>
        <v>1.3500000000000005</v>
      </c>
      <c r="DY3" s="1085">
        <f ca="1">1.8 * MIN(MAX(CW3+Races!$E$20,CX3+Races!$F$20),6)  +  0.45 * MIN(MIN(CW3+Races!$E$20,CX3+Races!$F$20),6)  +  0.2 * ( MAX(CW3+Races!$E$20-6,0) + MAX(CX3+Races!$F$20-6,0) )  -  Races!$N$20</f>
        <v>1.6874999999999991</v>
      </c>
      <c r="DZ3" s="236">
        <f t="shared" ref="DZ3:DZ34" ca="1" si="38">DX3*G3+DY3*H3</f>
        <v>0</v>
      </c>
      <c r="EA3" s="1090">
        <f ca="1">MIN(6,CY3+Races!$F$35)*1.8 +  IF(CY3+Races!$F$35&gt;6,(CY3+Races!$F$35-6)*0.2,0) - Races!$N$19</f>
        <v>-0.45000000000000018</v>
      </c>
      <c r="EB3" s="236">
        <f t="shared" ref="EB3:EB34" ca="1" si="39">$DV$5*(DX3*G3)</f>
        <v>0</v>
      </c>
      <c r="EC3" s="1090">
        <f ca="1">1.8 * MIN(MAX(Races!$E$27,DB3+Races!$F$27),6)  +  0.45 * MIN(MIN(Races!$E$27,DB3+Races!$F$27),6)  +  0.2 * ( MAX(Races!$E$27-6,0) + MAX(DB3+Races!$F$27-6,0) )  -  Races!$N$20</f>
        <v>3.6000000000000005</v>
      </c>
      <c r="ED3" s="236">
        <f t="shared" ref="ED3:ED34" ca="1" si="40">$DV$6*(EC3*G3)</f>
        <v>0</v>
      </c>
      <c r="EE3" s="1090">
        <f>1.8 * MIN(MAX(DC3+Races!$E$47,DD3+Races!$F$47),6)  +  0.45 * MIN(MIN(DC3+Races!$E$47,DD3+Races!$F$47),6)  +  0.2 * ( MAX(DC3+Races!$E$47-6,0) + MAX(DD3+Races!$F$47-6,0) )  -  Races!$N$47</f>
        <v>0</v>
      </c>
      <c r="EF3" s="236">
        <f t="shared" ref="EF3:EF34" si="41">$DV$7*(EE3*G3)</f>
        <v>0</v>
      </c>
      <c r="EG3" s="1085">
        <f ca="1">1.8 * MIN(MAX(DG3+Races!$F$71,Races!$E$71),6)  +  0.45 * MIN(MIN(DG3+Races!$F$71,Races!$E$71),6)  +  0.2 * ( MAX(DG3+Races!$F$71-6,0) + MAX(Races!$E$71-6,0) )  -  Races!$N$71</f>
        <v>1.3499999999999996</v>
      </c>
      <c r="EH3" s="1085">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1">
        <f>(J3+2*K3)/Construction!E3</f>
        <v>0</v>
      </c>
      <c r="EP3" s="1092">
        <f ca="1">EO3*(1+race_wizard_strength+tech_magical_weaponry_wiz*Techs!AV75)</f>
        <v>0</v>
      </c>
      <c r="EQ3" s="1006">
        <f>(I3+halfer*H3/3)/Construction!E3</f>
        <v>0</v>
      </c>
    </row>
    <row r="4" spans="1:147" s="170" customFormat="1" x14ac:dyDescent="0.25">
      <c r="A4" s="627">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4">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47">
        <f ca="1">race_defense+Imps!AC4+ROUND(MIN(gt_bonus*Construction!BH4/Construction!$E4,gt_bonus_cap),4)+MAX(IF(Magic!AM4&gt;0,frenzy_bonus,IF(Magic!AQ4&gt;0,blizzard_bonus,IF(Magic!AP4&gt;0,howling_dp_bonus,IF(Magic!AI4&gt;0,ares_call_bonus)))),IF(Magic!AX4&gt;0,MIN(Construction!DF4/Construction!E4,0.2),0))</f>
        <v>0</v>
      </c>
      <c r="U4" s="1041">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1515">
        <f ca="1">Imps!AE4</f>
        <v>0</v>
      </c>
      <c r="AD4" s="794">
        <f>Rezone!J4</f>
        <v>2</v>
      </c>
      <c r="AE4" s="587">
        <f>Explore!AA4</f>
        <v>43768.010416666664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0">
        <f t="shared" si="4"/>
        <v>43768.010416666664</v>
      </c>
      <c r="BD4" s="233">
        <f t="shared" ca="1" si="5"/>
        <v>4835</v>
      </c>
      <c r="BE4" s="825"/>
      <c r="BF4" s="345"/>
      <c r="BG4" s="345"/>
      <c r="BH4" s="345"/>
      <c r="BI4" s="345"/>
      <c r="BJ4" s="345"/>
      <c r="BK4" s="345"/>
      <c r="BL4" s="353"/>
      <c r="BN4" s="501">
        <f>Construction!BM4/Construction!E4</f>
        <v>0</v>
      </c>
      <c r="BO4" s="171">
        <f>Construction!BD4/Construction!E4</f>
        <v>0</v>
      </c>
      <c r="BP4" s="152">
        <f ca="1">ROUNDUP((1-MIN(AB4*smithy_bonus,smithy_bonus_cap)-AC4)*(1+Techs!AO4*tech_master_of_frugality)*spec_op_plat,0)</f>
        <v>275</v>
      </c>
      <c r="BQ4" s="164">
        <f ca="1">ROUNDUP(IF(OR(race="Gnome",race="Imperial Gnome"),1-AC4,(1-MIN(AB4*smithy_bonus,smithy_bonus_cap)-AC4)*(1+Techs!AO4*tech_master_of_frugality))*spec_op_ore,0)</f>
        <v>25</v>
      </c>
      <c r="BR4" s="164">
        <f t="shared" si="6"/>
        <v>0</v>
      </c>
      <c r="BS4" s="164">
        <f t="shared" si="7"/>
        <v>0</v>
      </c>
      <c r="BT4" s="164">
        <f ca="1">ROUNDUP((1-MIN(AB4*smithy_bonus,smithy_bonus_cap)-AC4)*(1+Techs!AO4*tech_master_of_frugality)*spec_dp_plat,0)</f>
        <v>275</v>
      </c>
      <c r="BU4" s="164">
        <f ca="1">ROUNDUP(IF(OR(race="Gnome",race="Imperial Gnome"),1-AC4,(1-MIN(AB4*smithy_bonus,smithy_bonus_cap)-AC4)*(1+Techs!AO4*tech_master_of_frugality))*spec_dp_ore,0)</f>
        <v>10</v>
      </c>
      <c r="BV4" s="164">
        <f t="shared" ca="1" si="8"/>
        <v>0</v>
      </c>
      <c r="BW4" s="164">
        <f t="shared" ca="1" si="9"/>
        <v>0</v>
      </c>
      <c r="BX4" s="164">
        <f t="shared" ca="1" si="10"/>
        <v>0</v>
      </c>
      <c r="BY4" s="164">
        <f ca="1">ROUNDUP((1-MIN(AB4*smithy_bonus,smithy_bonus_cap)-AC4)*(1+Techs!AO4*tech_master_of_frugality)*elite1_plat,0)</f>
        <v>1000</v>
      </c>
      <c r="BZ4" s="164">
        <f ca="1">ROUNDUP(IF(OR(race="Gnome",race="Imperial Gnome"),1-AC4,(1-MIN(AB4*smithy_bonus,smithy_bonus_cap)-AC4)*(1+Techs!AO4*tech_master_of_frugality))*elite1_ore,0)</f>
        <v>75</v>
      </c>
      <c r="CA4" s="164">
        <f t="shared" ref="CA4:CA67" ca="1" si="55">ROUNDUP((1-MIN(AB4*smithy_bonus,smithy_bonus_cap))*elite1_lumber,0)</f>
        <v>0</v>
      </c>
      <c r="CB4" s="164">
        <f t="shared" ca="1" si="12"/>
        <v>0</v>
      </c>
      <c r="CC4" s="164">
        <f t="shared" ca="1" si="13"/>
        <v>0</v>
      </c>
      <c r="CD4" s="164">
        <f t="shared" ca="1" si="14"/>
        <v>0</v>
      </c>
      <c r="CE4" s="164">
        <f t="shared" ca="1" si="15"/>
        <v>0</v>
      </c>
      <c r="CF4" s="164">
        <f ca="1">ROUNDUP((1-MIN(AB4*smithy_bonus,smithy_bonus_cap)-AC4)*(1+Techs!AO4*tech_master_of_frugality)*elite2_plat,0)</f>
        <v>1250</v>
      </c>
      <c r="CG4" s="164">
        <f ca="1">ROUNDUP(IF(OR(race="Gnome",race="Imperial Gnome"),1-AC4,(1-MIN(AB4*smithy_bonus,smithy_bonus_cap)-AC4)*(1+Techs!AO4*tech_master_of_frugality))*elite2_ore,0)</f>
        <v>100</v>
      </c>
      <c r="CH4" s="164">
        <f t="shared" ref="CH4:CH67" ca="1" si="56">ROUNDUP((1-MIN(AB4*smithy_bonus,smithy_bonus_cap))*elite2_lumber,0)</f>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0">
        <f ca="1">Construction!DF4/Construction!E4</f>
        <v>0.15</v>
      </c>
      <c r="CR4" s="461">
        <f t="shared" si="21"/>
        <v>0</v>
      </c>
      <c r="CS4" s="461">
        <f>Construction!BK4/Construction!E4</f>
        <v>0.05</v>
      </c>
      <c r="CT4" s="461">
        <f>Construction!BJ4/Construction!E4</f>
        <v>0</v>
      </c>
      <c r="CU4" s="461">
        <f>Construction!AY4/Construction!E4</f>
        <v>0</v>
      </c>
      <c r="CV4" s="480">
        <f t="shared" ca="1" si="22"/>
        <v>0.74999999999999989</v>
      </c>
      <c r="CW4" s="481">
        <f t="shared" ca="1" si="23"/>
        <v>0.74999999999999989</v>
      </c>
      <c r="CX4" s="481">
        <f t="shared" ca="1" si="24"/>
        <v>0.74999999999999989</v>
      </c>
      <c r="CY4" s="482">
        <f t="shared" ca="1" si="25"/>
        <v>0.74999999999999989</v>
      </c>
      <c r="CZ4" s="482">
        <f t="shared" si="26"/>
        <v>0</v>
      </c>
      <c r="DA4" s="482">
        <f t="shared" ca="1" si="27"/>
        <v>2.9999999999999996</v>
      </c>
      <c r="DB4" s="482">
        <f t="shared" ca="1" si="28"/>
        <v>0.74999999999999989</v>
      </c>
      <c r="DC4" s="481">
        <f t="shared" si="29"/>
        <v>0</v>
      </c>
      <c r="DD4" s="842">
        <f t="shared" ref="DD4:DD34" si="57">MIN(adept_dp_cap,CR4/adept_dp_bonus)</f>
        <v>0</v>
      </c>
      <c r="DE4" s="439">
        <f t="shared" ref="DE4:DE67" si="58">MIN(G4,H4)*2</f>
        <v>0</v>
      </c>
      <c r="DF4" s="439">
        <f t="shared" ref="DF4:DF67" si="59">MIN(E4,H4)*2</f>
        <v>0</v>
      </c>
      <c r="DG4" s="480">
        <f t="shared" ca="1" si="30"/>
        <v>0.74999999999999989</v>
      </c>
      <c r="DH4" s="449">
        <f t="shared" ref="DH4:DH34" si="60">MIN(ice_elem_cap,EO4*ice_elem_bonus)</f>
        <v>0</v>
      </c>
      <c r="DI4" s="449">
        <f>MIN(valkyrja_cap,Production!O4/valkyrja_bonus)</f>
        <v>1</v>
      </c>
      <c r="DJ4" s="842">
        <f>MIN(voodoo_magi_cap,Production!O4/voodoo_magi_bonus)</f>
        <v>0.83333333333333337</v>
      </c>
      <c r="DK4" s="842">
        <f>MIN(warlock_cap,Production!O4/warlock_bonus)</f>
        <v>1</v>
      </c>
      <c r="DL4" s="842">
        <f ca="1">MIN(nox_nightshade_cap,Construction!DF4/Construction!E4/nox_nightshade_swamp_bonus)</f>
        <v>1.4999999999999998</v>
      </c>
      <c r="DM4" s="481">
        <f t="shared" si="31"/>
        <v>0</v>
      </c>
      <c r="DN4" s="482">
        <f t="shared" ca="1" si="32"/>
        <v>1.4999999999999998</v>
      </c>
      <c r="DO4" s="482">
        <f t="shared" ca="1" si="33"/>
        <v>1.4999999999999998</v>
      </c>
      <c r="DP4" s="482">
        <f t="shared" si="34"/>
        <v>1</v>
      </c>
      <c r="DQ4" s="481">
        <f t="shared" si="35"/>
        <v>0</v>
      </c>
      <c r="DR4" s="482">
        <f t="shared" si="36"/>
        <v>0</v>
      </c>
      <c r="DS4" s="481">
        <f t="shared" si="37"/>
        <v>0</v>
      </c>
      <c r="DT4" s="482">
        <f t="shared" ref="DT4:DT34" si="61">MIN(wraith_cap,EO4*wraith_bonus)</f>
        <v>0</v>
      </c>
      <c r="DU4" t="s">
        <v>95</v>
      </c>
      <c r="DV4" t="b">
        <f t="shared" ref="DV4:DV20" si="62">race=DU4</f>
        <v>0</v>
      </c>
      <c r="DX4" s="480">
        <f ca="1">MIN(6,CV4+Races!$F$19)*1.8 +  IF(CV4+Races!$F$19&gt;6,(CV4+Races!$F$19-6)*0.2,0) - Races!$N$19</f>
        <v>1.3500000000000005</v>
      </c>
      <c r="DY4" s="481">
        <f ca="1">1.8 * MIN(MAX(CW4+Races!$E$20,CX4+Races!$F$20),6)  +  0.45 * MIN(MIN(CW4+Races!$E$20,CX4+Races!$F$20),6)  +  0.2 * ( MAX(CW4+Races!$E$20-6,0) + MAX(CX4+Races!$F$20-6,0) )  -  Races!$N$20</f>
        <v>1.6874999999999991</v>
      </c>
      <c r="DZ4" s="166">
        <f t="shared" ca="1" si="38"/>
        <v>0</v>
      </c>
      <c r="EA4" s="662">
        <f ca="1">MIN(6,CY4+Races!$F$35)*1.8 +  IF(CY4+Races!$F$35&gt;6,(CY4+Races!$F$35-6)*0.2,0) - Races!$N$19</f>
        <v>-0.45000000000000018</v>
      </c>
      <c r="EB4" s="166">
        <f t="shared" ca="1" si="39"/>
        <v>0</v>
      </c>
      <c r="EC4" s="662">
        <f ca="1">1.8 * MIN(MAX(Races!$E$27,DB4+Races!$F$27),6)  +  0.45 * MIN(MIN(Races!$E$27,DB4+Races!$F$27),6)  +  0.2 * ( MAX(Races!$E$27-6,0) + MAX(DB4+Races!$F$27-6,0) )  -  Races!$N$20</f>
        <v>3.6000000000000005</v>
      </c>
      <c r="ED4" s="166">
        <f t="shared" ca="1" si="40"/>
        <v>0</v>
      </c>
      <c r="EE4" s="662">
        <f>1.8 * MIN(MAX(DC4+Races!$E$47,DD4+Races!$F$47),6)  +  0.45 * MIN(MIN(DC4+Races!$E$47,DD4+Races!$F$47),6)  +  0.2 * ( MAX(DC4+Races!$E$47-6,0) + MAX(DD4+Races!$F$47-6,0) )  -  Races!$N$47</f>
        <v>0</v>
      </c>
      <c r="EF4" s="166">
        <f t="shared" si="41"/>
        <v>0</v>
      </c>
      <c r="EG4" s="662">
        <f ca="1">1.8 * MIN(MAX(DG4+Races!$F$71,Races!$E$71),6)  +  0.45 * MIN(MIN(DG4+Races!$F$71,Races!$E$71),6)  +  0.2 * ( MAX(DG4+Races!$F$71-6,0) + MAX(Races!$E$71-6,0) )  -  Races!$N$71</f>
        <v>1.3499999999999996</v>
      </c>
      <c r="EH4" s="662">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3">
        <f>(J4+2*K4)/Construction!E4</f>
        <v>0</v>
      </c>
      <c r="EP4" s="730">
        <f ca="1">EO4*(1+race_wizard_strength+tech_magical_weaponry_wiz*Techs!AV76)</f>
        <v>0</v>
      </c>
      <c r="EQ4" s="170">
        <f>(I4+halfer*H4/3)/Construction!E4</f>
        <v>0</v>
      </c>
    </row>
    <row r="5" spans="1:147" s="170" customFormat="1" x14ac:dyDescent="0.25">
      <c r="A5" s="627">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4">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47">
        <f ca="1">race_defense+Imps!AC5+ROUND(MIN(gt_bonus*Construction!BH5/Construction!$E5,gt_bonus_cap),4)+MAX(IF(Magic!AM5&gt;0,frenzy_bonus,IF(Magic!AQ5&gt;0,blizzard_bonus,IF(Magic!AP5&gt;0,howling_dp_bonus,IF(Magic!AI5&gt;0,ares_call_bonus)))),IF(Magic!AX5&gt;0,MIN(Construction!DF5/Construction!E5,0.2),0))</f>
        <v>0</v>
      </c>
      <c r="U5" s="1041">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1515">
        <f ca="1">Imps!AE5</f>
        <v>0</v>
      </c>
      <c r="AD5" s="794">
        <f>Rezone!J5</f>
        <v>3</v>
      </c>
      <c r="AE5" s="587">
        <f>Explore!AA5</f>
        <v>43768.020833333328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0">
        <f t="shared" si="4"/>
        <v>43768.020833333328</v>
      </c>
      <c r="BD5" s="233">
        <f t="shared" ca="1" si="5"/>
        <v>4939</v>
      </c>
      <c r="BE5" s="352"/>
      <c r="BF5" s="345"/>
      <c r="BG5" s="345"/>
      <c r="BH5" s="345"/>
      <c r="BI5" s="345"/>
      <c r="BJ5" s="345"/>
      <c r="BK5" s="345"/>
      <c r="BL5" s="353"/>
      <c r="BN5" s="501">
        <f>Construction!BM5/Construction!E5</f>
        <v>0</v>
      </c>
      <c r="BO5" s="171">
        <f>Construction!BD5/Construction!E5</f>
        <v>0</v>
      </c>
      <c r="BP5" s="152">
        <f ca="1">ROUNDUP((1-MIN(AB5*smithy_bonus,smithy_bonus_cap)-AC5)*(1+Techs!AO5*tech_master_of_frugality)*spec_op_plat,0)</f>
        <v>275</v>
      </c>
      <c r="BQ5" s="164">
        <f ca="1">ROUNDUP(IF(OR(race="Gnome",race="Imperial Gnome"),1-AC5,(1-MIN(AB5*smithy_bonus,smithy_bonus_cap)-AC5)*(1+Techs!AO5*tech_master_of_frugality))*spec_op_ore,0)</f>
        <v>25</v>
      </c>
      <c r="BR5" s="164">
        <f t="shared" si="6"/>
        <v>0</v>
      </c>
      <c r="BS5" s="164">
        <f t="shared" si="7"/>
        <v>0</v>
      </c>
      <c r="BT5" s="164">
        <f ca="1">ROUNDUP((1-MIN(AB5*smithy_bonus,smithy_bonus_cap)-AC5)*(1+Techs!AO5*tech_master_of_frugality)*spec_dp_plat,0)</f>
        <v>275</v>
      </c>
      <c r="BU5" s="164">
        <f ca="1">ROUNDUP(IF(OR(race="Gnome",race="Imperial Gnome"),1-AC5,(1-MIN(AB5*smithy_bonus,smithy_bonus_cap)-AC5)*(1+Techs!AO5*tech_master_of_frugality))*spec_dp_ore,0)</f>
        <v>10</v>
      </c>
      <c r="BV5" s="164">
        <f t="shared" ca="1" si="8"/>
        <v>0</v>
      </c>
      <c r="BW5" s="164">
        <f t="shared" ca="1" si="9"/>
        <v>0</v>
      </c>
      <c r="BX5" s="164">
        <f t="shared" ca="1" si="10"/>
        <v>0</v>
      </c>
      <c r="BY5" s="164">
        <f ca="1">ROUNDUP((1-MIN(AB5*smithy_bonus,smithy_bonus_cap)-AC5)*(1+Techs!AO5*tech_master_of_frugality)*elite1_plat,0)</f>
        <v>1000</v>
      </c>
      <c r="BZ5" s="164">
        <f ca="1">ROUNDUP(IF(OR(race="Gnome",race="Imperial Gnome"),1-AC5,(1-MIN(AB5*smithy_bonus,smithy_bonus_cap)-AC5)*(1+Techs!AO5*tech_master_of_frugality))*elite1_ore,0)</f>
        <v>75</v>
      </c>
      <c r="CA5" s="164">
        <f t="shared" ca="1" si="55"/>
        <v>0</v>
      </c>
      <c r="CB5" s="164">
        <f t="shared" ca="1" si="12"/>
        <v>0</v>
      </c>
      <c r="CC5" s="164">
        <f t="shared" ca="1" si="13"/>
        <v>0</v>
      </c>
      <c r="CD5" s="164">
        <f t="shared" ca="1" si="14"/>
        <v>0</v>
      </c>
      <c r="CE5" s="164">
        <f t="shared" ca="1" si="15"/>
        <v>0</v>
      </c>
      <c r="CF5" s="164">
        <f ca="1">ROUNDUP((1-MIN(AB5*smithy_bonus,smithy_bonus_cap)-AC5)*(1+Techs!AO5*tech_master_of_frugality)*elite2_plat,0)</f>
        <v>1250</v>
      </c>
      <c r="CG5" s="164">
        <f ca="1">ROUNDUP(IF(OR(race="Gnome",race="Imperial Gnome"),1-AC5,(1-MIN(AB5*smithy_bonus,smithy_bonus_cap)-AC5)*(1+Techs!AO5*tech_master_of_frugality))*elite2_ore,0)</f>
        <v>100</v>
      </c>
      <c r="CH5" s="164">
        <f t="shared" ca="1" si="5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0">
        <f ca="1">Construction!DF5/Construction!E5</f>
        <v>0.15</v>
      </c>
      <c r="CR5" s="461">
        <f t="shared" si="21"/>
        <v>0</v>
      </c>
      <c r="CS5" s="461">
        <f>Construction!BK5/Construction!E5</f>
        <v>0.05</v>
      </c>
      <c r="CT5" s="461">
        <f>Construction!BJ5/Construction!E5</f>
        <v>0</v>
      </c>
      <c r="CU5" s="461">
        <f>Construction!AY5/Construction!E5</f>
        <v>0</v>
      </c>
      <c r="CV5" s="480">
        <f t="shared" ca="1" si="22"/>
        <v>0.74999999999999989</v>
      </c>
      <c r="CW5" s="481">
        <f t="shared" ca="1" si="23"/>
        <v>0.74999999999999989</v>
      </c>
      <c r="CX5" s="481">
        <f t="shared" ca="1" si="24"/>
        <v>0.74999999999999989</v>
      </c>
      <c r="CY5" s="482">
        <f t="shared" ca="1" si="25"/>
        <v>0.74999999999999989</v>
      </c>
      <c r="CZ5" s="482">
        <f t="shared" si="26"/>
        <v>0</v>
      </c>
      <c r="DA5" s="482">
        <f t="shared" ca="1" si="27"/>
        <v>2.9999999999999996</v>
      </c>
      <c r="DB5" s="482">
        <f t="shared" ca="1" si="28"/>
        <v>0.74999999999999989</v>
      </c>
      <c r="DC5" s="481">
        <f t="shared" si="29"/>
        <v>0</v>
      </c>
      <c r="DD5" s="842">
        <f t="shared" si="57"/>
        <v>0</v>
      </c>
      <c r="DE5" s="439">
        <f t="shared" si="58"/>
        <v>0</v>
      </c>
      <c r="DF5" s="439">
        <f t="shared" si="59"/>
        <v>0</v>
      </c>
      <c r="DG5" s="480">
        <f t="shared" ca="1" si="30"/>
        <v>0.74999999999999989</v>
      </c>
      <c r="DH5" s="449">
        <f t="shared" si="60"/>
        <v>0</v>
      </c>
      <c r="DI5" s="449">
        <f>MIN(valkyrja_cap,Production!O5/valkyrja_bonus)</f>
        <v>1</v>
      </c>
      <c r="DJ5" s="842">
        <f>MIN(voodoo_magi_cap,Production!O5/voodoo_magi_bonus)</f>
        <v>0.83333333333333337</v>
      </c>
      <c r="DK5" s="842">
        <f>MIN(warlock_cap,Production!O5/warlock_bonus)</f>
        <v>1</v>
      </c>
      <c r="DL5" s="842">
        <f ca="1">MIN(nox_nightshade_cap,Construction!DF5/Construction!E5/nox_nightshade_swamp_bonus)</f>
        <v>1.4999999999999998</v>
      </c>
      <c r="DM5" s="481">
        <f t="shared" si="31"/>
        <v>0</v>
      </c>
      <c r="DN5" s="482">
        <f t="shared" ca="1" si="32"/>
        <v>1.4999999999999998</v>
      </c>
      <c r="DO5" s="482">
        <f t="shared" ca="1" si="33"/>
        <v>1.4999999999999998</v>
      </c>
      <c r="DP5" s="482">
        <f t="shared" si="34"/>
        <v>1</v>
      </c>
      <c r="DQ5" s="481">
        <f t="shared" si="35"/>
        <v>0</v>
      </c>
      <c r="DR5" s="482">
        <f t="shared" si="36"/>
        <v>0</v>
      </c>
      <c r="DS5" s="481">
        <f t="shared" si="37"/>
        <v>0</v>
      </c>
      <c r="DT5" s="482">
        <f t="shared" si="61"/>
        <v>0</v>
      </c>
      <c r="DU5" t="s">
        <v>99</v>
      </c>
      <c r="DV5" t="b">
        <f t="shared" si="62"/>
        <v>0</v>
      </c>
      <c r="DX5" s="480">
        <f ca="1">MIN(6,CV5+Races!$F$19)*1.8 +  IF(CV5+Races!$F$19&gt;6,(CV5+Races!$F$19-6)*0.2,0) - Races!$N$19</f>
        <v>1.3500000000000005</v>
      </c>
      <c r="DY5" s="481">
        <f ca="1">1.8 * MIN(MAX(CW5+Races!$E$20,CX5+Races!$F$20),6)  +  0.45 * MIN(MIN(CW5+Races!$E$20,CX5+Races!$F$20),6)  +  0.2 * ( MAX(CW5+Races!$E$20-6,0) + MAX(CX5+Races!$F$20-6,0) )  -  Races!$N$20</f>
        <v>1.6874999999999991</v>
      </c>
      <c r="DZ5" s="166">
        <f t="shared" ca="1" si="38"/>
        <v>0</v>
      </c>
      <c r="EA5" s="662">
        <f ca="1">MIN(6,CY5+Races!$F$35)*1.8 +  IF(CY5+Races!$F$35&gt;6,(CY5+Races!$F$35-6)*0.2,0) - Races!$N$19</f>
        <v>-0.45000000000000018</v>
      </c>
      <c r="EB5" s="166">
        <f t="shared" ca="1" si="39"/>
        <v>0</v>
      </c>
      <c r="EC5" s="662">
        <f ca="1">1.8 * MIN(MAX(Races!$E$27,DB5+Races!$F$27),6)  +  0.45 * MIN(MIN(Races!$E$27,DB5+Races!$F$27),6)  +  0.2 * ( MAX(Races!$E$27-6,0) + MAX(DB5+Races!$F$27-6,0) )  -  Races!$N$20</f>
        <v>3.6000000000000005</v>
      </c>
      <c r="ED5" s="166">
        <f t="shared" ca="1" si="40"/>
        <v>0</v>
      </c>
      <c r="EE5" s="662">
        <f>1.8 * MIN(MAX(DC5+Races!$E$47,DD5+Races!$F$47),6)  +  0.45 * MIN(MIN(DC5+Races!$E$47,DD5+Races!$F$47),6)  +  0.2 * ( MAX(DC5+Races!$E$47-6,0) + MAX(DD5+Races!$F$47-6,0) )  -  Races!$N$47</f>
        <v>0</v>
      </c>
      <c r="EF5" s="166">
        <f t="shared" si="41"/>
        <v>0</v>
      </c>
      <c r="EG5" s="662">
        <f ca="1">1.8 * MIN(MAX(DG5+Races!$F$71,Races!$E$71),6)  +  0.45 * MIN(MIN(DG5+Races!$F$71,Races!$E$71),6)  +  0.2 * ( MAX(DG5+Races!$F$71-6,0) + MAX(Races!$E$71-6,0) )  -  Races!$N$71</f>
        <v>1.3499999999999996</v>
      </c>
      <c r="EH5" s="662">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3">
        <f>(J5+2*K5)/Construction!E5</f>
        <v>0</v>
      </c>
      <c r="EP5" s="730">
        <f ca="1">EO5*(1+race_wizard_strength+tech_magical_weaponry_wiz*Techs!AV77)</f>
        <v>0</v>
      </c>
      <c r="EQ5" s="170">
        <f>(I5+halfer*H5/3)/Construction!E5</f>
        <v>0</v>
      </c>
    </row>
    <row r="6" spans="1:147" s="16" customFormat="1" x14ac:dyDescent="0.25">
      <c r="A6" s="627">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4">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47">
        <f ca="1">race_defense+Imps!AC6+ROUND(MIN(gt_bonus*Construction!BH6/Construction!$E6,gt_bonus_cap),4)+MAX(IF(Magic!AM6&gt;0,frenzy_bonus,IF(Magic!AQ6&gt;0,blizzard_bonus,IF(Magic!AP6&gt;0,howling_dp_bonus,IF(Magic!AI6&gt;0,ares_call_bonus)))),IF(Magic!AX6&gt;0,MIN(Construction!DF6/Construction!E6,0.2),0))</f>
        <v>0</v>
      </c>
      <c r="U6" s="1041">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1516">
        <f ca="1">Imps!AE6</f>
        <v>0</v>
      </c>
      <c r="AD6" s="795">
        <f>Rezone!J6</f>
        <v>4</v>
      </c>
      <c r="AE6" s="587">
        <f>Explore!AA6</f>
        <v>43768.031249999993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2">
        <f t="shared" si="4"/>
        <v>43768.031249999993</v>
      </c>
      <c r="BD6" s="148">
        <f t="shared" ca="1" si="5"/>
        <v>5036</v>
      </c>
      <c r="BE6" s="356"/>
      <c r="BF6" s="348"/>
      <c r="BG6" s="348"/>
      <c r="BH6" s="348"/>
      <c r="BI6" s="348"/>
      <c r="BJ6" s="348"/>
      <c r="BK6" s="348"/>
      <c r="BL6" s="357"/>
      <c r="BN6" s="501">
        <f>Construction!BM6/Construction!E6</f>
        <v>0</v>
      </c>
      <c r="BO6" s="171">
        <f>Construction!BD6/Construction!E6</f>
        <v>0</v>
      </c>
      <c r="BP6" s="152">
        <f ca="1">ROUNDUP((1-MIN(AB6*smithy_bonus,smithy_bonus_cap)-AC6)*(1+Techs!AO6*tech_master_of_frugality)*spec_op_plat,0)</f>
        <v>275</v>
      </c>
      <c r="BQ6" s="164">
        <f ca="1">ROUNDUP(IF(OR(race="Gnome",race="Imperial Gnome"),1-AC6,(1-MIN(AB6*smithy_bonus,smithy_bonus_cap)-AC6)*(1+Techs!AO6*tech_master_of_frugality))*spec_op_ore,0)</f>
        <v>25</v>
      </c>
      <c r="BR6" s="164">
        <f t="shared" si="6"/>
        <v>0</v>
      </c>
      <c r="BS6" s="164">
        <f t="shared" si="7"/>
        <v>0</v>
      </c>
      <c r="BT6" s="164">
        <f ca="1">ROUNDUP((1-MIN(AB6*smithy_bonus,smithy_bonus_cap)-AC6)*(1+Techs!AO6*tech_master_of_frugality)*spec_dp_plat,0)</f>
        <v>275</v>
      </c>
      <c r="BU6" s="164">
        <f ca="1">ROUNDUP(IF(OR(race="Gnome",race="Imperial Gnome"),1-AC6,(1-MIN(AB6*smithy_bonus,smithy_bonus_cap)-AC6)*(1+Techs!AO6*tech_master_of_frugality))*spec_dp_ore,0)</f>
        <v>10</v>
      </c>
      <c r="BV6" s="164">
        <f t="shared" ca="1" si="8"/>
        <v>0</v>
      </c>
      <c r="BW6" s="164">
        <f t="shared" ca="1" si="9"/>
        <v>0</v>
      </c>
      <c r="BX6" s="164">
        <f t="shared" ca="1" si="10"/>
        <v>0</v>
      </c>
      <c r="BY6" s="164">
        <f ca="1">ROUNDUP((1-MIN(AB6*smithy_bonus,smithy_bonus_cap)-AC6)*(1+Techs!AO6*tech_master_of_frugality)*elite1_plat,0)</f>
        <v>1000</v>
      </c>
      <c r="BZ6" s="164">
        <f ca="1">ROUNDUP(IF(OR(race="Gnome",race="Imperial Gnome"),1-AC6,(1-MIN(AB6*smithy_bonus,smithy_bonus_cap)-AC6)*(1+Techs!AO6*tech_master_of_frugality))*elite1_ore,0)</f>
        <v>75</v>
      </c>
      <c r="CA6" s="164">
        <f t="shared" ca="1" si="55"/>
        <v>0</v>
      </c>
      <c r="CB6" s="164">
        <f t="shared" ca="1" si="12"/>
        <v>0</v>
      </c>
      <c r="CC6" s="164">
        <f t="shared" ca="1" si="13"/>
        <v>0</v>
      </c>
      <c r="CD6" s="164">
        <f t="shared" ca="1" si="14"/>
        <v>0</v>
      </c>
      <c r="CE6" s="164">
        <f t="shared" ca="1" si="15"/>
        <v>0</v>
      </c>
      <c r="CF6" s="164">
        <f ca="1">ROUNDUP((1-MIN(AB6*smithy_bonus,smithy_bonus_cap)-AC6)*(1+Techs!AO6*tech_master_of_frugality)*elite2_plat,0)</f>
        <v>1250</v>
      </c>
      <c r="CG6" s="164">
        <f ca="1">ROUNDUP(IF(OR(race="Gnome",race="Imperial Gnome"),1-AC6,(1-MIN(AB6*smithy_bonus,smithy_bonus_cap)-AC6)*(1+Techs!AO6*tech_master_of_frugality))*elite2_ore,0)</f>
        <v>100</v>
      </c>
      <c r="CH6" s="164">
        <f t="shared" ca="1" si="5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4">
        <f ca="1">Construction!DF6/Construction!E6</f>
        <v>0.15</v>
      </c>
      <c r="CR6" s="465">
        <f t="shared" si="21"/>
        <v>0</v>
      </c>
      <c r="CS6" s="465">
        <f>Construction!BK6/Construction!E6</f>
        <v>0.05</v>
      </c>
      <c r="CT6" s="465">
        <f>Construction!BJ6/Construction!E6</f>
        <v>0</v>
      </c>
      <c r="CU6" s="465">
        <f>Construction!AY6/Construction!E6</f>
        <v>0</v>
      </c>
      <c r="CV6" s="480">
        <f t="shared" ca="1" si="22"/>
        <v>0.74999999999999989</v>
      </c>
      <c r="CW6" s="481">
        <f t="shared" ca="1" si="23"/>
        <v>0.74999999999999989</v>
      </c>
      <c r="CX6" s="481">
        <f t="shared" ca="1" si="24"/>
        <v>0.74999999999999989</v>
      </c>
      <c r="CY6" s="482">
        <f t="shared" ca="1" si="25"/>
        <v>0.74999999999999989</v>
      </c>
      <c r="CZ6" s="482">
        <f t="shared" si="26"/>
        <v>0</v>
      </c>
      <c r="DA6" s="482">
        <f t="shared" ca="1" si="27"/>
        <v>2.9999999999999996</v>
      </c>
      <c r="DB6" s="482">
        <f t="shared" ca="1" si="28"/>
        <v>0.74999999999999989</v>
      </c>
      <c r="DC6" s="481">
        <f t="shared" si="29"/>
        <v>0</v>
      </c>
      <c r="DD6" s="842">
        <f t="shared" si="57"/>
        <v>0</v>
      </c>
      <c r="DE6" s="439">
        <f t="shared" si="58"/>
        <v>0</v>
      </c>
      <c r="DF6" s="439">
        <f t="shared" si="59"/>
        <v>0</v>
      </c>
      <c r="DG6" s="480">
        <f t="shared" ca="1" si="30"/>
        <v>0.74999999999999989</v>
      </c>
      <c r="DH6" s="449">
        <f t="shared" si="60"/>
        <v>0</v>
      </c>
      <c r="DI6" s="449">
        <f>MIN(valkyrja_cap,Production!O6/valkyrja_bonus)</f>
        <v>1</v>
      </c>
      <c r="DJ6" s="842">
        <f>MIN(voodoo_magi_cap,Production!O6/voodoo_magi_bonus)</f>
        <v>0.83333333333333337</v>
      </c>
      <c r="DK6" s="842">
        <f>MIN(warlock_cap,Production!O6/warlock_bonus)</f>
        <v>1</v>
      </c>
      <c r="DL6" s="842">
        <f ca="1">MIN(nox_nightshade_cap,Construction!DF6/Construction!E6/nox_nightshade_swamp_bonus)</f>
        <v>1.4999999999999998</v>
      </c>
      <c r="DM6" s="481">
        <f t="shared" si="31"/>
        <v>0</v>
      </c>
      <c r="DN6" s="482">
        <f t="shared" ca="1" si="32"/>
        <v>1.4999999999999998</v>
      </c>
      <c r="DO6" s="482">
        <f t="shared" ca="1" si="33"/>
        <v>1.4999999999999998</v>
      </c>
      <c r="DP6" s="482">
        <f t="shared" si="34"/>
        <v>1</v>
      </c>
      <c r="DQ6" s="481">
        <f t="shared" si="35"/>
        <v>0</v>
      </c>
      <c r="DR6" s="482">
        <f t="shared" si="36"/>
        <v>0</v>
      </c>
      <c r="DS6" s="481">
        <f t="shared" si="37"/>
        <v>0</v>
      </c>
      <c r="DT6" s="482">
        <f t="shared" si="61"/>
        <v>0</v>
      </c>
      <c r="DU6" t="s">
        <v>97</v>
      </c>
      <c r="DV6" t="b">
        <f t="shared" si="62"/>
        <v>0</v>
      </c>
      <c r="DX6" s="486">
        <f ca="1">MIN(6,CV6+Races!$F$19)*1.8 +  IF(CV6+Races!$F$19&gt;6,(CV6+Races!$F$19-6)*0.2,0) - Races!$N$19</f>
        <v>1.3500000000000005</v>
      </c>
      <c r="DY6" s="487">
        <f ca="1">1.8 * MIN(MAX(CW6+Races!$E$20,CX6+Races!$F$20),6)  +  0.45 * MIN(MIN(CW6+Races!$E$20,CX6+Races!$F$20),6)  +  0.2 * ( MAX(CW6+Races!$E$20-6,0) + MAX(CX6+Races!$F$20-6,0) )  -  Races!$N$20</f>
        <v>1.6874999999999991</v>
      </c>
      <c r="DZ6" s="57">
        <f t="shared" ca="1" si="38"/>
        <v>0</v>
      </c>
      <c r="EA6" s="663">
        <f ca="1">MIN(6,CY6+Races!$F$35)*1.8 +  IF(CY6+Races!$F$35&gt;6,(CY6+Races!$F$35-6)*0.2,0) - Races!$N$19</f>
        <v>-0.45000000000000018</v>
      </c>
      <c r="EB6" s="57">
        <f t="shared" ca="1" si="39"/>
        <v>0</v>
      </c>
      <c r="EC6" s="663">
        <f ca="1">1.8 * MIN(MAX(Races!$E$27,DB6+Races!$F$27),6)  +  0.45 * MIN(MIN(Races!$E$27,DB6+Races!$F$27),6)  +  0.2 * ( MAX(Races!$E$27-6,0) + MAX(DB6+Races!$F$27-6,0) )  -  Races!$N$20</f>
        <v>3.6000000000000005</v>
      </c>
      <c r="ED6" s="57">
        <f t="shared" ca="1" si="40"/>
        <v>0</v>
      </c>
      <c r="EE6" s="663">
        <f>1.8 * MIN(MAX(DC6+Races!$E$47,DD6+Races!$F$47),6)  +  0.45 * MIN(MIN(DC6+Races!$E$47,DD6+Races!$F$47),6)  +  0.2 * ( MAX(DC6+Races!$E$47-6,0) + MAX(DD6+Races!$F$47-6,0) )  -  Races!$N$47</f>
        <v>0</v>
      </c>
      <c r="EF6" s="57">
        <f t="shared" si="41"/>
        <v>0</v>
      </c>
      <c r="EG6" s="663">
        <f ca="1">1.8 * MIN(MAX(DG6+Races!$F$71,Races!$E$71),6)  +  0.45 * MIN(MIN(DG6+Races!$F$71,Races!$E$71),6)  +  0.2 * ( MAX(DG6+Races!$F$71-6,0) + MAX(Races!$E$71-6,0) )  -  Races!$N$71</f>
        <v>1.3499999999999996</v>
      </c>
      <c r="EH6" s="663">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4">
        <f>(J6+2*K6)/Construction!E6</f>
        <v>0</v>
      </c>
      <c r="EP6" s="730">
        <f ca="1">EO6*(1+race_wizard_strength+tech_magical_weaponry_wiz*Techs!AV78)</f>
        <v>0</v>
      </c>
      <c r="EQ6" s="16">
        <f>(I6+halfer*H6/3)/Construction!E6</f>
        <v>0</v>
      </c>
    </row>
    <row r="7" spans="1:147" s="16" customFormat="1" x14ac:dyDescent="0.25">
      <c r="A7" s="627">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4">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47">
        <f ca="1">race_defense+Imps!AC7+ROUND(MIN(gt_bonus*Construction!BH7/Construction!$E7,gt_bonus_cap),4)+MAX(IF(Magic!AM7&gt;0,frenzy_bonus,IF(Magic!AQ7&gt;0,blizzard_bonus,IF(Magic!AP7&gt;0,howling_dp_bonus,IF(Magic!AI7&gt;0,ares_call_bonus)))),IF(Magic!AX7&gt;0,MIN(Construction!DF7/Construction!E7,0.2),0))</f>
        <v>0</v>
      </c>
      <c r="U7" s="1041">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1516">
        <f ca="1">Imps!AE7</f>
        <v>0</v>
      </c>
      <c r="AD7" s="795">
        <f>Rezone!J7</f>
        <v>5</v>
      </c>
      <c r="AE7" s="587">
        <f>Explore!AA7</f>
        <v>43768.041666666657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2">
        <f t="shared" si="4"/>
        <v>43768.041666666657</v>
      </c>
      <c r="BD7" s="148">
        <f t="shared" ca="1" si="5"/>
        <v>5128</v>
      </c>
      <c r="BE7" s="356"/>
      <c r="BF7" s="348"/>
      <c r="BG7" s="348"/>
      <c r="BH7" s="348"/>
      <c r="BI7" s="348"/>
      <c r="BJ7" s="348"/>
      <c r="BK7" s="348"/>
      <c r="BL7" s="357"/>
      <c r="BN7" s="501">
        <f>Construction!BM7/Construction!E7</f>
        <v>0</v>
      </c>
      <c r="BO7" s="171">
        <f>Construction!BD7/Construction!E7</f>
        <v>0</v>
      </c>
      <c r="BP7" s="152">
        <f ca="1">ROUNDUP((1-MIN(AB7*smithy_bonus,smithy_bonus_cap)-AC7)*(1+Techs!AO7*tech_master_of_frugality)*spec_op_plat,0)</f>
        <v>275</v>
      </c>
      <c r="BQ7" s="164">
        <f ca="1">ROUNDUP(IF(OR(race="Gnome",race="Imperial Gnome"),1-AC7,(1-MIN(AB7*smithy_bonus,smithy_bonus_cap)-AC7)*(1+Techs!AO7*tech_master_of_frugality))*spec_op_ore,0)</f>
        <v>25</v>
      </c>
      <c r="BR7" s="164">
        <f t="shared" si="6"/>
        <v>0</v>
      </c>
      <c r="BS7" s="164">
        <f t="shared" si="7"/>
        <v>0</v>
      </c>
      <c r="BT7" s="164">
        <f ca="1">ROUNDUP((1-MIN(AB7*smithy_bonus,smithy_bonus_cap)-AC7)*(1+Techs!AO7*tech_master_of_frugality)*spec_dp_plat,0)</f>
        <v>275</v>
      </c>
      <c r="BU7" s="164">
        <f ca="1">ROUNDUP(IF(OR(race="Gnome",race="Imperial Gnome"),1-AC7,(1-MIN(AB7*smithy_bonus,smithy_bonus_cap)-AC7)*(1+Techs!AO7*tech_master_of_frugality))*spec_dp_ore,0)</f>
        <v>10</v>
      </c>
      <c r="BV7" s="164">
        <f t="shared" ca="1" si="8"/>
        <v>0</v>
      </c>
      <c r="BW7" s="164">
        <f t="shared" ca="1" si="9"/>
        <v>0</v>
      </c>
      <c r="BX7" s="164">
        <f t="shared" ca="1" si="10"/>
        <v>0</v>
      </c>
      <c r="BY7" s="164">
        <f ca="1">ROUNDUP((1-MIN(AB7*smithy_bonus,smithy_bonus_cap)-AC7)*(1+Techs!AO7*tech_master_of_frugality)*elite1_plat,0)</f>
        <v>1000</v>
      </c>
      <c r="BZ7" s="164">
        <f ca="1">ROUNDUP(IF(OR(race="Gnome",race="Imperial Gnome"),1-AC7,(1-MIN(AB7*smithy_bonus,smithy_bonus_cap)-AC7)*(1+Techs!AO7*tech_master_of_frugality))*elite1_ore,0)</f>
        <v>75</v>
      </c>
      <c r="CA7" s="164">
        <f t="shared" ca="1" si="55"/>
        <v>0</v>
      </c>
      <c r="CB7" s="164">
        <f t="shared" ca="1" si="12"/>
        <v>0</v>
      </c>
      <c r="CC7" s="164">
        <f t="shared" ca="1" si="13"/>
        <v>0</v>
      </c>
      <c r="CD7" s="164">
        <f t="shared" ca="1" si="14"/>
        <v>0</v>
      </c>
      <c r="CE7" s="164">
        <f t="shared" ca="1" si="15"/>
        <v>0</v>
      </c>
      <c r="CF7" s="164">
        <f ca="1">ROUNDUP((1-MIN(AB7*smithy_bonus,smithy_bonus_cap)-AC7)*(1+Techs!AO7*tech_master_of_frugality)*elite2_plat,0)</f>
        <v>1250</v>
      </c>
      <c r="CG7" s="164">
        <f ca="1">ROUNDUP(IF(OR(race="Gnome",race="Imperial Gnome"),1-AC7,(1-MIN(AB7*smithy_bonus,smithy_bonus_cap)-AC7)*(1+Techs!AO7*tech_master_of_frugality))*elite2_ore,0)</f>
        <v>100</v>
      </c>
      <c r="CH7" s="164">
        <f t="shared" ca="1" si="5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4">
        <f ca="1">Construction!DF7/Construction!E7</f>
        <v>0.15</v>
      </c>
      <c r="CR7" s="465">
        <f t="shared" si="21"/>
        <v>0</v>
      </c>
      <c r="CS7" s="465">
        <f>Construction!BK7/Construction!E7</f>
        <v>0.05</v>
      </c>
      <c r="CT7" s="465">
        <f>Construction!BJ7/Construction!E7</f>
        <v>0</v>
      </c>
      <c r="CU7" s="465">
        <f>Construction!AY7/Construction!E7</f>
        <v>0</v>
      </c>
      <c r="CV7" s="480">
        <f t="shared" ca="1" si="22"/>
        <v>0.74999999999999989</v>
      </c>
      <c r="CW7" s="481">
        <f t="shared" ca="1" si="23"/>
        <v>0.74999999999999989</v>
      </c>
      <c r="CX7" s="481">
        <f t="shared" ca="1" si="24"/>
        <v>0.74999999999999989</v>
      </c>
      <c r="CY7" s="482">
        <f t="shared" ca="1" si="25"/>
        <v>0.74999999999999989</v>
      </c>
      <c r="CZ7" s="482">
        <f t="shared" si="26"/>
        <v>0</v>
      </c>
      <c r="DA7" s="482">
        <f t="shared" ca="1" si="27"/>
        <v>2.9999999999999996</v>
      </c>
      <c r="DB7" s="482">
        <f t="shared" ca="1" si="28"/>
        <v>0.74999999999999989</v>
      </c>
      <c r="DC7" s="481">
        <f t="shared" si="29"/>
        <v>0</v>
      </c>
      <c r="DD7" s="842">
        <f t="shared" si="57"/>
        <v>0</v>
      </c>
      <c r="DE7" s="439">
        <f t="shared" si="58"/>
        <v>0</v>
      </c>
      <c r="DF7" s="439">
        <f t="shared" si="59"/>
        <v>0</v>
      </c>
      <c r="DG7" s="480">
        <f t="shared" ca="1" si="30"/>
        <v>0.74999999999999989</v>
      </c>
      <c r="DH7" s="449">
        <f t="shared" si="60"/>
        <v>0</v>
      </c>
      <c r="DI7" s="449">
        <f>MIN(valkyrja_cap,Production!O7/valkyrja_bonus)</f>
        <v>1</v>
      </c>
      <c r="DJ7" s="842">
        <f>MIN(voodoo_magi_cap,Production!O7/voodoo_magi_bonus)</f>
        <v>0.83333333333333337</v>
      </c>
      <c r="DK7" s="842">
        <f>MIN(warlock_cap,Production!O7/warlock_bonus)</f>
        <v>1</v>
      </c>
      <c r="DL7" s="842">
        <f ca="1">MIN(nox_nightshade_cap,Construction!DF7/Construction!E7/nox_nightshade_swamp_bonus)</f>
        <v>1.4999999999999998</v>
      </c>
      <c r="DM7" s="481">
        <f t="shared" si="31"/>
        <v>0</v>
      </c>
      <c r="DN7" s="482">
        <f t="shared" ca="1" si="32"/>
        <v>1.4999999999999998</v>
      </c>
      <c r="DO7" s="482">
        <f t="shared" ca="1" si="33"/>
        <v>1.4999999999999998</v>
      </c>
      <c r="DP7" s="482">
        <f t="shared" si="34"/>
        <v>1</v>
      </c>
      <c r="DQ7" s="481">
        <f t="shared" si="35"/>
        <v>0</v>
      </c>
      <c r="DR7" s="482">
        <f t="shared" si="36"/>
        <v>0</v>
      </c>
      <c r="DS7" s="481">
        <f t="shared" si="37"/>
        <v>0</v>
      </c>
      <c r="DT7" s="482">
        <f t="shared" si="61"/>
        <v>0</v>
      </c>
      <c r="DU7" t="s">
        <v>102</v>
      </c>
      <c r="DV7" t="b">
        <f t="shared" si="62"/>
        <v>0</v>
      </c>
      <c r="DX7" s="486">
        <f ca="1">MIN(6,CV7+Races!$F$19)*1.8 +  IF(CV7+Races!$F$19&gt;6,(CV7+Races!$F$19-6)*0.2,0) - Races!$N$19</f>
        <v>1.3500000000000005</v>
      </c>
      <c r="DY7" s="487">
        <f ca="1">1.8 * MIN(MAX(CW7+Races!$E$20,CX7+Races!$F$20),6)  +  0.45 * MIN(MIN(CW7+Races!$E$20,CX7+Races!$F$20),6)  +  0.2 * ( MAX(CW7+Races!$E$20-6,0) + MAX(CX7+Races!$F$20-6,0) )  -  Races!$N$20</f>
        <v>1.6874999999999991</v>
      </c>
      <c r="DZ7" s="57">
        <f t="shared" ca="1" si="38"/>
        <v>0</v>
      </c>
      <c r="EA7" s="663">
        <f ca="1">MIN(6,CY7+Races!$F$35)*1.8 +  IF(CY7+Races!$F$35&gt;6,(CY7+Races!$F$35-6)*0.2,0) - Races!$N$19</f>
        <v>-0.45000000000000018</v>
      </c>
      <c r="EB7" s="57">
        <f t="shared" ca="1" si="39"/>
        <v>0</v>
      </c>
      <c r="EC7" s="663">
        <f ca="1">1.8 * MIN(MAX(Races!$E$27,DB7+Races!$F$27),6)  +  0.45 * MIN(MIN(Races!$E$27,DB7+Races!$F$27),6)  +  0.2 * ( MAX(Races!$E$27-6,0) + MAX(DB7+Races!$F$27-6,0) )  -  Races!$N$20</f>
        <v>3.6000000000000005</v>
      </c>
      <c r="ED7" s="57">
        <f t="shared" ca="1" si="40"/>
        <v>0</v>
      </c>
      <c r="EE7" s="663">
        <f>1.8 * MIN(MAX(DC7+Races!$E$47,DD7+Races!$F$47),6)  +  0.45 * MIN(MIN(DC7+Races!$E$47,DD7+Races!$F$47),6)  +  0.2 * ( MAX(DC7+Races!$E$47-6,0) + MAX(DD7+Races!$F$47-6,0) )  -  Races!$N$47</f>
        <v>0</v>
      </c>
      <c r="EF7" s="57">
        <f t="shared" si="41"/>
        <v>0</v>
      </c>
      <c r="EG7" s="663">
        <f ca="1">1.8 * MIN(MAX(DG7+Races!$F$71,Races!$E$71),6)  +  0.45 * MIN(MIN(DG7+Races!$F$71,Races!$E$71),6)  +  0.2 * ( MAX(DG7+Races!$F$71-6,0) + MAX(Races!$E$71-6,0) )  -  Races!$N$71</f>
        <v>1.3499999999999996</v>
      </c>
      <c r="EH7" s="663">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4">
        <f>(J7+2*K7)/Construction!E7</f>
        <v>0</v>
      </c>
      <c r="EP7" s="730">
        <f ca="1">EO7*(1+race_wizard_strength+tech_magical_weaponry_wiz*Techs!AV79)</f>
        <v>0</v>
      </c>
      <c r="EQ7" s="16">
        <f>(I7+halfer*H7/3)/Construction!E7</f>
        <v>0</v>
      </c>
    </row>
    <row r="8" spans="1:147" s="16" customFormat="1" x14ac:dyDescent="0.25">
      <c r="A8" s="627">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4">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47">
        <f ca="1">race_defense+Imps!AC8+ROUND(MIN(gt_bonus*Construction!BH8/Construction!$E8,gt_bonus_cap),4)+MAX(IF(Magic!AM8&gt;0,frenzy_bonus,IF(Magic!AQ8&gt;0,blizzard_bonus,IF(Magic!AP8&gt;0,howling_dp_bonus,IF(Magic!AI8&gt;0,ares_call_bonus)))),IF(Magic!AX8&gt;0,MIN(Construction!DF8/Construction!E8,0.2),0))</f>
        <v>0</v>
      </c>
      <c r="U8" s="1041">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1516">
        <f ca="1">Imps!AE8</f>
        <v>0</v>
      </c>
      <c r="AD8" s="795">
        <f>Rezone!J8</f>
        <v>6</v>
      </c>
      <c r="AE8" s="587">
        <f>Explore!AA8</f>
        <v>43768.052083333321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2">
        <f t="shared" si="4"/>
        <v>43768.052083333321</v>
      </c>
      <c r="BD8" s="148">
        <f t="shared" ca="1" si="5"/>
        <v>5214</v>
      </c>
      <c r="BE8" s="356"/>
      <c r="BF8" s="348"/>
      <c r="BG8" s="348"/>
      <c r="BH8" s="348"/>
      <c r="BI8" s="348"/>
      <c r="BJ8" s="348"/>
      <c r="BK8" s="348"/>
      <c r="BL8" s="357"/>
      <c r="BN8" s="501">
        <f>Construction!BM8/Construction!E8</f>
        <v>0</v>
      </c>
      <c r="BO8" s="171">
        <f>Construction!BD8/Construction!E8</f>
        <v>0</v>
      </c>
      <c r="BP8" s="152">
        <f ca="1">ROUNDUP((1-MIN(AB8*smithy_bonus,smithy_bonus_cap)-AC8)*(1+Techs!AO8*tech_master_of_frugality)*spec_op_plat,0)</f>
        <v>275</v>
      </c>
      <c r="BQ8" s="164">
        <f ca="1">ROUNDUP(IF(OR(race="Gnome",race="Imperial Gnome"),1-AC8,(1-MIN(AB8*smithy_bonus,smithy_bonus_cap)-AC8)*(1+Techs!AO8*tech_master_of_frugality))*spec_op_ore,0)</f>
        <v>25</v>
      </c>
      <c r="BR8" s="164">
        <f t="shared" si="6"/>
        <v>0</v>
      </c>
      <c r="BS8" s="164">
        <f t="shared" si="7"/>
        <v>0</v>
      </c>
      <c r="BT8" s="164">
        <f ca="1">ROUNDUP((1-MIN(AB8*smithy_bonus,smithy_bonus_cap)-AC8)*(1+Techs!AO8*tech_master_of_frugality)*spec_dp_plat,0)</f>
        <v>275</v>
      </c>
      <c r="BU8" s="164">
        <f ca="1">ROUNDUP(IF(OR(race="Gnome",race="Imperial Gnome"),1-AC8,(1-MIN(AB8*smithy_bonus,smithy_bonus_cap)-AC8)*(1+Techs!AO8*tech_master_of_frugality))*spec_dp_ore,0)</f>
        <v>10</v>
      </c>
      <c r="BV8" s="164">
        <f t="shared" ca="1" si="8"/>
        <v>0</v>
      </c>
      <c r="BW8" s="164">
        <f t="shared" ca="1" si="9"/>
        <v>0</v>
      </c>
      <c r="BX8" s="164">
        <f t="shared" ca="1" si="10"/>
        <v>0</v>
      </c>
      <c r="BY8" s="164">
        <f ca="1">ROUNDUP((1-MIN(AB8*smithy_bonus,smithy_bonus_cap)-AC8)*(1+Techs!AO8*tech_master_of_frugality)*elite1_plat,0)</f>
        <v>1000</v>
      </c>
      <c r="BZ8" s="164">
        <f ca="1">ROUNDUP(IF(OR(race="Gnome",race="Imperial Gnome"),1-AC8,(1-MIN(AB8*smithy_bonus,smithy_bonus_cap)-AC8)*(1+Techs!AO8*tech_master_of_frugality))*elite1_ore,0)</f>
        <v>75</v>
      </c>
      <c r="CA8" s="164">
        <f t="shared" ca="1" si="55"/>
        <v>0</v>
      </c>
      <c r="CB8" s="164">
        <f t="shared" ca="1" si="12"/>
        <v>0</v>
      </c>
      <c r="CC8" s="164">
        <f t="shared" ca="1" si="13"/>
        <v>0</v>
      </c>
      <c r="CD8" s="164">
        <f t="shared" ca="1" si="14"/>
        <v>0</v>
      </c>
      <c r="CE8" s="164">
        <f t="shared" ca="1" si="15"/>
        <v>0</v>
      </c>
      <c r="CF8" s="164">
        <f ca="1">ROUNDUP((1-MIN(AB8*smithy_bonus,smithy_bonus_cap)-AC8)*(1+Techs!AO8*tech_master_of_frugality)*elite2_plat,0)</f>
        <v>1250</v>
      </c>
      <c r="CG8" s="164">
        <f ca="1">ROUNDUP(IF(OR(race="Gnome",race="Imperial Gnome"),1-AC8,(1-MIN(AB8*smithy_bonus,smithy_bonus_cap)-AC8)*(1+Techs!AO8*tech_master_of_frugality))*elite2_ore,0)</f>
        <v>100</v>
      </c>
      <c r="CH8" s="164">
        <f t="shared" ca="1" si="5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4">
        <f ca="1">Construction!DF8/Construction!E8</f>
        <v>0.15</v>
      </c>
      <c r="CR8" s="465">
        <f t="shared" si="21"/>
        <v>0</v>
      </c>
      <c r="CS8" s="465">
        <f>Construction!BK8/Construction!E8</f>
        <v>0.05</v>
      </c>
      <c r="CT8" s="465">
        <f>Construction!BJ8/Construction!E8</f>
        <v>0</v>
      </c>
      <c r="CU8" s="465">
        <f>Construction!AY8/Construction!E8</f>
        <v>0</v>
      </c>
      <c r="CV8" s="480">
        <f t="shared" ca="1" si="22"/>
        <v>0.74999999999999989</v>
      </c>
      <c r="CW8" s="481">
        <f t="shared" ca="1" si="23"/>
        <v>0.74999999999999989</v>
      </c>
      <c r="CX8" s="481">
        <f t="shared" ca="1" si="24"/>
        <v>0.74999999999999989</v>
      </c>
      <c r="CY8" s="482">
        <f t="shared" ca="1" si="25"/>
        <v>0.74999999999999989</v>
      </c>
      <c r="CZ8" s="482">
        <f t="shared" si="26"/>
        <v>0</v>
      </c>
      <c r="DA8" s="482">
        <f t="shared" ca="1" si="27"/>
        <v>2.9999999999999996</v>
      </c>
      <c r="DB8" s="482">
        <f t="shared" ca="1" si="28"/>
        <v>0.74999999999999989</v>
      </c>
      <c r="DC8" s="481">
        <f t="shared" si="29"/>
        <v>0</v>
      </c>
      <c r="DD8" s="842">
        <f t="shared" si="57"/>
        <v>0</v>
      </c>
      <c r="DE8" s="439">
        <f t="shared" si="58"/>
        <v>0</v>
      </c>
      <c r="DF8" s="439">
        <f t="shared" si="59"/>
        <v>0</v>
      </c>
      <c r="DG8" s="480">
        <f t="shared" ca="1" si="30"/>
        <v>0.74999999999999989</v>
      </c>
      <c r="DH8" s="449">
        <f t="shared" si="60"/>
        <v>0</v>
      </c>
      <c r="DI8" s="449">
        <f>MIN(valkyrja_cap,Production!O8/valkyrja_bonus)</f>
        <v>1</v>
      </c>
      <c r="DJ8" s="842">
        <f>MIN(voodoo_magi_cap,Production!O8/voodoo_magi_bonus)</f>
        <v>0.83333333333333337</v>
      </c>
      <c r="DK8" s="842">
        <f>MIN(warlock_cap,Production!O8/warlock_bonus)</f>
        <v>1</v>
      </c>
      <c r="DL8" s="842">
        <f ca="1">MIN(nox_nightshade_cap,Construction!DF8/Construction!E8/nox_nightshade_swamp_bonus)</f>
        <v>1.4999999999999998</v>
      </c>
      <c r="DM8" s="481">
        <f t="shared" si="31"/>
        <v>0</v>
      </c>
      <c r="DN8" s="482">
        <f t="shared" ca="1" si="32"/>
        <v>1.4999999999999998</v>
      </c>
      <c r="DO8" s="482">
        <f t="shared" ca="1" si="33"/>
        <v>1.4999999999999998</v>
      </c>
      <c r="DP8" s="482">
        <f t="shared" si="34"/>
        <v>1</v>
      </c>
      <c r="DQ8" s="481">
        <f t="shared" si="35"/>
        <v>0</v>
      </c>
      <c r="DR8" s="482">
        <f t="shared" si="36"/>
        <v>0</v>
      </c>
      <c r="DS8" s="481">
        <f t="shared" si="37"/>
        <v>0</v>
      </c>
      <c r="DT8" s="482">
        <f t="shared" si="61"/>
        <v>0</v>
      </c>
      <c r="DU8" s="16" t="s">
        <v>106</v>
      </c>
      <c r="DV8" t="b">
        <f t="shared" si="62"/>
        <v>0</v>
      </c>
      <c r="DX8" s="486">
        <f ca="1">MIN(6,CV8+Races!$F$19)*1.8 +  IF(CV8+Races!$F$19&gt;6,(CV8+Races!$F$19-6)*0.2,0) - Races!$N$19</f>
        <v>1.3500000000000005</v>
      </c>
      <c r="DY8" s="487">
        <f ca="1">1.8 * MIN(MAX(CW8+Races!$E$20,CX8+Races!$F$20),6)  +  0.45 * MIN(MIN(CW8+Races!$E$20,CX8+Races!$F$20),6)  +  0.2 * ( MAX(CW8+Races!$E$20-6,0) + MAX(CX8+Races!$F$20-6,0) )  -  Races!$N$20</f>
        <v>1.6874999999999991</v>
      </c>
      <c r="DZ8" s="57">
        <f t="shared" ca="1" si="38"/>
        <v>0</v>
      </c>
      <c r="EA8" s="663">
        <f ca="1">MIN(6,CY8+Races!$F$35)*1.8 +  IF(CY8+Races!$F$35&gt;6,(CY8+Races!$F$35-6)*0.2,0) - Races!$N$19</f>
        <v>-0.45000000000000018</v>
      </c>
      <c r="EB8" s="57">
        <f t="shared" ca="1" si="39"/>
        <v>0</v>
      </c>
      <c r="EC8" s="663">
        <f ca="1">1.8 * MIN(MAX(Races!$E$27,DB8+Races!$F$27),6)  +  0.45 * MIN(MIN(Races!$E$27,DB8+Races!$F$27),6)  +  0.2 * ( MAX(Races!$E$27-6,0) + MAX(DB8+Races!$F$27-6,0) )  -  Races!$N$20</f>
        <v>3.6000000000000005</v>
      </c>
      <c r="ED8" s="57">
        <f t="shared" ca="1" si="40"/>
        <v>0</v>
      </c>
      <c r="EE8" s="663">
        <f>1.8 * MIN(MAX(DC8+Races!$E$47,DD8+Races!$F$47),6)  +  0.45 * MIN(MIN(DC8+Races!$E$47,DD8+Races!$F$47),6)  +  0.2 * ( MAX(DC8+Races!$E$47-6,0) + MAX(DD8+Races!$F$47-6,0) )  -  Races!$N$47</f>
        <v>0</v>
      </c>
      <c r="EF8" s="57">
        <f t="shared" si="41"/>
        <v>0</v>
      </c>
      <c r="EG8" s="663">
        <f ca="1">1.8 * MIN(MAX(DG8+Races!$F$71,Races!$E$71),6)  +  0.45 * MIN(MIN(DG8+Races!$F$71,Races!$E$71),6)  +  0.2 * ( MAX(DG8+Races!$F$71-6,0) + MAX(Races!$E$71-6,0) )  -  Races!$N$71</f>
        <v>1.3499999999999996</v>
      </c>
      <c r="EH8" s="663">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4">
        <f>(J8+2*K8)/Construction!E8</f>
        <v>0</v>
      </c>
      <c r="EP8" s="730">
        <f ca="1">EO8*(1+race_wizard_strength+tech_magical_weaponry_wiz*Techs!AV80)</f>
        <v>0</v>
      </c>
      <c r="EQ8" s="16">
        <f>(I8+halfer*H8/3)/Construction!E8</f>
        <v>0</v>
      </c>
    </row>
    <row r="9" spans="1:147" s="16" customFormat="1" x14ac:dyDescent="0.25">
      <c r="A9" s="627">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4">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47">
        <f ca="1">race_defense+Imps!AC9+ROUND(MIN(gt_bonus*Construction!BH9/Construction!$E9,gt_bonus_cap),4)+MAX(IF(Magic!AM9&gt;0,frenzy_bonus,IF(Magic!AQ9&gt;0,blizzard_bonus,IF(Magic!AP9&gt;0,howling_dp_bonus,IF(Magic!AI9&gt;0,ares_call_bonus)))),IF(Magic!AX9&gt;0,MIN(Construction!DF9/Construction!E9,0.2),0))</f>
        <v>0</v>
      </c>
      <c r="U9" s="1041">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1516">
        <f ca="1">Imps!AE9</f>
        <v>0</v>
      </c>
      <c r="AD9" s="795">
        <f>Rezone!J9</f>
        <v>7</v>
      </c>
      <c r="AE9" s="587">
        <f>Explore!AA9</f>
        <v>43768.062499999985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2">
        <f t="shared" si="4"/>
        <v>43768.062499999985</v>
      </c>
      <c r="BD9" s="148">
        <f t="shared" ca="1" si="5"/>
        <v>5295</v>
      </c>
      <c r="BE9" s="356"/>
      <c r="BF9" s="348"/>
      <c r="BG9" s="348"/>
      <c r="BH9" s="348"/>
      <c r="BI9" s="348"/>
      <c r="BJ9" s="348"/>
      <c r="BK9" s="348"/>
      <c r="BL9" s="357"/>
      <c r="BN9" s="501">
        <f>Construction!BM9/Construction!E9</f>
        <v>0</v>
      </c>
      <c r="BO9" s="171">
        <f>Construction!BD9/Construction!E9</f>
        <v>0</v>
      </c>
      <c r="BP9" s="152">
        <f ca="1">ROUNDUP((1-MIN(AB9*smithy_bonus,smithy_bonus_cap)-AC9)*(1+Techs!AO9*tech_master_of_frugality)*spec_op_plat,0)</f>
        <v>275</v>
      </c>
      <c r="BQ9" s="164">
        <f ca="1">ROUNDUP(IF(OR(race="Gnome",race="Imperial Gnome"),1-AC9,(1-MIN(AB9*smithy_bonus,smithy_bonus_cap)-AC9)*(1+Techs!AO9*tech_master_of_frugality))*spec_op_ore,0)</f>
        <v>25</v>
      </c>
      <c r="BR9" s="164">
        <f t="shared" si="6"/>
        <v>0</v>
      </c>
      <c r="BS9" s="164">
        <f t="shared" si="7"/>
        <v>0</v>
      </c>
      <c r="BT9" s="164">
        <f ca="1">ROUNDUP((1-MIN(AB9*smithy_bonus,smithy_bonus_cap)-AC9)*(1+Techs!AO9*tech_master_of_frugality)*spec_dp_plat,0)</f>
        <v>275</v>
      </c>
      <c r="BU9" s="164">
        <f ca="1">ROUNDUP(IF(OR(race="Gnome",race="Imperial Gnome"),1-AC9,(1-MIN(AB9*smithy_bonus,smithy_bonus_cap)-AC9)*(1+Techs!AO9*tech_master_of_frugality))*spec_dp_ore,0)</f>
        <v>10</v>
      </c>
      <c r="BV9" s="164">
        <f t="shared" ca="1" si="8"/>
        <v>0</v>
      </c>
      <c r="BW9" s="164">
        <f t="shared" ca="1" si="9"/>
        <v>0</v>
      </c>
      <c r="BX9" s="164">
        <f t="shared" ca="1" si="10"/>
        <v>0</v>
      </c>
      <c r="BY9" s="164">
        <f ca="1">ROUNDUP((1-MIN(AB9*smithy_bonus,smithy_bonus_cap)-AC9)*(1+Techs!AO9*tech_master_of_frugality)*elite1_plat,0)</f>
        <v>1000</v>
      </c>
      <c r="BZ9" s="164">
        <f ca="1">ROUNDUP(IF(OR(race="Gnome",race="Imperial Gnome"),1-AC9,(1-MIN(AB9*smithy_bonus,smithy_bonus_cap)-AC9)*(1+Techs!AO9*tech_master_of_frugality))*elite1_ore,0)</f>
        <v>75</v>
      </c>
      <c r="CA9" s="164">
        <f t="shared" ca="1" si="55"/>
        <v>0</v>
      </c>
      <c r="CB9" s="164">
        <f t="shared" ca="1" si="12"/>
        <v>0</v>
      </c>
      <c r="CC9" s="164">
        <f t="shared" ca="1" si="13"/>
        <v>0</v>
      </c>
      <c r="CD9" s="164">
        <f t="shared" ca="1" si="14"/>
        <v>0</v>
      </c>
      <c r="CE9" s="164">
        <f t="shared" ca="1" si="15"/>
        <v>0</v>
      </c>
      <c r="CF9" s="164">
        <f ca="1">ROUNDUP((1-MIN(AB9*smithy_bonus,smithy_bonus_cap)-AC9)*(1+Techs!AO9*tech_master_of_frugality)*elite2_plat,0)</f>
        <v>1250</v>
      </c>
      <c r="CG9" s="164">
        <f ca="1">ROUNDUP(IF(OR(race="Gnome",race="Imperial Gnome"),1-AC9,(1-MIN(AB9*smithy_bonus,smithy_bonus_cap)-AC9)*(1+Techs!AO9*tech_master_of_frugality))*elite2_ore,0)</f>
        <v>100</v>
      </c>
      <c r="CH9" s="164">
        <f t="shared" ca="1" si="5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4">
        <f ca="1">Construction!DF9/Construction!E9</f>
        <v>0.15</v>
      </c>
      <c r="CR9" s="465">
        <f t="shared" si="21"/>
        <v>0</v>
      </c>
      <c r="CS9" s="465">
        <f>Construction!BK9/Construction!E9</f>
        <v>0.05</v>
      </c>
      <c r="CT9" s="465">
        <f>Construction!BJ9/Construction!E9</f>
        <v>0</v>
      </c>
      <c r="CU9" s="465">
        <f>Construction!AY9/Construction!E9</f>
        <v>0</v>
      </c>
      <c r="CV9" s="480">
        <f t="shared" ca="1" si="22"/>
        <v>0.74999999999999989</v>
      </c>
      <c r="CW9" s="481">
        <f t="shared" ca="1" si="23"/>
        <v>0.74999999999999989</v>
      </c>
      <c r="CX9" s="481">
        <f t="shared" ca="1" si="24"/>
        <v>0.74999999999999989</v>
      </c>
      <c r="CY9" s="482">
        <f t="shared" ca="1" si="25"/>
        <v>0.74999999999999989</v>
      </c>
      <c r="CZ9" s="482">
        <f t="shared" si="26"/>
        <v>0</v>
      </c>
      <c r="DA9" s="482">
        <f t="shared" ca="1" si="27"/>
        <v>2.9999999999999996</v>
      </c>
      <c r="DB9" s="482">
        <f t="shared" ca="1" si="28"/>
        <v>0.74999999999999989</v>
      </c>
      <c r="DC9" s="481">
        <f t="shared" si="29"/>
        <v>0</v>
      </c>
      <c r="DD9" s="842">
        <f t="shared" si="57"/>
        <v>0</v>
      </c>
      <c r="DE9" s="439">
        <f t="shared" si="58"/>
        <v>0</v>
      </c>
      <c r="DF9" s="439">
        <f t="shared" si="59"/>
        <v>0</v>
      </c>
      <c r="DG9" s="480">
        <f t="shared" ca="1" si="30"/>
        <v>0.74999999999999989</v>
      </c>
      <c r="DH9" s="449">
        <f t="shared" si="60"/>
        <v>0</v>
      </c>
      <c r="DI9" s="449">
        <f>MIN(valkyrja_cap,Production!O9/valkyrja_bonus)</f>
        <v>1</v>
      </c>
      <c r="DJ9" s="842">
        <f>MIN(voodoo_magi_cap,Production!O9/voodoo_magi_bonus)</f>
        <v>0.83333333333333337</v>
      </c>
      <c r="DK9" s="842">
        <f>MIN(warlock_cap,Production!O9/warlock_bonus)</f>
        <v>1</v>
      </c>
      <c r="DL9" s="842">
        <f ca="1">MIN(nox_nightshade_cap,Construction!DF9/Construction!E9/nox_nightshade_swamp_bonus)</f>
        <v>1.4999999999999998</v>
      </c>
      <c r="DM9" s="481">
        <f t="shared" si="31"/>
        <v>0</v>
      </c>
      <c r="DN9" s="482">
        <f t="shared" ca="1" si="32"/>
        <v>1.4999999999999998</v>
      </c>
      <c r="DO9" s="482">
        <f t="shared" ca="1" si="33"/>
        <v>1.4999999999999998</v>
      </c>
      <c r="DP9" s="482">
        <f t="shared" si="34"/>
        <v>1</v>
      </c>
      <c r="DQ9" s="481">
        <f t="shared" si="35"/>
        <v>0</v>
      </c>
      <c r="DR9" s="482">
        <f t="shared" si="36"/>
        <v>0</v>
      </c>
      <c r="DS9" s="481">
        <f t="shared" si="37"/>
        <v>0</v>
      </c>
      <c r="DT9" s="482">
        <f t="shared" si="61"/>
        <v>0</v>
      </c>
      <c r="DU9" s="16" t="s">
        <v>344</v>
      </c>
      <c r="DV9" t="b">
        <f t="shared" si="62"/>
        <v>0</v>
      </c>
      <c r="DX9" s="486">
        <f ca="1">MIN(6,CV9+Races!$F$19)*1.8 +  IF(CV9+Races!$F$19&gt;6,(CV9+Races!$F$19-6)*0.2,0) - Races!$N$19</f>
        <v>1.3500000000000005</v>
      </c>
      <c r="DY9" s="487">
        <f ca="1">1.8 * MIN(MAX(CW9+Races!$E$20,CX9+Races!$F$20),6)  +  0.45 * MIN(MIN(CW9+Races!$E$20,CX9+Races!$F$20),6)  +  0.2 * ( MAX(CW9+Races!$E$20-6,0) + MAX(CX9+Races!$F$20-6,0) )  -  Races!$N$20</f>
        <v>1.6874999999999991</v>
      </c>
      <c r="DZ9" s="57">
        <f t="shared" ca="1" si="38"/>
        <v>0</v>
      </c>
      <c r="EA9" s="663">
        <f ca="1">MIN(6,CY9+Races!$F$35)*1.8 +  IF(CY9+Races!$F$35&gt;6,(CY9+Races!$F$35-6)*0.2,0) - Races!$N$19</f>
        <v>-0.45000000000000018</v>
      </c>
      <c r="EB9" s="57">
        <f t="shared" ca="1" si="39"/>
        <v>0</v>
      </c>
      <c r="EC9" s="663">
        <f ca="1">1.8 * MIN(MAX(Races!$E$27,DB9+Races!$F$27),6)  +  0.45 * MIN(MIN(Races!$E$27,DB9+Races!$F$27),6)  +  0.2 * ( MAX(Races!$E$27-6,0) + MAX(DB9+Races!$F$27-6,0) )  -  Races!$N$20</f>
        <v>3.6000000000000005</v>
      </c>
      <c r="ED9" s="57">
        <f t="shared" ca="1" si="40"/>
        <v>0</v>
      </c>
      <c r="EE9" s="663">
        <f>1.8 * MIN(MAX(DC9+Races!$E$47,DD9+Races!$F$47),6)  +  0.45 * MIN(MIN(DC9+Races!$E$47,DD9+Races!$F$47),6)  +  0.2 * ( MAX(DC9+Races!$E$47-6,0) + MAX(DD9+Races!$F$47-6,0) )  -  Races!$N$47</f>
        <v>0</v>
      </c>
      <c r="EF9" s="57">
        <f t="shared" si="41"/>
        <v>0</v>
      </c>
      <c r="EG9" s="663">
        <f ca="1">1.8 * MIN(MAX(DG9+Races!$F$71,Races!$E$71),6)  +  0.45 * MIN(MIN(DG9+Races!$F$71,Races!$E$71),6)  +  0.2 * ( MAX(DG9+Races!$F$71-6,0) + MAX(Races!$E$71-6,0) )  -  Races!$N$71</f>
        <v>1.3499999999999996</v>
      </c>
      <c r="EH9" s="663">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4">
        <f>(J9+2*K9)/Construction!E9</f>
        <v>0</v>
      </c>
      <c r="EP9" s="730">
        <f ca="1">EO9*(1+race_wizard_strength+tech_magical_weaponry_wiz*Techs!AV81)</f>
        <v>0</v>
      </c>
      <c r="EQ9" s="16">
        <f>(I9+halfer*H9/3)/Construction!E9</f>
        <v>0</v>
      </c>
    </row>
    <row r="10" spans="1:147" s="16" customFormat="1" x14ac:dyDescent="0.25">
      <c r="A10" s="627">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4">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47">
        <f ca="1">race_defense+Imps!AC10+ROUND(MIN(gt_bonus*Construction!BH10/Construction!$E10,gt_bonus_cap),4)+MAX(IF(Magic!AM10&gt;0,frenzy_bonus,IF(Magic!AQ10&gt;0,blizzard_bonus,IF(Magic!AP10&gt;0,howling_dp_bonus,IF(Magic!AI10&gt;0,ares_call_bonus)))),IF(Magic!AX10&gt;0,MIN(Construction!DF10/Construction!E10,0.2),0))</f>
        <v>0</v>
      </c>
      <c r="U10" s="1041">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1516">
        <f ca="1">Imps!AE10</f>
        <v>0</v>
      </c>
      <c r="AD10" s="795">
        <f>Rezone!J10</f>
        <v>8</v>
      </c>
      <c r="AE10" s="587">
        <f>Explore!AA10</f>
        <v>43768.07291666665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2">
        <f t="shared" si="4"/>
        <v>43768.07291666665</v>
      </c>
      <c r="BD10" s="148">
        <f t="shared" ca="1" si="5"/>
        <v>5295</v>
      </c>
      <c r="BE10" s="356"/>
      <c r="BF10" s="348"/>
      <c r="BG10" s="348"/>
      <c r="BH10" s="348"/>
      <c r="BI10" s="348"/>
      <c r="BJ10" s="348"/>
      <c r="BK10" s="348"/>
      <c r="BL10" s="357"/>
      <c r="BN10" s="501">
        <f>Construction!BM10/Construction!E10</f>
        <v>0</v>
      </c>
      <c r="BO10" s="171">
        <f>Construction!BD10/Construction!E10</f>
        <v>0</v>
      </c>
      <c r="BP10" s="152">
        <f ca="1">ROUNDUP((1-MIN(AB10*smithy_bonus,smithy_bonus_cap)-AC10)*(1+Techs!AO10*tech_master_of_frugality)*spec_op_plat,0)</f>
        <v>275</v>
      </c>
      <c r="BQ10" s="164">
        <f ca="1">ROUNDUP(IF(OR(race="Gnome",race="Imperial Gnome"),1-AC10,(1-MIN(AB10*smithy_bonus,smithy_bonus_cap)-AC10)*(1+Techs!AO10*tech_master_of_frugality))*spec_op_ore,0)</f>
        <v>25</v>
      </c>
      <c r="BR10" s="164">
        <f t="shared" si="6"/>
        <v>0</v>
      </c>
      <c r="BS10" s="164">
        <f t="shared" si="7"/>
        <v>0</v>
      </c>
      <c r="BT10" s="164">
        <f ca="1">ROUNDUP((1-MIN(AB10*smithy_bonus,smithy_bonus_cap)-AC10)*(1+Techs!AO10*tech_master_of_frugality)*spec_dp_plat,0)</f>
        <v>275</v>
      </c>
      <c r="BU10" s="164">
        <f ca="1">ROUNDUP(IF(OR(race="Gnome",race="Imperial Gnome"),1-AC10,(1-MIN(AB10*smithy_bonus,smithy_bonus_cap)-AC10)*(1+Techs!AO10*tech_master_of_frugality))*spec_dp_ore,0)</f>
        <v>10</v>
      </c>
      <c r="BV10" s="164">
        <f t="shared" ca="1" si="8"/>
        <v>0</v>
      </c>
      <c r="BW10" s="164">
        <f t="shared" ca="1" si="9"/>
        <v>0</v>
      </c>
      <c r="BX10" s="164">
        <f t="shared" ca="1" si="10"/>
        <v>0</v>
      </c>
      <c r="BY10" s="164">
        <f ca="1">ROUNDUP((1-MIN(AB10*smithy_bonus,smithy_bonus_cap)-AC10)*(1+Techs!AO10*tech_master_of_frugality)*elite1_plat,0)</f>
        <v>1000</v>
      </c>
      <c r="BZ10" s="164">
        <f ca="1">ROUNDUP(IF(OR(race="Gnome",race="Imperial Gnome"),1-AC10,(1-MIN(AB10*smithy_bonus,smithy_bonus_cap)-AC10)*(1+Techs!AO10*tech_master_of_frugality))*elite1_ore,0)</f>
        <v>75</v>
      </c>
      <c r="CA10" s="164">
        <f t="shared" ca="1" si="55"/>
        <v>0</v>
      </c>
      <c r="CB10" s="164">
        <f t="shared" ca="1" si="12"/>
        <v>0</v>
      </c>
      <c r="CC10" s="164">
        <f t="shared" ca="1" si="13"/>
        <v>0</v>
      </c>
      <c r="CD10" s="164">
        <f t="shared" ca="1" si="14"/>
        <v>0</v>
      </c>
      <c r="CE10" s="164">
        <f t="shared" ca="1" si="15"/>
        <v>0</v>
      </c>
      <c r="CF10" s="164">
        <f ca="1">ROUNDUP((1-MIN(AB10*smithy_bonus,smithy_bonus_cap)-AC10)*(1+Techs!AO10*tech_master_of_frugality)*elite2_plat,0)</f>
        <v>1250</v>
      </c>
      <c r="CG10" s="164">
        <f ca="1">ROUNDUP(IF(OR(race="Gnome",race="Imperial Gnome"),1-AC10,(1-MIN(AB10*smithy_bonus,smithy_bonus_cap)-AC10)*(1+Techs!AO10*tech_master_of_frugality))*elite2_ore,0)</f>
        <v>100</v>
      </c>
      <c r="CH10" s="164">
        <f t="shared" ca="1" si="5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4">
        <f ca="1">Construction!DF10/Construction!E10</f>
        <v>0.15</v>
      </c>
      <c r="CR10" s="465">
        <f t="shared" si="21"/>
        <v>0</v>
      </c>
      <c r="CS10" s="465">
        <f>Construction!BK10/Construction!E10</f>
        <v>0.05</v>
      </c>
      <c r="CT10" s="465">
        <f>Construction!BJ10/Construction!E10</f>
        <v>0</v>
      </c>
      <c r="CU10" s="465">
        <f>Construction!AY10/Construction!E10</f>
        <v>0</v>
      </c>
      <c r="CV10" s="480">
        <f t="shared" ca="1" si="22"/>
        <v>0.74999999999999989</v>
      </c>
      <c r="CW10" s="481">
        <f t="shared" ca="1" si="23"/>
        <v>0.74999999999999989</v>
      </c>
      <c r="CX10" s="481">
        <f t="shared" ca="1" si="24"/>
        <v>0.74999999999999989</v>
      </c>
      <c r="CY10" s="482">
        <f ca="1">MIN(dryad_cap,CQ10/dryad_bonus)</f>
        <v>0.74999999999999989</v>
      </c>
      <c r="CZ10" s="482">
        <f t="shared" si="26"/>
        <v>0</v>
      </c>
      <c r="DA10" s="482">
        <f t="shared" ca="1" si="27"/>
        <v>2.9999999999999996</v>
      </c>
      <c r="DB10" s="482">
        <f t="shared" ca="1" si="28"/>
        <v>0.74999999999999989</v>
      </c>
      <c r="DC10" s="481">
        <f t="shared" si="29"/>
        <v>0</v>
      </c>
      <c r="DD10" s="842">
        <f t="shared" si="57"/>
        <v>0</v>
      </c>
      <c r="DE10" s="439">
        <f t="shared" si="58"/>
        <v>0</v>
      </c>
      <c r="DF10" s="439">
        <f t="shared" si="59"/>
        <v>0</v>
      </c>
      <c r="DG10" s="480">
        <f t="shared" ca="1" si="30"/>
        <v>0.74999999999999989</v>
      </c>
      <c r="DH10" s="449">
        <f t="shared" si="60"/>
        <v>0</v>
      </c>
      <c r="DI10" s="449">
        <f>MIN(valkyrja_cap,Production!O10/valkyrja_bonus)</f>
        <v>1</v>
      </c>
      <c r="DJ10" s="842">
        <f>MIN(voodoo_magi_cap,Production!O10/voodoo_magi_bonus)</f>
        <v>0.83333333333333337</v>
      </c>
      <c r="DK10" s="842">
        <f>MIN(warlock_cap,Production!O10/warlock_bonus)</f>
        <v>1</v>
      </c>
      <c r="DL10" s="842">
        <f ca="1">MIN(nox_nightshade_cap,Construction!DF10/Construction!E10/nox_nightshade_swamp_bonus)</f>
        <v>1.4999999999999998</v>
      </c>
      <c r="DM10" s="481">
        <f t="shared" si="31"/>
        <v>0</v>
      </c>
      <c r="DN10" s="482">
        <f t="shared" ca="1" si="32"/>
        <v>1.4999999999999998</v>
      </c>
      <c r="DO10" s="482">
        <f t="shared" ca="1" si="33"/>
        <v>1.4999999999999998</v>
      </c>
      <c r="DP10" s="482">
        <f t="shared" si="34"/>
        <v>1</v>
      </c>
      <c r="DQ10" s="481">
        <f t="shared" si="35"/>
        <v>0</v>
      </c>
      <c r="DR10" s="482">
        <f t="shared" si="36"/>
        <v>0</v>
      </c>
      <c r="DS10" s="481">
        <f t="shared" si="37"/>
        <v>0</v>
      </c>
      <c r="DT10" s="482">
        <f t="shared" si="61"/>
        <v>0</v>
      </c>
      <c r="DU10" s="16" t="s">
        <v>150</v>
      </c>
      <c r="DV10" s="16" t="b">
        <f>race=DU10</f>
        <v>0</v>
      </c>
      <c r="DX10" s="486">
        <f ca="1">MIN(6,CV10+Races!$F$19)*1.8 +  IF(CV10+Races!$F$19&gt;6,(CV10+Races!$F$19-6)*0.2,0) - Races!$N$19</f>
        <v>1.3500000000000005</v>
      </c>
      <c r="DY10" s="487">
        <f ca="1">1.8 * MIN(MAX(CW10+Races!$E$20,CX10+Races!$F$20),6)  +  0.45 * MIN(MIN(CW10+Races!$E$20,CX10+Races!$F$20),6)  +  0.2 * ( MAX(CW10+Races!$E$20-6,0) + MAX(CX10+Races!$F$20-6,0) )  -  Races!$N$20</f>
        <v>1.6874999999999991</v>
      </c>
      <c r="DZ10" s="57">
        <f t="shared" ca="1" si="38"/>
        <v>0</v>
      </c>
      <c r="EA10" s="663">
        <f ca="1">MIN(6,CY10+Races!$F$35)*1.8 +  IF(CY10+Races!$F$35&gt;6,(CY10+Races!$F$35-6)*0.2,0) - Races!$N$19</f>
        <v>-0.45000000000000018</v>
      </c>
      <c r="EB10" s="57">
        <f t="shared" ca="1" si="39"/>
        <v>0</v>
      </c>
      <c r="EC10" s="663">
        <f ca="1">1.8 * MIN(MAX(Races!$E$27,DB10+Races!$F$27),6)  +  0.45 * MIN(MIN(Races!$E$27,DB10+Races!$F$27),6)  +  0.2 * ( MAX(Races!$E$27-6,0) + MAX(DB10+Races!$F$27-6,0) )  -  Races!$N$20</f>
        <v>3.6000000000000005</v>
      </c>
      <c r="ED10" s="57">
        <f t="shared" ca="1" si="40"/>
        <v>0</v>
      </c>
      <c r="EE10" s="663">
        <f>1.8 * MIN(MAX(DC10+Races!$E$47,DD10+Races!$F$47),6)  +  0.45 * MIN(MIN(DC10+Races!$E$47,DD10+Races!$F$47),6)  +  0.2 * ( MAX(DC10+Races!$E$47-6,0) + MAX(DD10+Races!$F$47-6,0) )  -  Races!$N$47</f>
        <v>0</v>
      </c>
      <c r="EF10" s="57">
        <f t="shared" si="41"/>
        <v>0</v>
      </c>
      <c r="EG10" s="663">
        <f ca="1">1.8 * MIN(MAX(DG10+Races!$F$71,Races!$E$71),6)  +  0.45 * MIN(MIN(DG10+Races!$F$71,Races!$E$71),6)  +  0.2 * ( MAX(DG10+Races!$F$71-6,0) + MAX(Races!$E$71-6,0) )  -  Races!$N$71</f>
        <v>1.3499999999999996</v>
      </c>
      <c r="EH10" s="663">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4">
        <f>(J10+2*K10)/Construction!E10</f>
        <v>0</v>
      </c>
      <c r="EP10" s="730">
        <f ca="1">EO10*(1+race_wizard_strength+tech_magical_weaponry_wiz*Techs!AV82)</f>
        <v>0</v>
      </c>
      <c r="EQ10" s="16">
        <f>(I10+halfer*H10/3)/Construction!E10</f>
        <v>0</v>
      </c>
    </row>
    <row r="11" spans="1:147" s="16" customFormat="1" x14ac:dyDescent="0.25">
      <c r="A11" s="627">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4">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47">
        <f ca="1">race_defense+Imps!AC11+ROUND(MIN(gt_bonus*Construction!BH11/Construction!$E11,gt_bonus_cap),4)+MAX(IF(Magic!AM11&gt;0,frenzy_bonus,IF(Magic!AQ11&gt;0,blizzard_bonus,IF(Magic!AP11&gt;0,howling_dp_bonus,IF(Magic!AI11&gt;0,ares_call_bonus)))),IF(Magic!AX11&gt;0,MIN(Construction!DF11/Construction!E11,0.2),0))</f>
        <v>0</v>
      </c>
      <c r="U11" s="1041">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1516">
        <f ca="1">Imps!AE11</f>
        <v>0</v>
      </c>
      <c r="AD11" s="795">
        <f>Rezone!J11</f>
        <v>9</v>
      </c>
      <c r="AE11" s="587">
        <f>Explore!AA11</f>
        <v>43768.083333333314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2">
        <f t="shared" si="4"/>
        <v>43768.083333333314</v>
      </c>
      <c r="BD11" s="148">
        <f t="shared" ca="1" si="5"/>
        <v>5295</v>
      </c>
      <c r="BE11" s="356"/>
      <c r="BF11" s="348"/>
      <c r="BG11" s="348"/>
      <c r="BH11" s="348"/>
      <c r="BI11" s="348"/>
      <c r="BJ11" s="348"/>
      <c r="BK11" s="348"/>
      <c r="BL11" s="357"/>
      <c r="BN11" s="501">
        <f>Construction!BM11/Construction!E11</f>
        <v>0</v>
      </c>
      <c r="BO11" s="171">
        <f>Construction!BD11/Construction!E11</f>
        <v>0</v>
      </c>
      <c r="BP11" s="152">
        <f ca="1">ROUNDUP((1-MIN(AB11*smithy_bonus,smithy_bonus_cap)-AC11)*(1+Techs!AO11*tech_master_of_frugality)*spec_op_plat,0)</f>
        <v>275</v>
      </c>
      <c r="BQ11" s="164">
        <f ca="1">ROUNDUP(IF(OR(race="Gnome",race="Imperial Gnome"),1-AC11,(1-MIN(AB11*smithy_bonus,smithy_bonus_cap)-AC11)*(1+Techs!AO11*tech_master_of_frugality))*spec_op_ore,0)</f>
        <v>25</v>
      </c>
      <c r="BR11" s="164">
        <f t="shared" si="6"/>
        <v>0</v>
      </c>
      <c r="BS11" s="164">
        <f t="shared" si="7"/>
        <v>0</v>
      </c>
      <c r="BT11" s="164">
        <f ca="1">ROUNDUP((1-MIN(AB11*smithy_bonus,smithy_bonus_cap)-AC11)*(1+Techs!AO11*tech_master_of_frugality)*spec_dp_plat,0)</f>
        <v>275</v>
      </c>
      <c r="BU11" s="164">
        <f ca="1">ROUNDUP(IF(OR(race="Gnome",race="Imperial Gnome"),1-AC11,(1-MIN(AB11*smithy_bonus,smithy_bonus_cap)-AC11)*(1+Techs!AO11*tech_master_of_frugality))*spec_dp_ore,0)</f>
        <v>10</v>
      </c>
      <c r="BV11" s="164">
        <f t="shared" ca="1" si="8"/>
        <v>0</v>
      </c>
      <c r="BW11" s="164">
        <f t="shared" ca="1" si="9"/>
        <v>0</v>
      </c>
      <c r="BX11" s="164">
        <f t="shared" ca="1" si="10"/>
        <v>0</v>
      </c>
      <c r="BY11" s="164">
        <f ca="1">ROUNDUP((1-MIN(AB11*smithy_bonus,smithy_bonus_cap)-AC11)*(1+Techs!AO11*tech_master_of_frugality)*elite1_plat,0)</f>
        <v>1000</v>
      </c>
      <c r="BZ11" s="164">
        <f ca="1">ROUNDUP(IF(OR(race="Gnome",race="Imperial Gnome"),1-AC11,(1-MIN(AB11*smithy_bonus,smithy_bonus_cap)-AC11)*(1+Techs!AO11*tech_master_of_frugality))*elite1_ore,0)</f>
        <v>75</v>
      </c>
      <c r="CA11" s="164">
        <f t="shared" ca="1" si="55"/>
        <v>0</v>
      </c>
      <c r="CB11" s="164">
        <f t="shared" ca="1" si="12"/>
        <v>0</v>
      </c>
      <c r="CC11" s="164">
        <f t="shared" ca="1" si="13"/>
        <v>0</v>
      </c>
      <c r="CD11" s="164">
        <f t="shared" ca="1" si="14"/>
        <v>0</v>
      </c>
      <c r="CE11" s="164">
        <f t="shared" ca="1" si="15"/>
        <v>0</v>
      </c>
      <c r="CF11" s="164">
        <f ca="1">ROUNDUP((1-MIN(AB11*smithy_bonus,smithy_bonus_cap)-AC11)*(1+Techs!AO11*tech_master_of_frugality)*elite2_plat,0)</f>
        <v>1250</v>
      </c>
      <c r="CG11" s="164">
        <f ca="1">ROUNDUP(IF(OR(race="Gnome",race="Imperial Gnome"),1-AC11,(1-MIN(AB11*smithy_bonus,smithy_bonus_cap)-AC11)*(1+Techs!AO11*tech_master_of_frugality))*elite2_ore,0)</f>
        <v>100</v>
      </c>
      <c r="CH11" s="164">
        <f t="shared" ca="1" si="5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4">
        <f ca="1">Construction!DF11/Construction!E11</f>
        <v>0.15</v>
      </c>
      <c r="CR11" s="465">
        <f t="shared" si="21"/>
        <v>0</v>
      </c>
      <c r="CS11" s="465">
        <f>Construction!BK11/Construction!E11</f>
        <v>0.05</v>
      </c>
      <c r="CT11" s="465">
        <f>Construction!BJ11/Construction!E11</f>
        <v>0</v>
      </c>
      <c r="CU11" s="465">
        <f>Construction!AY11/Construction!E11</f>
        <v>0</v>
      </c>
      <c r="CV11" s="480">
        <f t="shared" ca="1" si="22"/>
        <v>0.74999999999999989</v>
      </c>
      <c r="CW11" s="481">
        <f t="shared" ca="1" si="23"/>
        <v>0.74999999999999989</v>
      </c>
      <c r="CX11" s="481">
        <f t="shared" ca="1" si="24"/>
        <v>0.74999999999999989</v>
      </c>
      <c r="CY11" s="482">
        <f t="shared" ca="1" si="25"/>
        <v>0.74999999999999989</v>
      </c>
      <c r="CZ11" s="482">
        <f t="shared" si="26"/>
        <v>0</v>
      </c>
      <c r="DA11" s="482">
        <f t="shared" ca="1" si="27"/>
        <v>2.9999999999999996</v>
      </c>
      <c r="DB11" s="482">
        <f t="shared" ca="1" si="28"/>
        <v>0.74999999999999989</v>
      </c>
      <c r="DC11" s="481">
        <f t="shared" si="29"/>
        <v>0</v>
      </c>
      <c r="DD11" s="842">
        <f t="shared" si="57"/>
        <v>0</v>
      </c>
      <c r="DE11" s="439">
        <f t="shared" si="58"/>
        <v>0</v>
      </c>
      <c r="DF11" s="439">
        <f t="shared" si="59"/>
        <v>0</v>
      </c>
      <c r="DG11" s="480">
        <f t="shared" ca="1" si="30"/>
        <v>0.74999999999999989</v>
      </c>
      <c r="DH11" s="449">
        <f t="shared" si="60"/>
        <v>0</v>
      </c>
      <c r="DI11" s="449">
        <f>MIN(valkyrja_cap,Production!O11/valkyrja_bonus)</f>
        <v>1</v>
      </c>
      <c r="DJ11" s="842">
        <f>MIN(voodoo_magi_cap,Production!O11/voodoo_magi_bonus)</f>
        <v>0.83333333333333337</v>
      </c>
      <c r="DK11" s="842">
        <f>MIN(warlock_cap,Production!O11/warlock_bonus)</f>
        <v>1</v>
      </c>
      <c r="DL11" s="842">
        <f ca="1">MIN(nox_nightshade_cap,Construction!DF11/Construction!E11/nox_nightshade_swamp_bonus)</f>
        <v>1.4999999999999998</v>
      </c>
      <c r="DM11" s="481">
        <f t="shared" si="31"/>
        <v>0</v>
      </c>
      <c r="DN11" s="482">
        <f t="shared" ca="1" si="32"/>
        <v>1.4999999999999998</v>
      </c>
      <c r="DO11" s="482">
        <f t="shared" ca="1" si="33"/>
        <v>1.4999999999999998</v>
      </c>
      <c r="DP11" s="482">
        <f t="shared" si="34"/>
        <v>1</v>
      </c>
      <c r="DQ11" s="481">
        <f t="shared" si="35"/>
        <v>0</v>
      </c>
      <c r="DR11" s="482">
        <f t="shared" si="36"/>
        <v>0</v>
      </c>
      <c r="DS11" s="481">
        <f t="shared" si="37"/>
        <v>0</v>
      </c>
      <c r="DT11" s="482">
        <f t="shared" si="61"/>
        <v>0</v>
      </c>
      <c r="DU11" s="107" t="s">
        <v>574</v>
      </c>
      <c r="DV11" s="16" t="b">
        <f t="shared" si="62"/>
        <v>0</v>
      </c>
      <c r="DX11" s="486">
        <f ca="1">MIN(6,CV11+Races!$F$19)*1.8 +  IF(CV11+Races!$F$19&gt;6,(CV11+Races!$F$19-6)*0.2,0) - Races!$N$19</f>
        <v>1.3500000000000005</v>
      </c>
      <c r="DY11" s="487">
        <f ca="1">1.8 * MIN(MAX(CW11+Races!$E$20,CX11+Races!$F$20),6)  +  0.45 * MIN(MIN(CW11+Races!$E$20,CX11+Races!$F$20),6)  +  0.2 * ( MAX(CW11+Races!$E$20-6,0) + MAX(CX11+Races!$F$20-6,0) )  -  Races!$N$20</f>
        <v>1.6874999999999991</v>
      </c>
      <c r="DZ11" s="57">
        <f t="shared" ca="1" si="38"/>
        <v>0</v>
      </c>
      <c r="EA11" s="663">
        <f ca="1">MIN(6,CY11+Races!$F$35)*1.8 +  IF(CY11+Races!$F$35&gt;6,(CY11+Races!$F$35-6)*0.2,0) - Races!$N$19</f>
        <v>-0.45000000000000018</v>
      </c>
      <c r="EB11" s="57">
        <f t="shared" ca="1" si="39"/>
        <v>0</v>
      </c>
      <c r="EC11" s="663">
        <f ca="1">1.8 * MIN(MAX(Races!$E$27,DB11+Races!$F$27),6)  +  0.45 * MIN(MIN(Races!$E$27,DB11+Races!$F$27),6)  +  0.2 * ( MAX(Races!$E$27-6,0) + MAX(DB11+Races!$F$27-6,0) )  -  Races!$N$20</f>
        <v>3.6000000000000005</v>
      </c>
      <c r="ED11" s="57">
        <f t="shared" ca="1" si="40"/>
        <v>0</v>
      </c>
      <c r="EE11" s="663">
        <f>1.8 * MIN(MAX(DC11+Races!$E$47,DD11+Races!$F$47),6)  +  0.45 * MIN(MIN(DC11+Races!$E$47,DD11+Races!$F$47),6)  +  0.2 * ( MAX(DC11+Races!$E$47-6,0) + MAX(DD11+Races!$F$47-6,0) )  -  Races!$N$47</f>
        <v>0</v>
      </c>
      <c r="EF11" s="57">
        <f t="shared" si="41"/>
        <v>0</v>
      </c>
      <c r="EG11" s="663">
        <f ca="1">1.8 * MIN(MAX(DG11+Races!$F$71,Races!$E$71),6)  +  0.45 * MIN(MIN(DG11+Races!$F$71,Races!$E$71),6)  +  0.2 * ( MAX(DG11+Races!$F$71-6,0) + MAX(Races!$E$71-6,0) )  -  Races!$N$71</f>
        <v>1.3499999999999996</v>
      </c>
      <c r="EH11" s="663">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4">
        <f>(J11+2*K11)/Construction!E11</f>
        <v>0</v>
      </c>
      <c r="EP11" s="730">
        <f ca="1">EO11*(1+race_wizard_strength+tech_magical_weaponry_wiz*Techs!AV83)</f>
        <v>0</v>
      </c>
      <c r="EQ11" s="16">
        <f>(I11+halfer*H11/3)/Construction!E11</f>
        <v>0</v>
      </c>
    </row>
    <row r="12" spans="1:147" s="16" customFormat="1" x14ac:dyDescent="0.25">
      <c r="A12" s="627">
        <f>Rezone!J12</f>
        <v>10</v>
      </c>
      <c r="B12" s="152">
        <f ca="1">SUM(E12:L12)+SUM(AF4:AG12)+SUM(AH$3:AI12)+Z12</f>
        <v>5295</v>
      </c>
      <c r="C12" s="97">
        <f ca="1">Population!G12</f>
        <v>0.44812461459106029</v>
      </c>
      <c r="E12" s="156">
        <f t="shared" ref="E12:E14" si="63">E11 - BF12 + AF3</f>
        <v>0</v>
      </c>
      <c r="F12" s="170">
        <f t="shared" ref="F12:F14" si="64">F11 - BG12 + AG3</f>
        <v>0</v>
      </c>
      <c r="G12" s="170">
        <f t="shared" ref="G12:I14" si="65">G11 - BH12</f>
        <v>0</v>
      </c>
      <c r="H12" s="170">
        <f t="shared" si="65"/>
        <v>0</v>
      </c>
      <c r="I12" s="170">
        <f t="shared" si="65"/>
        <v>0</v>
      </c>
      <c r="J12" s="170">
        <f t="shared" si="44"/>
        <v>0</v>
      </c>
      <c r="K12" s="157">
        <f t="shared" si="45"/>
        <v>0</v>
      </c>
      <c r="M12" s="64">
        <f ca="1">Production!G12</f>
        <v>20900</v>
      </c>
      <c r="O12" s="234">
        <f t="shared" ca="1" si="0"/>
        <v>0</v>
      </c>
      <c r="P12" s="454">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47">
        <f ca="1">race_defense+Imps!AC12+ROUND(MIN(gt_bonus*Construction!BH12/Construction!$E12,gt_bonus_cap),4)+MAX(IF(Magic!AM12&gt;0,frenzy_bonus,IF(Magic!AQ12&gt;0,blizzard_bonus,IF(Magic!AP12&gt;0,howling_dp_bonus,IF(Magic!AI12&gt;0,ares_call_bonus)))),IF(Magic!AX12&gt;0,MIN(Construction!DF12/Construction!E12,0.2),0))</f>
        <v>0</v>
      </c>
      <c r="U12" s="1041">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1516">
        <f ca="1">Imps!AE12</f>
        <v>0</v>
      </c>
      <c r="AD12" s="795">
        <f>Rezone!J12</f>
        <v>10</v>
      </c>
      <c r="AE12" s="587">
        <f>Explore!AA12</f>
        <v>43768.093749999978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2">
        <f t="shared" si="4"/>
        <v>43768.093749999978</v>
      </c>
      <c r="BD12" s="148">
        <f t="shared" ca="1" si="5"/>
        <v>5295</v>
      </c>
      <c r="BE12" s="356"/>
      <c r="BF12" s="348"/>
      <c r="BG12" s="348"/>
      <c r="BH12" s="348"/>
      <c r="BI12" s="348"/>
      <c r="BJ12" s="348"/>
      <c r="BK12" s="348"/>
      <c r="BL12" s="357"/>
      <c r="BN12" s="501">
        <f>Construction!BM12/Construction!E12</f>
        <v>0</v>
      </c>
      <c r="BO12" s="171">
        <f>Construction!BD12/Construction!E12</f>
        <v>0</v>
      </c>
      <c r="BP12" s="152">
        <f ca="1">ROUNDUP((1-MIN(AB12*smithy_bonus,smithy_bonus_cap)-AC12)*(1+Techs!AO12*tech_master_of_frugality)*spec_op_plat,0)</f>
        <v>275</v>
      </c>
      <c r="BQ12" s="164">
        <f ca="1">ROUNDUP(IF(OR(race="Gnome",race="Imperial Gnome"),1-AC12,(1-MIN(AB12*smithy_bonus,smithy_bonus_cap)-AC12)*(1+Techs!AO12*tech_master_of_frugality))*spec_op_ore,0)</f>
        <v>25</v>
      </c>
      <c r="BR12" s="164">
        <f t="shared" si="6"/>
        <v>0</v>
      </c>
      <c r="BS12" s="164">
        <f t="shared" si="7"/>
        <v>0</v>
      </c>
      <c r="BT12" s="164">
        <f ca="1">ROUNDUP((1-MIN(AB12*smithy_bonus,smithy_bonus_cap)-AC12)*(1+Techs!AO12*tech_master_of_frugality)*spec_dp_plat,0)</f>
        <v>275</v>
      </c>
      <c r="BU12" s="164">
        <f ca="1">ROUNDUP(IF(OR(race="Gnome",race="Imperial Gnome"),1-AC12,(1-MIN(AB12*smithy_bonus,smithy_bonus_cap)-AC12)*(1+Techs!AO12*tech_master_of_frugality))*spec_dp_ore,0)</f>
        <v>10</v>
      </c>
      <c r="BV12" s="164">
        <f t="shared" ca="1" si="8"/>
        <v>0</v>
      </c>
      <c r="BW12" s="164">
        <f t="shared" ca="1" si="9"/>
        <v>0</v>
      </c>
      <c r="BX12" s="164">
        <f t="shared" ca="1" si="10"/>
        <v>0</v>
      </c>
      <c r="BY12" s="164">
        <f ca="1">ROUNDUP((1-MIN(AB12*smithy_bonus,smithy_bonus_cap)-AC12)*(1+Techs!AO12*tech_master_of_frugality)*elite1_plat,0)</f>
        <v>1000</v>
      </c>
      <c r="BZ12" s="164">
        <f ca="1">ROUNDUP(IF(OR(race="Gnome",race="Imperial Gnome"),1-AC12,(1-MIN(AB12*smithy_bonus,smithy_bonus_cap)-AC12)*(1+Techs!AO12*tech_master_of_frugality))*elite1_ore,0)</f>
        <v>75</v>
      </c>
      <c r="CA12" s="164">
        <f t="shared" ca="1" si="55"/>
        <v>0</v>
      </c>
      <c r="CB12" s="164">
        <f t="shared" ca="1" si="12"/>
        <v>0</v>
      </c>
      <c r="CC12" s="164">
        <f t="shared" ca="1" si="13"/>
        <v>0</v>
      </c>
      <c r="CD12" s="164">
        <f t="shared" ca="1" si="14"/>
        <v>0</v>
      </c>
      <c r="CE12" s="164">
        <f t="shared" ca="1" si="15"/>
        <v>0</v>
      </c>
      <c r="CF12" s="164">
        <f ca="1">ROUNDUP((1-MIN(AB12*smithy_bonus,smithy_bonus_cap)-AC12)*(1+Techs!AO12*tech_master_of_frugality)*elite2_plat,0)</f>
        <v>1250</v>
      </c>
      <c r="CG12" s="164">
        <f ca="1">ROUNDUP(IF(OR(race="Gnome",race="Imperial Gnome"),1-AC12,(1-MIN(AB12*smithy_bonus,smithy_bonus_cap)-AC12)*(1+Techs!AO12*tech_master_of_frugality))*elite2_ore,0)</f>
        <v>100</v>
      </c>
      <c r="CH12" s="164">
        <f t="shared" ca="1" si="5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4">
        <f ca="1">Construction!DF12/Construction!E12</f>
        <v>0.15</v>
      </c>
      <c r="CR12" s="465">
        <f t="shared" si="21"/>
        <v>0</v>
      </c>
      <c r="CS12" s="465">
        <f>Construction!BK12/Construction!E12</f>
        <v>0.05</v>
      </c>
      <c r="CT12" s="465">
        <f>Construction!BJ12/Construction!E12</f>
        <v>0</v>
      </c>
      <c r="CU12" s="465">
        <f>Construction!AY12/Construction!E12</f>
        <v>0</v>
      </c>
      <c r="CV12" s="480">
        <f t="shared" ca="1" si="22"/>
        <v>0.74999999999999989</v>
      </c>
      <c r="CW12" s="481">
        <f t="shared" ca="1" si="23"/>
        <v>0.74999999999999989</v>
      </c>
      <c r="CX12" s="481">
        <f t="shared" ca="1" si="24"/>
        <v>0.74999999999999989</v>
      </c>
      <c r="CY12" s="482">
        <f t="shared" ca="1" si="25"/>
        <v>0.74999999999999989</v>
      </c>
      <c r="CZ12" s="482">
        <f t="shared" si="26"/>
        <v>0</v>
      </c>
      <c r="DA12" s="482">
        <f t="shared" ca="1" si="27"/>
        <v>2.9999999999999996</v>
      </c>
      <c r="DB12" s="482">
        <f t="shared" ca="1" si="28"/>
        <v>0.74999999999999989</v>
      </c>
      <c r="DC12" s="481">
        <f t="shared" si="29"/>
        <v>0</v>
      </c>
      <c r="DD12" s="842">
        <f t="shared" si="57"/>
        <v>0</v>
      </c>
      <c r="DE12" s="439">
        <f t="shared" si="58"/>
        <v>0</v>
      </c>
      <c r="DF12" s="439">
        <f t="shared" si="59"/>
        <v>0</v>
      </c>
      <c r="DG12" s="480">
        <f t="shared" ca="1" si="30"/>
        <v>0.74999999999999989</v>
      </c>
      <c r="DH12" s="449">
        <f t="shared" si="60"/>
        <v>0</v>
      </c>
      <c r="DI12" s="449">
        <f>MIN(valkyrja_cap,Production!O12/valkyrja_bonus)</f>
        <v>1</v>
      </c>
      <c r="DJ12" s="842">
        <f>MIN(voodoo_magi_cap,Production!O12/voodoo_magi_bonus)</f>
        <v>0.83333333333333337</v>
      </c>
      <c r="DK12" s="842">
        <f>MIN(warlock_cap,Production!O12/warlock_bonus)</f>
        <v>1</v>
      </c>
      <c r="DL12" s="842">
        <f ca="1">MIN(nox_nightshade_cap,Construction!DF12/Construction!E12/nox_nightshade_swamp_bonus)</f>
        <v>1.4999999999999998</v>
      </c>
      <c r="DM12" s="481">
        <f t="shared" si="31"/>
        <v>0</v>
      </c>
      <c r="DN12" s="482">
        <f t="shared" ca="1" si="32"/>
        <v>1.4999999999999998</v>
      </c>
      <c r="DO12" s="482">
        <f t="shared" ca="1" si="33"/>
        <v>1.4999999999999998</v>
      </c>
      <c r="DP12" s="482">
        <f t="shared" si="34"/>
        <v>1</v>
      </c>
      <c r="DQ12" s="481">
        <f t="shared" si="35"/>
        <v>0</v>
      </c>
      <c r="DR12" s="482">
        <f t="shared" si="36"/>
        <v>0</v>
      </c>
      <c r="DS12" s="481">
        <f t="shared" si="37"/>
        <v>0</v>
      </c>
      <c r="DT12" s="482">
        <f t="shared" si="61"/>
        <v>0</v>
      </c>
      <c r="DU12" s="1187" t="s">
        <v>598</v>
      </c>
      <c r="DV12" s="16" t="b">
        <f t="shared" si="62"/>
        <v>0</v>
      </c>
      <c r="DX12" s="486">
        <f ca="1">MIN(6,CV12+Races!$F$19)*1.8 +  IF(CV12+Races!$F$19&gt;6,(CV12+Races!$F$19-6)*0.2,0) - Races!$N$19</f>
        <v>1.3500000000000005</v>
      </c>
      <c r="DY12" s="487">
        <f ca="1">1.8 * MIN(MAX(CW12+Races!$E$20,CX12+Races!$F$20),6)  +  0.45 * MIN(MIN(CW12+Races!$E$20,CX12+Races!$F$20),6)  +  0.2 * ( MAX(CW12+Races!$E$20-6,0) + MAX(CX12+Races!$F$20-6,0) )  -  Races!$N$20</f>
        <v>1.6874999999999991</v>
      </c>
      <c r="DZ12" s="57">
        <f t="shared" ca="1" si="38"/>
        <v>0</v>
      </c>
      <c r="EA12" s="663">
        <f ca="1">MIN(6,CY12+Races!$F$35)*1.8 +  IF(CY12+Races!$F$35&gt;6,(CY12+Races!$F$35-6)*0.2,0) - Races!$N$19</f>
        <v>-0.45000000000000018</v>
      </c>
      <c r="EB12" s="57">
        <f t="shared" ca="1" si="39"/>
        <v>0</v>
      </c>
      <c r="EC12" s="663">
        <f ca="1">1.8 * MIN(MAX(Races!$E$27,DB12+Races!$F$27),6)  +  0.45 * MIN(MIN(Races!$E$27,DB12+Races!$F$27),6)  +  0.2 * ( MAX(Races!$E$27-6,0) + MAX(DB12+Races!$F$27-6,0) )  -  Races!$N$20</f>
        <v>3.6000000000000005</v>
      </c>
      <c r="ED12" s="57">
        <f t="shared" ca="1" si="40"/>
        <v>0</v>
      </c>
      <c r="EE12" s="663">
        <f>1.8 * MIN(MAX(DC12+Races!$E$47,DD12+Races!$F$47),6)  +  0.45 * MIN(MIN(DC12+Races!$E$47,DD12+Races!$F$47),6)  +  0.2 * ( MAX(DC12+Races!$E$47-6,0) + MAX(DD12+Races!$F$47-6,0) )  -  Races!$N$47</f>
        <v>0</v>
      </c>
      <c r="EF12" s="57">
        <f t="shared" si="41"/>
        <v>0</v>
      </c>
      <c r="EG12" s="663">
        <f ca="1">1.8 * MIN(MAX(DG12+Races!$F$71,Races!$E$71),6)  +  0.45 * MIN(MIN(DG12+Races!$F$71,Races!$E$71),6)  +  0.2 * ( MAX(DG12+Races!$F$71-6,0) + MAX(Races!$E$71-6,0) )  -  Races!$N$71</f>
        <v>1.3499999999999996</v>
      </c>
      <c r="EH12" s="663">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4">
        <f>(J12+2*K12)/Construction!E12</f>
        <v>0</v>
      </c>
      <c r="EP12" s="730">
        <f ca="1">EO12*(1+race_wizard_strength+tech_magical_weaponry_wiz*Techs!AV84)</f>
        <v>0</v>
      </c>
      <c r="EQ12" s="16">
        <f>(I12+halfer*H12/3)/Construction!E12</f>
        <v>0</v>
      </c>
    </row>
    <row r="13" spans="1:147" s="16" customFormat="1" x14ac:dyDescent="0.25">
      <c r="A13" s="627">
        <f>Rezone!J13</f>
        <v>11</v>
      </c>
      <c r="B13" s="152">
        <f ca="1">SUM(E13:L13)+SUM(AF5:AG13)+SUM(AH$3:AI13)+Z13</f>
        <v>5295</v>
      </c>
      <c r="C13" s="97">
        <f ca="1">Population!G13</f>
        <v>0.46084095353322907</v>
      </c>
      <c r="E13" s="156">
        <f>E12 - BF13 + AF4</f>
        <v>0</v>
      </c>
      <c r="F13" s="170">
        <f t="shared" si="64"/>
        <v>0</v>
      </c>
      <c r="G13" s="170">
        <f t="shared" si="65"/>
        <v>0</v>
      </c>
      <c r="H13" s="170">
        <f t="shared" si="65"/>
        <v>0</v>
      </c>
      <c r="I13" s="170">
        <f t="shared" si="65"/>
        <v>0</v>
      </c>
      <c r="J13" s="170">
        <f t="shared" si="44"/>
        <v>0</v>
      </c>
      <c r="K13" s="157">
        <f t="shared" si="45"/>
        <v>0</v>
      </c>
      <c r="M13" s="64">
        <f ca="1">Production!G13</f>
        <v>20900</v>
      </c>
      <c r="O13" s="234">
        <f t="shared" ca="1" si="0"/>
        <v>0</v>
      </c>
      <c r="P13" s="454">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47">
        <f ca="1">race_defense+Imps!AC13+ROUND(MIN(gt_bonus*Construction!BH13/Construction!$E13,gt_bonus_cap),4)+MAX(IF(Magic!AM13&gt;0,frenzy_bonus,IF(Magic!AQ13&gt;0,blizzard_bonus,IF(Magic!AP13&gt;0,howling_dp_bonus,IF(Magic!AI13&gt;0,ares_call_bonus)))),IF(Magic!AX13&gt;0,MIN(Construction!DF13/Construction!E13,0.2),0))</f>
        <v>0</v>
      </c>
      <c r="U13" s="1041">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1516">
        <f ca="1">Imps!AE13</f>
        <v>0</v>
      </c>
      <c r="AD13" s="795">
        <f>Rezone!J13</f>
        <v>11</v>
      </c>
      <c r="AE13" s="587">
        <f>Explore!AA13</f>
        <v>43768.104166666642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2">
        <f t="shared" si="4"/>
        <v>43768.104166666642</v>
      </c>
      <c r="BD13" s="148">
        <f t="shared" ca="1" si="5"/>
        <v>5295</v>
      </c>
      <c r="BE13" s="356"/>
      <c r="BF13" s="348"/>
      <c r="BG13" s="348"/>
      <c r="BH13" s="348"/>
      <c r="BI13" s="348"/>
      <c r="BJ13" s="348"/>
      <c r="BK13" s="348"/>
      <c r="BL13" s="357"/>
      <c r="BN13" s="501">
        <f>Construction!BM13/Construction!E13</f>
        <v>0</v>
      </c>
      <c r="BO13" s="171">
        <f>Construction!BD13/Construction!E13</f>
        <v>0</v>
      </c>
      <c r="BP13" s="152">
        <f ca="1">ROUNDUP((1-MIN(AB13*smithy_bonus,smithy_bonus_cap)-AC13)*(1+Techs!AO13*tech_master_of_frugality)*spec_op_plat,0)</f>
        <v>275</v>
      </c>
      <c r="BQ13" s="164">
        <f ca="1">ROUNDUP(IF(OR(race="Gnome",race="Imperial Gnome"),1-AC13,(1-MIN(AB13*smithy_bonus,smithy_bonus_cap)-AC13)*(1+Techs!AO13*tech_master_of_frugality))*spec_op_ore,0)</f>
        <v>25</v>
      </c>
      <c r="BR13" s="164">
        <f t="shared" si="6"/>
        <v>0</v>
      </c>
      <c r="BS13" s="164">
        <f t="shared" si="7"/>
        <v>0</v>
      </c>
      <c r="BT13" s="164">
        <f ca="1">ROUNDUP((1-MIN(AB13*smithy_bonus,smithy_bonus_cap)-AC13)*(1+Techs!AO13*tech_master_of_frugality)*spec_dp_plat,0)</f>
        <v>275</v>
      </c>
      <c r="BU13" s="164">
        <f ca="1">ROUNDUP(IF(OR(race="Gnome",race="Imperial Gnome"),1-AC13,(1-MIN(AB13*smithy_bonus,smithy_bonus_cap)-AC13)*(1+Techs!AO13*tech_master_of_frugality))*spec_dp_ore,0)</f>
        <v>10</v>
      </c>
      <c r="BV13" s="164">
        <f t="shared" ca="1" si="8"/>
        <v>0</v>
      </c>
      <c r="BW13" s="164">
        <f t="shared" ca="1" si="9"/>
        <v>0</v>
      </c>
      <c r="BX13" s="164">
        <f t="shared" ca="1" si="10"/>
        <v>0</v>
      </c>
      <c r="BY13" s="164">
        <f ca="1">ROUNDUP((1-MIN(AB13*smithy_bonus,smithy_bonus_cap)-AC13)*(1+Techs!AO13*tech_master_of_frugality)*elite1_plat,0)</f>
        <v>1000</v>
      </c>
      <c r="BZ13" s="164">
        <f ca="1">ROUNDUP(IF(OR(race="Gnome",race="Imperial Gnome"),1-AC13,(1-MIN(AB13*smithy_bonus,smithy_bonus_cap)-AC13)*(1+Techs!AO13*tech_master_of_frugality))*elite1_ore,0)</f>
        <v>75</v>
      </c>
      <c r="CA13" s="164">
        <f t="shared" ca="1" si="55"/>
        <v>0</v>
      </c>
      <c r="CB13" s="164">
        <f t="shared" ca="1" si="12"/>
        <v>0</v>
      </c>
      <c r="CC13" s="164">
        <f t="shared" ca="1" si="13"/>
        <v>0</v>
      </c>
      <c r="CD13" s="164">
        <f t="shared" ca="1" si="14"/>
        <v>0</v>
      </c>
      <c r="CE13" s="164">
        <f t="shared" ca="1" si="15"/>
        <v>0</v>
      </c>
      <c r="CF13" s="164">
        <f ca="1">ROUNDUP((1-MIN(AB13*smithy_bonus,smithy_bonus_cap)-AC13)*(1+Techs!AO13*tech_master_of_frugality)*elite2_plat,0)</f>
        <v>1250</v>
      </c>
      <c r="CG13" s="164">
        <f ca="1">ROUNDUP(IF(OR(race="Gnome",race="Imperial Gnome"),1-AC13,(1-MIN(AB13*smithy_bonus,smithy_bonus_cap)-AC13)*(1+Techs!AO13*tech_master_of_frugality))*elite2_ore,0)</f>
        <v>100</v>
      </c>
      <c r="CH13" s="164">
        <f t="shared" ca="1" si="5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4">
        <f ca="1">Construction!DF13/Construction!E13</f>
        <v>0.15</v>
      </c>
      <c r="CR13" s="465">
        <f t="shared" si="21"/>
        <v>0</v>
      </c>
      <c r="CS13" s="465">
        <f>Construction!BK13/Construction!E13</f>
        <v>0.05</v>
      </c>
      <c r="CT13" s="465">
        <f>Construction!BJ13/Construction!E13</f>
        <v>0</v>
      </c>
      <c r="CU13" s="465">
        <f>Construction!AY13/Construction!E13</f>
        <v>0</v>
      </c>
      <c r="CV13" s="480">
        <f t="shared" ca="1" si="22"/>
        <v>0.74999999999999989</v>
      </c>
      <c r="CW13" s="481">
        <f t="shared" ca="1" si="23"/>
        <v>0.74999999999999989</v>
      </c>
      <c r="CX13" s="481">
        <f t="shared" ca="1" si="24"/>
        <v>0.74999999999999989</v>
      </c>
      <c r="CY13" s="482">
        <f t="shared" ca="1" si="25"/>
        <v>0.74999999999999989</v>
      </c>
      <c r="CZ13" s="482">
        <f t="shared" si="26"/>
        <v>0</v>
      </c>
      <c r="DA13" s="482">
        <f t="shared" ca="1" si="27"/>
        <v>2.9999999999999996</v>
      </c>
      <c r="DB13" s="482">
        <f t="shared" ca="1" si="28"/>
        <v>0.74999999999999989</v>
      </c>
      <c r="DC13" s="481">
        <f t="shared" si="29"/>
        <v>0</v>
      </c>
      <c r="DD13" s="842">
        <f t="shared" si="57"/>
        <v>0</v>
      </c>
      <c r="DE13" s="439">
        <f t="shared" si="58"/>
        <v>0</v>
      </c>
      <c r="DF13" s="439">
        <f t="shared" si="59"/>
        <v>0</v>
      </c>
      <c r="DG13" s="480">
        <f t="shared" ca="1" si="30"/>
        <v>0.74999999999999989</v>
      </c>
      <c r="DH13" s="449">
        <f t="shared" si="60"/>
        <v>0</v>
      </c>
      <c r="DI13" s="449">
        <f>MIN(valkyrja_cap,Production!O13/valkyrja_bonus)</f>
        <v>1</v>
      </c>
      <c r="DJ13" s="842">
        <f>MIN(voodoo_magi_cap,Production!O13/voodoo_magi_bonus)</f>
        <v>0.83333333333333337</v>
      </c>
      <c r="DK13" s="842">
        <f>MIN(warlock_cap,Production!O13/warlock_bonus)</f>
        <v>1</v>
      </c>
      <c r="DL13" s="842">
        <f ca="1">MIN(nox_nightshade_cap,Construction!DF13/Construction!E13/nox_nightshade_swamp_bonus)</f>
        <v>1.4999999999999998</v>
      </c>
      <c r="DM13" s="481">
        <f t="shared" si="31"/>
        <v>0</v>
      </c>
      <c r="DN13" s="482">
        <f t="shared" ca="1" si="32"/>
        <v>1.4999999999999998</v>
      </c>
      <c r="DO13" s="482">
        <f t="shared" ca="1" si="33"/>
        <v>1.4999999999999998</v>
      </c>
      <c r="DP13" s="482">
        <f t="shared" si="34"/>
        <v>1</v>
      </c>
      <c r="DQ13" s="481">
        <f t="shared" si="35"/>
        <v>0</v>
      </c>
      <c r="DR13" s="482">
        <f t="shared" si="36"/>
        <v>0</v>
      </c>
      <c r="DS13" s="481">
        <f t="shared" si="37"/>
        <v>0</v>
      </c>
      <c r="DT13" s="482">
        <f t="shared" si="61"/>
        <v>0</v>
      </c>
      <c r="DU13" s="1187" t="s">
        <v>608</v>
      </c>
      <c r="DV13" s="16" t="b">
        <f t="shared" si="62"/>
        <v>0</v>
      </c>
      <c r="DX13" s="486">
        <f ca="1">MIN(6,CV13+Races!$F$19)*1.8 +  IF(CV13+Races!$F$19&gt;6,(CV13+Races!$F$19-6)*0.2,0) - Races!$N$19</f>
        <v>1.3500000000000005</v>
      </c>
      <c r="DY13" s="487">
        <f ca="1">1.8 * MIN(MAX(CW13+Races!$E$20,CX13+Races!$F$20),6)  +  0.45 * MIN(MIN(CW13+Races!$E$20,CX13+Races!$F$20),6)  +  0.2 * ( MAX(CW13+Races!$E$20-6,0) + MAX(CX13+Races!$F$20-6,0) )  -  Races!$N$20</f>
        <v>1.6874999999999991</v>
      </c>
      <c r="DZ13" s="57">
        <f t="shared" ca="1" si="38"/>
        <v>0</v>
      </c>
      <c r="EA13" s="663">
        <f ca="1">MIN(6,CY13+Races!$F$35)*1.8 +  IF(CY13+Races!$F$35&gt;6,(CY13+Races!$F$35-6)*0.2,0) - Races!$N$19</f>
        <v>-0.45000000000000018</v>
      </c>
      <c r="EB13" s="57">
        <f t="shared" ca="1" si="39"/>
        <v>0</v>
      </c>
      <c r="EC13" s="663">
        <f ca="1">1.8 * MIN(MAX(Races!$E$27,DB13+Races!$F$27),6)  +  0.45 * MIN(MIN(Races!$E$27,DB13+Races!$F$27),6)  +  0.2 * ( MAX(Races!$E$27-6,0) + MAX(DB13+Races!$F$27-6,0) )  -  Races!$N$20</f>
        <v>3.6000000000000005</v>
      </c>
      <c r="ED13" s="57">
        <f t="shared" ca="1" si="40"/>
        <v>0</v>
      </c>
      <c r="EE13" s="663">
        <f>1.8 * MIN(MAX(DC13+Races!$E$47,DD13+Races!$F$47),6)  +  0.45 * MIN(MIN(DC13+Races!$E$47,DD13+Races!$F$47),6)  +  0.2 * ( MAX(DC13+Races!$E$47-6,0) + MAX(DD13+Races!$F$47-6,0) )  -  Races!$N$47</f>
        <v>0</v>
      </c>
      <c r="EF13" s="57">
        <f t="shared" si="41"/>
        <v>0</v>
      </c>
      <c r="EG13" s="663">
        <f ca="1">1.8 * MIN(MAX(DG13+Races!$F$71,Races!$E$71),6)  +  0.45 * MIN(MIN(DG13+Races!$F$71,Races!$E$71),6)  +  0.2 * ( MAX(DG13+Races!$F$71-6,0) + MAX(Races!$E$71-6,0) )  -  Races!$N$71</f>
        <v>1.3499999999999996</v>
      </c>
      <c r="EH13" s="663">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4">
        <f>(J13+2*K13)/Construction!E13</f>
        <v>0</v>
      </c>
      <c r="EP13" s="730">
        <f ca="1">EO13*(1+race_wizard_strength+tech_magical_weaponry_wiz*Techs!AV85)</f>
        <v>0</v>
      </c>
      <c r="EQ13" s="16">
        <f>(I13+halfer*H13/3)/Construction!E13</f>
        <v>0</v>
      </c>
    </row>
    <row r="14" spans="1:147" s="170" customFormat="1" x14ac:dyDescent="0.25">
      <c r="A14" s="627">
        <f>Rezone!J14</f>
        <v>12</v>
      </c>
      <c r="B14" s="152">
        <f ca="1">SUM(E14:L14)+SUM(AF6:AG14)+SUM(AH3:AI14)+Z14</f>
        <v>5295</v>
      </c>
      <c r="C14" s="171">
        <f ca="1">Population!G14</f>
        <v>0.47360846803443063</v>
      </c>
      <c r="E14" s="156">
        <f t="shared" si="63"/>
        <v>0</v>
      </c>
      <c r="F14" s="170">
        <f t="shared" si="64"/>
        <v>0</v>
      </c>
      <c r="G14" s="170">
        <f t="shared" si="65"/>
        <v>0</v>
      </c>
      <c r="H14" s="170">
        <f t="shared" si="65"/>
        <v>0</v>
      </c>
      <c r="I14" s="170">
        <f t="shared" si="65"/>
        <v>0</v>
      </c>
      <c r="J14" s="170">
        <f t="shared" si="44"/>
        <v>0</v>
      </c>
      <c r="K14" s="157">
        <f t="shared" si="45"/>
        <v>0</v>
      </c>
      <c r="M14" s="160">
        <f ca="1">Production!G14</f>
        <v>20900</v>
      </c>
      <c r="O14" s="234">
        <f t="shared" ca="1" si="0"/>
        <v>0</v>
      </c>
      <c r="P14" s="454">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47">
        <f ca="1">race_defense+Imps!AC14+ROUND(MIN(gt_bonus*Construction!BH14/Construction!$E14,gt_bonus_cap),4)+MAX(IF(Magic!AM14&gt;0,frenzy_bonus,IF(Magic!AQ14&gt;0,blizzard_bonus,IF(Magic!AP14&gt;0,howling_dp_bonus,IF(Magic!AI14&gt;0,ares_call_bonus)))),IF(Magic!AX14&gt;0,MIN(Construction!DF14/Construction!E14,0.2),0))</f>
        <v>0</v>
      </c>
      <c r="U14" s="1041">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1515">
        <f ca="1">Imps!AE14</f>
        <v>0</v>
      </c>
      <c r="AD14" s="794">
        <f>Rezone!J14</f>
        <v>12</v>
      </c>
      <c r="AE14" s="587">
        <f>Explore!AA14</f>
        <v>43768.114583333307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0">
        <f t="shared" si="4"/>
        <v>43768.114583333307</v>
      </c>
      <c r="BD14" s="233">
        <f t="shared" ca="1" si="5"/>
        <v>5295</v>
      </c>
      <c r="BE14" s="352"/>
      <c r="BF14" s="345"/>
      <c r="BG14" s="345"/>
      <c r="BH14" s="345"/>
      <c r="BI14" s="345"/>
      <c r="BJ14" s="345"/>
      <c r="BK14" s="345"/>
      <c r="BL14" s="353"/>
      <c r="BN14" s="501">
        <f>Construction!BM14/Construction!E14</f>
        <v>0</v>
      </c>
      <c r="BO14" s="171">
        <f>Construction!BD14/Construction!E14</f>
        <v>0</v>
      </c>
      <c r="BP14" s="152">
        <f ca="1">ROUNDUP((1-MIN(AB14*smithy_bonus,smithy_bonus_cap)-AC14)*(1+Techs!AO14*tech_master_of_frugality)*spec_op_plat,0)</f>
        <v>275</v>
      </c>
      <c r="BQ14" s="164">
        <f ca="1">ROUNDUP(IF(OR(race="Gnome",race="Imperial Gnome"),1-AC14,(1-MIN(AB14*smithy_bonus,smithy_bonus_cap)-AC14)*(1+Techs!AO14*tech_master_of_frugality))*spec_op_ore,0)</f>
        <v>25</v>
      </c>
      <c r="BR14" s="164">
        <f t="shared" si="6"/>
        <v>0</v>
      </c>
      <c r="BS14" s="164">
        <f t="shared" si="7"/>
        <v>0</v>
      </c>
      <c r="BT14" s="164">
        <f ca="1">ROUNDUP((1-MIN(AB14*smithy_bonus,smithy_bonus_cap)-AC14)*(1+Techs!AO14*tech_master_of_frugality)*spec_dp_plat,0)</f>
        <v>275</v>
      </c>
      <c r="BU14" s="164">
        <f ca="1">ROUNDUP(IF(OR(race="Gnome",race="Imperial Gnome"),1-AC14,(1-MIN(AB14*smithy_bonus,smithy_bonus_cap)-AC14)*(1+Techs!AO14*tech_master_of_frugality))*spec_dp_ore,0)</f>
        <v>10</v>
      </c>
      <c r="BV14" s="164">
        <f t="shared" ca="1" si="8"/>
        <v>0</v>
      </c>
      <c r="BW14" s="164">
        <f t="shared" ca="1" si="9"/>
        <v>0</v>
      </c>
      <c r="BX14" s="164">
        <f t="shared" ca="1" si="10"/>
        <v>0</v>
      </c>
      <c r="BY14" s="164">
        <f ca="1">ROUNDUP((1-MIN(AB14*smithy_bonus,smithy_bonus_cap)-AC14)*(1+Techs!AO14*tech_master_of_frugality)*elite1_plat,0)</f>
        <v>1000</v>
      </c>
      <c r="BZ14" s="164">
        <f ca="1">ROUNDUP(IF(OR(race="Gnome",race="Imperial Gnome"),1-AC14,(1-MIN(AB14*smithy_bonus,smithy_bonus_cap)-AC14)*(1+Techs!AO14*tech_master_of_frugality))*elite1_ore,0)</f>
        <v>75</v>
      </c>
      <c r="CA14" s="164">
        <f t="shared" ca="1" si="55"/>
        <v>0</v>
      </c>
      <c r="CB14" s="164">
        <f t="shared" ca="1" si="12"/>
        <v>0</v>
      </c>
      <c r="CC14" s="164">
        <f t="shared" ca="1" si="13"/>
        <v>0</v>
      </c>
      <c r="CD14" s="164">
        <f t="shared" ca="1" si="14"/>
        <v>0</v>
      </c>
      <c r="CE14" s="164">
        <f t="shared" ca="1" si="15"/>
        <v>0</v>
      </c>
      <c r="CF14" s="164">
        <f ca="1">ROUNDUP((1-MIN(AB14*smithy_bonus,smithy_bonus_cap)-AC14)*(1+Techs!AO14*tech_master_of_frugality)*elite2_plat,0)</f>
        <v>1250</v>
      </c>
      <c r="CG14" s="164">
        <f ca="1">ROUNDUP(IF(OR(race="Gnome",race="Imperial Gnome"),1-AC14,(1-MIN(AB14*smithy_bonus,smithy_bonus_cap)-AC14)*(1+Techs!AO14*tech_master_of_frugality))*elite2_ore,0)</f>
        <v>100</v>
      </c>
      <c r="CH14" s="164">
        <f t="shared" ca="1" si="5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0">
        <f ca="1">Construction!DF14/Construction!E14</f>
        <v>0.15</v>
      </c>
      <c r="CR14" s="461">
        <f t="shared" si="21"/>
        <v>0</v>
      </c>
      <c r="CS14" s="461">
        <f>Construction!BK14/Construction!E14</f>
        <v>0.05</v>
      </c>
      <c r="CT14" s="461">
        <f>Construction!BJ14/Construction!E14</f>
        <v>0</v>
      </c>
      <c r="CU14" s="461">
        <f>Construction!AY14/Construction!E14</f>
        <v>0</v>
      </c>
      <c r="CV14" s="480">
        <f t="shared" ca="1" si="22"/>
        <v>0.74999999999999989</v>
      </c>
      <c r="CW14" s="481">
        <f t="shared" ca="1" si="23"/>
        <v>0.74999999999999989</v>
      </c>
      <c r="CX14" s="481">
        <f t="shared" ca="1" si="24"/>
        <v>0.74999999999999989</v>
      </c>
      <c r="CY14" s="482">
        <f t="shared" ca="1" si="25"/>
        <v>0.74999999999999989</v>
      </c>
      <c r="CZ14" s="482">
        <f t="shared" si="26"/>
        <v>0</v>
      </c>
      <c r="DA14" s="482">
        <f t="shared" ca="1" si="27"/>
        <v>2.9999999999999996</v>
      </c>
      <c r="DB14" s="482">
        <f t="shared" ca="1" si="28"/>
        <v>0.74999999999999989</v>
      </c>
      <c r="DC14" s="481">
        <f t="shared" si="29"/>
        <v>0</v>
      </c>
      <c r="DD14" s="842">
        <f t="shared" si="57"/>
        <v>0</v>
      </c>
      <c r="DE14" s="439">
        <f t="shared" si="58"/>
        <v>0</v>
      </c>
      <c r="DF14" s="439">
        <f t="shared" si="59"/>
        <v>0</v>
      </c>
      <c r="DG14" s="480">
        <f t="shared" ca="1" si="30"/>
        <v>0.74999999999999989</v>
      </c>
      <c r="DH14" s="449">
        <f t="shared" si="60"/>
        <v>0</v>
      </c>
      <c r="DI14" s="449">
        <f>MIN(valkyrja_cap,Production!O14/valkyrja_bonus)</f>
        <v>1</v>
      </c>
      <c r="DJ14" s="842">
        <f>MIN(voodoo_magi_cap,Production!O14/voodoo_magi_bonus)</f>
        <v>0.83333333333333337</v>
      </c>
      <c r="DK14" s="842">
        <f>MIN(warlock_cap,Production!O14/warlock_bonus)</f>
        <v>1</v>
      </c>
      <c r="DL14" s="842">
        <f ca="1">MIN(nox_nightshade_cap,Construction!DF14/Construction!E14/nox_nightshade_swamp_bonus)</f>
        <v>1.4999999999999998</v>
      </c>
      <c r="DM14" s="481">
        <f t="shared" si="31"/>
        <v>0</v>
      </c>
      <c r="DN14" s="482">
        <f t="shared" ca="1" si="32"/>
        <v>1.4999999999999998</v>
      </c>
      <c r="DO14" s="482">
        <f t="shared" ca="1" si="33"/>
        <v>1.4999999999999998</v>
      </c>
      <c r="DP14" s="482">
        <f t="shared" si="34"/>
        <v>1</v>
      </c>
      <c r="DQ14" s="481">
        <f t="shared" si="35"/>
        <v>0</v>
      </c>
      <c r="DR14" s="482">
        <f t="shared" si="36"/>
        <v>0</v>
      </c>
      <c r="DS14" s="481">
        <f t="shared" si="37"/>
        <v>0</v>
      </c>
      <c r="DT14" s="482">
        <f t="shared" si="61"/>
        <v>0</v>
      </c>
      <c r="DU14" s="1187" t="s">
        <v>623</v>
      </c>
      <c r="DV14" s="16" t="b">
        <f t="shared" si="62"/>
        <v>0</v>
      </c>
      <c r="DX14" s="480">
        <f ca="1">MIN(6,CV14+Races!$F$19)*1.8 +  IF(CV14+Races!$F$19&gt;6,(CV14+Races!$F$19-6)*0.2,0) - Races!$N$19</f>
        <v>1.3500000000000005</v>
      </c>
      <c r="DY14" s="481">
        <f ca="1">1.8 * MIN(MAX(CW14+Races!$E$20,CX14+Races!$F$20),6)  +  0.45 * MIN(MIN(CW14+Races!$E$20,CX14+Races!$F$20),6)  +  0.2 * ( MAX(CW14+Races!$E$20-6,0) + MAX(CX14+Races!$F$20-6,0) )  -  Races!$N$20</f>
        <v>1.6874999999999991</v>
      </c>
      <c r="DZ14" s="166">
        <f t="shared" ca="1" si="38"/>
        <v>0</v>
      </c>
      <c r="EA14" s="662">
        <f ca="1">MIN(6,CY14+Races!$F$35)*1.8 +  IF(CY14+Races!$F$35&gt;6,(CY14+Races!$F$35-6)*0.2,0) - Races!$N$19</f>
        <v>-0.45000000000000018</v>
      </c>
      <c r="EB14" s="166">
        <f t="shared" ca="1" si="39"/>
        <v>0</v>
      </c>
      <c r="EC14" s="662">
        <f ca="1">1.8 * MIN(MAX(Races!$E$27,DB14+Races!$F$27),6)  +  0.45 * MIN(MIN(Races!$E$27,DB14+Races!$F$27),6)  +  0.2 * ( MAX(Races!$E$27-6,0) + MAX(DB14+Races!$F$27-6,0) )  -  Races!$N$20</f>
        <v>3.6000000000000005</v>
      </c>
      <c r="ED14" s="166">
        <f t="shared" ca="1" si="40"/>
        <v>0</v>
      </c>
      <c r="EE14" s="662">
        <f>1.8 * MIN(MAX(DC14+Races!$E$47,DD14+Races!$F$47),6)  +  0.45 * MIN(MIN(DC14+Races!$E$47,DD14+Races!$F$47),6)  +  0.2 * ( MAX(DC14+Races!$E$47-6,0) + MAX(DD14+Races!$F$47-6,0) )  -  Races!$N$47</f>
        <v>0</v>
      </c>
      <c r="EF14" s="166">
        <f t="shared" si="41"/>
        <v>0</v>
      </c>
      <c r="EG14" s="662">
        <f ca="1">1.8 * MIN(MAX(DG14+Races!$F$71,Races!$E$71),6)  +  0.45 * MIN(MIN(DG14+Races!$F$71,Races!$E$71),6)  +  0.2 * ( MAX(DG14+Races!$F$71-6,0) + MAX(Races!$E$71-6,0) )  -  Races!$N$71</f>
        <v>1.3499999999999996</v>
      </c>
      <c r="EH14" s="662">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3">
        <f>(J14+2*K14)/Construction!E14</f>
        <v>0</v>
      </c>
      <c r="EP14" s="730">
        <f ca="1">EO14*(1+race_wizard_strength+tech_magical_weaponry_wiz*Techs!AV86)</f>
        <v>0</v>
      </c>
      <c r="EQ14" s="170">
        <f>(I14+halfer*H14/3)/Construction!E14</f>
        <v>0</v>
      </c>
    </row>
    <row r="15" spans="1:147" s="163" customFormat="1" x14ac:dyDescent="0.25">
      <c r="A15" s="319">
        <f>Rezone!J15</f>
        <v>13</v>
      </c>
      <c r="B15" s="151">
        <f ca="1">SUM(E15:K15)+SUM(AF7:AG15)+SUM(AH4:AL15)+Z15+Explore!AL15</f>
        <v>5295</v>
      </c>
      <c r="C15" s="162">
        <f ca="1">Population!G15</f>
        <v>0.48641058878414878</v>
      </c>
      <c r="E15" s="184">
        <f t="shared" ref="E15:E46" si="66">E14 - BF15 + AF6 - IF(race="Lux",AG15+AH15,0)</f>
        <v>0</v>
      </c>
      <c r="F15" s="163">
        <f t="shared" ref="F15:F46" si="67">F14 - BG15 + IF(race="Lux",AG3,AG6) - IF(race="Lux",AI15,0)</f>
        <v>0</v>
      </c>
      <c r="G15" s="163">
        <f t="shared" ref="G15:G46" si="68">G14 + AH3 - BH15 - IF(race="Lux",AI15,0)</f>
        <v>0</v>
      </c>
      <c r="H15" s="163">
        <f t="shared" ref="H15:H46" si="69">H14 + AI3 - BI15</f>
        <v>0</v>
      </c>
      <c r="I15" s="163">
        <f t="shared" ref="I15:I46" si="70">I14 + AJ3 - BJ15</f>
        <v>0</v>
      </c>
      <c r="J15" s="163">
        <f t="shared" ref="J15:J46" si="71">J14 + AK3 - AL15 - BK15</f>
        <v>0</v>
      </c>
      <c r="K15" s="185">
        <f t="shared" ref="K15:K46" si="72">K14 + AL3 - BL15</f>
        <v>0</v>
      </c>
      <c r="M15" s="203">
        <f ca="1">Production!G15</f>
        <v>20900</v>
      </c>
      <c r="O15" s="227">
        <f t="shared" ca="1" si="0"/>
        <v>0</v>
      </c>
      <c r="P15" s="446">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1">
        <f ca="1">race_defense+Imps!AC15+ROUND(MIN(gt_bonus*Construction!BH15/Construction!$E15,gt_bonus_cap),4)+MAX(IF(Magic!AM15&gt;0,frenzy_bonus,IF(Magic!AQ15&gt;0,blizzard_bonus,IF(Magic!AP15&gt;0,howling_dp_bonus,IF(Magic!AI15&gt;0,ares_call_bonus)))),IF(Magic!AX15&gt;0,MIN(Construction!DF15/Construction!E15,0.2),0))</f>
        <v>0</v>
      </c>
      <c r="U15" s="1042">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1517">
        <f ca="1">Imps!AE15</f>
        <v>0</v>
      </c>
      <c r="AD15" s="796">
        <f>Rezone!J15</f>
        <v>13</v>
      </c>
      <c r="AE15" s="586">
        <f>Explore!AA15</f>
        <v>43768.124999999971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4">
        <f t="shared" ref="BC15:BC67" si="73">AE15</f>
        <v>43768.124999999971</v>
      </c>
      <c r="BD15" s="231">
        <f t="shared" ref="BD15:BD67" ca="1" si="74">$Z15</f>
        <v>5295</v>
      </c>
      <c r="BE15" s="371"/>
      <c r="BF15" s="346"/>
      <c r="BG15" s="346"/>
      <c r="BH15" s="346"/>
      <c r="BI15" s="346"/>
      <c r="BJ15" s="346"/>
      <c r="BK15" s="346"/>
      <c r="BL15" s="372"/>
      <c r="BN15" s="500">
        <f>Construction!BM15/Construction!E15</f>
        <v>0</v>
      </c>
      <c r="BO15" s="162">
        <f>Construction!BD15/Construction!E15</f>
        <v>0</v>
      </c>
      <c r="BP15" s="151">
        <f ca="1">ROUNDUP((1-MIN(AB15*smithy_bonus,smithy_bonus_cap)-AC15)*(1+Techs!AO15*tech_master_of_frugality)*spec_op_plat,0)</f>
        <v>275</v>
      </c>
      <c r="BQ15" s="153">
        <f ca="1">ROUNDUP(IF(OR(race="Gnome",race="Imperial Gnome"),1-AC15,(1-MIN(AB15*smithy_bonus,smithy_bonus_cap)-AC15)*(1+Techs!AO15*tech_master_of_frugality))*spec_op_ore,0)</f>
        <v>25</v>
      </c>
      <c r="BR15" s="153">
        <f t="shared" si="6"/>
        <v>0</v>
      </c>
      <c r="BS15" s="153">
        <f t="shared" si="7"/>
        <v>0</v>
      </c>
      <c r="BT15" s="153">
        <f ca="1">ROUNDUP((1-MIN(AB15*smithy_bonus,smithy_bonus_cap)-AC15)*(1+Techs!AO15*tech_master_of_frugality)*spec_dp_plat,0)</f>
        <v>275</v>
      </c>
      <c r="BU15" s="153">
        <f ca="1">ROUNDUP(IF(OR(race="Gnome",race="Imperial Gnome"),1-AC15,(1-MIN(AB15*smithy_bonus,smithy_bonus_cap)-AC15)*(1+Techs!AO15*tech_master_of_frugality))*spec_dp_ore,0)</f>
        <v>10</v>
      </c>
      <c r="BV15" s="153">
        <f t="shared" ca="1" si="8"/>
        <v>0</v>
      </c>
      <c r="BW15" s="153">
        <f t="shared" ca="1" si="9"/>
        <v>0</v>
      </c>
      <c r="BX15" s="153">
        <f t="shared" ca="1" si="10"/>
        <v>0</v>
      </c>
      <c r="BY15" s="153">
        <f ca="1">ROUNDUP((1-MIN(AB15*smithy_bonus,smithy_bonus_cap)-AC15)*(1+Techs!AO15*tech_master_of_frugality)*elite1_plat,0)</f>
        <v>1000</v>
      </c>
      <c r="BZ15" s="153">
        <f ca="1">ROUNDUP(IF(OR(race="Gnome",race="Imperial Gnome"),1-AC15,(1-MIN(AB15*smithy_bonus,smithy_bonus_cap)-AC15)*(1+Techs!AO15*tech_master_of_frugality))*elite1_ore,0)</f>
        <v>75</v>
      </c>
      <c r="CA15" s="153">
        <f t="shared" ca="1" si="55"/>
        <v>0</v>
      </c>
      <c r="CB15" s="153">
        <f t="shared" ca="1" si="12"/>
        <v>0</v>
      </c>
      <c r="CC15" s="153">
        <f t="shared" ca="1" si="13"/>
        <v>0</v>
      </c>
      <c r="CD15" s="153">
        <f t="shared" ca="1" si="14"/>
        <v>0</v>
      </c>
      <c r="CE15" s="153">
        <f t="shared" ca="1" si="15"/>
        <v>0</v>
      </c>
      <c r="CF15" s="153">
        <f ca="1">ROUNDUP((1-MIN(AB15*smithy_bonus,smithy_bonus_cap)-AC15)*(1+Techs!AO15*tech_master_of_frugality)*elite2_plat,0)</f>
        <v>1250</v>
      </c>
      <c r="CG15" s="153">
        <f ca="1">ROUNDUP(IF(OR(race="Gnome",race="Imperial Gnome"),1-AC15,(1-MIN(AB15*smithy_bonus,smithy_bonus_cap)-AC15)*(1+Techs!AO15*tech_master_of_frugality))*elite2_ore,0)</f>
        <v>100</v>
      </c>
      <c r="CH15" s="153">
        <f t="shared" ca="1" si="5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8">
        <f ca="1">Construction!DF15/Construction!E15</f>
        <v>0.15</v>
      </c>
      <c r="CR15" s="459">
        <f t="shared" ref="CR15:CR67" si="75">BN15</f>
        <v>0</v>
      </c>
      <c r="CS15" s="459">
        <f>Construction!BK15/Construction!E15</f>
        <v>0.05</v>
      </c>
      <c r="CT15" s="459">
        <f>Construction!BJ15/Construction!E15</f>
        <v>0</v>
      </c>
      <c r="CU15" s="459">
        <f>Construction!AY15/Construction!E15</f>
        <v>0</v>
      </c>
      <c r="CV15" s="477">
        <f t="shared" ca="1" si="22"/>
        <v>0.74999999999999989</v>
      </c>
      <c r="CW15" s="478">
        <f t="shared" ca="1" si="23"/>
        <v>0.74999999999999989</v>
      </c>
      <c r="CX15" s="478">
        <f t="shared" ca="1" si="24"/>
        <v>0.74999999999999989</v>
      </c>
      <c r="CY15" s="479">
        <f t="shared" ca="1" si="25"/>
        <v>0.74999999999999989</v>
      </c>
      <c r="CZ15" s="479">
        <f t="shared" si="26"/>
        <v>0</v>
      </c>
      <c r="DA15" s="479">
        <f t="shared" ca="1" si="27"/>
        <v>2.9999999999999996</v>
      </c>
      <c r="DB15" s="479">
        <f t="shared" ca="1" si="28"/>
        <v>0.74999999999999989</v>
      </c>
      <c r="DC15" s="478">
        <f t="shared" si="29"/>
        <v>0</v>
      </c>
      <c r="DD15" s="844">
        <f t="shared" si="57"/>
        <v>0</v>
      </c>
      <c r="DE15" s="727">
        <f t="shared" si="58"/>
        <v>0</v>
      </c>
      <c r="DF15" s="727">
        <f t="shared" si="59"/>
        <v>0</v>
      </c>
      <c r="DG15" s="477">
        <f t="shared" ca="1" si="30"/>
        <v>0.74999999999999989</v>
      </c>
      <c r="DH15" s="447">
        <f t="shared" si="60"/>
        <v>0</v>
      </c>
      <c r="DI15" s="447">
        <f>MIN(valkyrja_cap,Production!O15/valkyrja_bonus)</f>
        <v>1</v>
      </c>
      <c r="DJ15" s="844">
        <f>MIN(voodoo_magi_cap,Production!O15/voodoo_magi_bonus)</f>
        <v>0.83333333333333337</v>
      </c>
      <c r="DK15" s="844">
        <f>MIN(warlock_cap,Production!O15/warlock_bonus)</f>
        <v>1</v>
      </c>
      <c r="DL15" s="844">
        <f ca="1">MIN(nox_nightshade_cap,Construction!DF15/Construction!E15/nox_nightshade_swamp_bonus)</f>
        <v>1.4999999999999998</v>
      </c>
      <c r="DM15" s="478">
        <f t="shared" si="31"/>
        <v>0</v>
      </c>
      <c r="DN15" s="479">
        <f t="shared" ca="1" si="32"/>
        <v>1.4999999999999998</v>
      </c>
      <c r="DO15" s="479">
        <f t="shared" ca="1" si="33"/>
        <v>1.4999999999999998</v>
      </c>
      <c r="DP15" s="479">
        <f t="shared" si="34"/>
        <v>1</v>
      </c>
      <c r="DQ15" s="478">
        <f t="shared" si="35"/>
        <v>0</v>
      </c>
      <c r="DR15" s="479">
        <f t="shared" si="36"/>
        <v>0</v>
      </c>
      <c r="DS15" s="478">
        <f t="shared" si="37"/>
        <v>0</v>
      </c>
      <c r="DT15" s="479">
        <f t="shared" si="61"/>
        <v>0</v>
      </c>
      <c r="DU15" s="163" t="s">
        <v>104</v>
      </c>
      <c r="DV15" s="12" t="b">
        <f t="shared" si="62"/>
        <v>0</v>
      </c>
      <c r="DX15" s="477">
        <f ca="1">MIN(6,CV15+Races!$F$19)*1.8 +  IF(CV15+Races!$F$19&gt;6,(CV15+Races!$F$19-6)*0.2,0) - Races!$N$19</f>
        <v>1.3500000000000005</v>
      </c>
      <c r="DY15" s="478">
        <f ca="1">1.8 * MIN(MAX(CW15+Races!$E$20,CX15+Races!$F$20),6)  +  0.45 * MIN(MIN(CW15+Races!$E$20,CX15+Races!$F$20),6)  +  0.2 * ( MAX(CW15+Races!$E$20-6,0) + MAX(CX15+Races!$F$20-6,0) )  -  Races!$N$20</f>
        <v>1.6874999999999991</v>
      </c>
      <c r="DZ15" s="158">
        <f t="shared" ca="1" si="38"/>
        <v>0</v>
      </c>
      <c r="EA15" s="661">
        <f ca="1">MIN(6,CY15+Races!$F$35)*1.8 +  IF(CY15+Races!$F$35&gt;6,(CY15+Races!$F$35-6)*0.2,0) - Races!$N$19</f>
        <v>-0.45000000000000018</v>
      </c>
      <c r="EB15" s="158">
        <f t="shared" ca="1" si="39"/>
        <v>0</v>
      </c>
      <c r="EC15" s="661">
        <f ca="1">1.8 * MIN(MAX(Races!$E$27,DB15+Races!$F$27),6)  +  0.45 * MIN(MIN(Races!$E$27,DB15+Races!$F$27),6)  +  0.2 * ( MAX(Races!$E$27-6,0) + MAX(DB15+Races!$F$27-6,0) )  -  Races!$N$20</f>
        <v>3.6000000000000005</v>
      </c>
      <c r="ED15" s="158">
        <f t="shared" ca="1" si="40"/>
        <v>0</v>
      </c>
      <c r="EE15" s="661">
        <f>1.8 * MIN(MAX(DC15+Races!$E$47,DD15+Races!$F$47),6)  +  0.45 * MIN(MIN(DC15+Races!$E$47,DD15+Races!$F$47),6)  +  0.2 * ( MAX(DC15+Races!$E$47-6,0) + MAX(DD15+Races!$F$47-6,0) )  -  Races!$N$47</f>
        <v>0</v>
      </c>
      <c r="EF15" s="158">
        <f t="shared" si="41"/>
        <v>0</v>
      </c>
      <c r="EG15" s="661">
        <f ca="1">1.8 * MIN(MAX(DG15+Races!$F$71,Races!$E$71),6)  +  0.45 * MIN(MIN(DG15+Races!$F$71,Races!$E$71),6)  +  0.2 * ( MAX(DG15+Races!$F$71-6,0) + MAX(Races!$E$71-6,0) )  -  Races!$N$71</f>
        <v>1.3499999999999996</v>
      </c>
      <c r="EH15" s="661">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5">
        <f>(J15+2*K15)/Construction!E15</f>
        <v>0</v>
      </c>
      <c r="EP15" s="731">
        <f ca="1">EO15*(1+race_wizard_strength+tech_magical_weaponry_wiz*Techs!AV87)</f>
        <v>0</v>
      </c>
      <c r="EQ15" s="163">
        <f>(I15+halfer*H15/3)/Construction!E15</f>
        <v>0</v>
      </c>
    </row>
    <row r="16" spans="1:147" s="170" customFormat="1" x14ac:dyDescent="0.25">
      <c r="A16" s="627">
        <f>Rezone!J16</f>
        <v>14</v>
      </c>
      <c r="B16" s="152">
        <f ca="1">SUM(E16:K16)+SUM(AF8:AG16)+SUM(AH5:AL16)+Z16+Explore!AL16</f>
        <v>5295</v>
      </c>
      <c r="C16" s="171">
        <f ca="1">Population!G16</f>
        <v>0.49923056539115884</v>
      </c>
      <c r="E16" s="156">
        <f t="shared" si="66"/>
        <v>0</v>
      </c>
      <c r="F16" s="170">
        <f t="shared" si="67"/>
        <v>0</v>
      </c>
      <c r="G16" s="170">
        <f t="shared" si="68"/>
        <v>0</v>
      </c>
      <c r="H16" s="170">
        <f t="shared" si="69"/>
        <v>0</v>
      </c>
      <c r="I16" s="170">
        <f t="shared" si="70"/>
        <v>0</v>
      </c>
      <c r="J16" s="170">
        <f t="shared" si="71"/>
        <v>0</v>
      </c>
      <c r="K16" s="157">
        <f t="shared" si="72"/>
        <v>0</v>
      </c>
      <c r="M16" s="160">
        <f ca="1">Production!G16</f>
        <v>20900</v>
      </c>
      <c r="O16" s="234">
        <f t="shared" ca="1" si="0"/>
        <v>0</v>
      </c>
      <c r="P16" s="454">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47">
        <f ca="1">race_defense+Imps!AC16+ROUND(MIN(gt_bonus*Construction!BH16/Construction!$E16,gt_bonus_cap),4)+MAX(IF(Magic!AM16&gt;0,frenzy_bonus,IF(Magic!AQ16&gt;0,blizzard_bonus,IF(Magic!AP16&gt;0,howling_dp_bonus,IF(Magic!AI16&gt;0,ares_call_bonus)))),IF(Magic!AX16&gt;0,MIN(Construction!DF16/Construction!E16,0.2),0))</f>
        <v>0</v>
      </c>
      <c r="U16" s="1041">
        <f t="shared" ca="1" si="47"/>
        <v>0</v>
      </c>
      <c r="V16" s="308">
        <f t="shared" ca="1" si="48"/>
        <v>5295</v>
      </c>
      <c r="W16" s="308">
        <f>Construction!E16</f>
        <v>1000</v>
      </c>
      <c r="X16" s="364"/>
      <c r="Y16" s="232">
        <f t="shared" ref="Y16:Y74" si="76">IF(X16&lt;&gt;"",X16,Y15)</f>
        <v>0.4</v>
      </c>
      <c r="Z16" s="166">
        <f ca="1">Z15+Population!Z15 - IF(race="Lux",AF16,SUM(AF16:AK16)) - BE16 + SUM(BF16:BL16) - Explore!AI16</f>
        <v>5295</v>
      </c>
      <c r="AA16" s="164"/>
      <c r="AB16" s="251">
        <f>(Construction!$BA16+Construction!BY16)/(Construction!$E16-Explore!S16*20)</f>
        <v>0</v>
      </c>
      <c r="AC16" s="1515">
        <f ca="1">Imps!AE16</f>
        <v>0</v>
      </c>
      <c r="AD16" s="794">
        <f>Rezone!J16</f>
        <v>14</v>
      </c>
      <c r="AE16" s="587">
        <f>Explore!AA16</f>
        <v>43768.135416666635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0">
        <f t="shared" si="73"/>
        <v>43768.135416666635</v>
      </c>
      <c r="BD16" s="233">
        <f t="shared" ca="1" si="74"/>
        <v>5295</v>
      </c>
      <c r="BE16" s="352"/>
      <c r="BF16" s="345"/>
      <c r="BG16" s="345"/>
      <c r="BH16" s="345"/>
      <c r="BI16" s="345"/>
      <c r="BJ16" s="345"/>
      <c r="BK16" s="345"/>
      <c r="BL16" s="353"/>
      <c r="BN16" s="501">
        <f>Construction!BM16/Construction!E16</f>
        <v>0</v>
      </c>
      <c r="BO16" s="171">
        <f>Construction!BD16/Construction!E16</f>
        <v>0</v>
      </c>
      <c r="BP16" s="152">
        <f ca="1">ROUNDUP((1-MIN(AB16*smithy_bonus,smithy_bonus_cap)-AC16)*(1+Techs!AO16*tech_master_of_frugality)*spec_op_plat,0)</f>
        <v>275</v>
      </c>
      <c r="BQ16" s="164">
        <f ca="1">ROUNDUP(IF(OR(race="Gnome",race="Imperial Gnome"),1-AC16,(1-MIN(AB16*smithy_bonus,smithy_bonus_cap)-AC16)*(1+Techs!AO16*tech_master_of_frugality))*spec_op_ore,0)</f>
        <v>25</v>
      </c>
      <c r="BR16" s="164">
        <f t="shared" si="6"/>
        <v>0</v>
      </c>
      <c r="BS16" s="164">
        <f t="shared" si="7"/>
        <v>0</v>
      </c>
      <c r="BT16" s="164">
        <f ca="1">ROUNDUP((1-MIN(AB16*smithy_bonus,smithy_bonus_cap)-AC16)*(1+Techs!AO16*tech_master_of_frugality)*spec_dp_plat,0)</f>
        <v>275</v>
      </c>
      <c r="BU16" s="164">
        <f ca="1">ROUNDUP(IF(OR(race="Gnome",race="Imperial Gnome"),1-AC16,(1-MIN(AB16*smithy_bonus,smithy_bonus_cap)-AC16)*(1+Techs!AO16*tech_master_of_frugality))*spec_dp_ore,0)</f>
        <v>10</v>
      </c>
      <c r="BV16" s="164">
        <f t="shared" ca="1" si="8"/>
        <v>0</v>
      </c>
      <c r="BW16" s="164">
        <f t="shared" ca="1" si="9"/>
        <v>0</v>
      </c>
      <c r="BX16" s="164">
        <f t="shared" ca="1" si="10"/>
        <v>0</v>
      </c>
      <c r="BY16" s="164">
        <f ca="1">ROUNDUP((1-MIN(AB16*smithy_bonus,smithy_bonus_cap)-AC16)*(1+Techs!AO16*tech_master_of_frugality)*elite1_plat,0)</f>
        <v>1000</v>
      </c>
      <c r="BZ16" s="164">
        <f ca="1">ROUNDUP(IF(OR(race="Gnome",race="Imperial Gnome"),1-AC16,(1-MIN(AB16*smithy_bonus,smithy_bonus_cap)-AC16)*(1+Techs!AO16*tech_master_of_frugality))*elite1_ore,0)</f>
        <v>75</v>
      </c>
      <c r="CA16" s="164">
        <f t="shared" ca="1" si="55"/>
        <v>0</v>
      </c>
      <c r="CB16" s="164">
        <f t="shared" ca="1" si="12"/>
        <v>0</v>
      </c>
      <c r="CC16" s="164">
        <f t="shared" ca="1" si="13"/>
        <v>0</v>
      </c>
      <c r="CD16" s="164">
        <f t="shared" ca="1" si="14"/>
        <v>0</v>
      </c>
      <c r="CE16" s="164">
        <f t="shared" ca="1" si="15"/>
        <v>0</v>
      </c>
      <c r="CF16" s="164">
        <f ca="1">ROUNDUP((1-MIN(AB16*smithy_bonus,smithy_bonus_cap)-AC16)*(1+Techs!AO16*tech_master_of_frugality)*elite2_plat,0)</f>
        <v>1250</v>
      </c>
      <c r="CG16" s="164">
        <f ca="1">ROUNDUP(IF(OR(race="Gnome",race="Imperial Gnome"),1-AC16,(1-MIN(AB16*smithy_bonus,smithy_bonus_cap)-AC16)*(1+Techs!AO16*tech_master_of_frugality))*elite2_ore,0)</f>
        <v>100</v>
      </c>
      <c r="CH16" s="164">
        <f t="shared" ca="1" si="5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0">
        <f ca="1">Construction!DF16/Construction!E16</f>
        <v>0.15</v>
      </c>
      <c r="CR16" s="461">
        <f t="shared" si="75"/>
        <v>0</v>
      </c>
      <c r="CS16" s="461">
        <f>Construction!BK16/Construction!E16</f>
        <v>0.05</v>
      </c>
      <c r="CT16" s="461">
        <f>Construction!BJ16/Construction!E16</f>
        <v>0</v>
      </c>
      <c r="CU16" s="461">
        <f>Construction!AY16/Construction!E16</f>
        <v>0</v>
      </c>
      <c r="CV16" s="480">
        <f t="shared" ca="1" si="22"/>
        <v>0.74999999999999989</v>
      </c>
      <c r="CW16" s="481">
        <f t="shared" ca="1" si="23"/>
        <v>0.74999999999999989</v>
      </c>
      <c r="CX16" s="481">
        <f t="shared" ca="1" si="24"/>
        <v>0.74999999999999989</v>
      </c>
      <c r="CY16" s="482">
        <f t="shared" ca="1" si="25"/>
        <v>0.74999999999999989</v>
      </c>
      <c r="CZ16" s="482">
        <f t="shared" si="26"/>
        <v>0</v>
      </c>
      <c r="DA16" s="482">
        <f t="shared" ca="1" si="27"/>
        <v>2.9999999999999996</v>
      </c>
      <c r="DB16" s="482">
        <f t="shared" ca="1" si="28"/>
        <v>0.74999999999999989</v>
      </c>
      <c r="DC16" s="481">
        <f t="shared" si="29"/>
        <v>0</v>
      </c>
      <c r="DD16" s="842">
        <f t="shared" si="57"/>
        <v>0</v>
      </c>
      <c r="DE16" s="439">
        <f t="shared" si="58"/>
        <v>0</v>
      </c>
      <c r="DF16" s="439">
        <f t="shared" si="59"/>
        <v>0</v>
      </c>
      <c r="DG16" s="480">
        <f t="shared" ca="1" si="30"/>
        <v>0.74999999999999989</v>
      </c>
      <c r="DH16" s="449">
        <f t="shared" si="60"/>
        <v>0</v>
      </c>
      <c r="DI16" s="449">
        <f>MIN(valkyrja_cap,Production!O16/valkyrja_bonus)</f>
        <v>1</v>
      </c>
      <c r="DJ16" s="842">
        <f>MIN(voodoo_magi_cap,Production!O16/voodoo_magi_bonus)</f>
        <v>0.83333333333333337</v>
      </c>
      <c r="DK16" s="842">
        <f>MIN(warlock_cap,Production!O16/warlock_bonus)</f>
        <v>1</v>
      </c>
      <c r="DL16" s="842">
        <f ca="1">MIN(nox_nightshade_cap,Construction!DF16/Construction!E16/nox_nightshade_swamp_bonus)</f>
        <v>1.4999999999999998</v>
      </c>
      <c r="DM16" s="481">
        <f t="shared" si="31"/>
        <v>0</v>
      </c>
      <c r="DN16" s="482">
        <f t="shared" ca="1" si="32"/>
        <v>1.4999999999999998</v>
      </c>
      <c r="DO16" s="482">
        <f t="shared" ca="1" si="33"/>
        <v>1.4999999999999998</v>
      </c>
      <c r="DP16" s="482">
        <f t="shared" si="34"/>
        <v>1</v>
      </c>
      <c r="DQ16" s="481">
        <f t="shared" si="35"/>
        <v>0</v>
      </c>
      <c r="DR16" s="482">
        <f t="shared" si="36"/>
        <v>0</v>
      </c>
      <c r="DS16" s="481">
        <f t="shared" si="37"/>
        <v>0</v>
      </c>
      <c r="DT16" s="482">
        <f t="shared" si="61"/>
        <v>0</v>
      </c>
      <c r="DU16" s="448" t="s">
        <v>103</v>
      </c>
      <c r="DV16" s="16" t="b">
        <f t="shared" si="62"/>
        <v>0</v>
      </c>
      <c r="DX16" s="480">
        <f ca="1">MIN(6,CV16+Races!$F$19)*1.8 +  IF(CV16+Races!$F$19&gt;6,(CV16+Races!$F$19-6)*0.2,0) - Races!$N$19</f>
        <v>1.3500000000000005</v>
      </c>
      <c r="DY16" s="481">
        <f ca="1">1.8 * MIN(MAX(CW16+Races!$E$20,CX16+Races!$F$20),6)  +  0.45 * MIN(MIN(CW16+Races!$E$20,CX16+Races!$F$20),6)  +  0.2 * ( MAX(CW16+Races!$E$20-6,0) + MAX(CX16+Races!$F$20-6,0) )  -  Races!$N$20</f>
        <v>1.6874999999999991</v>
      </c>
      <c r="DZ16" s="166">
        <f t="shared" ca="1" si="38"/>
        <v>0</v>
      </c>
      <c r="EA16" s="662">
        <f ca="1">MIN(6,CY16+Races!$F$35)*1.8 +  IF(CY16+Races!$F$35&gt;6,(CY16+Races!$F$35-6)*0.2,0) - Races!$N$19</f>
        <v>-0.45000000000000018</v>
      </c>
      <c r="EB16" s="166">
        <f t="shared" ca="1" si="39"/>
        <v>0</v>
      </c>
      <c r="EC16" s="662">
        <f ca="1">1.8 * MIN(MAX(Races!$E$27,DB16+Races!$F$27),6)  +  0.45 * MIN(MIN(Races!$E$27,DB16+Races!$F$27),6)  +  0.2 * ( MAX(Races!$E$27-6,0) + MAX(DB16+Races!$F$27-6,0) )  -  Races!$N$20</f>
        <v>3.6000000000000005</v>
      </c>
      <c r="ED16" s="166">
        <f t="shared" ca="1" si="40"/>
        <v>0</v>
      </c>
      <c r="EE16" s="662">
        <f>1.8 * MIN(MAX(DC16+Races!$E$47,DD16+Races!$F$47),6)  +  0.45 * MIN(MIN(DC16+Races!$E$47,DD16+Races!$F$47),6)  +  0.2 * ( MAX(DC16+Races!$E$47-6,0) + MAX(DD16+Races!$F$47-6,0) )  -  Races!$N$47</f>
        <v>0</v>
      </c>
      <c r="EF16" s="166">
        <f t="shared" si="41"/>
        <v>0</v>
      </c>
      <c r="EG16" s="662">
        <f ca="1">1.8 * MIN(MAX(DG16+Races!$F$71,Races!$E$71),6)  +  0.45 * MIN(MIN(DG16+Races!$F$71,Races!$E$71),6)  +  0.2 * ( MAX(DG16+Races!$F$71-6,0) + MAX(Races!$E$71-6,0) )  -  Races!$N$71</f>
        <v>1.3499999999999996</v>
      </c>
      <c r="EH16" s="662">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3">
        <f>(J16+2*K16)/Construction!E16</f>
        <v>0</v>
      </c>
      <c r="EP16" s="730">
        <f ca="1">EO16*(1+race_wizard_strength+tech_magical_weaponry_wiz*Techs!AV88)</f>
        <v>0</v>
      </c>
      <c r="EQ16" s="170">
        <f>(I16+halfer*H16/3)/Construction!E16</f>
        <v>0</v>
      </c>
    </row>
    <row r="17" spans="1:147" s="170" customFormat="1" x14ac:dyDescent="0.25">
      <c r="A17" s="627">
        <f>Rezone!J17</f>
        <v>15</v>
      </c>
      <c r="B17" s="152">
        <f ca="1">SUM(E17:K17)+SUM(AF9:AG17)+SUM(AH6:AL17)+Z17+Explore!AL17</f>
        <v>5295</v>
      </c>
      <c r="C17" s="171">
        <f ca="1">Population!G17</f>
        <v>0.5120515537441096</v>
      </c>
      <c r="E17" s="156">
        <f t="shared" si="66"/>
        <v>0</v>
      </c>
      <c r="F17" s="170">
        <f t="shared" si="67"/>
        <v>0</v>
      </c>
      <c r="G17" s="170">
        <f t="shared" si="68"/>
        <v>0</v>
      </c>
      <c r="H17" s="170">
        <f t="shared" si="69"/>
        <v>0</v>
      </c>
      <c r="I17" s="170">
        <f t="shared" si="70"/>
        <v>0</v>
      </c>
      <c r="J17" s="170">
        <f t="shared" si="71"/>
        <v>0</v>
      </c>
      <c r="K17" s="157">
        <f t="shared" si="72"/>
        <v>0</v>
      </c>
      <c r="M17" s="160">
        <f ca="1">Production!G17</f>
        <v>20900</v>
      </c>
      <c r="O17" s="234">
        <f t="shared" ca="1" si="0"/>
        <v>0</v>
      </c>
      <c r="P17" s="454">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47">
        <f ca="1">race_defense+Imps!AC17+ROUND(MIN(gt_bonus*Construction!BH17/Construction!$E17,gt_bonus_cap),4)+MAX(IF(Magic!AM17&gt;0,frenzy_bonus,IF(Magic!AQ17&gt;0,blizzard_bonus,IF(Magic!AP17&gt;0,howling_dp_bonus,IF(Magic!AI17&gt;0,ares_call_bonus)))),IF(Magic!AX17&gt;0,MIN(Construction!DF17/Construction!E17,0.2),0))</f>
        <v>0</v>
      </c>
      <c r="U17" s="1041">
        <f t="shared" ca="1" si="47"/>
        <v>0</v>
      </c>
      <c r="V17" s="308">
        <f t="shared" ca="1" si="48"/>
        <v>5295</v>
      </c>
      <c r="W17" s="308">
        <f>Construction!E17</f>
        <v>1000</v>
      </c>
      <c r="X17" s="364"/>
      <c r="Y17" s="232">
        <f t="shared" si="76"/>
        <v>0.4</v>
      </c>
      <c r="Z17" s="166">
        <f ca="1">Z16+Population!Z16 - IF(race="Lux",AF17,SUM(AF17:AK17)) - BE17 + SUM(BF17:BL17) - Explore!AI17</f>
        <v>5295</v>
      </c>
      <c r="AA17" s="164"/>
      <c r="AB17" s="251">
        <f>(Construction!$BA17+Construction!BY17)/(Construction!$E17-Explore!S17*20)</f>
        <v>0</v>
      </c>
      <c r="AC17" s="1515">
        <f ca="1">Imps!AE17</f>
        <v>0</v>
      </c>
      <c r="AD17" s="794">
        <f>Rezone!J17</f>
        <v>15</v>
      </c>
      <c r="AE17" s="587">
        <f>Explore!AA17</f>
        <v>43768.145833333299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0">
        <f t="shared" si="73"/>
        <v>43768.145833333299</v>
      </c>
      <c r="BD17" s="233">
        <f t="shared" ca="1" si="74"/>
        <v>5295</v>
      </c>
      <c r="BE17" s="352"/>
      <c r="BF17" s="345"/>
      <c r="BG17" s="345"/>
      <c r="BH17" s="345"/>
      <c r="BI17" s="345"/>
      <c r="BJ17" s="345"/>
      <c r="BK17" s="345"/>
      <c r="BL17" s="353"/>
      <c r="BN17" s="501">
        <f>Construction!BM17/Construction!E17</f>
        <v>0</v>
      </c>
      <c r="BO17" s="171">
        <f>Construction!BD17/Construction!E17</f>
        <v>0</v>
      </c>
      <c r="BP17" s="152">
        <f ca="1">ROUNDUP((1-MIN(AB17*smithy_bonus,smithy_bonus_cap)-AC17)*(1+Techs!AO17*tech_master_of_frugality)*spec_op_plat,0)</f>
        <v>275</v>
      </c>
      <c r="BQ17" s="164">
        <f ca="1">ROUNDUP(IF(OR(race="Gnome",race="Imperial Gnome"),1-AC17,(1-MIN(AB17*smithy_bonus,smithy_bonus_cap)-AC17)*(1+Techs!AO17*tech_master_of_frugality))*spec_op_ore,0)</f>
        <v>25</v>
      </c>
      <c r="BR17" s="164">
        <f t="shared" si="6"/>
        <v>0</v>
      </c>
      <c r="BS17" s="164">
        <f t="shared" si="7"/>
        <v>0</v>
      </c>
      <c r="BT17" s="164">
        <f ca="1">ROUNDUP((1-MIN(AB17*smithy_bonus,smithy_bonus_cap)-AC17)*(1+Techs!AO17*tech_master_of_frugality)*spec_dp_plat,0)</f>
        <v>275</v>
      </c>
      <c r="BU17" s="164">
        <f ca="1">ROUNDUP(IF(OR(race="Gnome",race="Imperial Gnome"),1-AC17,(1-MIN(AB17*smithy_bonus,smithy_bonus_cap)-AC17)*(1+Techs!AO17*tech_master_of_frugality))*spec_dp_ore,0)</f>
        <v>10</v>
      </c>
      <c r="BV17" s="164">
        <f t="shared" ca="1" si="8"/>
        <v>0</v>
      </c>
      <c r="BW17" s="164">
        <f t="shared" ca="1" si="9"/>
        <v>0</v>
      </c>
      <c r="BX17" s="164">
        <f t="shared" ca="1" si="10"/>
        <v>0</v>
      </c>
      <c r="BY17" s="164">
        <f ca="1">ROUNDUP((1-MIN(AB17*smithy_bonus,smithy_bonus_cap)-AC17)*(1+Techs!AO17*tech_master_of_frugality)*elite1_plat,0)</f>
        <v>1000</v>
      </c>
      <c r="BZ17" s="164">
        <f ca="1">ROUNDUP(IF(OR(race="Gnome",race="Imperial Gnome"),1-AC17,(1-MIN(AB17*smithy_bonus,smithy_bonus_cap)-AC17)*(1+Techs!AO17*tech_master_of_frugality))*elite1_ore,0)</f>
        <v>75</v>
      </c>
      <c r="CA17" s="164">
        <f t="shared" ca="1" si="55"/>
        <v>0</v>
      </c>
      <c r="CB17" s="164">
        <f t="shared" ca="1" si="12"/>
        <v>0</v>
      </c>
      <c r="CC17" s="164">
        <f t="shared" ca="1" si="13"/>
        <v>0</v>
      </c>
      <c r="CD17" s="164">
        <f t="shared" ca="1" si="14"/>
        <v>0</v>
      </c>
      <c r="CE17" s="164">
        <f t="shared" ca="1" si="15"/>
        <v>0</v>
      </c>
      <c r="CF17" s="164">
        <f ca="1">ROUNDUP((1-MIN(AB17*smithy_bonus,smithy_bonus_cap)-AC17)*(1+Techs!AO17*tech_master_of_frugality)*elite2_plat,0)</f>
        <v>1250</v>
      </c>
      <c r="CG17" s="164">
        <f ca="1">ROUNDUP(IF(OR(race="Gnome",race="Imperial Gnome"),1-AC17,(1-MIN(AB17*smithy_bonus,smithy_bonus_cap)-AC17)*(1+Techs!AO17*tech_master_of_frugality))*elite2_ore,0)</f>
        <v>100</v>
      </c>
      <c r="CH17" s="164">
        <f t="shared" ca="1" si="5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0">
        <f ca="1">Construction!DF17/Construction!E17</f>
        <v>0.15</v>
      </c>
      <c r="CR17" s="461">
        <f t="shared" si="75"/>
        <v>0</v>
      </c>
      <c r="CS17" s="461">
        <f>Construction!BK17/Construction!E17</f>
        <v>0.05</v>
      </c>
      <c r="CT17" s="461">
        <f>Construction!BJ17/Construction!E17</f>
        <v>0</v>
      </c>
      <c r="CU17" s="461">
        <f>Construction!AY17/Construction!E17</f>
        <v>0</v>
      </c>
      <c r="CV17" s="480">
        <f t="shared" ca="1" si="22"/>
        <v>0.74999999999999989</v>
      </c>
      <c r="CW17" s="481">
        <f t="shared" ca="1" si="23"/>
        <v>0.74999999999999989</v>
      </c>
      <c r="CX17" s="481">
        <f t="shared" ca="1" si="24"/>
        <v>0.74999999999999989</v>
      </c>
      <c r="CY17" s="482">
        <f t="shared" ca="1" si="25"/>
        <v>0.74999999999999989</v>
      </c>
      <c r="CZ17" s="482">
        <f t="shared" si="26"/>
        <v>0</v>
      </c>
      <c r="DA17" s="482">
        <f t="shared" ca="1" si="27"/>
        <v>2.9999999999999996</v>
      </c>
      <c r="DB17" s="482">
        <f t="shared" ca="1" si="28"/>
        <v>0.74999999999999989</v>
      </c>
      <c r="DC17" s="481">
        <f t="shared" si="29"/>
        <v>0</v>
      </c>
      <c r="DD17" s="842">
        <f t="shared" si="57"/>
        <v>0</v>
      </c>
      <c r="DE17" s="439">
        <f t="shared" si="58"/>
        <v>0</v>
      </c>
      <c r="DF17" s="439">
        <f t="shared" si="59"/>
        <v>0</v>
      </c>
      <c r="DG17" s="480">
        <f t="shared" ca="1" si="30"/>
        <v>0.74999999999999989</v>
      </c>
      <c r="DH17" s="449">
        <f t="shared" si="60"/>
        <v>0</v>
      </c>
      <c r="DI17" s="449">
        <f>MIN(valkyrja_cap,Production!O17/valkyrja_bonus)</f>
        <v>1</v>
      </c>
      <c r="DJ17" s="842">
        <f>MIN(voodoo_magi_cap,Production!O17/voodoo_magi_bonus)</f>
        <v>0.83333333333333337</v>
      </c>
      <c r="DK17" s="842">
        <f>MIN(warlock_cap,Production!O17/warlock_bonus)</f>
        <v>1</v>
      </c>
      <c r="DL17" s="842">
        <f ca="1">MIN(nox_nightshade_cap,Construction!DF17/Construction!E17/nox_nightshade_swamp_bonus)</f>
        <v>1.4999999999999998</v>
      </c>
      <c r="DM17" s="481">
        <f t="shared" si="31"/>
        <v>0</v>
      </c>
      <c r="DN17" s="482">
        <f t="shared" ca="1" si="32"/>
        <v>1.4999999999999998</v>
      </c>
      <c r="DO17" s="482">
        <f t="shared" ca="1" si="33"/>
        <v>1.4999999999999998</v>
      </c>
      <c r="DP17" s="482">
        <f t="shared" si="34"/>
        <v>1</v>
      </c>
      <c r="DQ17" s="481">
        <f t="shared" si="35"/>
        <v>0</v>
      </c>
      <c r="DR17" s="482">
        <f t="shared" si="36"/>
        <v>0</v>
      </c>
      <c r="DS17" s="481">
        <f t="shared" si="37"/>
        <v>0</v>
      </c>
      <c r="DT17" s="482">
        <f t="shared" si="61"/>
        <v>0</v>
      </c>
      <c r="DU17" s="1381" t="s">
        <v>96</v>
      </c>
      <c r="DV17" s="16" t="b">
        <f t="shared" si="62"/>
        <v>0</v>
      </c>
      <c r="DX17" s="480">
        <f ca="1">MIN(6,CV17+Races!$F$19)*1.8 +  IF(CV17+Races!$F$19&gt;6,(CV17+Races!$F$19-6)*0.2,0) - Races!$N$19</f>
        <v>1.3500000000000005</v>
      </c>
      <c r="DY17" s="481">
        <f ca="1">1.8 * MIN(MAX(CW17+Races!$E$20,CX17+Races!$F$20),6)  +  0.45 * MIN(MIN(CW17+Races!$E$20,CX17+Races!$F$20),6)  +  0.2 * ( MAX(CW17+Races!$E$20-6,0) + MAX(CX17+Races!$F$20-6,0) )  -  Races!$N$20</f>
        <v>1.6874999999999991</v>
      </c>
      <c r="DZ17" s="166">
        <f t="shared" ca="1" si="38"/>
        <v>0</v>
      </c>
      <c r="EA17" s="662">
        <f ca="1">MIN(6,CY17+Races!$F$35)*1.8 +  IF(CY17+Races!$F$35&gt;6,(CY17+Races!$F$35-6)*0.2,0) - Races!$N$19</f>
        <v>-0.45000000000000018</v>
      </c>
      <c r="EB17" s="166">
        <f t="shared" ca="1" si="39"/>
        <v>0</v>
      </c>
      <c r="EC17" s="662">
        <f ca="1">1.8 * MIN(MAX(Races!$E$27,DB17+Races!$F$27),6)  +  0.45 * MIN(MIN(Races!$E$27,DB17+Races!$F$27),6)  +  0.2 * ( MAX(Races!$E$27-6,0) + MAX(DB17+Races!$F$27-6,0) )  -  Races!$N$20</f>
        <v>3.6000000000000005</v>
      </c>
      <c r="ED17" s="166">
        <f t="shared" ca="1" si="40"/>
        <v>0</v>
      </c>
      <c r="EE17" s="662">
        <f>1.8 * MIN(MAX(DC17+Races!$E$47,DD17+Races!$F$47),6)  +  0.45 * MIN(MIN(DC17+Races!$E$47,DD17+Races!$F$47),6)  +  0.2 * ( MAX(DC17+Races!$E$47-6,0) + MAX(DD17+Races!$F$47-6,0) )  -  Races!$N$47</f>
        <v>0</v>
      </c>
      <c r="EF17" s="166">
        <f t="shared" si="41"/>
        <v>0</v>
      </c>
      <c r="EG17" s="662">
        <f ca="1">1.8 * MIN(MAX(DG17+Races!$F$71,Races!$E$71),6)  +  0.45 * MIN(MIN(DG17+Races!$F$71,Races!$E$71),6)  +  0.2 * ( MAX(DG17+Races!$F$71-6,0) + MAX(Races!$E$71-6,0) )  -  Races!$N$71</f>
        <v>1.3499999999999996</v>
      </c>
      <c r="EH17" s="662">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3">
        <f>(J17+2*K17)/Construction!E17</f>
        <v>0</v>
      </c>
      <c r="EP17" s="730">
        <f ca="1">EO17*(1+race_wizard_strength+tech_magical_weaponry_wiz*Techs!AV89)</f>
        <v>0</v>
      </c>
      <c r="EQ17" s="170">
        <f>(I17+halfer*H17/3)/Construction!E17</f>
        <v>0</v>
      </c>
    </row>
    <row r="18" spans="1:147" s="16" customFormat="1" x14ac:dyDescent="0.25">
      <c r="A18" s="627">
        <f>Rezone!J18</f>
        <v>16</v>
      </c>
      <c r="B18" s="56">
        <f ca="1">SUM(E18:K18)+SUM(AF10:AG18)+SUM(AH7:AL18)+Z18+Explore!AL18</f>
        <v>5295</v>
      </c>
      <c r="C18" s="97">
        <f ca="1">Population!G18</f>
        <v>0.52485670441543453</v>
      </c>
      <c r="E18" s="52">
        <f t="shared" si="66"/>
        <v>0</v>
      </c>
      <c r="F18" s="16">
        <f t="shared" si="67"/>
        <v>0</v>
      </c>
      <c r="G18" s="16">
        <f t="shared" si="68"/>
        <v>0</v>
      </c>
      <c r="H18" s="16">
        <f t="shared" si="69"/>
        <v>0</v>
      </c>
      <c r="I18" s="16">
        <f t="shared" si="70"/>
        <v>0</v>
      </c>
      <c r="J18" s="16">
        <f t="shared" si="71"/>
        <v>0</v>
      </c>
      <c r="K18" s="53">
        <f t="shared" si="72"/>
        <v>0</v>
      </c>
      <c r="M18" s="64">
        <f ca="1">Production!G18</f>
        <v>20900</v>
      </c>
      <c r="O18" s="234">
        <f t="shared" ca="1" si="0"/>
        <v>0</v>
      </c>
      <c r="P18" s="454">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47">
        <f ca="1">race_defense+Imps!AC18+ROUND(MIN(gt_bonus*Construction!BH18/Construction!$E18,gt_bonus_cap),4)+MAX(IF(Magic!AM18&gt;0,frenzy_bonus,IF(Magic!AQ18&gt;0,blizzard_bonus,IF(Magic!AP18&gt;0,howling_dp_bonus,IF(Magic!AI18&gt;0,ares_call_bonus)))),IF(Magic!AX18&gt;0,MIN(Construction!DF18/Construction!E18,0.2),0))</f>
        <v>0</v>
      </c>
      <c r="U18" s="1041">
        <f t="shared" ca="1" si="47"/>
        <v>0</v>
      </c>
      <c r="V18" s="308">
        <f t="shared" ca="1" si="48"/>
        <v>5295</v>
      </c>
      <c r="W18" s="310">
        <f>Construction!E18</f>
        <v>1000</v>
      </c>
      <c r="X18" s="367"/>
      <c r="Y18" s="146">
        <f t="shared" si="76"/>
        <v>0.4</v>
      </c>
      <c r="Z18" s="166">
        <f ca="1">Z17+Population!Z17 - IF(race="Lux",AF18,SUM(AF18:AK18)) - BE18 + SUM(BF18:BL18) - Explore!AI18</f>
        <v>5295</v>
      </c>
      <c r="AA18" s="164"/>
      <c r="AB18" s="91">
        <f>(Construction!$BA18+Construction!BY18)/(Construction!$E18-Explore!S18*20)</f>
        <v>0</v>
      </c>
      <c r="AC18" s="1516">
        <f ca="1">Imps!AE18</f>
        <v>0</v>
      </c>
      <c r="AD18" s="795">
        <f>Rezone!J18</f>
        <v>16</v>
      </c>
      <c r="AE18" s="587">
        <f>Explore!AA18</f>
        <v>43768.156249999964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2">
        <f t="shared" si="73"/>
        <v>43768.156249999964</v>
      </c>
      <c r="BD18" s="148">
        <f t="shared" ca="1" si="74"/>
        <v>5295</v>
      </c>
      <c r="BE18" s="356"/>
      <c r="BF18" s="348"/>
      <c r="BG18" s="348"/>
      <c r="BH18" s="348"/>
      <c r="BI18" s="348"/>
      <c r="BJ18" s="348"/>
      <c r="BK18" s="348"/>
      <c r="BL18" s="357"/>
      <c r="BN18" s="501">
        <f>Construction!BM18/Construction!E18</f>
        <v>0</v>
      </c>
      <c r="BO18" s="171">
        <f>Construction!BD18/Construction!E18</f>
        <v>0</v>
      </c>
      <c r="BP18" s="152">
        <f ca="1">ROUNDUP((1-MIN(AB18*smithy_bonus,smithy_bonus_cap)-AC18)*(1+Techs!AO18*tech_master_of_frugality)*spec_op_plat,0)</f>
        <v>275</v>
      </c>
      <c r="BQ18" s="164">
        <f ca="1">ROUNDUP(IF(OR(race="Gnome",race="Imperial Gnome"),1-AC18,(1-MIN(AB18*smithy_bonus,smithy_bonus_cap)-AC18)*(1+Techs!AO18*tech_master_of_frugality))*spec_op_ore,0)</f>
        <v>25</v>
      </c>
      <c r="BR18" s="164">
        <f t="shared" si="6"/>
        <v>0</v>
      </c>
      <c r="BS18" s="164">
        <f t="shared" si="7"/>
        <v>0</v>
      </c>
      <c r="BT18" s="164">
        <f ca="1">ROUNDUP((1-MIN(AB18*smithy_bonus,smithy_bonus_cap)-AC18)*(1+Techs!AO18*tech_master_of_frugality)*spec_dp_plat,0)</f>
        <v>275</v>
      </c>
      <c r="BU18" s="164">
        <f ca="1">ROUNDUP(IF(OR(race="Gnome",race="Imperial Gnome"),1-AC18,(1-MIN(AB18*smithy_bonus,smithy_bonus_cap)-AC18)*(1+Techs!AO18*tech_master_of_frugality))*spec_dp_ore,0)</f>
        <v>10</v>
      </c>
      <c r="BV18" s="164">
        <f t="shared" ca="1" si="8"/>
        <v>0</v>
      </c>
      <c r="BW18" s="164">
        <f t="shared" ca="1" si="9"/>
        <v>0</v>
      </c>
      <c r="BX18" s="164">
        <f t="shared" ca="1" si="10"/>
        <v>0</v>
      </c>
      <c r="BY18" s="164">
        <f ca="1">ROUNDUP((1-MIN(AB18*smithy_bonus,smithy_bonus_cap)-AC18)*(1+Techs!AO18*tech_master_of_frugality)*elite1_plat,0)</f>
        <v>1000</v>
      </c>
      <c r="BZ18" s="164">
        <f ca="1">ROUNDUP(IF(OR(race="Gnome",race="Imperial Gnome"),1-AC18,(1-MIN(AB18*smithy_bonus,smithy_bonus_cap)-AC18)*(1+Techs!AO18*tech_master_of_frugality))*elite1_ore,0)</f>
        <v>75</v>
      </c>
      <c r="CA18" s="164">
        <f t="shared" ca="1" si="55"/>
        <v>0</v>
      </c>
      <c r="CB18" s="164">
        <f t="shared" ca="1" si="12"/>
        <v>0</v>
      </c>
      <c r="CC18" s="164">
        <f t="shared" ca="1" si="13"/>
        <v>0</v>
      </c>
      <c r="CD18" s="164">
        <f t="shared" ca="1" si="14"/>
        <v>0</v>
      </c>
      <c r="CE18" s="164">
        <f t="shared" ca="1" si="15"/>
        <v>0</v>
      </c>
      <c r="CF18" s="164">
        <f ca="1">ROUNDUP((1-MIN(AB18*smithy_bonus,smithy_bonus_cap)-AC18)*(1+Techs!AO18*tech_master_of_frugality)*elite2_plat,0)</f>
        <v>1250</v>
      </c>
      <c r="CG18" s="164">
        <f ca="1">ROUNDUP(IF(OR(race="Gnome",race="Imperial Gnome"),1-AC18,(1-MIN(AB18*smithy_bonus,smithy_bonus_cap)-AC18)*(1+Techs!AO18*tech_master_of_frugality))*elite2_ore,0)</f>
        <v>100</v>
      </c>
      <c r="CH18" s="164">
        <f t="shared" ca="1" si="5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4">
        <f ca="1">Construction!DF18/Construction!E18</f>
        <v>0.15</v>
      </c>
      <c r="CR18" s="465">
        <f t="shared" si="75"/>
        <v>0</v>
      </c>
      <c r="CS18" s="465">
        <f>Construction!BK18/Construction!E18</f>
        <v>0.05</v>
      </c>
      <c r="CT18" s="465">
        <f>Construction!BJ18/Construction!E18</f>
        <v>0</v>
      </c>
      <c r="CU18" s="465">
        <f>Construction!AY18/Construction!E18</f>
        <v>0</v>
      </c>
      <c r="CV18" s="480">
        <f t="shared" ca="1" si="22"/>
        <v>0.74999999999999989</v>
      </c>
      <c r="CW18" s="481">
        <f t="shared" ca="1" si="23"/>
        <v>0.74999999999999989</v>
      </c>
      <c r="CX18" s="481">
        <f t="shared" ca="1" si="24"/>
        <v>0.74999999999999989</v>
      </c>
      <c r="CY18" s="482">
        <f t="shared" ca="1" si="25"/>
        <v>0.74999999999999989</v>
      </c>
      <c r="CZ18" s="482">
        <f t="shared" si="26"/>
        <v>0</v>
      </c>
      <c r="DA18" s="482">
        <f t="shared" ca="1" si="27"/>
        <v>2.9999999999999996</v>
      </c>
      <c r="DB18" s="482">
        <f t="shared" ca="1" si="28"/>
        <v>0.74999999999999989</v>
      </c>
      <c r="DC18" s="481">
        <f t="shared" si="29"/>
        <v>0</v>
      </c>
      <c r="DD18" s="842">
        <f t="shared" si="57"/>
        <v>0</v>
      </c>
      <c r="DE18" s="439">
        <f t="shared" si="58"/>
        <v>0</v>
      </c>
      <c r="DF18" s="439">
        <f t="shared" si="59"/>
        <v>0</v>
      </c>
      <c r="DG18" s="480">
        <f t="shared" ca="1" si="30"/>
        <v>0.74999999999999989</v>
      </c>
      <c r="DH18" s="449">
        <f t="shared" si="60"/>
        <v>0</v>
      </c>
      <c r="DI18" s="449">
        <f>MIN(valkyrja_cap,Production!O18/valkyrja_bonus)</f>
        <v>1</v>
      </c>
      <c r="DJ18" s="842">
        <f>MIN(voodoo_magi_cap,Production!O18/voodoo_magi_bonus)</f>
        <v>0.83333333333333337</v>
      </c>
      <c r="DK18" s="842">
        <f>MIN(warlock_cap,Production!O18/warlock_bonus)</f>
        <v>1</v>
      </c>
      <c r="DL18" s="842">
        <f ca="1">MIN(nox_nightshade_cap,Construction!DF18/Construction!E18/nox_nightshade_swamp_bonus)</f>
        <v>1.4999999999999998</v>
      </c>
      <c r="DM18" s="481">
        <f t="shared" si="31"/>
        <v>0</v>
      </c>
      <c r="DN18" s="482">
        <f t="shared" ca="1" si="32"/>
        <v>1.4999999999999998</v>
      </c>
      <c r="DO18" s="482">
        <f t="shared" ca="1" si="33"/>
        <v>1.4999999999999998</v>
      </c>
      <c r="DP18" s="482">
        <f t="shared" si="34"/>
        <v>1</v>
      </c>
      <c r="DQ18" s="481">
        <f t="shared" si="35"/>
        <v>0</v>
      </c>
      <c r="DR18" s="482">
        <f t="shared" si="36"/>
        <v>0</v>
      </c>
      <c r="DS18" s="481">
        <f t="shared" si="37"/>
        <v>0</v>
      </c>
      <c r="DT18" s="482">
        <f t="shared" si="61"/>
        <v>0</v>
      </c>
      <c r="DU18" s="1381" t="s">
        <v>618</v>
      </c>
      <c r="DV18" s="16" t="b">
        <f t="shared" si="62"/>
        <v>0</v>
      </c>
      <c r="DX18" s="486">
        <f ca="1">MIN(6,CV18+Races!$F$19)*1.8 +  IF(CV18+Races!$F$19&gt;6,(CV18+Races!$F$19-6)*0.2,0) - Races!$N$19</f>
        <v>1.3500000000000005</v>
      </c>
      <c r="DY18" s="487">
        <f ca="1">1.8 * MIN(MAX(CW18+Races!$E$20,CX18+Races!$F$20),6)  +  0.45 * MIN(MIN(CW18+Races!$E$20,CX18+Races!$F$20),6)  +  0.2 * ( MAX(CW18+Races!$E$20-6,0) + MAX(CX18+Races!$F$20-6,0) )  -  Races!$N$20</f>
        <v>1.6874999999999991</v>
      </c>
      <c r="DZ18" s="57">
        <f t="shared" ca="1" si="38"/>
        <v>0</v>
      </c>
      <c r="EA18" s="663">
        <f ca="1">MIN(6,CY18+Races!$F$35)*1.8 +  IF(CY18+Races!$F$35&gt;6,(CY18+Races!$F$35-6)*0.2,0) - Races!$N$19</f>
        <v>-0.45000000000000018</v>
      </c>
      <c r="EB18" s="57">
        <f t="shared" ca="1" si="39"/>
        <v>0</v>
      </c>
      <c r="EC18" s="663">
        <f ca="1">1.8 * MIN(MAX(Races!$E$27,DB18+Races!$F$27),6)  +  0.45 * MIN(MIN(Races!$E$27,DB18+Races!$F$27),6)  +  0.2 * ( MAX(Races!$E$27-6,0) + MAX(DB18+Races!$F$27-6,0) )  -  Races!$N$20</f>
        <v>3.6000000000000005</v>
      </c>
      <c r="ED18" s="57">
        <f t="shared" ca="1" si="40"/>
        <v>0</v>
      </c>
      <c r="EE18" s="663">
        <f>1.8 * MIN(MAX(DC18+Races!$E$47,DD18+Races!$F$47),6)  +  0.45 * MIN(MIN(DC18+Races!$E$47,DD18+Races!$F$47),6)  +  0.2 * ( MAX(DC18+Races!$E$47-6,0) + MAX(DD18+Races!$F$47-6,0) )  -  Races!$N$47</f>
        <v>0</v>
      </c>
      <c r="EF18" s="57">
        <f t="shared" si="41"/>
        <v>0</v>
      </c>
      <c r="EG18" s="663">
        <f ca="1">1.8 * MIN(MAX(DG18+Races!$F$71,Races!$E$71),6)  +  0.45 * MIN(MIN(DG18+Races!$F$71,Races!$E$71),6)  +  0.2 * ( MAX(DG18+Races!$F$71-6,0) + MAX(Races!$E$71-6,0) )  -  Races!$N$71</f>
        <v>1.3499999999999996</v>
      </c>
      <c r="EH18" s="663">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4">
        <f>(J18+2*K18)/Construction!E18</f>
        <v>0</v>
      </c>
      <c r="EP18" s="730">
        <f ca="1">EO18*(1+race_wizard_strength+tech_magical_weaponry_wiz*Techs!AV90)</f>
        <v>0</v>
      </c>
      <c r="EQ18" s="16">
        <f>(I18+halfer*H18/3)/Construction!E18</f>
        <v>0</v>
      </c>
    </row>
    <row r="19" spans="1:147" s="163" customFormat="1" x14ac:dyDescent="0.25">
      <c r="A19" s="319">
        <f>Rezone!J19</f>
        <v>17</v>
      </c>
      <c r="B19" s="151">
        <f ca="1">SUM(E19:K19)+SUM(AF11:AG19)+SUM(AH8:AL19)+Z19+Explore!AL19</f>
        <v>5295</v>
      </c>
      <c r="C19" s="162">
        <f ca="1">Population!G19</f>
        <v>0.53762925112453319</v>
      </c>
      <c r="E19" s="184">
        <f t="shared" si="66"/>
        <v>0</v>
      </c>
      <c r="F19" s="163">
        <f t="shared" si="67"/>
        <v>0</v>
      </c>
      <c r="G19" s="163">
        <f t="shared" si="68"/>
        <v>0</v>
      </c>
      <c r="H19" s="163">
        <f t="shared" si="69"/>
        <v>0</v>
      </c>
      <c r="I19" s="163">
        <f t="shared" si="70"/>
        <v>0</v>
      </c>
      <c r="J19" s="163">
        <f t="shared" si="71"/>
        <v>0</v>
      </c>
      <c r="K19" s="185">
        <f t="shared" si="72"/>
        <v>0</v>
      </c>
      <c r="M19" s="203">
        <f ca="1">Production!G19</f>
        <v>20900</v>
      </c>
      <c r="O19" s="227">
        <f t="shared" ca="1" si="0"/>
        <v>0</v>
      </c>
      <c r="P19" s="446">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29">
        <f t="shared" ca="1" si="46"/>
        <v>0</v>
      </c>
      <c r="R19" s="227">
        <f ca="1">F19*(spec_dp+spirit*DR19)+G19*(elite1_dp+woodie*CV19+sylvan*CY19+gnome*DB19+dark_elf*DD19+icekin*DG19+orc*DJ19+nox*DL19+beast*DN19+sacred*DP19+spirit*DS19+blackorc*DK19)+H19*(elite2_dp+woodie*CX19+beast*DO19+sacred*DQ19) + fh_peas_dp*MIN(Population!C19,20*Construction!BD19)+kobold*DE19</f>
        <v>0</v>
      </c>
      <c r="S19" s="229">
        <f t="shared" ca="1" si="1"/>
        <v>5295</v>
      </c>
      <c r="T19" s="1171">
        <f ca="1">race_defense+Imps!AC19+ROUND(MIN(gt_bonus*Construction!BH19/Construction!$E19,gt_bonus_cap),4)+MAX(IF(Magic!AM19&gt;0,frenzy_bonus,IF(Magic!AQ19&gt;0,blizzard_bonus,IF(Magic!AP19&gt;0,howling_dp_bonus,IF(Magic!AI19&gt;0,ares_call_bonus)))),IF(Magic!AX19&gt;0,MIN(Construction!DF19/Construction!E19,0.2),0))</f>
        <v>0</v>
      </c>
      <c r="U19" s="1042">
        <f t="shared" ca="1" si="47"/>
        <v>0</v>
      </c>
      <c r="V19" s="228">
        <f t="shared" ca="1" si="48"/>
        <v>5295</v>
      </c>
      <c r="W19" s="228">
        <f>Construction!E19</f>
        <v>1000</v>
      </c>
      <c r="X19" s="365"/>
      <c r="Y19" s="230">
        <f t="shared" si="76"/>
        <v>0.4</v>
      </c>
      <c r="Z19" s="158">
        <f ca="1">Z18+Population!Z18 - IF(race="Lux",AF19,SUM(AF19:AK19)) - BE19 + SUM(BF19:BL19) - Explore!AI19</f>
        <v>5295</v>
      </c>
      <c r="AA19" s="153"/>
      <c r="AB19" s="305">
        <f>(Construction!$BA19+Construction!BY19)/(Construction!$E19-Explore!S19*20)</f>
        <v>0</v>
      </c>
      <c r="AC19" s="1517">
        <f ca="1">Imps!AE19</f>
        <v>0</v>
      </c>
      <c r="AD19" s="796">
        <f>Rezone!J19</f>
        <v>17</v>
      </c>
      <c r="AE19" s="586">
        <f>Explore!AA19</f>
        <v>43768.166666666628</v>
      </c>
      <c r="AF19" s="371"/>
      <c r="AG19" s="346"/>
      <c r="AH19" s="346"/>
      <c r="AI19" s="346"/>
      <c r="AJ19" s="346"/>
      <c r="AK19" s="346"/>
      <c r="AL19" s="372"/>
      <c r="AN19" s="151">
        <f ca="1">Production!$H19</f>
        <v>4505520</v>
      </c>
      <c r="AO19" s="153">
        <f ca="1">Production!$L19</f>
        <v>300000</v>
      </c>
      <c r="AP19" s="153">
        <f ca="1">Production!J19</f>
        <v>339401</v>
      </c>
      <c r="AQ19" s="153">
        <f ca="1">Production!M19</f>
        <v>20000</v>
      </c>
      <c r="AR19" s="153">
        <f ca="1">Production!K19</f>
        <v>31740</v>
      </c>
      <c r="AS19" s="153">
        <f ca="1">Production!I19</f>
        <v>100825</v>
      </c>
      <c r="AT19" s="153">
        <f ca="1">Production!N19</f>
        <v>200</v>
      </c>
      <c r="AU19" s="151">
        <f t="shared" ca="1" si="2"/>
        <v>0</v>
      </c>
      <c r="AV19" s="153">
        <f t="shared" ca="1" si="3"/>
        <v>0</v>
      </c>
      <c r="AW19" s="153">
        <f t="shared" ca="1" si="50"/>
        <v>0</v>
      </c>
      <c r="AX19" s="153">
        <f t="shared" ca="1" si="51"/>
        <v>0</v>
      </c>
      <c r="AY19" s="153">
        <f t="shared" ca="1" si="52"/>
        <v>0</v>
      </c>
      <c r="AZ19" s="153">
        <f t="shared" ca="1" si="53"/>
        <v>0</v>
      </c>
      <c r="BA19" s="158">
        <f t="shared" ca="1" si="54"/>
        <v>0</v>
      </c>
      <c r="BB19" s="163">
        <v>17</v>
      </c>
      <c r="BC19" s="674">
        <f t="shared" si="73"/>
        <v>43768.166666666628</v>
      </c>
      <c r="BD19" s="231">
        <f t="shared" ca="1" si="74"/>
        <v>5295</v>
      </c>
      <c r="BE19" s="371"/>
      <c r="BF19" s="346"/>
      <c r="BG19" s="346"/>
      <c r="BH19" s="346"/>
      <c r="BI19" s="346"/>
      <c r="BJ19" s="346"/>
      <c r="BK19" s="346"/>
      <c r="BL19" s="372"/>
      <c r="BN19" s="500">
        <f>Construction!BM19/Construction!E19</f>
        <v>0</v>
      </c>
      <c r="BO19" s="162">
        <f>Construction!BD19/Construction!E19</f>
        <v>0</v>
      </c>
      <c r="BP19" s="151">
        <f ca="1">ROUNDUP((1-MIN(AB19*smithy_bonus,smithy_bonus_cap)-AC19)*(1+Techs!AO19*tech_master_of_frugality)*spec_op_plat,0)</f>
        <v>275</v>
      </c>
      <c r="BQ19" s="153">
        <f ca="1">ROUNDUP(IF(OR(race="Gnome",race="Imperial Gnome"),1-AC19,(1-MIN(AB19*smithy_bonus,smithy_bonus_cap)-AC19)*(1+Techs!AO19*tech_master_of_frugality))*spec_op_ore,0)</f>
        <v>25</v>
      </c>
      <c r="BR19" s="153">
        <f t="shared" si="6"/>
        <v>0</v>
      </c>
      <c r="BS19" s="153">
        <f t="shared" si="7"/>
        <v>0</v>
      </c>
      <c r="BT19" s="153">
        <f ca="1">ROUNDUP((1-MIN(AB19*smithy_bonus,smithy_bonus_cap)-AC19)*(1+Techs!AO19*tech_master_of_frugality)*spec_dp_plat,0)</f>
        <v>275</v>
      </c>
      <c r="BU19" s="153">
        <f ca="1">ROUNDUP(IF(OR(race="Gnome",race="Imperial Gnome"),1-AC19,(1-MIN(AB19*smithy_bonus,smithy_bonus_cap)-AC19)*(1+Techs!AO19*tech_master_of_frugality))*spec_dp_ore,0)</f>
        <v>10</v>
      </c>
      <c r="BV19" s="153">
        <f t="shared" ca="1" si="8"/>
        <v>0</v>
      </c>
      <c r="BW19" s="153">
        <f t="shared" ca="1" si="9"/>
        <v>0</v>
      </c>
      <c r="BX19" s="153">
        <f t="shared" ca="1" si="10"/>
        <v>0</v>
      </c>
      <c r="BY19" s="153">
        <f ca="1">ROUNDUP((1-MIN(AB19*smithy_bonus,smithy_bonus_cap)-AC19)*(1+Techs!AO19*tech_master_of_frugality)*elite1_plat,0)</f>
        <v>1000</v>
      </c>
      <c r="BZ19" s="153">
        <f ca="1">ROUNDUP(IF(OR(race="Gnome",race="Imperial Gnome"),1-AC19,(1-MIN(AB19*smithy_bonus,smithy_bonus_cap)-AC19)*(1+Techs!AO19*tech_master_of_frugality))*elite1_ore,0)</f>
        <v>75</v>
      </c>
      <c r="CA19" s="153">
        <f t="shared" ca="1" si="55"/>
        <v>0</v>
      </c>
      <c r="CB19" s="153">
        <f t="shared" ca="1" si="12"/>
        <v>0</v>
      </c>
      <c r="CC19" s="153">
        <f t="shared" ca="1" si="13"/>
        <v>0</v>
      </c>
      <c r="CD19" s="153">
        <f t="shared" ca="1" si="14"/>
        <v>0</v>
      </c>
      <c r="CE19" s="153">
        <f t="shared" ca="1" si="15"/>
        <v>0</v>
      </c>
      <c r="CF19" s="153">
        <f ca="1">ROUNDUP((1-MIN(AB19*smithy_bonus,smithy_bonus_cap)-AC19)*(1+Techs!AO19*tech_master_of_frugality)*elite2_plat,0)</f>
        <v>1250</v>
      </c>
      <c r="CG19" s="153">
        <f ca="1">ROUNDUP(IF(OR(race="Gnome",race="Imperial Gnome"),1-AC19,(1-MIN(AB19*smithy_bonus,smithy_bonus_cap)-AC19)*(1+Techs!AO19*tech_master_of_frugality))*elite2_ore,0)</f>
        <v>100</v>
      </c>
      <c r="CH19" s="153">
        <f t="shared" ca="1" si="56"/>
        <v>0</v>
      </c>
      <c r="CI19" s="153">
        <f t="shared" ca="1" si="17"/>
        <v>0</v>
      </c>
      <c r="CJ19" s="153">
        <f t="shared" ca="1" si="18"/>
        <v>0</v>
      </c>
      <c r="CK19" s="153">
        <f t="shared" ca="1" si="19"/>
        <v>0</v>
      </c>
      <c r="CL19" s="153">
        <f t="shared" ca="1" si="20"/>
        <v>0</v>
      </c>
      <c r="CM19" s="153">
        <f>ROUNDUP((1+tech_spy_cost*Techs!AJ19)*spy_plat,0)</f>
        <v>500</v>
      </c>
      <c r="CN19" s="153">
        <f>ROUNDUP((1+tech_wizard_cost*Techs!AM19-MIN(ROUND(wg_wiz_cost_bonus*BN19,4),wg_wiz_cost_cap))*wizard_plat,0)</f>
        <v>500</v>
      </c>
      <c r="CO19" s="158">
        <f>ROUNDUP((1+tech_wizard_cost*Techs!AM19-MIN(ROUND(wg_wiz_cost_bonus*BN19,4),wg_wiz_cost_cap))*archmage_plat,0)</f>
        <v>1000</v>
      </c>
      <c r="CQ19" s="458">
        <f ca="1">Construction!DF19/Construction!E19</f>
        <v>0.15</v>
      </c>
      <c r="CR19" s="459">
        <f t="shared" si="75"/>
        <v>0</v>
      </c>
      <c r="CS19" s="459">
        <f>Construction!BK19/Construction!E19</f>
        <v>0.05</v>
      </c>
      <c r="CT19" s="459">
        <f>Construction!BJ19/Construction!E19</f>
        <v>0</v>
      </c>
      <c r="CU19" s="459">
        <f>Construction!AY19/Construction!E19</f>
        <v>0</v>
      </c>
      <c r="CV19" s="477">
        <f t="shared" ca="1" si="22"/>
        <v>0.74999999999999989</v>
      </c>
      <c r="CW19" s="478">
        <f t="shared" ca="1" si="23"/>
        <v>0.74999999999999989</v>
      </c>
      <c r="CX19" s="478">
        <f t="shared" ca="1" si="24"/>
        <v>0.74999999999999989</v>
      </c>
      <c r="CY19" s="479">
        <f t="shared" ca="1" si="25"/>
        <v>0.74999999999999989</v>
      </c>
      <c r="CZ19" s="479">
        <f t="shared" si="26"/>
        <v>0</v>
      </c>
      <c r="DA19" s="479">
        <f t="shared" ca="1" si="27"/>
        <v>2.9999999999999996</v>
      </c>
      <c r="DB19" s="479">
        <f t="shared" ca="1" si="28"/>
        <v>0.74999999999999989</v>
      </c>
      <c r="DC19" s="478">
        <f t="shared" si="29"/>
        <v>0</v>
      </c>
      <c r="DD19" s="844">
        <f t="shared" si="57"/>
        <v>0</v>
      </c>
      <c r="DE19" s="727">
        <f t="shared" si="58"/>
        <v>0</v>
      </c>
      <c r="DF19" s="727">
        <f t="shared" si="59"/>
        <v>0</v>
      </c>
      <c r="DG19" s="477">
        <f t="shared" ca="1" si="30"/>
        <v>0.74999999999999989</v>
      </c>
      <c r="DH19" s="447">
        <f t="shared" si="60"/>
        <v>0</v>
      </c>
      <c r="DI19" s="447">
        <f>MIN(valkyrja_cap,Production!O19/valkyrja_bonus)</f>
        <v>1</v>
      </c>
      <c r="DJ19" s="844">
        <f>MIN(voodoo_magi_cap,Production!O19/voodoo_magi_bonus)</f>
        <v>0.83333333333333337</v>
      </c>
      <c r="DK19" s="844">
        <f>MIN(warlock_cap,Production!O19/warlock_bonus)</f>
        <v>1</v>
      </c>
      <c r="DL19" s="844">
        <f ca="1">MIN(nox_nightshade_cap,Construction!DF19/Construction!E19/nox_nightshade_swamp_bonus)</f>
        <v>1.4999999999999998</v>
      </c>
      <c r="DM19" s="478">
        <f t="shared" si="31"/>
        <v>0</v>
      </c>
      <c r="DN19" s="479">
        <f t="shared" ca="1" si="32"/>
        <v>1.4999999999999998</v>
      </c>
      <c r="DO19" s="479">
        <f t="shared" ca="1" si="33"/>
        <v>1.4999999999999998</v>
      </c>
      <c r="DP19" s="479">
        <f t="shared" si="34"/>
        <v>1</v>
      </c>
      <c r="DQ19" s="478">
        <f t="shared" si="35"/>
        <v>0</v>
      </c>
      <c r="DR19" s="479">
        <f t="shared" si="36"/>
        <v>0</v>
      </c>
      <c r="DS19" s="478">
        <f t="shared" si="37"/>
        <v>0</v>
      </c>
      <c r="DT19" s="479">
        <f t="shared" si="61"/>
        <v>0</v>
      </c>
      <c r="DU19" s="163" t="s">
        <v>639</v>
      </c>
      <c r="DV19" s="12" t="b">
        <f t="shared" si="62"/>
        <v>0</v>
      </c>
      <c r="DX19" s="477">
        <f ca="1">MIN(6,CV19+Races!$F$19)*1.8 +  IF(CV19+Races!$F$19&gt;6,(CV19+Races!$F$19-6)*0.2,0) - Races!$N$19</f>
        <v>1.3500000000000005</v>
      </c>
      <c r="DY19" s="478">
        <f ca="1">1.8 * MIN(MAX(CW19+Races!$E$20,CX19+Races!$F$20),6)  +  0.45 * MIN(MIN(CW19+Races!$E$20,CX19+Races!$F$20),6)  +  0.2 * ( MAX(CW19+Races!$E$20-6,0) + MAX(CX19+Races!$F$20-6,0) )  -  Races!$N$20</f>
        <v>1.6874999999999991</v>
      </c>
      <c r="DZ19" s="158">
        <f t="shared" ca="1" si="38"/>
        <v>0</v>
      </c>
      <c r="EA19" s="661">
        <f ca="1">MIN(6,CY19+Races!$F$35)*1.8 +  IF(CY19+Races!$F$35&gt;6,(CY19+Races!$F$35-6)*0.2,0) - Races!$N$19</f>
        <v>-0.45000000000000018</v>
      </c>
      <c r="EB19" s="158">
        <f t="shared" ca="1" si="39"/>
        <v>0</v>
      </c>
      <c r="EC19" s="661">
        <f ca="1">1.8 * MIN(MAX(Races!$E$27,DB19+Races!$F$27),6)  +  0.45 * MIN(MIN(Races!$E$27,DB19+Races!$F$27),6)  +  0.2 * ( MAX(Races!$E$27-6,0) + MAX(DB19+Races!$F$27-6,0) )  -  Races!$N$20</f>
        <v>3.6000000000000005</v>
      </c>
      <c r="ED19" s="158">
        <f t="shared" ca="1" si="40"/>
        <v>0</v>
      </c>
      <c r="EE19" s="661">
        <f>1.8 * MIN(MAX(DC19+Races!$E$47,DD19+Races!$F$47),6)  +  0.45 * MIN(MIN(DC19+Races!$E$47,DD19+Races!$F$47),6)  +  0.2 * ( MAX(DC19+Races!$E$47-6,0) + MAX(DD19+Races!$F$47-6,0) )  -  Races!$N$47</f>
        <v>0</v>
      </c>
      <c r="EF19" s="158">
        <f t="shared" si="41"/>
        <v>0</v>
      </c>
      <c r="EG19" s="661">
        <f ca="1">1.8 * MIN(MAX(DG19+Races!$F$71,Races!$E$71),6)  +  0.45 * MIN(MIN(DG19+Races!$F$71,Races!$E$71),6)  +  0.2 * ( MAX(DG19+Races!$F$71-6,0) + MAX(Races!$E$71-6,0) )  -  Races!$N$71</f>
        <v>1.3499999999999996</v>
      </c>
      <c r="EH19" s="661">
        <f>1.8 * MIN(MAX(DH19+Races!$E$71,Races!$F$71),6)  +  0.45 * MIN(MIN(DH19+Races!$E$71,Races!$F$71),6)  +  0.2 * ( MAX(DH19+Races!$E$71-6,0) + MAX(Races!$F$71-6,0) )  -  Races!$N$71</f>
        <v>0</v>
      </c>
      <c r="EI19" s="158">
        <f t="shared" ca="1" si="42"/>
        <v>0</v>
      </c>
      <c r="EJ19" s="158"/>
      <c r="EK19" s="158"/>
      <c r="EL19" s="158"/>
      <c r="EM19" s="158">
        <f ca="1">Overview!$L$22*E19+Overview!$L$23*F19+Overview!$L$24*G19+Overview!$L$25*H19+Overview!$L$26*I19+Overview!$L$27*J19+Overview!$L$28*K19+Construction!E19*20+Construction!B19*5 + DZ19*$DV$4+EB19*$DV$5+ED19*$DV$6+EF19*$DV$7+EI19*$DV$9</f>
        <v>20900</v>
      </c>
      <c r="EO19" s="735">
        <f>(J19+2*K19)/Construction!E19</f>
        <v>0</v>
      </c>
      <c r="EP19" s="731">
        <f ca="1">EO19*(1+race_wizard_strength+tech_magical_weaponry_wiz*Techs!AV91)</f>
        <v>0</v>
      </c>
      <c r="EQ19" s="163">
        <f>(I19+halfer*H19/3)/Construction!E19</f>
        <v>0</v>
      </c>
    </row>
    <row r="20" spans="1:147" s="16" customFormat="1" x14ac:dyDescent="0.25">
      <c r="A20" s="627">
        <f>Rezone!J20</f>
        <v>18</v>
      </c>
      <c r="B20" s="56">
        <f ca="1">SUM(E20:K20)+SUM(AF12:AG20)+SUM(AH9:AL20)+Z20+Explore!AL20</f>
        <v>5295</v>
      </c>
      <c r="C20" s="97">
        <f ca="1">Population!G20</f>
        <v>0.55035259827503247</v>
      </c>
      <c r="E20" s="52">
        <f t="shared" si="66"/>
        <v>0</v>
      </c>
      <c r="F20" s="16">
        <f t="shared" si="67"/>
        <v>0</v>
      </c>
      <c r="G20" s="16">
        <f t="shared" si="68"/>
        <v>0</v>
      </c>
      <c r="H20" s="16">
        <f t="shared" si="69"/>
        <v>0</v>
      </c>
      <c r="I20" s="16">
        <f t="shared" si="70"/>
        <v>0</v>
      </c>
      <c r="J20" s="16">
        <f t="shared" si="71"/>
        <v>0</v>
      </c>
      <c r="K20" s="53">
        <f t="shared" si="72"/>
        <v>0</v>
      </c>
      <c r="M20" s="64">
        <f ca="1">Production!G20</f>
        <v>20900</v>
      </c>
      <c r="O20" s="234">
        <f t="shared" ca="1" si="0"/>
        <v>0</v>
      </c>
      <c r="P20" s="454">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47">
        <f ca="1">race_defense+Imps!AC20+ROUND(MIN(gt_bonus*Construction!BH20/Construction!$E20,gt_bonus_cap),4)+MAX(IF(Magic!AM20&gt;0,frenzy_bonus,IF(Magic!AQ20&gt;0,blizzard_bonus,IF(Magic!AP20&gt;0,howling_dp_bonus,IF(Magic!AI20&gt;0,ares_call_bonus)))),IF(Magic!AX20&gt;0,MIN(Construction!DF20/Construction!E20,0.2),0))</f>
        <v>0</v>
      </c>
      <c r="U20" s="1041">
        <f t="shared" ca="1" si="47"/>
        <v>0</v>
      </c>
      <c r="V20" s="308">
        <f t="shared" ca="1" si="48"/>
        <v>5295</v>
      </c>
      <c r="W20" s="310">
        <f>Construction!E20</f>
        <v>1000</v>
      </c>
      <c r="X20" s="367"/>
      <c r="Y20" s="146">
        <f t="shared" si="76"/>
        <v>0.4</v>
      </c>
      <c r="Z20" s="166">
        <f ca="1">Z19+Population!Z19 - IF(race="Lux",AF20,SUM(AF20:AK20)) - BE20 + SUM(BF20:BL20) - Explore!AI20</f>
        <v>5295</v>
      </c>
      <c r="AA20" s="164"/>
      <c r="AB20" s="91">
        <f>(Construction!$BA20+Construction!BY20)/(Construction!$E20-Explore!S20*20)</f>
        <v>0</v>
      </c>
      <c r="AC20" s="1516">
        <f ca="1">Imps!AE20</f>
        <v>0</v>
      </c>
      <c r="AD20" s="795">
        <f>Rezone!J20</f>
        <v>18</v>
      </c>
      <c r="AE20" s="587">
        <f>Explore!AA20</f>
        <v>43768.177083333292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2">
        <f t="shared" si="73"/>
        <v>43768.177083333292</v>
      </c>
      <c r="BD20" s="148">
        <f t="shared" ca="1" si="74"/>
        <v>5295</v>
      </c>
      <c r="BE20" s="356"/>
      <c r="BF20" s="348"/>
      <c r="BG20" s="348"/>
      <c r="BH20" s="348"/>
      <c r="BI20" s="348"/>
      <c r="BJ20" s="348"/>
      <c r="BK20" s="348"/>
      <c r="BL20" s="357"/>
      <c r="BN20" s="501">
        <f>Construction!BM20/Construction!E20</f>
        <v>0</v>
      </c>
      <c r="BO20" s="171">
        <f>Construction!BD20/Construction!E20</f>
        <v>0</v>
      </c>
      <c r="BP20" s="152">
        <f ca="1">ROUNDUP((1-MIN(AB20*smithy_bonus,smithy_bonus_cap)-AC20)*(1+Techs!AO20*tech_master_of_frugality)*spec_op_plat,0)</f>
        <v>275</v>
      </c>
      <c r="BQ20" s="164">
        <f ca="1">ROUNDUP(IF(OR(race="Gnome",race="Imperial Gnome"),1-AC20,(1-MIN(AB20*smithy_bonus,smithy_bonus_cap)-AC20)*(1+Techs!AO20*tech_master_of_frugality))*spec_op_ore,0)</f>
        <v>25</v>
      </c>
      <c r="BR20" s="164">
        <f t="shared" si="6"/>
        <v>0</v>
      </c>
      <c r="BS20" s="164">
        <f t="shared" si="7"/>
        <v>0</v>
      </c>
      <c r="BT20" s="164">
        <f ca="1">ROUNDUP((1-MIN(AB20*smithy_bonus,smithy_bonus_cap)-AC20)*(1+Techs!AO20*tech_master_of_frugality)*spec_dp_plat,0)</f>
        <v>275</v>
      </c>
      <c r="BU20" s="164">
        <f ca="1">ROUNDUP(IF(OR(race="Gnome",race="Imperial Gnome"),1-AC20,(1-MIN(AB20*smithy_bonus,smithy_bonus_cap)-AC20)*(1+Techs!AO20*tech_master_of_frugality))*spec_dp_ore,0)</f>
        <v>10</v>
      </c>
      <c r="BV20" s="164">
        <f t="shared" ca="1" si="8"/>
        <v>0</v>
      </c>
      <c r="BW20" s="164">
        <f t="shared" ca="1" si="9"/>
        <v>0</v>
      </c>
      <c r="BX20" s="164">
        <f t="shared" ca="1" si="10"/>
        <v>0</v>
      </c>
      <c r="BY20" s="164">
        <f ca="1">ROUNDUP((1-MIN(AB20*smithy_bonus,smithy_bonus_cap)-AC20)*(1+Techs!AO20*tech_master_of_frugality)*elite1_plat,0)</f>
        <v>1000</v>
      </c>
      <c r="BZ20" s="164">
        <f ca="1">ROUNDUP(IF(OR(race="Gnome",race="Imperial Gnome"),1-AC20,(1-MIN(AB20*smithy_bonus,smithy_bonus_cap)-AC20)*(1+Techs!AO20*tech_master_of_frugality))*elite1_ore,0)</f>
        <v>75</v>
      </c>
      <c r="CA20" s="164">
        <f t="shared" ca="1" si="55"/>
        <v>0</v>
      </c>
      <c r="CB20" s="164">
        <f t="shared" ca="1" si="12"/>
        <v>0</v>
      </c>
      <c r="CC20" s="164">
        <f t="shared" ca="1" si="13"/>
        <v>0</v>
      </c>
      <c r="CD20" s="164">
        <f t="shared" ca="1" si="14"/>
        <v>0</v>
      </c>
      <c r="CE20" s="164">
        <f t="shared" ca="1" si="15"/>
        <v>0</v>
      </c>
      <c r="CF20" s="164">
        <f ca="1">ROUNDUP((1-MIN(AB20*smithy_bonus,smithy_bonus_cap)-AC20)*(1+Techs!AO20*tech_master_of_frugality)*elite2_plat,0)</f>
        <v>1250</v>
      </c>
      <c r="CG20" s="164">
        <f ca="1">ROUNDUP(IF(OR(race="Gnome",race="Imperial Gnome"),1-AC20,(1-MIN(AB20*smithy_bonus,smithy_bonus_cap)-AC20)*(1+Techs!AO20*tech_master_of_frugality))*elite2_ore,0)</f>
        <v>100</v>
      </c>
      <c r="CH20" s="164">
        <f t="shared" ca="1" si="5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4">
        <f ca="1">Construction!DF20/Construction!E20</f>
        <v>0.15</v>
      </c>
      <c r="CR20" s="465">
        <f t="shared" si="75"/>
        <v>0</v>
      </c>
      <c r="CS20" s="465">
        <f>Construction!BK20/Construction!E20</f>
        <v>0.05</v>
      </c>
      <c r="CT20" s="465">
        <f>Construction!BJ20/Construction!E20</f>
        <v>0</v>
      </c>
      <c r="CU20" s="465">
        <f>Construction!AY20/Construction!E20</f>
        <v>0</v>
      </c>
      <c r="CV20" s="480">
        <f t="shared" ca="1" si="22"/>
        <v>0.74999999999999989</v>
      </c>
      <c r="CW20" s="481">
        <f t="shared" ca="1" si="23"/>
        <v>0.74999999999999989</v>
      </c>
      <c r="CX20" s="481">
        <f t="shared" ca="1" si="24"/>
        <v>0.74999999999999989</v>
      </c>
      <c r="CY20" s="482">
        <f t="shared" ca="1" si="25"/>
        <v>0.74999999999999989</v>
      </c>
      <c r="CZ20" s="482">
        <f t="shared" si="26"/>
        <v>0</v>
      </c>
      <c r="DA20" s="482">
        <f t="shared" ca="1" si="27"/>
        <v>2.9999999999999996</v>
      </c>
      <c r="DB20" s="482">
        <f t="shared" ca="1" si="28"/>
        <v>0.74999999999999989</v>
      </c>
      <c r="DC20" s="481">
        <f t="shared" si="29"/>
        <v>0</v>
      </c>
      <c r="DD20" s="842">
        <f t="shared" si="57"/>
        <v>0</v>
      </c>
      <c r="DE20" s="439">
        <f t="shared" si="58"/>
        <v>0</v>
      </c>
      <c r="DF20" s="439">
        <f t="shared" si="59"/>
        <v>0</v>
      </c>
      <c r="DG20" s="480">
        <f t="shared" ca="1" si="30"/>
        <v>0.74999999999999989</v>
      </c>
      <c r="DH20" s="449">
        <f t="shared" si="60"/>
        <v>0</v>
      </c>
      <c r="DI20" s="449">
        <f>MIN(valkyrja_cap,Production!O20/valkyrja_bonus)</f>
        <v>1</v>
      </c>
      <c r="DJ20" s="842">
        <f>MIN(voodoo_magi_cap,Production!O20/voodoo_magi_bonus)</f>
        <v>0.83333333333333337</v>
      </c>
      <c r="DK20" s="842">
        <f>MIN(warlock_cap,Production!O20/warlock_bonus)</f>
        <v>1</v>
      </c>
      <c r="DL20" s="842">
        <f ca="1">MIN(nox_nightshade_cap,Construction!DF20/Construction!E20/nox_nightshade_swamp_bonus)</f>
        <v>1.4999999999999998</v>
      </c>
      <c r="DM20" s="481">
        <f t="shared" si="31"/>
        <v>0</v>
      </c>
      <c r="DN20" s="482">
        <f t="shared" ca="1" si="32"/>
        <v>1.4999999999999998</v>
      </c>
      <c r="DO20" s="482">
        <f t="shared" ca="1" si="33"/>
        <v>1.4999999999999998</v>
      </c>
      <c r="DP20" s="482">
        <f t="shared" si="34"/>
        <v>1</v>
      </c>
      <c r="DQ20" s="481">
        <f t="shared" si="35"/>
        <v>0</v>
      </c>
      <c r="DR20" s="482">
        <f t="shared" si="36"/>
        <v>0</v>
      </c>
      <c r="DS20" s="481">
        <f t="shared" si="37"/>
        <v>0</v>
      </c>
      <c r="DT20" s="482">
        <f t="shared" si="61"/>
        <v>0</v>
      </c>
      <c r="DU20" s="1381" t="s">
        <v>107</v>
      </c>
      <c r="DV20" s="16" t="b">
        <f t="shared" si="62"/>
        <v>0</v>
      </c>
      <c r="DX20" s="486">
        <f ca="1">MIN(6,CV20+Races!$F$19)*1.8 +  IF(CV20+Races!$F$19&gt;6,(CV20+Races!$F$19-6)*0.2,0) - Races!$N$19</f>
        <v>1.3500000000000005</v>
      </c>
      <c r="DY20" s="487">
        <f ca="1">1.8 * MIN(MAX(CW20+Races!$E$20,CX20+Races!$F$20),6)  +  0.45 * MIN(MIN(CW20+Races!$E$20,CX20+Races!$F$20),6)  +  0.2 * ( MAX(CW20+Races!$E$20-6,0) + MAX(CX20+Races!$F$20-6,0) )  -  Races!$N$20</f>
        <v>1.6874999999999991</v>
      </c>
      <c r="DZ20" s="57">
        <f t="shared" ca="1" si="38"/>
        <v>0</v>
      </c>
      <c r="EA20" s="663">
        <f ca="1">MIN(6,CY20+Races!$F$35)*1.8 +  IF(CY20+Races!$F$35&gt;6,(CY20+Races!$F$35-6)*0.2,0) - Races!$N$19</f>
        <v>-0.45000000000000018</v>
      </c>
      <c r="EB20" s="57">
        <f t="shared" ca="1" si="39"/>
        <v>0</v>
      </c>
      <c r="EC20" s="663">
        <f ca="1">1.8 * MIN(MAX(Races!$E$27,DB20+Races!$F$27),6)  +  0.45 * MIN(MIN(Races!$E$27,DB20+Races!$F$27),6)  +  0.2 * ( MAX(Races!$E$27-6,0) + MAX(DB20+Races!$F$27-6,0) )  -  Races!$N$20</f>
        <v>3.6000000000000005</v>
      </c>
      <c r="ED20" s="57">
        <f t="shared" ca="1" si="40"/>
        <v>0</v>
      </c>
      <c r="EE20" s="663">
        <f>1.8 * MIN(MAX(DC20+Races!$E$47,DD20+Races!$F$47),6)  +  0.45 * MIN(MIN(DC20+Races!$E$47,DD20+Races!$F$47),6)  +  0.2 * ( MAX(DC20+Races!$E$47-6,0) + MAX(DD20+Races!$F$47-6,0) )  -  Races!$N$47</f>
        <v>0</v>
      </c>
      <c r="EF20" s="57">
        <f t="shared" si="41"/>
        <v>0</v>
      </c>
      <c r="EG20" s="663">
        <f ca="1">1.8 * MIN(MAX(DG20+Races!$F$71,Races!$E$71),6)  +  0.45 * MIN(MIN(DG20+Races!$F$71,Races!$E$71),6)  +  0.2 * ( MAX(DG20+Races!$F$71-6,0) + MAX(Races!$E$71-6,0) )  -  Races!$N$71</f>
        <v>1.3499999999999996</v>
      </c>
      <c r="EH20" s="663">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4">
        <f>(J20+2*K20)/Construction!E20</f>
        <v>0</v>
      </c>
      <c r="EP20" s="730">
        <f ca="1">EO20*(1+race_wizard_strength+tech_magical_weaponry_wiz*Techs!AV92)</f>
        <v>0</v>
      </c>
      <c r="EQ20" s="16">
        <f>(I20+halfer*H20/3)/Construction!E20</f>
        <v>0</v>
      </c>
    </row>
    <row r="21" spans="1:147" s="16" customFormat="1" x14ac:dyDescent="0.25">
      <c r="A21" s="627">
        <f>Rezone!J21</f>
        <v>19</v>
      </c>
      <c r="B21" s="56">
        <f ca="1">SUM(E21:K21)+SUM(AF13:AG21)+SUM(AH10:AL21)+Z21+Explore!AL21</f>
        <v>5295</v>
      </c>
      <c r="C21" s="97">
        <f ca="1">Population!G21</f>
        <v>0.56301040659859114</v>
      </c>
      <c r="E21" s="52">
        <f t="shared" si="66"/>
        <v>0</v>
      </c>
      <c r="F21" s="16">
        <f t="shared" si="67"/>
        <v>0</v>
      </c>
      <c r="G21" s="16">
        <f t="shared" si="68"/>
        <v>0</v>
      </c>
      <c r="H21" s="16">
        <f t="shared" si="69"/>
        <v>0</v>
      </c>
      <c r="I21" s="16">
        <f t="shared" si="70"/>
        <v>0</v>
      </c>
      <c r="J21" s="16">
        <f t="shared" si="71"/>
        <v>0</v>
      </c>
      <c r="K21" s="53">
        <f t="shared" si="72"/>
        <v>0</v>
      </c>
      <c r="M21" s="64">
        <f ca="1">Production!G21</f>
        <v>20900</v>
      </c>
      <c r="O21" s="234">
        <f t="shared" ca="1" si="0"/>
        <v>0</v>
      </c>
      <c r="P21" s="454">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47">
        <f ca="1">race_defense+Imps!AC21+ROUND(MIN(gt_bonus*Construction!BH21/Construction!$E21,gt_bonus_cap),4)+MAX(IF(Magic!AM21&gt;0,frenzy_bonus,IF(Magic!AQ21&gt;0,blizzard_bonus,IF(Magic!AP21&gt;0,howling_dp_bonus,IF(Magic!AI21&gt;0,ares_call_bonus)))),IF(Magic!AX21&gt;0,MIN(Construction!DF21/Construction!E21,0.2),0))</f>
        <v>0</v>
      </c>
      <c r="U21" s="1041">
        <f t="shared" ca="1" si="47"/>
        <v>0</v>
      </c>
      <c r="V21" s="308">
        <f t="shared" ca="1" si="48"/>
        <v>5295</v>
      </c>
      <c r="W21" s="310">
        <f>Construction!E21</f>
        <v>1000</v>
      </c>
      <c r="X21" s="367"/>
      <c r="Y21" s="146">
        <f t="shared" si="76"/>
        <v>0.4</v>
      </c>
      <c r="Z21" s="166">
        <f ca="1">Z20+Population!Z20 - IF(race="Lux",AF21,SUM(AF21:AK21)) - BE21 + SUM(BF21:BL21) - Explore!AI21</f>
        <v>5295</v>
      </c>
      <c r="AA21" s="164"/>
      <c r="AB21" s="91">
        <f>(Construction!$BA21+Construction!BY21)/(Construction!$E21-Explore!S21*20)</f>
        <v>0</v>
      </c>
      <c r="AC21" s="1516">
        <f ca="1">Imps!AE21</f>
        <v>0</v>
      </c>
      <c r="AD21" s="795">
        <f>Rezone!J21</f>
        <v>19</v>
      </c>
      <c r="AE21" s="587">
        <f>Explore!AA21</f>
        <v>43768.187499999956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2">
        <f t="shared" si="73"/>
        <v>43768.187499999956</v>
      </c>
      <c r="BD21" s="148">
        <f t="shared" ca="1" si="74"/>
        <v>5295</v>
      </c>
      <c r="BE21" s="356"/>
      <c r="BF21" s="348"/>
      <c r="BG21" s="348"/>
      <c r="BH21" s="348"/>
      <c r="BI21" s="348"/>
      <c r="BJ21" s="348"/>
      <c r="BK21" s="348"/>
      <c r="BL21" s="357"/>
      <c r="BN21" s="501">
        <f>Construction!BM21/Construction!E21</f>
        <v>0</v>
      </c>
      <c r="BO21" s="171">
        <f>Construction!BD21/Construction!E21</f>
        <v>0</v>
      </c>
      <c r="BP21" s="152">
        <f ca="1">ROUNDUP((1-MIN(AB21*smithy_bonus,smithy_bonus_cap)-AC21)*(1+Techs!AO21*tech_master_of_frugality)*spec_op_plat,0)</f>
        <v>275</v>
      </c>
      <c r="BQ21" s="164">
        <f ca="1">ROUNDUP(IF(OR(race="Gnome",race="Imperial Gnome"),1-AC21,(1-MIN(AB21*smithy_bonus,smithy_bonus_cap)-AC21)*(1+Techs!AO21*tech_master_of_frugality))*spec_op_ore,0)</f>
        <v>25</v>
      </c>
      <c r="BR21" s="164">
        <f t="shared" si="6"/>
        <v>0</v>
      </c>
      <c r="BS21" s="164">
        <f t="shared" si="7"/>
        <v>0</v>
      </c>
      <c r="BT21" s="164">
        <f ca="1">ROUNDUP((1-MIN(AB21*smithy_bonus,smithy_bonus_cap)-AC21)*(1+Techs!AO21*tech_master_of_frugality)*spec_dp_plat,0)</f>
        <v>275</v>
      </c>
      <c r="BU21" s="164">
        <f ca="1">ROUNDUP(IF(OR(race="Gnome",race="Imperial Gnome"),1-AC21,(1-MIN(AB21*smithy_bonus,smithy_bonus_cap)-AC21)*(1+Techs!AO21*tech_master_of_frugality))*spec_dp_ore,0)</f>
        <v>10</v>
      </c>
      <c r="BV21" s="164">
        <f t="shared" ca="1" si="8"/>
        <v>0</v>
      </c>
      <c r="BW21" s="164">
        <f t="shared" ca="1" si="9"/>
        <v>0</v>
      </c>
      <c r="BX21" s="164">
        <f t="shared" ca="1" si="10"/>
        <v>0</v>
      </c>
      <c r="BY21" s="164">
        <f ca="1">ROUNDUP((1-MIN(AB21*smithy_bonus,smithy_bonus_cap)-AC21)*(1+Techs!AO21*tech_master_of_frugality)*elite1_plat,0)</f>
        <v>1000</v>
      </c>
      <c r="BZ21" s="164">
        <f ca="1">ROUNDUP(IF(OR(race="Gnome",race="Imperial Gnome"),1-AC21,(1-MIN(AB21*smithy_bonus,smithy_bonus_cap)-AC21)*(1+Techs!AO21*tech_master_of_frugality))*elite1_ore,0)</f>
        <v>75</v>
      </c>
      <c r="CA21" s="164">
        <f t="shared" ca="1" si="55"/>
        <v>0</v>
      </c>
      <c r="CB21" s="164">
        <f t="shared" ca="1" si="12"/>
        <v>0</v>
      </c>
      <c r="CC21" s="164">
        <f t="shared" ca="1" si="13"/>
        <v>0</v>
      </c>
      <c r="CD21" s="164">
        <f t="shared" ca="1" si="14"/>
        <v>0</v>
      </c>
      <c r="CE21" s="164">
        <f t="shared" ca="1" si="15"/>
        <v>0</v>
      </c>
      <c r="CF21" s="164">
        <f ca="1">ROUNDUP((1-MIN(AB21*smithy_bonus,smithy_bonus_cap)-AC21)*(1+Techs!AO21*tech_master_of_frugality)*elite2_plat,0)</f>
        <v>1250</v>
      </c>
      <c r="CG21" s="164">
        <f ca="1">ROUNDUP(IF(OR(race="Gnome",race="Imperial Gnome"),1-AC21,(1-MIN(AB21*smithy_bonus,smithy_bonus_cap)-AC21)*(1+Techs!AO21*tech_master_of_frugality))*elite2_ore,0)</f>
        <v>100</v>
      </c>
      <c r="CH21" s="164">
        <f t="shared" ca="1" si="5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4">
        <f ca="1">Construction!DF21/Construction!E21</f>
        <v>0.15</v>
      </c>
      <c r="CR21" s="465">
        <f t="shared" si="75"/>
        <v>0</v>
      </c>
      <c r="CS21" s="465">
        <f>Construction!BK21/Construction!E21</f>
        <v>0.05</v>
      </c>
      <c r="CT21" s="465">
        <f>Construction!BJ21/Construction!E21</f>
        <v>0</v>
      </c>
      <c r="CU21" s="465">
        <f>Construction!AY21/Construction!E21</f>
        <v>0</v>
      </c>
      <c r="CV21" s="480">
        <f t="shared" ca="1" si="22"/>
        <v>0.74999999999999989</v>
      </c>
      <c r="CW21" s="481">
        <f t="shared" ca="1" si="23"/>
        <v>0.74999999999999989</v>
      </c>
      <c r="CX21" s="481">
        <f t="shared" ca="1" si="24"/>
        <v>0.74999999999999989</v>
      </c>
      <c r="CY21" s="482">
        <f t="shared" ca="1" si="25"/>
        <v>0.74999999999999989</v>
      </c>
      <c r="CZ21" s="482">
        <f t="shared" si="26"/>
        <v>0</v>
      </c>
      <c r="DA21" s="482">
        <f t="shared" ca="1" si="27"/>
        <v>2.9999999999999996</v>
      </c>
      <c r="DB21" s="482">
        <f t="shared" ca="1" si="28"/>
        <v>0.74999999999999989</v>
      </c>
      <c r="DC21" s="481">
        <f t="shared" si="29"/>
        <v>0</v>
      </c>
      <c r="DD21" s="842">
        <f t="shared" si="57"/>
        <v>0</v>
      </c>
      <c r="DE21" s="439">
        <f t="shared" si="58"/>
        <v>0</v>
      </c>
      <c r="DF21" s="439">
        <f t="shared" si="59"/>
        <v>0</v>
      </c>
      <c r="DG21" s="480">
        <f t="shared" ca="1" si="30"/>
        <v>0.74999999999999989</v>
      </c>
      <c r="DH21" s="449">
        <f t="shared" si="60"/>
        <v>0</v>
      </c>
      <c r="DI21" s="449">
        <f>MIN(valkyrja_cap,Production!O21/valkyrja_bonus)</f>
        <v>1</v>
      </c>
      <c r="DJ21" s="842">
        <f>MIN(voodoo_magi_cap,Production!O21/voodoo_magi_bonus)</f>
        <v>0.83333333333333337</v>
      </c>
      <c r="DK21" s="842">
        <f>MIN(warlock_cap,Production!O21/warlock_bonus)</f>
        <v>1</v>
      </c>
      <c r="DL21" s="842">
        <f ca="1">MIN(nox_nightshade_cap,Construction!DF21/Construction!E21/nox_nightshade_swamp_bonus)</f>
        <v>1.4999999999999998</v>
      </c>
      <c r="DM21" s="481">
        <f t="shared" si="31"/>
        <v>0</v>
      </c>
      <c r="DN21" s="482">
        <f t="shared" ca="1" si="32"/>
        <v>1.4999999999999998</v>
      </c>
      <c r="DO21" s="482">
        <f t="shared" ca="1" si="33"/>
        <v>1.4999999999999998</v>
      </c>
      <c r="DP21" s="482">
        <f t="shared" si="34"/>
        <v>1</v>
      </c>
      <c r="DQ21" s="481">
        <f t="shared" si="35"/>
        <v>0</v>
      </c>
      <c r="DR21" s="482">
        <f t="shared" si="36"/>
        <v>0</v>
      </c>
      <c r="DS21" s="481">
        <f t="shared" si="37"/>
        <v>0</v>
      </c>
      <c r="DT21" s="482">
        <f t="shared" si="61"/>
        <v>0</v>
      </c>
      <c r="DX21" s="486">
        <f ca="1">MIN(6,CV21+Races!$F$19)*1.8 +  IF(CV21+Races!$F$19&gt;6,(CV21+Races!$F$19-6)*0.2,0) - Races!$N$19</f>
        <v>1.3500000000000005</v>
      </c>
      <c r="DY21" s="487">
        <f ca="1">1.8 * MIN(MAX(CW21+Races!$E$20,CX21+Races!$F$20),6)  +  0.45 * MIN(MIN(CW21+Races!$E$20,CX21+Races!$F$20),6)  +  0.2 * ( MAX(CW21+Races!$E$20-6,0) + MAX(CX21+Races!$F$20-6,0) )  -  Races!$N$20</f>
        <v>1.6874999999999991</v>
      </c>
      <c r="DZ21" s="57">
        <f t="shared" ca="1" si="38"/>
        <v>0</v>
      </c>
      <c r="EA21" s="663">
        <f ca="1">MIN(6,CY21+Races!$F$35)*1.8 +  IF(CY21+Races!$F$35&gt;6,(CY21+Races!$F$35-6)*0.2,0) - Races!$N$19</f>
        <v>-0.45000000000000018</v>
      </c>
      <c r="EB21" s="57">
        <f t="shared" ca="1" si="39"/>
        <v>0</v>
      </c>
      <c r="EC21" s="663">
        <f ca="1">1.8 * MIN(MAX(Races!$E$27,DB21+Races!$F$27),6)  +  0.45 * MIN(MIN(Races!$E$27,DB21+Races!$F$27),6)  +  0.2 * ( MAX(Races!$E$27-6,0) + MAX(DB21+Races!$F$27-6,0) )  -  Races!$N$20</f>
        <v>3.6000000000000005</v>
      </c>
      <c r="ED21" s="57">
        <f t="shared" ca="1" si="40"/>
        <v>0</v>
      </c>
      <c r="EE21" s="663">
        <f>1.8 * MIN(MAX(DC21+Races!$E$47,DD21+Races!$F$47),6)  +  0.45 * MIN(MIN(DC21+Races!$E$47,DD21+Races!$F$47),6)  +  0.2 * ( MAX(DC21+Races!$E$47-6,0) + MAX(DD21+Races!$F$47-6,0) )  -  Races!$N$47</f>
        <v>0</v>
      </c>
      <c r="EF21" s="57">
        <f t="shared" si="41"/>
        <v>0</v>
      </c>
      <c r="EG21" s="663">
        <f ca="1">1.8 * MIN(MAX(DG21+Races!$F$71,Races!$E$71),6)  +  0.45 * MIN(MIN(DG21+Races!$F$71,Races!$E$71),6)  +  0.2 * ( MAX(DG21+Races!$F$71-6,0) + MAX(Races!$E$71-6,0) )  -  Races!$N$71</f>
        <v>1.3499999999999996</v>
      </c>
      <c r="EH21" s="663">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4">
        <f>(J21+2*K21)/Construction!E21</f>
        <v>0</v>
      </c>
      <c r="EP21" s="730">
        <f ca="1">EO21*(1+race_wizard_strength+tech_magical_weaponry_wiz*Techs!AV93)</f>
        <v>0</v>
      </c>
      <c r="EQ21" s="16">
        <f>(I21+halfer*H21/3)/Construction!E21</f>
        <v>0</v>
      </c>
    </row>
    <row r="22" spans="1:147" s="16" customFormat="1" x14ac:dyDescent="0.25">
      <c r="A22" s="627">
        <f>Rezone!J22</f>
        <v>20</v>
      </c>
      <c r="B22" s="56">
        <f ca="1">SUM(E22:K22)+SUM(AF14:AG22)+SUM(AH11:AL22)+Z22+Explore!AL22</f>
        <v>5295</v>
      </c>
      <c r="C22" s="97">
        <f ca="1">Population!G22</f>
        <v>0.57558667597364055</v>
      </c>
      <c r="E22" s="52">
        <f t="shared" si="66"/>
        <v>0</v>
      </c>
      <c r="F22" s="16">
        <f t="shared" si="67"/>
        <v>0</v>
      </c>
      <c r="G22" s="16">
        <f t="shared" si="68"/>
        <v>0</v>
      </c>
      <c r="H22" s="16">
        <f t="shared" si="69"/>
        <v>0</v>
      </c>
      <c r="I22" s="16">
        <f t="shared" si="70"/>
        <v>0</v>
      </c>
      <c r="J22" s="16">
        <f t="shared" si="71"/>
        <v>0</v>
      </c>
      <c r="K22" s="53">
        <f t="shared" si="72"/>
        <v>0</v>
      </c>
      <c r="M22" s="64">
        <f ca="1">Production!G22</f>
        <v>20900</v>
      </c>
      <c r="O22" s="234">
        <f t="shared" ca="1" si="0"/>
        <v>0</v>
      </c>
      <c r="P22" s="454">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47">
        <f ca="1">race_defense+Imps!AC22+ROUND(MIN(gt_bonus*Construction!BH22/Construction!$E22,gt_bonus_cap),4)+MAX(IF(Magic!AM22&gt;0,frenzy_bonus,IF(Magic!AQ22&gt;0,blizzard_bonus,IF(Magic!AP22&gt;0,howling_dp_bonus,IF(Magic!AI22&gt;0,ares_call_bonus)))),IF(Magic!AX22&gt;0,MIN(Construction!DF22/Construction!E22,0.2),0))</f>
        <v>0</v>
      </c>
      <c r="U22" s="1041">
        <f t="shared" ca="1" si="47"/>
        <v>0</v>
      </c>
      <c r="V22" s="308">
        <f t="shared" ca="1" si="48"/>
        <v>5295</v>
      </c>
      <c r="W22" s="310">
        <f>Construction!E22</f>
        <v>1000</v>
      </c>
      <c r="X22" s="367"/>
      <c r="Y22" s="146">
        <f t="shared" si="76"/>
        <v>0.4</v>
      </c>
      <c r="Z22" s="166">
        <f ca="1">Z21+Population!Z21 - IF(race="Lux",AF22,SUM(AF22:AK22)) - BE22 + SUM(BF22:BL22) - Explore!AI22</f>
        <v>5295</v>
      </c>
      <c r="AA22" s="164"/>
      <c r="AB22" s="91">
        <f>(Construction!$BA22+Construction!BY22)/(Construction!$E22-Explore!S22*20)</f>
        <v>0</v>
      </c>
      <c r="AC22" s="1516">
        <f ca="1">Imps!AE22</f>
        <v>0</v>
      </c>
      <c r="AD22" s="795">
        <f>Rezone!J22</f>
        <v>20</v>
      </c>
      <c r="AE22" s="587">
        <f>Explore!AA22</f>
        <v>43768.197916666621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2">
        <f t="shared" si="73"/>
        <v>43768.197916666621</v>
      </c>
      <c r="BD22" s="148">
        <f t="shared" ca="1" si="74"/>
        <v>5295</v>
      </c>
      <c r="BE22" s="356"/>
      <c r="BF22" s="348"/>
      <c r="BG22" s="348"/>
      <c r="BH22" s="348"/>
      <c r="BI22" s="348"/>
      <c r="BJ22" s="348"/>
      <c r="BK22" s="348"/>
      <c r="BL22" s="357"/>
      <c r="BN22" s="501">
        <f>Construction!BM22/Construction!E22</f>
        <v>0</v>
      </c>
      <c r="BO22" s="171">
        <f>Construction!BD22/Construction!E22</f>
        <v>0</v>
      </c>
      <c r="BP22" s="152">
        <f ca="1">ROUNDUP((1-MIN(AB22*smithy_bonus,smithy_bonus_cap)-AC22)*(1+Techs!AO22*tech_master_of_frugality)*spec_op_plat,0)</f>
        <v>275</v>
      </c>
      <c r="BQ22" s="164">
        <f ca="1">ROUNDUP(IF(OR(race="Gnome",race="Imperial Gnome"),1-AC22,(1-MIN(AB22*smithy_bonus,smithy_bonus_cap)-AC22)*(1+Techs!AO22*tech_master_of_frugality))*spec_op_ore,0)</f>
        <v>25</v>
      </c>
      <c r="BR22" s="164">
        <f t="shared" si="6"/>
        <v>0</v>
      </c>
      <c r="BS22" s="164">
        <f t="shared" si="7"/>
        <v>0</v>
      </c>
      <c r="BT22" s="164">
        <f ca="1">ROUNDUP((1-MIN(AB22*smithy_bonus,smithy_bonus_cap)-AC22)*(1+Techs!AO22*tech_master_of_frugality)*spec_dp_plat,0)</f>
        <v>275</v>
      </c>
      <c r="BU22" s="164">
        <f ca="1">ROUNDUP(IF(OR(race="Gnome",race="Imperial Gnome"),1-AC22,(1-MIN(AB22*smithy_bonus,smithy_bonus_cap)-AC22)*(1+Techs!AO22*tech_master_of_frugality))*spec_dp_ore,0)</f>
        <v>10</v>
      </c>
      <c r="BV22" s="164">
        <f t="shared" ca="1" si="8"/>
        <v>0</v>
      </c>
      <c r="BW22" s="164">
        <f t="shared" ca="1" si="9"/>
        <v>0</v>
      </c>
      <c r="BX22" s="164">
        <f t="shared" ca="1" si="10"/>
        <v>0</v>
      </c>
      <c r="BY22" s="164">
        <f ca="1">ROUNDUP((1-MIN(AB22*smithy_bonus,smithy_bonus_cap)-AC22)*(1+Techs!AO22*tech_master_of_frugality)*elite1_plat,0)</f>
        <v>1000</v>
      </c>
      <c r="BZ22" s="164">
        <f ca="1">ROUNDUP(IF(OR(race="Gnome",race="Imperial Gnome"),1-AC22,(1-MIN(AB22*smithy_bonus,smithy_bonus_cap)-AC22)*(1+Techs!AO22*tech_master_of_frugality))*elite1_ore,0)</f>
        <v>75</v>
      </c>
      <c r="CA22" s="164">
        <f t="shared" ca="1" si="55"/>
        <v>0</v>
      </c>
      <c r="CB22" s="164">
        <f t="shared" ca="1" si="12"/>
        <v>0</v>
      </c>
      <c r="CC22" s="164">
        <f t="shared" ca="1" si="13"/>
        <v>0</v>
      </c>
      <c r="CD22" s="164">
        <f t="shared" ca="1" si="14"/>
        <v>0</v>
      </c>
      <c r="CE22" s="164">
        <f t="shared" ca="1" si="15"/>
        <v>0</v>
      </c>
      <c r="CF22" s="164">
        <f ca="1">ROUNDUP((1-MIN(AB22*smithy_bonus,smithy_bonus_cap)-AC22)*(1+Techs!AO22*tech_master_of_frugality)*elite2_plat,0)</f>
        <v>1250</v>
      </c>
      <c r="CG22" s="164">
        <f ca="1">ROUNDUP(IF(OR(race="Gnome",race="Imperial Gnome"),1-AC22,(1-MIN(AB22*smithy_bonus,smithy_bonus_cap)-AC22)*(1+Techs!AO22*tech_master_of_frugality))*elite2_ore,0)</f>
        <v>100</v>
      </c>
      <c r="CH22" s="164">
        <f t="shared" ca="1" si="5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4">
        <f ca="1">Construction!DF22/Construction!E22</f>
        <v>0.15</v>
      </c>
      <c r="CR22" s="465">
        <f t="shared" si="75"/>
        <v>0</v>
      </c>
      <c r="CS22" s="465">
        <f>Construction!BK22/Construction!E22</f>
        <v>0.05</v>
      </c>
      <c r="CT22" s="465">
        <f>Construction!BJ22/Construction!E22</f>
        <v>0</v>
      </c>
      <c r="CU22" s="465">
        <f>Construction!AY22/Construction!E22</f>
        <v>0</v>
      </c>
      <c r="CV22" s="480">
        <f t="shared" ca="1" si="22"/>
        <v>0.74999999999999989</v>
      </c>
      <c r="CW22" s="481">
        <f t="shared" ca="1" si="23"/>
        <v>0.74999999999999989</v>
      </c>
      <c r="CX22" s="481">
        <f t="shared" ca="1" si="24"/>
        <v>0.74999999999999989</v>
      </c>
      <c r="CY22" s="482">
        <f t="shared" ca="1" si="25"/>
        <v>0.74999999999999989</v>
      </c>
      <c r="CZ22" s="482">
        <f t="shared" si="26"/>
        <v>0</v>
      </c>
      <c r="DA22" s="482">
        <f t="shared" ca="1" si="27"/>
        <v>2.9999999999999996</v>
      </c>
      <c r="DB22" s="482">
        <f t="shared" ca="1" si="28"/>
        <v>0.74999999999999989</v>
      </c>
      <c r="DC22" s="481">
        <f t="shared" si="29"/>
        <v>0</v>
      </c>
      <c r="DD22" s="842">
        <f t="shared" si="57"/>
        <v>0</v>
      </c>
      <c r="DE22" s="439">
        <f t="shared" si="58"/>
        <v>0</v>
      </c>
      <c r="DF22" s="439">
        <f t="shared" si="59"/>
        <v>0</v>
      </c>
      <c r="DG22" s="480">
        <f t="shared" ca="1" si="30"/>
        <v>0.74999999999999989</v>
      </c>
      <c r="DH22" s="449">
        <f t="shared" si="60"/>
        <v>0</v>
      </c>
      <c r="DI22" s="449">
        <f>MIN(valkyrja_cap,Production!O22/valkyrja_bonus)</f>
        <v>1</v>
      </c>
      <c r="DJ22" s="842">
        <f>MIN(voodoo_magi_cap,Production!O22/voodoo_magi_bonus)</f>
        <v>0.83333333333333337</v>
      </c>
      <c r="DK22" s="842">
        <f>MIN(warlock_cap,Production!O22/warlock_bonus)</f>
        <v>1</v>
      </c>
      <c r="DL22" s="842">
        <f ca="1">MIN(nox_nightshade_cap,Construction!DF22/Construction!E22/nox_nightshade_swamp_bonus)</f>
        <v>1.4999999999999998</v>
      </c>
      <c r="DM22" s="481">
        <f t="shared" si="31"/>
        <v>0</v>
      </c>
      <c r="DN22" s="482">
        <f t="shared" ca="1" si="32"/>
        <v>1.4999999999999998</v>
      </c>
      <c r="DO22" s="482">
        <f t="shared" ca="1" si="33"/>
        <v>1.4999999999999998</v>
      </c>
      <c r="DP22" s="482">
        <f t="shared" si="34"/>
        <v>1</v>
      </c>
      <c r="DQ22" s="481">
        <f t="shared" si="35"/>
        <v>0</v>
      </c>
      <c r="DR22" s="482">
        <f t="shared" si="36"/>
        <v>0</v>
      </c>
      <c r="DS22" s="481">
        <f t="shared" si="37"/>
        <v>0</v>
      </c>
      <c r="DT22" s="482">
        <f t="shared" si="61"/>
        <v>0</v>
      </c>
      <c r="DX22" s="486">
        <f ca="1">MIN(6,CV22+Races!$F$19)*1.8 +  IF(CV22+Races!$F$19&gt;6,(CV22+Races!$F$19-6)*0.2,0) - Races!$N$19</f>
        <v>1.3500000000000005</v>
      </c>
      <c r="DY22" s="487">
        <f ca="1">1.8 * MIN(MAX(CW22+Races!$E$20,CX22+Races!$F$20),6)  +  0.45 * MIN(MIN(CW22+Races!$E$20,CX22+Races!$F$20),6)  +  0.2 * ( MAX(CW22+Races!$E$20-6,0) + MAX(CX22+Races!$F$20-6,0) )  -  Races!$N$20</f>
        <v>1.6874999999999991</v>
      </c>
      <c r="DZ22" s="57">
        <f t="shared" ca="1" si="38"/>
        <v>0</v>
      </c>
      <c r="EA22" s="663">
        <f ca="1">MIN(6,CY22+Races!$F$35)*1.8 +  IF(CY22+Races!$F$35&gt;6,(CY22+Races!$F$35-6)*0.2,0) - Races!$N$19</f>
        <v>-0.45000000000000018</v>
      </c>
      <c r="EB22" s="57">
        <f t="shared" ca="1" si="39"/>
        <v>0</v>
      </c>
      <c r="EC22" s="663">
        <f ca="1">1.8 * MIN(MAX(Races!$E$27,DB22+Races!$F$27),6)  +  0.45 * MIN(MIN(Races!$E$27,DB22+Races!$F$27),6)  +  0.2 * ( MAX(Races!$E$27-6,0) + MAX(DB22+Races!$F$27-6,0) )  -  Races!$N$20</f>
        <v>3.6000000000000005</v>
      </c>
      <c r="ED22" s="57">
        <f t="shared" ca="1" si="40"/>
        <v>0</v>
      </c>
      <c r="EE22" s="663">
        <f>1.8 * MIN(MAX(DC22+Races!$E$47,DD22+Races!$F$47),6)  +  0.45 * MIN(MIN(DC22+Races!$E$47,DD22+Races!$F$47),6)  +  0.2 * ( MAX(DC22+Races!$E$47-6,0) + MAX(DD22+Races!$F$47-6,0) )  -  Races!$N$47</f>
        <v>0</v>
      </c>
      <c r="EF22" s="57">
        <f t="shared" si="41"/>
        <v>0</v>
      </c>
      <c r="EG22" s="663">
        <f ca="1">1.8 * MIN(MAX(DG22+Races!$F$71,Races!$E$71),6)  +  0.45 * MIN(MIN(DG22+Races!$F$71,Races!$E$71),6)  +  0.2 * ( MAX(DG22+Races!$F$71-6,0) + MAX(Races!$E$71-6,0) )  -  Races!$N$71</f>
        <v>1.3499999999999996</v>
      </c>
      <c r="EH22" s="663">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4">
        <f>(J22+2*K22)/Construction!E22</f>
        <v>0</v>
      </c>
      <c r="EP22" s="730">
        <f ca="1">EO22*(1+race_wizard_strength+tech_magical_weaponry_wiz*Techs!AV94)</f>
        <v>0</v>
      </c>
      <c r="EQ22" s="16">
        <f>(I22+halfer*H22/3)/Construction!E22</f>
        <v>0</v>
      </c>
    </row>
    <row r="23" spans="1:147" s="16" customFormat="1" x14ac:dyDescent="0.25">
      <c r="A23" s="627">
        <f>Rezone!J23</f>
        <v>21</v>
      </c>
      <c r="B23" s="56">
        <f ca="1">SUM(E23:K23)+SUM(AF15:AG23)+SUM(AH12:AL23)+Z23+Explore!AL23</f>
        <v>5295</v>
      </c>
      <c r="C23" s="97">
        <f ca="1">Population!G23</f>
        <v>0.58806582454061995</v>
      </c>
      <c r="E23" s="52">
        <f t="shared" si="66"/>
        <v>0</v>
      </c>
      <c r="F23" s="16">
        <f t="shared" si="67"/>
        <v>0</v>
      </c>
      <c r="G23" s="16">
        <f t="shared" si="68"/>
        <v>0</v>
      </c>
      <c r="H23" s="16">
        <f t="shared" si="69"/>
        <v>0</v>
      </c>
      <c r="I23" s="16">
        <f t="shared" si="70"/>
        <v>0</v>
      </c>
      <c r="J23" s="16">
        <f t="shared" si="71"/>
        <v>0</v>
      </c>
      <c r="K23" s="53">
        <f t="shared" si="72"/>
        <v>0</v>
      </c>
      <c r="M23" s="64">
        <f ca="1">Production!G23</f>
        <v>20900</v>
      </c>
      <c r="O23" s="234">
        <f t="shared" ca="1" si="0"/>
        <v>0</v>
      </c>
      <c r="P23" s="454">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47">
        <f ca="1">race_defense+Imps!AC23+ROUND(MIN(gt_bonus*Construction!BH23/Construction!$E23,gt_bonus_cap),4)+MAX(IF(Magic!AM23&gt;0,frenzy_bonus,IF(Magic!AQ23&gt;0,blizzard_bonus,IF(Magic!AP23&gt;0,howling_dp_bonus,IF(Magic!AI23&gt;0,ares_call_bonus)))),IF(Magic!AX23&gt;0,MIN(Construction!DF23/Construction!E23,0.2),0))</f>
        <v>0</v>
      </c>
      <c r="U23" s="1041">
        <f t="shared" ca="1" si="47"/>
        <v>0</v>
      </c>
      <c r="V23" s="308">
        <f t="shared" ca="1" si="48"/>
        <v>5295</v>
      </c>
      <c r="W23" s="310">
        <f>Construction!E23</f>
        <v>1000</v>
      </c>
      <c r="X23" s="367"/>
      <c r="Y23" s="146">
        <f t="shared" si="76"/>
        <v>0.4</v>
      </c>
      <c r="Z23" s="166">
        <f ca="1">Z22+Population!Z22 - IF(race="Lux",AF23,SUM(AF23:AK23)) - BE23 + SUM(BF23:BL23) - Explore!AI23</f>
        <v>5295</v>
      </c>
      <c r="AA23" s="164"/>
      <c r="AB23" s="91">
        <f>(Construction!$BA23+Construction!BY23)/(Construction!$E23-Explore!S23*20)</f>
        <v>0</v>
      </c>
      <c r="AC23" s="1516">
        <f ca="1">Imps!AE23</f>
        <v>0</v>
      </c>
      <c r="AD23" s="795">
        <f>Rezone!J23</f>
        <v>21</v>
      </c>
      <c r="AE23" s="587">
        <f>Explore!AA23</f>
        <v>43768.208333333285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2">
        <f t="shared" si="73"/>
        <v>43768.208333333285</v>
      </c>
      <c r="BD23" s="148">
        <f t="shared" ca="1" si="74"/>
        <v>5295</v>
      </c>
      <c r="BE23" s="356"/>
      <c r="BF23" s="348"/>
      <c r="BG23" s="348"/>
      <c r="BH23" s="348"/>
      <c r="BI23" s="348"/>
      <c r="BJ23" s="348"/>
      <c r="BK23" s="348"/>
      <c r="BL23" s="357"/>
      <c r="BN23" s="501">
        <f>Construction!BM23/Construction!E23</f>
        <v>0</v>
      </c>
      <c r="BO23" s="171">
        <f>Construction!BD23/Construction!E23</f>
        <v>0</v>
      </c>
      <c r="BP23" s="152">
        <f ca="1">ROUNDUP((1-MIN(AB23*smithy_bonus,smithy_bonus_cap)-AC23)*(1+Techs!AO23*tech_master_of_frugality)*spec_op_plat,0)</f>
        <v>275</v>
      </c>
      <c r="BQ23" s="164">
        <f ca="1">ROUNDUP(IF(OR(race="Gnome",race="Imperial Gnome"),1-AC23,(1-MIN(AB23*smithy_bonus,smithy_bonus_cap)-AC23)*(1+Techs!AO23*tech_master_of_frugality))*spec_op_ore,0)</f>
        <v>25</v>
      </c>
      <c r="BR23" s="164">
        <f t="shared" si="6"/>
        <v>0</v>
      </c>
      <c r="BS23" s="164">
        <f t="shared" si="7"/>
        <v>0</v>
      </c>
      <c r="BT23" s="164">
        <f ca="1">ROUNDUP((1-MIN(AB23*smithy_bonus,smithy_bonus_cap)-AC23)*(1+Techs!AO23*tech_master_of_frugality)*spec_dp_plat,0)</f>
        <v>275</v>
      </c>
      <c r="BU23" s="164">
        <f ca="1">ROUNDUP(IF(OR(race="Gnome",race="Imperial Gnome"),1-AC23,(1-MIN(AB23*smithy_bonus,smithy_bonus_cap)-AC23)*(1+Techs!AO23*tech_master_of_frugality))*spec_dp_ore,0)</f>
        <v>10</v>
      </c>
      <c r="BV23" s="164">
        <f t="shared" ca="1" si="8"/>
        <v>0</v>
      </c>
      <c r="BW23" s="164">
        <f t="shared" ca="1" si="9"/>
        <v>0</v>
      </c>
      <c r="BX23" s="164">
        <f t="shared" ca="1" si="10"/>
        <v>0</v>
      </c>
      <c r="BY23" s="164">
        <f ca="1">ROUNDUP((1-MIN(AB23*smithy_bonus,smithy_bonus_cap)-AC23)*(1+Techs!AO23*tech_master_of_frugality)*elite1_plat,0)</f>
        <v>1000</v>
      </c>
      <c r="BZ23" s="164">
        <f ca="1">ROUNDUP(IF(OR(race="Gnome",race="Imperial Gnome"),1-AC23,(1-MIN(AB23*smithy_bonus,smithy_bonus_cap)-AC23)*(1+Techs!AO23*tech_master_of_frugality))*elite1_ore,0)</f>
        <v>75</v>
      </c>
      <c r="CA23" s="164">
        <f t="shared" ca="1" si="55"/>
        <v>0</v>
      </c>
      <c r="CB23" s="164">
        <f t="shared" ca="1" si="12"/>
        <v>0</v>
      </c>
      <c r="CC23" s="164">
        <f t="shared" ca="1" si="13"/>
        <v>0</v>
      </c>
      <c r="CD23" s="164">
        <f t="shared" ca="1" si="14"/>
        <v>0</v>
      </c>
      <c r="CE23" s="164">
        <f t="shared" ca="1" si="15"/>
        <v>0</v>
      </c>
      <c r="CF23" s="164">
        <f ca="1">ROUNDUP((1-MIN(AB23*smithy_bonus,smithy_bonus_cap)-AC23)*(1+Techs!AO23*tech_master_of_frugality)*elite2_plat,0)</f>
        <v>1250</v>
      </c>
      <c r="CG23" s="164">
        <f ca="1">ROUNDUP(IF(OR(race="Gnome",race="Imperial Gnome"),1-AC23,(1-MIN(AB23*smithy_bonus,smithy_bonus_cap)-AC23)*(1+Techs!AO23*tech_master_of_frugality))*elite2_ore,0)</f>
        <v>100</v>
      </c>
      <c r="CH23" s="164">
        <f t="shared" ca="1" si="5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4">
        <f ca="1">Construction!DF23/Construction!E23</f>
        <v>0.15</v>
      </c>
      <c r="CR23" s="465">
        <f t="shared" si="75"/>
        <v>0</v>
      </c>
      <c r="CS23" s="465">
        <f>Construction!BK23/Construction!E23</f>
        <v>0.05</v>
      </c>
      <c r="CT23" s="465">
        <f>Construction!BJ23/Construction!E23</f>
        <v>0</v>
      </c>
      <c r="CU23" s="465">
        <f>Construction!AY23/Construction!E23</f>
        <v>0</v>
      </c>
      <c r="CV23" s="480">
        <f t="shared" ca="1" si="22"/>
        <v>0.74999999999999989</v>
      </c>
      <c r="CW23" s="481">
        <f t="shared" ca="1" si="23"/>
        <v>0.74999999999999989</v>
      </c>
      <c r="CX23" s="481">
        <f t="shared" ca="1" si="24"/>
        <v>0.74999999999999989</v>
      </c>
      <c r="CY23" s="482">
        <f t="shared" ca="1" si="25"/>
        <v>0.74999999999999989</v>
      </c>
      <c r="CZ23" s="482">
        <f t="shared" si="26"/>
        <v>0</v>
      </c>
      <c r="DA23" s="482">
        <f t="shared" ca="1" si="27"/>
        <v>2.9999999999999996</v>
      </c>
      <c r="DB23" s="482">
        <f t="shared" ca="1" si="28"/>
        <v>0.74999999999999989</v>
      </c>
      <c r="DC23" s="481">
        <f t="shared" si="29"/>
        <v>0</v>
      </c>
      <c r="DD23" s="842">
        <f t="shared" si="57"/>
        <v>0</v>
      </c>
      <c r="DE23" s="439">
        <f t="shared" si="58"/>
        <v>0</v>
      </c>
      <c r="DF23" s="439">
        <f t="shared" si="59"/>
        <v>0</v>
      </c>
      <c r="DG23" s="480">
        <f t="shared" ca="1" si="30"/>
        <v>0.74999999999999989</v>
      </c>
      <c r="DH23" s="449">
        <f t="shared" si="60"/>
        <v>0</v>
      </c>
      <c r="DI23" s="449">
        <f>MIN(valkyrja_cap,Production!O23/valkyrja_bonus)</f>
        <v>1</v>
      </c>
      <c r="DJ23" s="842">
        <f>MIN(voodoo_magi_cap,Production!O23/voodoo_magi_bonus)</f>
        <v>0.83333333333333337</v>
      </c>
      <c r="DK23" s="842">
        <f>MIN(warlock_cap,Production!O23/warlock_bonus)</f>
        <v>1</v>
      </c>
      <c r="DL23" s="842">
        <f ca="1">MIN(nox_nightshade_cap,Construction!DF23/Construction!E23/nox_nightshade_swamp_bonus)</f>
        <v>1.4999999999999998</v>
      </c>
      <c r="DM23" s="481">
        <f t="shared" si="31"/>
        <v>0</v>
      </c>
      <c r="DN23" s="482">
        <f t="shared" ca="1" si="32"/>
        <v>1.4999999999999998</v>
      </c>
      <c r="DO23" s="482">
        <f t="shared" ca="1" si="33"/>
        <v>1.4999999999999998</v>
      </c>
      <c r="DP23" s="482">
        <f t="shared" si="34"/>
        <v>1</v>
      </c>
      <c r="DQ23" s="481">
        <f t="shared" si="35"/>
        <v>0</v>
      </c>
      <c r="DR23" s="482">
        <f t="shared" si="36"/>
        <v>0</v>
      </c>
      <c r="DS23" s="481">
        <f t="shared" si="37"/>
        <v>0</v>
      </c>
      <c r="DT23" s="482">
        <f t="shared" si="61"/>
        <v>0</v>
      </c>
      <c r="DX23" s="486">
        <f ca="1">MIN(6,CV23+Races!$F$19)*1.8 +  IF(CV23+Races!$F$19&gt;6,(CV23+Races!$F$19-6)*0.2,0) - Races!$N$19</f>
        <v>1.3500000000000005</v>
      </c>
      <c r="DY23" s="487">
        <f ca="1">1.8 * MIN(MAX(CW23+Races!$E$20,CX23+Races!$F$20),6)  +  0.45 * MIN(MIN(CW23+Races!$E$20,CX23+Races!$F$20),6)  +  0.2 * ( MAX(CW23+Races!$E$20-6,0) + MAX(CX23+Races!$F$20-6,0) )  -  Races!$N$20</f>
        <v>1.6874999999999991</v>
      </c>
      <c r="DZ23" s="57">
        <f t="shared" ca="1" si="38"/>
        <v>0</v>
      </c>
      <c r="EA23" s="663">
        <f ca="1">MIN(6,CY23+Races!$F$35)*1.8 +  IF(CY23+Races!$F$35&gt;6,(CY23+Races!$F$35-6)*0.2,0) - Races!$N$19</f>
        <v>-0.45000000000000018</v>
      </c>
      <c r="EB23" s="57">
        <f t="shared" ca="1" si="39"/>
        <v>0</v>
      </c>
      <c r="EC23" s="663">
        <f ca="1">1.8 * MIN(MAX(Races!$E$27,DB23+Races!$F$27),6)  +  0.45 * MIN(MIN(Races!$E$27,DB23+Races!$F$27),6)  +  0.2 * ( MAX(Races!$E$27-6,0) + MAX(DB23+Races!$F$27-6,0) )  -  Races!$N$20</f>
        <v>3.6000000000000005</v>
      </c>
      <c r="ED23" s="57">
        <f t="shared" ca="1" si="40"/>
        <v>0</v>
      </c>
      <c r="EE23" s="663">
        <f>1.8 * MIN(MAX(DC23+Races!$E$47,DD23+Races!$F$47),6)  +  0.45 * MIN(MIN(DC23+Races!$E$47,DD23+Races!$F$47),6)  +  0.2 * ( MAX(DC23+Races!$E$47-6,0) + MAX(DD23+Races!$F$47-6,0) )  -  Races!$N$47</f>
        <v>0</v>
      </c>
      <c r="EF23" s="57">
        <f t="shared" si="41"/>
        <v>0</v>
      </c>
      <c r="EG23" s="663">
        <f ca="1">1.8 * MIN(MAX(DG23+Races!$F$71,Races!$E$71),6)  +  0.45 * MIN(MIN(DG23+Races!$F$71,Races!$E$71),6)  +  0.2 * ( MAX(DG23+Races!$F$71-6,0) + MAX(Races!$E$71-6,0) )  -  Races!$N$71</f>
        <v>1.3499999999999996</v>
      </c>
      <c r="EH23" s="663">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4">
        <f>(J23+2*K23)/Construction!E23</f>
        <v>0</v>
      </c>
      <c r="EP23" s="730">
        <f ca="1">EO23*(1+race_wizard_strength+tech_magical_weaponry_wiz*Techs!AV95)</f>
        <v>0</v>
      </c>
      <c r="EQ23" s="16">
        <f>(I23+halfer*H23/3)/Construction!E23</f>
        <v>0</v>
      </c>
    </row>
    <row r="24" spans="1:147" s="16" customFormat="1" x14ac:dyDescent="0.25">
      <c r="A24" s="627">
        <f>Rezone!J24</f>
        <v>22</v>
      </c>
      <c r="B24" s="56">
        <f ca="1">SUM(E24:K24)+SUM(AF16:AG24)+SUM(AH13:AL24)+Z24+Explore!AL24</f>
        <v>5295</v>
      </c>
      <c r="C24" s="97">
        <f ca="1">Population!G24</f>
        <v>0.60043276330414441</v>
      </c>
      <c r="E24" s="52">
        <f t="shared" si="66"/>
        <v>0</v>
      </c>
      <c r="F24" s="16">
        <f t="shared" si="67"/>
        <v>0</v>
      </c>
      <c r="G24" s="16">
        <f t="shared" si="68"/>
        <v>0</v>
      </c>
      <c r="H24" s="16">
        <f t="shared" si="69"/>
        <v>0</v>
      </c>
      <c r="I24" s="16">
        <f t="shared" si="70"/>
        <v>0</v>
      </c>
      <c r="J24" s="16">
        <f t="shared" si="71"/>
        <v>0</v>
      </c>
      <c r="K24" s="53">
        <f t="shared" si="72"/>
        <v>0</v>
      </c>
      <c r="M24" s="64">
        <f ca="1">Production!G24</f>
        <v>20900</v>
      </c>
      <c r="O24" s="234">
        <f t="shared" ca="1" si="0"/>
        <v>0</v>
      </c>
      <c r="P24" s="454">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47">
        <f ca="1">race_defense+Imps!AC24+ROUND(MIN(gt_bonus*Construction!BH24/Construction!$E24,gt_bonus_cap),4)+MAX(IF(Magic!AM24&gt;0,frenzy_bonus,IF(Magic!AQ24&gt;0,blizzard_bonus,IF(Magic!AP24&gt;0,howling_dp_bonus,IF(Magic!AI24&gt;0,ares_call_bonus)))),IF(Magic!AX24&gt;0,MIN(Construction!DF24/Construction!E24,0.2),0))</f>
        <v>0</v>
      </c>
      <c r="U24" s="1041">
        <f t="shared" ca="1" si="47"/>
        <v>0</v>
      </c>
      <c r="V24" s="308">
        <f t="shared" ca="1" si="48"/>
        <v>5295</v>
      </c>
      <c r="W24" s="310">
        <f>Construction!E24</f>
        <v>1000</v>
      </c>
      <c r="X24" s="367"/>
      <c r="Y24" s="146">
        <f t="shared" si="76"/>
        <v>0.4</v>
      </c>
      <c r="Z24" s="166">
        <f ca="1">Z23+Population!Z23 - IF(race="Lux",AF24,SUM(AF24:AK24)) - BE24 + SUM(BF24:BL24) - Explore!AI24</f>
        <v>5295</v>
      </c>
      <c r="AA24" s="164"/>
      <c r="AB24" s="91">
        <f>(Construction!$BA24+Construction!BY24)/(Construction!$E24-Explore!S24*20)</f>
        <v>0</v>
      </c>
      <c r="AC24" s="1516">
        <f ca="1">Imps!AE24</f>
        <v>0</v>
      </c>
      <c r="AD24" s="795">
        <f>Rezone!J24</f>
        <v>22</v>
      </c>
      <c r="AE24" s="587">
        <f>Explore!AA24</f>
        <v>43768.218749999949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2">
        <f t="shared" si="73"/>
        <v>43768.218749999949</v>
      </c>
      <c r="BD24" s="148">
        <f t="shared" ca="1" si="74"/>
        <v>5295</v>
      </c>
      <c r="BE24" s="356"/>
      <c r="BF24" s="348"/>
      <c r="BG24" s="348"/>
      <c r="BH24" s="348"/>
      <c r="BI24" s="348"/>
      <c r="BJ24" s="348"/>
      <c r="BK24" s="348"/>
      <c r="BL24" s="357"/>
      <c r="BN24" s="501">
        <f>Construction!BM24/Construction!E24</f>
        <v>0</v>
      </c>
      <c r="BO24" s="171">
        <f>Construction!BD24/Construction!E24</f>
        <v>0</v>
      </c>
      <c r="BP24" s="152">
        <f ca="1">ROUNDUP((1-MIN(AB24*smithy_bonus,smithy_bonus_cap)-AC24)*(1+Techs!AO24*tech_master_of_frugality)*spec_op_plat,0)</f>
        <v>275</v>
      </c>
      <c r="BQ24" s="164">
        <f ca="1">ROUNDUP(IF(OR(race="Gnome",race="Imperial Gnome"),1-AC24,(1-MIN(AB24*smithy_bonus,smithy_bonus_cap)-AC24)*(1+Techs!AO24*tech_master_of_frugality))*spec_op_ore,0)</f>
        <v>25</v>
      </c>
      <c r="BR24" s="164">
        <f t="shared" si="6"/>
        <v>0</v>
      </c>
      <c r="BS24" s="164">
        <f t="shared" si="7"/>
        <v>0</v>
      </c>
      <c r="BT24" s="164">
        <f ca="1">ROUNDUP((1-MIN(AB24*smithy_bonus,smithy_bonus_cap)-AC24)*(1+Techs!AO24*tech_master_of_frugality)*spec_dp_plat,0)</f>
        <v>275</v>
      </c>
      <c r="BU24" s="164">
        <f ca="1">ROUNDUP(IF(OR(race="Gnome",race="Imperial Gnome"),1-AC24,(1-MIN(AB24*smithy_bonus,smithy_bonus_cap)-AC24)*(1+Techs!AO24*tech_master_of_frugality))*spec_dp_ore,0)</f>
        <v>10</v>
      </c>
      <c r="BV24" s="164">
        <f t="shared" ca="1" si="8"/>
        <v>0</v>
      </c>
      <c r="BW24" s="164">
        <f t="shared" ca="1" si="9"/>
        <v>0</v>
      </c>
      <c r="BX24" s="164">
        <f t="shared" ca="1" si="10"/>
        <v>0</v>
      </c>
      <c r="BY24" s="164">
        <f ca="1">ROUNDUP((1-MIN(AB24*smithy_bonus,smithy_bonus_cap)-AC24)*(1+Techs!AO24*tech_master_of_frugality)*elite1_plat,0)</f>
        <v>1000</v>
      </c>
      <c r="BZ24" s="164">
        <f ca="1">ROUNDUP(IF(OR(race="Gnome",race="Imperial Gnome"),1-AC24,(1-MIN(AB24*smithy_bonus,smithy_bonus_cap)-AC24)*(1+Techs!AO24*tech_master_of_frugality))*elite1_ore,0)</f>
        <v>75</v>
      </c>
      <c r="CA24" s="164">
        <f t="shared" ca="1" si="55"/>
        <v>0</v>
      </c>
      <c r="CB24" s="164">
        <f t="shared" ca="1" si="12"/>
        <v>0</v>
      </c>
      <c r="CC24" s="164">
        <f t="shared" ca="1" si="13"/>
        <v>0</v>
      </c>
      <c r="CD24" s="164">
        <f t="shared" ca="1" si="14"/>
        <v>0</v>
      </c>
      <c r="CE24" s="164">
        <f t="shared" ca="1" si="15"/>
        <v>0</v>
      </c>
      <c r="CF24" s="164">
        <f ca="1">ROUNDUP((1-MIN(AB24*smithy_bonus,smithy_bonus_cap)-AC24)*(1+Techs!AO24*tech_master_of_frugality)*elite2_plat,0)</f>
        <v>1250</v>
      </c>
      <c r="CG24" s="164">
        <f ca="1">ROUNDUP(IF(OR(race="Gnome",race="Imperial Gnome"),1-AC24,(1-MIN(AB24*smithy_bonus,smithy_bonus_cap)-AC24)*(1+Techs!AO24*tech_master_of_frugality))*elite2_ore,0)</f>
        <v>100</v>
      </c>
      <c r="CH24" s="164">
        <f t="shared" ca="1" si="5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4">
        <f ca="1">Construction!DF24/Construction!E24</f>
        <v>0.15</v>
      </c>
      <c r="CR24" s="465">
        <f t="shared" si="75"/>
        <v>0</v>
      </c>
      <c r="CS24" s="465">
        <f>Construction!BK24/Construction!E24</f>
        <v>0.05</v>
      </c>
      <c r="CT24" s="465">
        <f>Construction!BJ24/Construction!E24</f>
        <v>0</v>
      </c>
      <c r="CU24" s="465">
        <f>Construction!AY24/Construction!E24</f>
        <v>0</v>
      </c>
      <c r="CV24" s="480">
        <f t="shared" ca="1" si="22"/>
        <v>0.74999999999999989</v>
      </c>
      <c r="CW24" s="481">
        <f t="shared" ca="1" si="23"/>
        <v>0.74999999999999989</v>
      </c>
      <c r="CX24" s="481">
        <f t="shared" ca="1" si="24"/>
        <v>0.74999999999999989</v>
      </c>
      <c r="CY24" s="482">
        <f t="shared" ca="1" si="25"/>
        <v>0.74999999999999989</v>
      </c>
      <c r="CZ24" s="482">
        <f t="shared" si="26"/>
        <v>0</v>
      </c>
      <c r="DA24" s="482">
        <f t="shared" ca="1" si="27"/>
        <v>2.9999999999999996</v>
      </c>
      <c r="DB24" s="482">
        <f t="shared" ca="1" si="28"/>
        <v>0.74999999999999989</v>
      </c>
      <c r="DC24" s="481">
        <f t="shared" si="29"/>
        <v>0</v>
      </c>
      <c r="DD24" s="842">
        <f t="shared" si="57"/>
        <v>0</v>
      </c>
      <c r="DE24" s="439">
        <f t="shared" si="58"/>
        <v>0</v>
      </c>
      <c r="DF24" s="439">
        <f t="shared" si="59"/>
        <v>0</v>
      </c>
      <c r="DG24" s="480">
        <f t="shared" ca="1" si="30"/>
        <v>0.74999999999999989</v>
      </c>
      <c r="DH24" s="449">
        <f t="shared" si="60"/>
        <v>0</v>
      </c>
      <c r="DI24" s="449">
        <f>MIN(valkyrja_cap,Production!O24/valkyrja_bonus)</f>
        <v>1</v>
      </c>
      <c r="DJ24" s="842">
        <f>MIN(voodoo_magi_cap,Production!O24/voodoo_magi_bonus)</f>
        <v>0.83333333333333337</v>
      </c>
      <c r="DK24" s="842">
        <f>MIN(warlock_cap,Production!O24/warlock_bonus)</f>
        <v>1</v>
      </c>
      <c r="DL24" s="842">
        <f ca="1">MIN(nox_nightshade_cap,Construction!DF24/Construction!E24/nox_nightshade_swamp_bonus)</f>
        <v>1.4999999999999998</v>
      </c>
      <c r="DM24" s="481">
        <f t="shared" si="31"/>
        <v>0</v>
      </c>
      <c r="DN24" s="482">
        <f t="shared" ca="1" si="32"/>
        <v>1.4999999999999998</v>
      </c>
      <c r="DO24" s="482">
        <f t="shared" ca="1" si="33"/>
        <v>1.4999999999999998</v>
      </c>
      <c r="DP24" s="482">
        <f t="shared" si="34"/>
        <v>1</v>
      </c>
      <c r="DQ24" s="481">
        <f t="shared" si="35"/>
        <v>0</v>
      </c>
      <c r="DR24" s="482">
        <f t="shared" si="36"/>
        <v>0</v>
      </c>
      <c r="DS24" s="481">
        <f t="shared" si="37"/>
        <v>0</v>
      </c>
      <c r="DT24" s="482">
        <f t="shared" si="61"/>
        <v>0</v>
      </c>
      <c r="DX24" s="486">
        <f ca="1">MIN(6,CV24+Races!$F$19)*1.8 +  IF(CV24+Races!$F$19&gt;6,(CV24+Races!$F$19-6)*0.2,0) - Races!$N$19</f>
        <v>1.3500000000000005</v>
      </c>
      <c r="DY24" s="487">
        <f ca="1">1.8 * MIN(MAX(CW24+Races!$E$20,CX24+Races!$F$20),6)  +  0.45 * MIN(MIN(CW24+Races!$E$20,CX24+Races!$F$20),6)  +  0.2 * ( MAX(CW24+Races!$E$20-6,0) + MAX(CX24+Races!$F$20-6,0) )  -  Races!$N$20</f>
        <v>1.6874999999999991</v>
      </c>
      <c r="DZ24" s="57">
        <f t="shared" ca="1" si="38"/>
        <v>0</v>
      </c>
      <c r="EA24" s="663">
        <f ca="1">MIN(6,CY24+Races!$F$35)*1.8 +  IF(CY24+Races!$F$35&gt;6,(CY24+Races!$F$35-6)*0.2,0) - Races!$N$19</f>
        <v>-0.45000000000000018</v>
      </c>
      <c r="EB24" s="57">
        <f t="shared" ca="1" si="39"/>
        <v>0</v>
      </c>
      <c r="EC24" s="663">
        <f ca="1">1.8 * MIN(MAX(Races!$E$27,DB24+Races!$F$27),6)  +  0.45 * MIN(MIN(Races!$E$27,DB24+Races!$F$27),6)  +  0.2 * ( MAX(Races!$E$27-6,0) + MAX(DB24+Races!$F$27-6,0) )  -  Races!$N$20</f>
        <v>3.6000000000000005</v>
      </c>
      <c r="ED24" s="57">
        <f t="shared" ca="1" si="40"/>
        <v>0</v>
      </c>
      <c r="EE24" s="663">
        <f>1.8 * MIN(MAX(DC24+Races!$E$47,DD24+Races!$F$47),6)  +  0.45 * MIN(MIN(DC24+Races!$E$47,DD24+Races!$F$47),6)  +  0.2 * ( MAX(DC24+Races!$E$47-6,0) + MAX(DD24+Races!$F$47-6,0) )  -  Races!$N$47</f>
        <v>0</v>
      </c>
      <c r="EF24" s="57">
        <f t="shared" si="41"/>
        <v>0</v>
      </c>
      <c r="EG24" s="663">
        <f ca="1">1.8 * MIN(MAX(DG24+Races!$F$71,Races!$E$71),6)  +  0.45 * MIN(MIN(DG24+Races!$F$71,Races!$E$71),6)  +  0.2 * ( MAX(DG24+Races!$F$71-6,0) + MAX(Races!$E$71-6,0) )  -  Races!$N$71</f>
        <v>1.3499999999999996</v>
      </c>
      <c r="EH24" s="663">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4">
        <f>(J24+2*K24)/Construction!E24</f>
        <v>0</v>
      </c>
      <c r="EP24" s="730">
        <f ca="1">EO24*(1+race_wizard_strength+tech_magical_weaponry_wiz*Techs!AV96)</f>
        <v>0</v>
      </c>
      <c r="EQ24" s="16">
        <f>(I24+halfer*H24/3)/Construction!E24</f>
        <v>0</v>
      </c>
    </row>
    <row r="25" spans="1:147" s="16" customFormat="1" x14ac:dyDescent="0.25">
      <c r="A25" s="627">
        <f>Rezone!J25</f>
        <v>23</v>
      </c>
      <c r="B25" s="56">
        <f ca="1">SUM(E25:K25)+SUM(AF17:AG25)+SUM(AH14:AL25)+Z25+Explore!AL25</f>
        <v>5295</v>
      </c>
      <c r="C25" s="97">
        <f ca="1">Population!G25</f>
        <v>0.61267296549520311</v>
      </c>
      <c r="E25" s="52">
        <f t="shared" si="66"/>
        <v>0</v>
      </c>
      <c r="F25" s="16">
        <f t="shared" si="67"/>
        <v>0</v>
      </c>
      <c r="G25" s="16">
        <f t="shared" si="68"/>
        <v>0</v>
      </c>
      <c r="H25" s="16">
        <f t="shared" si="69"/>
        <v>0</v>
      </c>
      <c r="I25" s="16">
        <f t="shared" si="70"/>
        <v>0</v>
      </c>
      <c r="J25" s="16">
        <f t="shared" si="71"/>
        <v>0</v>
      </c>
      <c r="K25" s="53">
        <f t="shared" si="72"/>
        <v>0</v>
      </c>
      <c r="M25" s="64">
        <f ca="1">Production!G25</f>
        <v>20900</v>
      </c>
      <c r="O25" s="234">
        <f t="shared" ca="1" si="0"/>
        <v>0</v>
      </c>
      <c r="P25" s="454">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47">
        <f ca="1">race_defense+Imps!AC25+ROUND(MIN(gt_bonus*Construction!BH25/Construction!$E25,gt_bonus_cap),4)+MAX(IF(Magic!AM25&gt;0,frenzy_bonus,IF(Magic!AQ25&gt;0,blizzard_bonus,IF(Magic!AP25&gt;0,howling_dp_bonus,IF(Magic!AI25&gt;0,ares_call_bonus)))),IF(Magic!AX25&gt;0,MIN(Construction!DF25/Construction!E25,0.2),0))</f>
        <v>0</v>
      </c>
      <c r="U25" s="1041">
        <f t="shared" ca="1" si="47"/>
        <v>0</v>
      </c>
      <c r="V25" s="308">
        <f t="shared" ca="1" si="48"/>
        <v>5295</v>
      </c>
      <c r="W25" s="310">
        <f>Construction!E25</f>
        <v>1000</v>
      </c>
      <c r="X25" s="367"/>
      <c r="Y25" s="146">
        <f t="shared" si="76"/>
        <v>0.4</v>
      </c>
      <c r="Z25" s="166">
        <f ca="1">Z24+Population!Z24 - IF(race="Lux",AF25,SUM(AF25:AK25)) - BE25 + SUM(BF25:BL25) - Explore!AI25</f>
        <v>5295</v>
      </c>
      <c r="AA25" s="164"/>
      <c r="AB25" s="91">
        <f>(Construction!$BA25+Construction!BY25)/(Construction!$E25-Explore!S25*20)</f>
        <v>0</v>
      </c>
      <c r="AC25" s="1516">
        <f ca="1">Imps!AE25</f>
        <v>0</v>
      </c>
      <c r="AD25" s="795">
        <f>Rezone!J25</f>
        <v>23</v>
      </c>
      <c r="AE25" s="587">
        <f>Explore!AA25</f>
        <v>43768.229166666613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2">
        <f t="shared" si="73"/>
        <v>43768.229166666613</v>
      </c>
      <c r="BD25" s="148">
        <f t="shared" ca="1" si="74"/>
        <v>5295</v>
      </c>
      <c r="BE25" s="356"/>
      <c r="BF25" s="348"/>
      <c r="BG25" s="348"/>
      <c r="BH25" s="348"/>
      <c r="BI25" s="348"/>
      <c r="BJ25" s="348"/>
      <c r="BK25" s="348"/>
      <c r="BL25" s="357"/>
      <c r="BN25" s="501">
        <f>Construction!BM25/Construction!E25</f>
        <v>0</v>
      </c>
      <c r="BO25" s="171">
        <f>Construction!BD25/Construction!E25</f>
        <v>0</v>
      </c>
      <c r="BP25" s="152">
        <f ca="1">ROUNDUP((1-MIN(AB25*smithy_bonus,smithy_bonus_cap)-AC25)*(1+Techs!AO25*tech_master_of_frugality)*spec_op_plat,0)</f>
        <v>275</v>
      </c>
      <c r="BQ25" s="164">
        <f ca="1">ROUNDUP(IF(OR(race="Gnome",race="Imperial Gnome"),1-AC25,(1-MIN(AB25*smithy_bonus,smithy_bonus_cap)-AC25)*(1+Techs!AO25*tech_master_of_frugality))*spec_op_ore,0)</f>
        <v>25</v>
      </c>
      <c r="BR25" s="164">
        <f t="shared" si="6"/>
        <v>0</v>
      </c>
      <c r="BS25" s="164">
        <f t="shared" si="7"/>
        <v>0</v>
      </c>
      <c r="BT25" s="164">
        <f ca="1">ROUNDUP((1-MIN(AB25*smithy_bonus,smithy_bonus_cap)-AC25)*(1+Techs!AO25*tech_master_of_frugality)*spec_dp_plat,0)</f>
        <v>275</v>
      </c>
      <c r="BU25" s="164">
        <f ca="1">ROUNDUP(IF(OR(race="Gnome",race="Imperial Gnome"),1-AC25,(1-MIN(AB25*smithy_bonus,smithy_bonus_cap)-AC25)*(1+Techs!AO25*tech_master_of_frugality))*spec_dp_ore,0)</f>
        <v>10</v>
      </c>
      <c r="BV25" s="164">
        <f t="shared" ca="1" si="8"/>
        <v>0</v>
      </c>
      <c r="BW25" s="164">
        <f t="shared" ca="1" si="9"/>
        <v>0</v>
      </c>
      <c r="BX25" s="164">
        <f t="shared" ca="1" si="10"/>
        <v>0</v>
      </c>
      <c r="BY25" s="164">
        <f ca="1">ROUNDUP((1-MIN(AB25*smithy_bonus,smithy_bonus_cap)-AC25)*(1+Techs!AO25*tech_master_of_frugality)*elite1_plat,0)</f>
        <v>1000</v>
      </c>
      <c r="BZ25" s="164">
        <f ca="1">ROUNDUP(IF(OR(race="Gnome",race="Imperial Gnome"),1-AC25,(1-MIN(AB25*smithy_bonus,smithy_bonus_cap)-AC25)*(1+Techs!AO25*tech_master_of_frugality))*elite1_ore,0)</f>
        <v>75</v>
      </c>
      <c r="CA25" s="164">
        <f t="shared" ca="1" si="55"/>
        <v>0</v>
      </c>
      <c r="CB25" s="164">
        <f t="shared" ca="1" si="12"/>
        <v>0</v>
      </c>
      <c r="CC25" s="164">
        <f t="shared" ca="1" si="13"/>
        <v>0</v>
      </c>
      <c r="CD25" s="164">
        <f t="shared" ca="1" si="14"/>
        <v>0</v>
      </c>
      <c r="CE25" s="164">
        <f t="shared" ca="1" si="15"/>
        <v>0</v>
      </c>
      <c r="CF25" s="164">
        <f ca="1">ROUNDUP((1-MIN(AB25*smithy_bonus,smithy_bonus_cap)-AC25)*(1+Techs!AO25*tech_master_of_frugality)*elite2_plat,0)</f>
        <v>1250</v>
      </c>
      <c r="CG25" s="164">
        <f ca="1">ROUNDUP(IF(OR(race="Gnome",race="Imperial Gnome"),1-AC25,(1-MIN(AB25*smithy_bonus,smithy_bonus_cap)-AC25)*(1+Techs!AO25*tech_master_of_frugality))*elite2_ore,0)</f>
        <v>100</v>
      </c>
      <c r="CH25" s="164">
        <f t="shared" ca="1" si="5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4">
        <f ca="1">Construction!DF25/Construction!E25</f>
        <v>0.15</v>
      </c>
      <c r="CR25" s="465">
        <f t="shared" si="75"/>
        <v>0</v>
      </c>
      <c r="CS25" s="465">
        <f>Construction!BK25/Construction!E25</f>
        <v>0.05</v>
      </c>
      <c r="CT25" s="465">
        <f>Construction!BJ25/Construction!E25</f>
        <v>0</v>
      </c>
      <c r="CU25" s="465">
        <f>Construction!AY25/Construction!E25</f>
        <v>0</v>
      </c>
      <c r="CV25" s="480">
        <f t="shared" ca="1" si="22"/>
        <v>0.74999999999999989</v>
      </c>
      <c r="CW25" s="481">
        <f t="shared" ca="1" si="23"/>
        <v>0.74999999999999989</v>
      </c>
      <c r="CX25" s="481">
        <f t="shared" ca="1" si="24"/>
        <v>0.74999999999999989</v>
      </c>
      <c r="CY25" s="482">
        <f t="shared" ca="1" si="25"/>
        <v>0.74999999999999989</v>
      </c>
      <c r="CZ25" s="482">
        <f t="shared" si="26"/>
        <v>0</v>
      </c>
      <c r="DA25" s="482">
        <f t="shared" ca="1" si="27"/>
        <v>2.9999999999999996</v>
      </c>
      <c r="DB25" s="482">
        <f t="shared" ca="1" si="28"/>
        <v>0.74999999999999989</v>
      </c>
      <c r="DC25" s="481">
        <f t="shared" si="29"/>
        <v>0</v>
      </c>
      <c r="DD25" s="842">
        <f t="shared" si="57"/>
        <v>0</v>
      </c>
      <c r="DE25" s="439">
        <f t="shared" si="58"/>
        <v>0</v>
      </c>
      <c r="DF25" s="439">
        <f t="shared" si="59"/>
        <v>0</v>
      </c>
      <c r="DG25" s="480">
        <f t="shared" ca="1" si="30"/>
        <v>0.74999999999999989</v>
      </c>
      <c r="DH25" s="449">
        <f t="shared" si="60"/>
        <v>0</v>
      </c>
      <c r="DI25" s="449">
        <f>MIN(valkyrja_cap,Production!O25/valkyrja_bonus)</f>
        <v>1</v>
      </c>
      <c r="DJ25" s="842">
        <f>MIN(voodoo_magi_cap,Production!O25/voodoo_magi_bonus)</f>
        <v>0.83333333333333337</v>
      </c>
      <c r="DK25" s="842">
        <f>MIN(warlock_cap,Production!O25/warlock_bonus)</f>
        <v>1</v>
      </c>
      <c r="DL25" s="842">
        <f ca="1">MIN(nox_nightshade_cap,Construction!DF25/Construction!E25/nox_nightshade_swamp_bonus)</f>
        <v>1.4999999999999998</v>
      </c>
      <c r="DM25" s="481">
        <f t="shared" si="31"/>
        <v>0</v>
      </c>
      <c r="DN25" s="482">
        <f t="shared" ca="1" si="32"/>
        <v>1.4999999999999998</v>
      </c>
      <c r="DO25" s="482">
        <f t="shared" ca="1" si="33"/>
        <v>1.4999999999999998</v>
      </c>
      <c r="DP25" s="482">
        <f t="shared" si="34"/>
        <v>1</v>
      </c>
      <c r="DQ25" s="481">
        <f t="shared" si="35"/>
        <v>0</v>
      </c>
      <c r="DR25" s="482">
        <f t="shared" si="36"/>
        <v>0</v>
      </c>
      <c r="DS25" s="481">
        <f t="shared" si="37"/>
        <v>0</v>
      </c>
      <c r="DT25" s="482">
        <f t="shared" si="61"/>
        <v>0</v>
      </c>
      <c r="DX25" s="486">
        <f ca="1">MIN(6,CV25+Races!$F$19)*1.8 +  IF(CV25+Races!$F$19&gt;6,(CV25+Races!$F$19-6)*0.2,0) - Races!$N$19</f>
        <v>1.3500000000000005</v>
      </c>
      <c r="DY25" s="487">
        <f ca="1">1.8 * MIN(MAX(CW25+Races!$E$20,CX25+Races!$F$20),6)  +  0.45 * MIN(MIN(CW25+Races!$E$20,CX25+Races!$F$20),6)  +  0.2 * ( MAX(CW25+Races!$E$20-6,0) + MAX(CX25+Races!$F$20-6,0) )  -  Races!$N$20</f>
        <v>1.6874999999999991</v>
      </c>
      <c r="DZ25" s="57">
        <f t="shared" ca="1" si="38"/>
        <v>0</v>
      </c>
      <c r="EA25" s="663">
        <f ca="1">MIN(6,CY25+Races!$F$35)*1.8 +  IF(CY25+Races!$F$35&gt;6,(CY25+Races!$F$35-6)*0.2,0) - Races!$N$19</f>
        <v>-0.45000000000000018</v>
      </c>
      <c r="EB25" s="57">
        <f t="shared" ca="1" si="39"/>
        <v>0</v>
      </c>
      <c r="EC25" s="663">
        <f ca="1">1.8 * MIN(MAX(Races!$E$27,DB25+Races!$F$27),6)  +  0.45 * MIN(MIN(Races!$E$27,DB25+Races!$F$27),6)  +  0.2 * ( MAX(Races!$E$27-6,0) + MAX(DB25+Races!$F$27-6,0) )  -  Races!$N$20</f>
        <v>3.6000000000000005</v>
      </c>
      <c r="ED25" s="57">
        <f t="shared" ca="1" si="40"/>
        <v>0</v>
      </c>
      <c r="EE25" s="663">
        <f>1.8 * MIN(MAX(DC25+Races!$E$47,DD25+Races!$F$47),6)  +  0.45 * MIN(MIN(DC25+Races!$E$47,DD25+Races!$F$47),6)  +  0.2 * ( MAX(DC25+Races!$E$47-6,0) + MAX(DD25+Races!$F$47-6,0) )  -  Races!$N$47</f>
        <v>0</v>
      </c>
      <c r="EF25" s="57">
        <f t="shared" si="41"/>
        <v>0</v>
      </c>
      <c r="EG25" s="663">
        <f ca="1">1.8 * MIN(MAX(DG25+Races!$F$71,Races!$E$71),6)  +  0.45 * MIN(MIN(DG25+Races!$F$71,Races!$E$71),6)  +  0.2 * ( MAX(DG25+Races!$F$71-6,0) + MAX(Races!$E$71-6,0) )  -  Races!$N$71</f>
        <v>1.3499999999999996</v>
      </c>
      <c r="EH25" s="663">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4">
        <f>(J25+2*K25)/Construction!E25</f>
        <v>0</v>
      </c>
      <c r="EP25" s="730">
        <f ca="1">EO25*(1+race_wizard_strength+tech_magical_weaponry_wiz*Techs!AV97)</f>
        <v>0</v>
      </c>
      <c r="EQ25" s="16">
        <f>(I25+halfer*H25/3)/Construction!E25</f>
        <v>0</v>
      </c>
    </row>
    <row r="26" spans="1:147" s="170" customFormat="1" x14ac:dyDescent="0.25">
      <c r="A26" s="627">
        <f>Rezone!J26</f>
        <v>24</v>
      </c>
      <c r="B26" s="152">
        <f ca="1">SUM(E26:K26)+SUM(AF18:AG26)+SUM(AH15:AL26)+Z26+Explore!AL26</f>
        <v>5295</v>
      </c>
      <c r="C26" s="171">
        <f ca="1">Population!G26</f>
        <v>0.62477253006062505</v>
      </c>
      <c r="E26" s="156">
        <f t="shared" si="66"/>
        <v>0</v>
      </c>
      <c r="F26" s="170">
        <f t="shared" si="67"/>
        <v>0</v>
      </c>
      <c r="G26" s="170">
        <f t="shared" si="68"/>
        <v>0</v>
      </c>
      <c r="H26" s="170">
        <f t="shared" si="69"/>
        <v>0</v>
      </c>
      <c r="I26" s="170">
        <f t="shared" si="70"/>
        <v>0</v>
      </c>
      <c r="J26" s="170">
        <f t="shared" si="71"/>
        <v>0</v>
      </c>
      <c r="K26" s="157">
        <f t="shared" si="72"/>
        <v>0</v>
      </c>
      <c r="M26" s="160">
        <f ca="1">Production!G26</f>
        <v>20900</v>
      </c>
      <c r="O26" s="234">
        <f t="shared" ca="1" si="0"/>
        <v>0</v>
      </c>
      <c r="P26" s="454">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47">
        <f ca="1">race_defense+Imps!AC26+ROUND(MIN(gt_bonus*Construction!BH26/Construction!$E26,gt_bonus_cap),4)+MAX(IF(Magic!AM26&gt;0,frenzy_bonus,IF(Magic!AQ26&gt;0,blizzard_bonus,IF(Magic!AP26&gt;0,howling_dp_bonus,IF(Magic!AI26&gt;0,ares_call_bonus)))),IF(Magic!AX26&gt;0,MIN(Construction!DF26/Construction!E26,0.2),0))</f>
        <v>0</v>
      </c>
      <c r="U26" s="1041">
        <f t="shared" ca="1" si="47"/>
        <v>0</v>
      </c>
      <c r="V26" s="308">
        <f t="shared" ca="1" si="48"/>
        <v>5295</v>
      </c>
      <c r="W26" s="308">
        <f>Construction!E26</f>
        <v>1000</v>
      </c>
      <c r="X26" s="364"/>
      <c r="Y26" s="232">
        <f t="shared" si="76"/>
        <v>0.4</v>
      </c>
      <c r="Z26" s="166">
        <f ca="1">Z25+Population!Z25 - IF(race="Lux",AF26,SUM(AF26:AK26)) - BE26 + SUM(BF26:BL26) - Explore!AI26</f>
        <v>5295</v>
      </c>
      <c r="AA26" s="164"/>
      <c r="AB26" s="251">
        <f>(Construction!$BA26+Construction!BY26)/(Construction!$E26-Explore!S26*20)</f>
        <v>0</v>
      </c>
      <c r="AC26" s="1515">
        <f ca="1">Imps!AE26</f>
        <v>0</v>
      </c>
      <c r="AD26" s="794">
        <f>Rezone!J26</f>
        <v>24</v>
      </c>
      <c r="AE26" s="587">
        <f>Explore!AA26</f>
        <v>43768.239583333278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0">
        <f t="shared" si="73"/>
        <v>43768.239583333278</v>
      </c>
      <c r="BD26" s="233">
        <f t="shared" ca="1" si="74"/>
        <v>5295</v>
      </c>
      <c r="BE26" s="352"/>
      <c r="BF26" s="345"/>
      <c r="BG26" s="345"/>
      <c r="BH26" s="345"/>
      <c r="BI26" s="345"/>
      <c r="BJ26" s="345"/>
      <c r="BK26" s="345"/>
      <c r="BL26" s="353"/>
      <c r="BN26" s="501">
        <f>Construction!BM26/Construction!E26</f>
        <v>0</v>
      </c>
      <c r="BO26" s="171">
        <f>Construction!BD26/Construction!E26</f>
        <v>0</v>
      </c>
      <c r="BP26" s="152">
        <f ca="1">ROUNDUP((1-MIN(AB26*smithy_bonus,smithy_bonus_cap)-AC26)*(1+Techs!AO26*tech_master_of_frugality)*spec_op_plat,0)</f>
        <v>275</v>
      </c>
      <c r="BQ26" s="164">
        <f ca="1">ROUNDUP(IF(OR(race="Gnome",race="Imperial Gnome"),1-AC26,(1-MIN(AB26*smithy_bonus,smithy_bonus_cap)-AC26)*(1+Techs!AO26*tech_master_of_frugality))*spec_op_ore,0)</f>
        <v>25</v>
      </c>
      <c r="BR26" s="164">
        <f t="shared" si="6"/>
        <v>0</v>
      </c>
      <c r="BS26" s="164">
        <f t="shared" si="7"/>
        <v>0</v>
      </c>
      <c r="BT26" s="164">
        <f ca="1">ROUNDUP((1-MIN(AB26*smithy_bonus,smithy_bonus_cap)-AC26)*(1+Techs!AO26*tech_master_of_frugality)*spec_dp_plat,0)</f>
        <v>275</v>
      </c>
      <c r="BU26" s="164">
        <f ca="1">ROUNDUP(IF(OR(race="Gnome",race="Imperial Gnome"),1-AC26,(1-MIN(AB26*smithy_bonus,smithy_bonus_cap)-AC26)*(1+Techs!AO26*tech_master_of_frugality))*spec_dp_ore,0)</f>
        <v>10</v>
      </c>
      <c r="BV26" s="164">
        <f t="shared" ca="1" si="8"/>
        <v>0</v>
      </c>
      <c r="BW26" s="164">
        <f t="shared" ca="1" si="9"/>
        <v>0</v>
      </c>
      <c r="BX26" s="164">
        <f t="shared" ca="1" si="10"/>
        <v>0</v>
      </c>
      <c r="BY26" s="164">
        <f ca="1">ROUNDUP((1-MIN(AB26*smithy_bonus,smithy_bonus_cap)-AC26)*(1+Techs!AO26*tech_master_of_frugality)*elite1_plat,0)</f>
        <v>1000</v>
      </c>
      <c r="BZ26" s="164">
        <f ca="1">ROUNDUP(IF(OR(race="Gnome",race="Imperial Gnome"),1-AC26,(1-MIN(AB26*smithy_bonus,smithy_bonus_cap)-AC26)*(1+Techs!AO26*tech_master_of_frugality))*elite1_ore,0)</f>
        <v>75</v>
      </c>
      <c r="CA26" s="164">
        <f t="shared" ca="1" si="55"/>
        <v>0</v>
      </c>
      <c r="CB26" s="164">
        <f t="shared" ca="1" si="12"/>
        <v>0</v>
      </c>
      <c r="CC26" s="164">
        <f t="shared" ca="1" si="13"/>
        <v>0</v>
      </c>
      <c r="CD26" s="164">
        <f t="shared" ca="1" si="14"/>
        <v>0</v>
      </c>
      <c r="CE26" s="164">
        <f t="shared" ca="1" si="15"/>
        <v>0</v>
      </c>
      <c r="CF26" s="164">
        <f ca="1">ROUNDUP((1-MIN(AB26*smithy_bonus,smithy_bonus_cap)-AC26)*(1+Techs!AO26*tech_master_of_frugality)*elite2_plat,0)</f>
        <v>1250</v>
      </c>
      <c r="CG26" s="164">
        <f ca="1">ROUNDUP(IF(OR(race="Gnome",race="Imperial Gnome"),1-AC26,(1-MIN(AB26*smithy_bonus,smithy_bonus_cap)-AC26)*(1+Techs!AO26*tech_master_of_frugality))*elite2_ore,0)</f>
        <v>100</v>
      </c>
      <c r="CH26" s="164">
        <f t="shared" ca="1" si="5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0">
        <f ca="1">Construction!DF26/Construction!E26</f>
        <v>0.15</v>
      </c>
      <c r="CR26" s="461">
        <f t="shared" si="75"/>
        <v>0</v>
      </c>
      <c r="CS26" s="461">
        <f>Construction!BK26/Construction!E26</f>
        <v>0.05</v>
      </c>
      <c r="CT26" s="461">
        <f>Construction!BJ26/Construction!E26</f>
        <v>0</v>
      </c>
      <c r="CU26" s="461">
        <f>Construction!AY26/Construction!E26</f>
        <v>0</v>
      </c>
      <c r="CV26" s="480">
        <f t="shared" ca="1" si="22"/>
        <v>0.74999999999999989</v>
      </c>
      <c r="CW26" s="481">
        <f t="shared" ca="1" si="23"/>
        <v>0.74999999999999989</v>
      </c>
      <c r="CX26" s="481">
        <f t="shared" ca="1" si="24"/>
        <v>0.74999999999999989</v>
      </c>
      <c r="CY26" s="482">
        <f t="shared" ca="1" si="25"/>
        <v>0.74999999999999989</v>
      </c>
      <c r="CZ26" s="482">
        <f t="shared" si="26"/>
        <v>0</v>
      </c>
      <c r="DA26" s="482">
        <f t="shared" ca="1" si="27"/>
        <v>2.9999999999999996</v>
      </c>
      <c r="DB26" s="482">
        <f t="shared" ca="1" si="28"/>
        <v>0.74999999999999989</v>
      </c>
      <c r="DC26" s="481">
        <f t="shared" si="29"/>
        <v>0</v>
      </c>
      <c r="DD26" s="842">
        <f t="shared" si="57"/>
        <v>0</v>
      </c>
      <c r="DE26" s="439">
        <f t="shared" si="58"/>
        <v>0</v>
      </c>
      <c r="DF26" s="439">
        <f t="shared" si="59"/>
        <v>0</v>
      </c>
      <c r="DG26" s="480">
        <f t="shared" ca="1" si="30"/>
        <v>0.74999999999999989</v>
      </c>
      <c r="DH26" s="449">
        <f t="shared" si="60"/>
        <v>0</v>
      </c>
      <c r="DI26" s="449">
        <f>MIN(valkyrja_cap,Production!O26/valkyrja_bonus)</f>
        <v>1</v>
      </c>
      <c r="DJ26" s="842">
        <f>MIN(voodoo_magi_cap,Production!O26/voodoo_magi_bonus)</f>
        <v>0.83333333333333337</v>
      </c>
      <c r="DK26" s="842">
        <f>MIN(warlock_cap,Production!O26/warlock_bonus)</f>
        <v>1</v>
      </c>
      <c r="DL26" s="842">
        <f ca="1">MIN(nox_nightshade_cap,Construction!DF26/Construction!E26/nox_nightshade_swamp_bonus)</f>
        <v>1.4999999999999998</v>
      </c>
      <c r="DM26" s="481">
        <f t="shared" si="31"/>
        <v>0</v>
      </c>
      <c r="DN26" s="482">
        <f t="shared" ca="1" si="32"/>
        <v>1.4999999999999998</v>
      </c>
      <c r="DO26" s="482">
        <f t="shared" ca="1" si="33"/>
        <v>1.4999999999999998</v>
      </c>
      <c r="DP26" s="482">
        <f t="shared" si="34"/>
        <v>1</v>
      </c>
      <c r="DQ26" s="481">
        <f t="shared" si="35"/>
        <v>0</v>
      </c>
      <c r="DR26" s="482">
        <f t="shared" si="36"/>
        <v>0</v>
      </c>
      <c r="DS26" s="481">
        <f t="shared" si="37"/>
        <v>0</v>
      </c>
      <c r="DT26" s="482">
        <f t="shared" si="61"/>
        <v>0</v>
      </c>
      <c r="DX26" s="480">
        <f ca="1">MIN(6,CV26+Races!$F$19)*1.8 +  IF(CV26+Races!$F$19&gt;6,(CV26+Races!$F$19-6)*0.2,0) - Races!$N$19</f>
        <v>1.3500000000000005</v>
      </c>
      <c r="DY26" s="481">
        <f ca="1">1.8 * MIN(MAX(CW26+Races!$E$20,CX26+Races!$F$20),6)  +  0.45 * MIN(MIN(CW26+Races!$E$20,CX26+Races!$F$20),6)  +  0.2 * ( MAX(CW26+Races!$E$20-6,0) + MAX(CX26+Races!$F$20-6,0) )  -  Races!$N$20</f>
        <v>1.6874999999999991</v>
      </c>
      <c r="DZ26" s="166">
        <f t="shared" ca="1" si="38"/>
        <v>0</v>
      </c>
      <c r="EA26" s="662">
        <f ca="1">MIN(6,CY26+Races!$F$35)*1.8 +  IF(CY26+Races!$F$35&gt;6,(CY26+Races!$F$35-6)*0.2,0) - Races!$N$19</f>
        <v>-0.45000000000000018</v>
      </c>
      <c r="EB26" s="166">
        <f t="shared" ca="1" si="39"/>
        <v>0</v>
      </c>
      <c r="EC26" s="662">
        <f ca="1">1.8 * MIN(MAX(Races!$E$27,DB26+Races!$F$27),6)  +  0.45 * MIN(MIN(Races!$E$27,DB26+Races!$F$27),6)  +  0.2 * ( MAX(Races!$E$27-6,0) + MAX(DB26+Races!$F$27-6,0) )  -  Races!$N$20</f>
        <v>3.6000000000000005</v>
      </c>
      <c r="ED26" s="166">
        <f t="shared" ca="1" si="40"/>
        <v>0</v>
      </c>
      <c r="EE26" s="662">
        <f>1.8 * MIN(MAX(DC26+Races!$E$47,DD26+Races!$F$47),6)  +  0.45 * MIN(MIN(DC26+Races!$E$47,DD26+Races!$F$47),6)  +  0.2 * ( MAX(DC26+Races!$E$47-6,0) + MAX(DD26+Races!$F$47-6,0) )  -  Races!$N$47</f>
        <v>0</v>
      </c>
      <c r="EF26" s="166">
        <f t="shared" si="41"/>
        <v>0</v>
      </c>
      <c r="EG26" s="662">
        <f ca="1">1.8 * MIN(MAX(DG26+Races!$F$71,Races!$E$71),6)  +  0.45 * MIN(MIN(DG26+Races!$F$71,Races!$E$71),6)  +  0.2 * ( MAX(DG26+Races!$F$71-6,0) + MAX(Races!$E$71-6,0) )  -  Races!$N$71</f>
        <v>1.3499999999999996</v>
      </c>
      <c r="EH26" s="662">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3">
        <f>(J26+2*K26)/Construction!E26</f>
        <v>0</v>
      </c>
      <c r="EP26" s="730">
        <f ca="1">EO26*(1+race_wizard_strength+tech_magical_weaponry_wiz*Techs!AV98)</f>
        <v>0</v>
      </c>
      <c r="EQ26" s="170">
        <f>(I26+halfer*H26/3)/Construction!E26</f>
        <v>0</v>
      </c>
    </row>
    <row r="27" spans="1:147" s="16" customFormat="1" x14ac:dyDescent="0.25">
      <c r="A27" s="627">
        <f>Rezone!J27</f>
        <v>25</v>
      </c>
      <c r="B27" s="56">
        <f ca="1">SUM(E27:K27)+SUM(AF19:AG27)+SUM(AH16:AL27)+Z27+Explore!AL27</f>
        <v>5295</v>
      </c>
      <c r="C27" s="97">
        <f ca="1">Population!G27</f>
        <v>0.63671823875014888</v>
      </c>
      <c r="E27" s="52">
        <f t="shared" si="66"/>
        <v>0</v>
      </c>
      <c r="F27" s="16">
        <f t="shared" si="67"/>
        <v>0</v>
      </c>
      <c r="G27" s="16">
        <f t="shared" si="68"/>
        <v>0</v>
      </c>
      <c r="H27" s="16">
        <f t="shared" si="69"/>
        <v>0</v>
      </c>
      <c r="I27" s="16">
        <f t="shared" si="70"/>
        <v>0</v>
      </c>
      <c r="J27" s="16">
        <f t="shared" si="71"/>
        <v>0</v>
      </c>
      <c r="K27" s="53">
        <f t="shared" si="72"/>
        <v>0</v>
      </c>
      <c r="M27" s="64">
        <f ca="1">Production!G27</f>
        <v>20900</v>
      </c>
      <c r="O27" s="234">
        <f t="shared" ca="1" si="0"/>
        <v>0</v>
      </c>
      <c r="P27" s="454">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235">
        <f t="shared" ca="1" si="46"/>
        <v>0</v>
      </c>
      <c r="R27" s="234">
        <f ca="1">F27*(spec_dp+spirit*DR27)+G27*(elite1_dp+woodie*CV27+sylvan*CY27+gnome*DB27+dark_elf*DD27+icekin*DG27+orc*DJ27+nox*DL27+beast*DN27+sacred*DP27+spirit*DS27+blackorc*DK27)+H27*(elite2_dp+woodie*CX27+beast*DO27+sacred*DQ27) + fh_peas_dp*MIN(Population!C27,20*Construction!BD27)+kobold*DE27</f>
        <v>0</v>
      </c>
      <c r="S27" s="235">
        <f t="shared" ca="1" si="1"/>
        <v>5295</v>
      </c>
      <c r="T27" s="1047">
        <f ca="1">race_defense+Imps!AC27+ROUND(MIN(gt_bonus*Construction!BH27/Construction!$E27,gt_bonus_cap),4)+MAX(IF(Magic!AM27&gt;0,frenzy_bonus,IF(Magic!AQ27&gt;0,blizzard_bonus,IF(Magic!AP27&gt;0,howling_dp_bonus,IF(Magic!AI27&gt;0,ares_call_bonus)))),IF(Magic!AX27&gt;0,MIN(Construction!DF27/Construction!E27,0.2),0))</f>
        <v>0</v>
      </c>
      <c r="U27" s="1041">
        <f t="shared" ca="1" si="47"/>
        <v>0</v>
      </c>
      <c r="V27" s="308">
        <f t="shared" ca="1" si="48"/>
        <v>5295</v>
      </c>
      <c r="W27" s="310">
        <f>Construction!E27</f>
        <v>1000</v>
      </c>
      <c r="X27" s="367"/>
      <c r="Y27" s="146">
        <f t="shared" si="76"/>
        <v>0.4</v>
      </c>
      <c r="Z27" s="166">
        <f ca="1">Z26+Population!Z26 - IF(race="Lux",AF27,SUM(AF27:AK27)) - BE27 + SUM(BF27:BL27) - Explore!AI27</f>
        <v>5295</v>
      </c>
      <c r="AA27" s="164"/>
      <c r="AB27" s="91">
        <f>(Construction!$BA27+Construction!BY27)/(Construction!$E27-Explore!S27*20)</f>
        <v>0</v>
      </c>
      <c r="AC27" s="1516">
        <f ca="1">Imps!AE27</f>
        <v>0</v>
      </c>
      <c r="AD27" s="795">
        <f>Rezone!J27</f>
        <v>25</v>
      </c>
      <c r="AE27" s="587">
        <f>Explore!AA27</f>
        <v>43768.249999999942</v>
      </c>
      <c r="AF27" s="356"/>
      <c r="AG27" s="348"/>
      <c r="AH27" s="348"/>
      <c r="AI27" s="348"/>
      <c r="AJ27" s="348"/>
      <c r="AK27" s="348"/>
      <c r="AL27" s="357"/>
      <c r="AN27" s="56">
        <f ca="1">Production!$H27</f>
        <v>4581257</v>
      </c>
      <c r="AO27" s="26">
        <f ca="1">Production!$L27</f>
        <v>300000</v>
      </c>
      <c r="AP27" s="26">
        <f ca="1">Production!J27</f>
        <v>332495</v>
      </c>
      <c r="AQ27" s="26">
        <f ca="1">Production!M27</f>
        <v>20000</v>
      </c>
      <c r="AR27" s="26">
        <f ca="1">Production!K27</f>
        <v>36330</v>
      </c>
      <c r="AS27" s="26">
        <f ca="1">Production!I27</f>
        <v>129817</v>
      </c>
      <c r="AT27" s="26">
        <f ca="1">Production!N27</f>
        <v>200</v>
      </c>
      <c r="AU27" s="152">
        <f t="shared" ca="1" si="2"/>
        <v>0</v>
      </c>
      <c r="AV27" s="164">
        <f t="shared" ca="1" si="3"/>
        <v>0</v>
      </c>
      <c r="AW27" s="164">
        <f t="shared" ca="1" si="50"/>
        <v>0</v>
      </c>
      <c r="AX27" s="164">
        <f t="shared" ca="1" si="51"/>
        <v>0</v>
      </c>
      <c r="AY27" s="164">
        <f t="shared" ca="1" si="52"/>
        <v>0</v>
      </c>
      <c r="AZ27" s="164">
        <f t="shared" ca="1" si="53"/>
        <v>0</v>
      </c>
      <c r="BA27" s="166">
        <f t="shared" ca="1" si="54"/>
        <v>0</v>
      </c>
      <c r="BB27" s="16">
        <v>25</v>
      </c>
      <c r="BC27" s="572">
        <f t="shared" si="73"/>
        <v>43768.249999999942</v>
      </c>
      <c r="BD27" s="148">
        <f t="shared" ca="1" si="74"/>
        <v>5295</v>
      </c>
      <c r="BE27" s="356"/>
      <c r="BF27" s="348"/>
      <c r="BG27" s="348"/>
      <c r="BH27" s="348"/>
      <c r="BI27" s="348"/>
      <c r="BJ27" s="348"/>
      <c r="BK27" s="348"/>
      <c r="BL27" s="357"/>
      <c r="BN27" s="501">
        <f>Construction!BM27/Construction!E27</f>
        <v>0</v>
      </c>
      <c r="BO27" s="171">
        <f>Construction!BD27/Construction!E27</f>
        <v>0</v>
      </c>
      <c r="BP27" s="152">
        <f ca="1">ROUNDUP((1-MIN(AB27*smithy_bonus,smithy_bonus_cap)-AC27)*(1+Techs!AO27*tech_master_of_frugality)*spec_op_plat,0)</f>
        <v>275</v>
      </c>
      <c r="BQ27" s="164">
        <f ca="1">ROUNDUP(IF(OR(race="Gnome",race="Imperial Gnome"),1-AC27,(1-MIN(AB27*smithy_bonus,smithy_bonus_cap)-AC27)*(1+Techs!AO27*tech_master_of_frugality))*spec_op_ore,0)</f>
        <v>25</v>
      </c>
      <c r="BR27" s="164">
        <f t="shared" si="6"/>
        <v>0</v>
      </c>
      <c r="BS27" s="164">
        <f t="shared" si="7"/>
        <v>0</v>
      </c>
      <c r="BT27" s="164">
        <f ca="1">ROUNDUP((1-MIN(AB27*smithy_bonus,smithy_bonus_cap)-AC27)*(1+Techs!AO27*tech_master_of_frugality)*spec_dp_plat,0)</f>
        <v>275</v>
      </c>
      <c r="BU27" s="164">
        <f ca="1">ROUNDUP(IF(OR(race="Gnome",race="Imperial Gnome"),1-AC27,(1-MIN(AB27*smithy_bonus,smithy_bonus_cap)-AC27)*(1+Techs!AO27*tech_master_of_frugality))*spec_dp_ore,0)</f>
        <v>10</v>
      </c>
      <c r="BV27" s="164">
        <f t="shared" ca="1" si="8"/>
        <v>0</v>
      </c>
      <c r="BW27" s="164">
        <f t="shared" ca="1" si="9"/>
        <v>0</v>
      </c>
      <c r="BX27" s="164">
        <f t="shared" ca="1" si="10"/>
        <v>0</v>
      </c>
      <c r="BY27" s="164">
        <f ca="1">ROUNDUP((1-MIN(AB27*smithy_bonus,smithy_bonus_cap)-AC27)*(1+Techs!AO27*tech_master_of_frugality)*elite1_plat,0)</f>
        <v>1000</v>
      </c>
      <c r="BZ27" s="164">
        <f ca="1">ROUNDUP(IF(OR(race="Gnome",race="Imperial Gnome"),1-AC27,(1-MIN(AB27*smithy_bonus,smithy_bonus_cap)-AC27)*(1+Techs!AO27*tech_master_of_frugality))*elite1_ore,0)</f>
        <v>75</v>
      </c>
      <c r="CA27" s="164">
        <f t="shared" ca="1" si="55"/>
        <v>0</v>
      </c>
      <c r="CB27" s="164">
        <f t="shared" ca="1" si="12"/>
        <v>0</v>
      </c>
      <c r="CC27" s="164">
        <f t="shared" ca="1" si="13"/>
        <v>0</v>
      </c>
      <c r="CD27" s="164">
        <f t="shared" ca="1" si="14"/>
        <v>0</v>
      </c>
      <c r="CE27" s="164">
        <f t="shared" ca="1" si="15"/>
        <v>0</v>
      </c>
      <c r="CF27" s="164">
        <f ca="1">ROUNDUP((1-MIN(AB27*smithy_bonus,smithy_bonus_cap)-AC27)*(1+Techs!AO27*tech_master_of_frugality)*elite2_plat,0)</f>
        <v>1250</v>
      </c>
      <c r="CG27" s="164">
        <f ca="1">ROUNDUP(IF(OR(race="Gnome",race="Imperial Gnome"),1-AC27,(1-MIN(AB27*smithy_bonus,smithy_bonus_cap)-AC27)*(1+Techs!AO27*tech_master_of_frugality))*elite2_ore,0)</f>
        <v>100</v>
      </c>
      <c r="CH27" s="164">
        <f t="shared" ca="1" si="56"/>
        <v>0</v>
      </c>
      <c r="CI27" s="164">
        <f t="shared" ca="1" si="17"/>
        <v>0</v>
      </c>
      <c r="CJ27" s="164">
        <f t="shared" ca="1" si="18"/>
        <v>0</v>
      </c>
      <c r="CK27" s="164">
        <f t="shared" ca="1" si="19"/>
        <v>0</v>
      </c>
      <c r="CL27" s="164">
        <f t="shared" ca="1" si="20"/>
        <v>0</v>
      </c>
      <c r="CM27" s="164">
        <f>ROUNDUP((1+tech_spy_cost*Techs!AJ27)*spy_plat,0)</f>
        <v>500</v>
      </c>
      <c r="CN27" s="164">
        <f>ROUNDUP((1+tech_wizard_cost*Techs!AM27-MIN(ROUND(wg_wiz_cost_bonus*BN27,4),wg_wiz_cost_cap))*wizard_plat,0)</f>
        <v>500</v>
      </c>
      <c r="CO27" s="166">
        <f>ROUNDUP((1+tech_wizard_cost*Techs!AM27-MIN(ROUND(wg_wiz_cost_bonus*BN27,4),wg_wiz_cost_cap))*archmage_plat,0)</f>
        <v>1000</v>
      </c>
      <c r="CQ27" s="464">
        <f ca="1">Construction!DF27/Construction!E27</f>
        <v>0.15</v>
      </c>
      <c r="CR27" s="465">
        <f t="shared" si="75"/>
        <v>0</v>
      </c>
      <c r="CS27" s="465">
        <f>Construction!BK27/Construction!E27</f>
        <v>0.05</v>
      </c>
      <c r="CT27" s="465">
        <f>Construction!BJ27/Construction!E27</f>
        <v>0</v>
      </c>
      <c r="CU27" s="465">
        <f>Construction!AY27/Construction!E27</f>
        <v>0</v>
      </c>
      <c r="CV27" s="480">
        <f t="shared" ca="1" si="22"/>
        <v>0.74999999999999989</v>
      </c>
      <c r="CW27" s="481">
        <f t="shared" ca="1" si="23"/>
        <v>0.74999999999999989</v>
      </c>
      <c r="CX27" s="481">
        <f t="shared" ca="1" si="24"/>
        <v>0.74999999999999989</v>
      </c>
      <c r="CY27" s="482">
        <f t="shared" ca="1" si="25"/>
        <v>0.74999999999999989</v>
      </c>
      <c r="CZ27" s="482">
        <f t="shared" si="26"/>
        <v>0</v>
      </c>
      <c r="DA27" s="482">
        <f t="shared" ca="1" si="27"/>
        <v>2.9999999999999996</v>
      </c>
      <c r="DB27" s="482">
        <f t="shared" ca="1" si="28"/>
        <v>0.74999999999999989</v>
      </c>
      <c r="DC27" s="481">
        <f t="shared" si="29"/>
        <v>0</v>
      </c>
      <c r="DD27" s="842">
        <f t="shared" si="57"/>
        <v>0</v>
      </c>
      <c r="DE27" s="439">
        <f t="shared" si="58"/>
        <v>0</v>
      </c>
      <c r="DF27" s="439">
        <f t="shared" si="59"/>
        <v>0</v>
      </c>
      <c r="DG27" s="480">
        <f t="shared" ca="1" si="30"/>
        <v>0.74999999999999989</v>
      </c>
      <c r="DH27" s="449">
        <f t="shared" si="60"/>
        <v>0</v>
      </c>
      <c r="DI27" s="449">
        <f>MIN(valkyrja_cap,Production!O27/valkyrja_bonus)</f>
        <v>1</v>
      </c>
      <c r="DJ27" s="842">
        <f>MIN(voodoo_magi_cap,Production!O27/voodoo_magi_bonus)</f>
        <v>0.83333333333333337</v>
      </c>
      <c r="DK27" s="842">
        <f>MIN(warlock_cap,Production!O27/warlock_bonus)</f>
        <v>1</v>
      </c>
      <c r="DL27" s="842">
        <f ca="1">MIN(nox_nightshade_cap,Construction!DF27/Construction!E27/nox_nightshade_swamp_bonus)</f>
        <v>1.4999999999999998</v>
      </c>
      <c r="DM27" s="481">
        <f t="shared" si="31"/>
        <v>0</v>
      </c>
      <c r="DN27" s="482">
        <f t="shared" ca="1" si="32"/>
        <v>1.4999999999999998</v>
      </c>
      <c r="DO27" s="482">
        <f t="shared" ca="1" si="33"/>
        <v>1.4999999999999998</v>
      </c>
      <c r="DP27" s="482">
        <f t="shared" si="34"/>
        <v>1</v>
      </c>
      <c r="DQ27" s="481">
        <f t="shared" si="35"/>
        <v>0</v>
      </c>
      <c r="DR27" s="482">
        <f t="shared" si="36"/>
        <v>0</v>
      </c>
      <c r="DS27" s="481">
        <f t="shared" si="37"/>
        <v>0</v>
      </c>
      <c r="DT27" s="482">
        <f t="shared" si="61"/>
        <v>0</v>
      </c>
      <c r="DX27" s="486">
        <f ca="1">MIN(6,CV27+Races!$F$19)*1.8 +  IF(CV27+Races!$F$19&gt;6,(CV27+Races!$F$19-6)*0.2,0) - Races!$N$19</f>
        <v>1.3500000000000005</v>
      </c>
      <c r="DY27" s="487">
        <f ca="1">1.8 * MIN(MAX(CW27+Races!$E$20,CX27+Races!$F$20),6)  +  0.45 * MIN(MIN(CW27+Races!$E$20,CX27+Races!$F$20),6)  +  0.2 * ( MAX(CW27+Races!$E$20-6,0) + MAX(CX27+Races!$F$20-6,0) )  -  Races!$N$20</f>
        <v>1.6874999999999991</v>
      </c>
      <c r="DZ27" s="57">
        <f t="shared" ca="1" si="38"/>
        <v>0</v>
      </c>
      <c r="EA27" s="663">
        <f ca="1">MIN(6,CY27+Races!$F$35)*1.8 +  IF(CY27+Races!$F$35&gt;6,(CY27+Races!$F$35-6)*0.2,0) - Races!$N$19</f>
        <v>-0.45000000000000018</v>
      </c>
      <c r="EB27" s="57">
        <f t="shared" ca="1" si="39"/>
        <v>0</v>
      </c>
      <c r="EC27" s="663">
        <f ca="1">1.8 * MIN(MAX(Races!$E$27,DB27+Races!$F$27),6)  +  0.45 * MIN(MIN(Races!$E$27,DB27+Races!$F$27),6)  +  0.2 * ( MAX(Races!$E$27-6,0) + MAX(DB27+Races!$F$27-6,0) )  -  Races!$N$20</f>
        <v>3.6000000000000005</v>
      </c>
      <c r="ED27" s="57">
        <f t="shared" ca="1" si="40"/>
        <v>0</v>
      </c>
      <c r="EE27" s="663">
        <f>1.8 * MIN(MAX(DC27+Races!$E$47,DD27+Races!$F$47),6)  +  0.45 * MIN(MIN(DC27+Races!$E$47,DD27+Races!$F$47),6)  +  0.2 * ( MAX(DC27+Races!$E$47-6,0) + MAX(DD27+Races!$F$47-6,0) )  -  Races!$N$47</f>
        <v>0</v>
      </c>
      <c r="EF27" s="57">
        <f t="shared" si="41"/>
        <v>0</v>
      </c>
      <c r="EG27" s="663">
        <f ca="1">1.8 * MIN(MAX(DG27+Races!$F$71,Races!$E$71),6)  +  0.45 * MIN(MIN(DG27+Races!$F$71,Races!$E$71),6)  +  0.2 * ( MAX(DG27+Races!$F$71-6,0) + MAX(Races!$E$71-6,0) )  -  Races!$N$71</f>
        <v>1.3499999999999996</v>
      </c>
      <c r="EH27" s="663">
        <f>1.8 * MIN(MAX(DH27+Races!$E$71,Races!$F$71),6)  +  0.45 * MIN(MIN(DH27+Races!$E$71,Races!$F$71),6)  +  0.2 * ( MAX(DH27+Races!$E$71-6,0) + MAX(Races!$F$71-6,0) )  -  Races!$N$71</f>
        <v>0</v>
      </c>
      <c r="EI27" s="57">
        <f t="shared" ca="1" si="42"/>
        <v>0</v>
      </c>
      <c r="EJ27" s="57"/>
      <c r="EK27" s="57"/>
      <c r="EL27" s="57"/>
      <c r="EM27" s="57">
        <f ca="1">Overview!$L$22*E27+Overview!$L$23*F27+Overview!$L$24*G27+Overview!$L$25*H27+Overview!$L$26*I27+Overview!$L$27*J27+Overview!$L$28*K27+Construction!E27*20+Construction!B27*5 + DZ27*$DV$4+EB27*$DV$5+ED27*$DV$6+EF27*$DV$7+EI27*$DV$9</f>
        <v>20900</v>
      </c>
      <c r="EO27" s="734">
        <f>(J27+2*K27)/Construction!E27</f>
        <v>0</v>
      </c>
      <c r="EP27" s="730">
        <f ca="1">EO27*(1+race_wizard_strength+tech_magical_weaponry_wiz*Techs!AV99)</f>
        <v>0</v>
      </c>
      <c r="EQ27" s="16">
        <f>(I27+halfer*H27/3)/Construction!E27</f>
        <v>0</v>
      </c>
    </row>
    <row r="28" spans="1:147" s="170" customFormat="1" x14ac:dyDescent="0.25">
      <c r="A28" s="627">
        <f>Rezone!J28</f>
        <v>26</v>
      </c>
      <c r="B28" s="152">
        <f ca="1">SUM(E28:K28)+SUM(AF20:AG28)+SUM(AH17:AL28)+Z28+Explore!AL28</f>
        <v>5295</v>
      </c>
      <c r="C28" s="171">
        <f ca="1">Population!G28</f>
        <v>0.64849760638076459</v>
      </c>
      <c r="E28" s="156">
        <f t="shared" si="66"/>
        <v>0</v>
      </c>
      <c r="F28" s="170">
        <f t="shared" si="67"/>
        <v>0</v>
      </c>
      <c r="G28" s="170">
        <f t="shared" si="68"/>
        <v>0</v>
      </c>
      <c r="H28" s="170">
        <f t="shared" si="69"/>
        <v>0</v>
      </c>
      <c r="I28" s="170">
        <f t="shared" si="70"/>
        <v>0</v>
      </c>
      <c r="J28" s="170">
        <f t="shared" si="71"/>
        <v>0</v>
      </c>
      <c r="K28" s="157">
        <f t="shared" si="72"/>
        <v>0</v>
      </c>
      <c r="M28" s="160">
        <f ca="1">Production!G28</f>
        <v>20900</v>
      </c>
      <c r="O28" s="234">
        <f t="shared" ca="1" si="0"/>
        <v>0</v>
      </c>
      <c r="P28" s="454">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47">
        <f ca="1">race_defense+Imps!AC28+ROUND(MIN(gt_bonus*Construction!BH28/Construction!$E28,gt_bonus_cap),4)+MAX(IF(Magic!AM28&gt;0,frenzy_bonus,IF(Magic!AQ28&gt;0,blizzard_bonus,IF(Magic!AP28&gt;0,howling_dp_bonus,IF(Magic!AI28&gt;0,ares_call_bonus)))),IF(Magic!AX28&gt;0,MIN(Construction!DF28/Construction!E28,0.2),0))</f>
        <v>0</v>
      </c>
      <c r="U28" s="1041">
        <f t="shared" ca="1" si="47"/>
        <v>0</v>
      </c>
      <c r="V28" s="308">
        <f t="shared" ca="1" si="48"/>
        <v>5295</v>
      </c>
      <c r="W28" s="308">
        <f>Construction!E28</f>
        <v>1000</v>
      </c>
      <c r="X28" s="364"/>
      <c r="Y28" s="232">
        <f t="shared" si="76"/>
        <v>0.4</v>
      </c>
      <c r="Z28" s="166">
        <f ca="1">Z27+Population!Z27 - IF(race="Lux",AF28,SUM(AF28:AK28)) - BE28 + SUM(BF28:BL28) - Explore!AI28</f>
        <v>5295</v>
      </c>
      <c r="AA28" s="164"/>
      <c r="AB28" s="251">
        <f>(Construction!$BA28+Construction!BY28)/(Construction!$E28-Explore!S28*20)</f>
        <v>0</v>
      </c>
      <c r="AC28" s="1515">
        <f ca="1">Imps!AE28</f>
        <v>0</v>
      </c>
      <c r="AD28" s="794">
        <f>Rezone!J28</f>
        <v>26</v>
      </c>
      <c r="AE28" s="587">
        <f>Explore!AA28</f>
        <v>43768.260416666606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0">
        <f t="shared" si="73"/>
        <v>43768.260416666606</v>
      </c>
      <c r="BD28" s="233">
        <f t="shared" ca="1" si="74"/>
        <v>5295</v>
      </c>
      <c r="BE28" s="352"/>
      <c r="BF28" s="345"/>
      <c r="BG28" s="345"/>
      <c r="BH28" s="345"/>
      <c r="BI28" s="345"/>
      <c r="BJ28" s="345"/>
      <c r="BK28" s="345"/>
      <c r="BL28" s="353"/>
      <c r="BN28" s="501">
        <f>Construction!BM28/Construction!E28</f>
        <v>0</v>
      </c>
      <c r="BO28" s="171">
        <f>Construction!BD28/Construction!E28</f>
        <v>0</v>
      </c>
      <c r="BP28" s="152">
        <f ca="1">ROUNDUP((1-MIN(AB28*smithy_bonus,smithy_bonus_cap)-AC28)*(1+Techs!AO28*tech_master_of_frugality)*spec_op_plat,0)</f>
        <v>275</v>
      </c>
      <c r="BQ28" s="164">
        <f ca="1">ROUNDUP(IF(OR(race="Gnome",race="Imperial Gnome"),1-AC28,(1-MIN(AB28*smithy_bonus,smithy_bonus_cap)-AC28)*(1+Techs!AO28*tech_master_of_frugality))*spec_op_ore,0)</f>
        <v>25</v>
      </c>
      <c r="BR28" s="164">
        <f t="shared" si="6"/>
        <v>0</v>
      </c>
      <c r="BS28" s="164">
        <f t="shared" si="7"/>
        <v>0</v>
      </c>
      <c r="BT28" s="164">
        <f ca="1">ROUNDUP((1-MIN(AB28*smithy_bonus,smithy_bonus_cap)-AC28)*(1+Techs!AO28*tech_master_of_frugality)*spec_dp_plat,0)</f>
        <v>275</v>
      </c>
      <c r="BU28" s="164">
        <f ca="1">ROUNDUP(IF(OR(race="Gnome",race="Imperial Gnome"),1-AC28,(1-MIN(AB28*smithy_bonus,smithy_bonus_cap)-AC28)*(1+Techs!AO28*tech_master_of_frugality))*spec_dp_ore,0)</f>
        <v>10</v>
      </c>
      <c r="BV28" s="164">
        <f t="shared" ca="1" si="8"/>
        <v>0</v>
      </c>
      <c r="BW28" s="164">
        <f t="shared" ca="1" si="9"/>
        <v>0</v>
      </c>
      <c r="BX28" s="164">
        <f t="shared" ca="1" si="10"/>
        <v>0</v>
      </c>
      <c r="BY28" s="164">
        <f ca="1">ROUNDUP((1-MIN(AB28*smithy_bonus,smithy_bonus_cap)-AC28)*(1+Techs!AO28*tech_master_of_frugality)*elite1_plat,0)</f>
        <v>1000</v>
      </c>
      <c r="BZ28" s="164">
        <f ca="1">ROUNDUP(IF(OR(race="Gnome",race="Imperial Gnome"),1-AC28,(1-MIN(AB28*smithy_bonus,smithy_bonus_cap)-AC28)*(1+Techs!AO28*tech_master_of_frugality))*elite1_ore,0)</f>
        <v>75</v>
      </c>
      <c r="CA28" s="164">
        <f t="shared" ca="1" si="55"/>
        <v>0</v>
      </c>
      <c r="CB28" s="164">
        <f t="shared" ca="1" si="12"/>
        <v>0</v>
      </c>
      <c r="CC28" s="164">
        <f t="shared" ca="1" si="13"/>
        <v>0</v>
      </c>
      <c r="CD28" s="164">
        <f t="shared" ca="1" si="14"/>
        <v>0</v>
      </c>
      <c r="CE28" s="164">
        <f t="shared" ca="1" si="15"/>
        <v>0</v>
      </c>
      <c r="CF28" s="164">
        <f ca="1">ROUNDUP((1-MIN(AB28*smithy_bonus,smithy_bonus_cap)-AC28)*(1+Techs!AO28*tech_master_of_frugality)*elite2_plat,0)</f>
        <v>1250</v>
      </c>
      <c r="CG28" s="164">
        <f ca="1">ROUNDUP(IF(OR(race="Gnome",race="Imperial Gnome"),1-AC28,(1-MIN(AB28*smithy_bonus,smithy_bonus_cap)-AC28)*(1+Techs!AO28*tech_master_of_frugality))*elite2_ore,0)</f>
        <v>100</v>
      </c>
      <c r="CH28" s="164">
        <f t="shared" ca="1" si="5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0">
        <f ca="1">Construction!DF28/Construction!E28</f>
        <v>0.15</v>
      </c>
      <c r="CR28" s="461">
        <f t="shared" si="75"/>
        <v>0</v>
      </c>
      <c r="CS28" s="461">
        <f>Construction!BK28/Construction!E28</f>
        <v>0.05</v>
      </c>
      <c r="CT28" s="461">
        <f>Construction!BJ28/Construction!E28</f>
        <v>0</v>
      </c>
      <c r="CU28" s="461">
        <f>Construction!AY28/Construction!E28</f>
        <v>0</v>
      </c>
      <c r="CV28" s="480">
        <f t="shared" ca="1" si="22"/>
        <v>0.74999999999999989</v>
      </c>
      <c r="CW28" s="481">
        <f t="shared" ca="1" si="23"/>
        <v>0.74999999999999989</v>
      </c>
      <c r="CX28" s="481">
        <f t="shared" ca="1" si="24"/>
        <v>0.74999999999999989</v>
      </c>
      <c r="CY28" s="482">
        <f t="shared" ca="1" si="25"/>
        <v>0.74999999999999989</v>
      </c>
      <c r="CZ28" s="482">
        <f t="shared" si="26"/>
        <v>0</v>
      </c>
      <c r="DA28" s="482">
        <f t="shared" ca="1" si="27"/>
        <v>2.9999999999999996</v>
      </c>
      <c r="DB28" s="482">
        <f t="shared" ca="1" si="28"/>
        <v>0.74999999999999989</v>
      </c>
      <c r="DC28" s="481">
        <f t="shared" si="29"/>
        <v>0</v>
      </c>
      <c r="DD28" s="842">
        <f t="shared" si="57"/>
        <v>0</v>
      </c>
      <c r="DE28" s="439">
        <f t="shared" si="58"/>
        <v>0</v>
      </c>
      <c r="DF28" s="439">
        <f t="shared" si="59"/>
        <v>0</v>
      </c>
      <c r="DG28" s="480">
        <f t="shared" ca="1" si="30"/>
        <v>0.74999999999999989</v>
      </c>
      <c r="DH28" s="449">
        <f t="shared" si="60"/>
        <v>0</v>
      </c>
      <c r="DI28" s="449">
        <f>MIN(valkyrja_cap,Production!O28/valkyrja_bonus)</f>
        <v>1</v>
      </c>
      <c r="DJ28" s="842">
        <f>MIN(voodoo_magi_cap,Production!O28/voodoo_magi_bonus)</f>
        <v>0.83333333333333337</v>
      </c>
      <c r="DK28" s="842">
        <f>MIN(warlock_cap,Production!O28/warlock_bonus)</f>
        <v>1</v>
      </c>
      <c r="DL28" s="842">
        <f ca="1">MIN(nox_nightshade_cap,Construction!DF28/Construction!E28/nox_nightshade_swamp_bonus)</f>
        <v>1.4999999999999998</v>
      </c>
      <c r="DM28" s="481">
        <f t="shared" si="31"/>
        <v>0</v>
      </c>
      <c r="DN28" s="482">
        <f t="shared" ca="1" si="32"/>
        <v>1.4999999999999998</v>
      </c>
      <c r="DO28" s="482">
        <f t="shared" ca="1" si="33"/>
        <v>1.4999999999999998</v>
      </c>
      <c r="DP28" s="482">
        <f t="shared" si="34"/>
        <v>1</v>
      </c>
      <c r="DQ28" s="481">
        <f t="shared" si="35"/>
        <v>0</v>
      </c>
      <c r="DR28" s="482">
        <f t="shared" si="36"/>
        <v>0</v>
      </c>
      <c r="DS28" s="481">
        <f t="shared" si="37"/>
        <v>0</v>
      </c>
      <c r="DT28" s="482">
        <f t="shared" si="61"/>
        <v>0</v>
      </c>
      <c r="DX28" s="480">
        <f ca="1">MIN(6,CV28+Races!$F$19)*1.8 +  IF(CV28+Races!$F$19&gt;6,(CV28+Races!$F$19-6)*0.2,0) - Races!$N$19</f>
        <v>1.3500000000000005</v>
      </c>
      <c r="DY28" s="481">
        <f ca="1">1.8 * MIN(MAX(CW28+Races!$E$20,CX28+Races!$F$20),6)  +  0.45 * MIN(MIN(CW28+Races!$E$20,CX28+Races!$F$20),6)  +  0.2 * ( MAX(CW28+Races!$E$20-6,0) + MAX(CX28+Races!$F$20-6,0) )  -  Races!$N$20</f>
        <v>1.6874999999999991</v>
      </c>
      <c r="DZ28" s="166">
        <f t="shared" ca="1" si="38"/>
        <v>0</v>
      </c>
      <c r="EA28" s="662">
        <f ca="1">MIN(6,CY28+Races!$F$35)*1.8 +  IF(CY28+Races!$F$35&gt;6,(CY28+Races!$F$35-6)*0.2,0) - Races!$N$19</f>
        <v>-0.45000000000000018</v>
      </c>
      <c r="EB28" s="166">
        <f t="shared" ca="1" si="39"/>
        <v>0</v>
      </c>
      <c r="EC28" s="662">
        <f ca="1">1.8 * MIN(MAX(Races!$E$27,DB28+Races!$F$27),6)  +  0.45 * MIN(MIN(Races!$E$27,DB28+Races!$F$27),6)  +  0.2 * ( MAX(Races!$E$27-6,0) + MAX(DB28+Races!$F$27-6,0) )  -  Races!$N$20</f>
        <v>3.6000000000000005</v>
      </c>
      <c r="ED28" s="166">
        <f t="shared" ca="1" si="40"/>
        <v>0</v>
      </c>
      <c r="EE28" s="662">
        <f>1.8 * MIN(MAX(DC28+Races!$E$47,DD28+Races!$F$47),6)  +  0.45 * MIN(MIN(DC28+Races!$E$47,DD28+Races!$F$47),6)  +  0.2 * ( MAX(DC28+Races!$E$47-6,0) + MAX(DD28+Races!$F$47-6,0) )  -  Races!$N$47</f>
        <v>0</v>
      </c>
      <c r="EF28" s="166">
        <f t="shared" si="41"/>
        <v>0</v>
      </c>
      <c r="EG28" s="662">
        <f ca="1">1.8 * MIN(MAX(DG28+Races!$F$71,Races!$E$71),6)  +  0.45 * MIN(MIN(DG28+Races!$F$71,Races!$E$71),6)  +  0.2 * ( MAX(DG28+Races!$F$71-6,0) + MAX(Races!$E$71-6,0) )  -  Races!$N$71</f>
        <v>1.3499999999999996</v>
      </c>
      <c r="EH28" s="662">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3">
        <f>(J28+2*K28)/Construction!E28</f>
        <v>0</v>
      </c>
      <c r="EP28" s="730">
        <f ca="1">EO28*(1+race_wizard_strength+tech_magical_weaponry_wiz*Techs!AV100)</f>
        <v>0</v>
      </c>
      <c r="EQ28" s="170">
        <f>(I28+halfer*H28/3)/Construction!E28</f>
        <v>0</v>
      </c>
    </row>
    <row r="29" spans="1:147" s="170" customFormat="1" x14ac:dyDescent="0.25">
      <c r="A29" s="627">
        <f>Rezone!J29</f>
        <v>27</v>
      </c>
      <c r="B29" s="152">
        <f ca="1">SUM(E29:K29)+SUM(AF21:AG29)+SUM(AH18:AL29)+Z29+Explore!AL29</f>
        <v>5295</v>
      </c>
      <c r="C29" s="171">
        <f ca="1">Population!G29</f>
        <v>0.66009892397082603</v>
      </c>
      <c r="E29" s="156">
        <f t="shared" si="66"/>
        <v>0</v>
      </c>
      <c r="F29" s="170">
        <f t="shared" si="67"/>
        <v>0</v>
      </c>
      <c r="G29" s="170">
        <f t="shared" si="68"/>
        <v>0</v>
      </c>
      <c r="H29" s="170">
        <f t="shared" si="69"/>
        <v>0</v>
      </c>
      <c r="I29" s="170">
        <f t="shared" si="70"/>
        <v>0</v>
      </c>
      <c r="J29" s="170">
        <f t="shared" si="71"/>
        <v>0</v>
      </c>
      <c r="K29" s="157">
        <f t="shared" si="72"/>
        <v>0</v>
      </c>
      <c r="M29" s="160">
        <f ca="1">Production!G29</f>
        <v>20900</v>
      </c>
      <c r="O29" s="234">
        <f t="shared" ca="1" si="0"/>
        <v>0</v>
      </c>
      <c r="P29" s="454">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47">
        <f ca="1">race_defense+Imps!AC29+ROUND(MIN(gt_bonus*Construction!BH29/Construction!$E29,gt_bonus_cap),4)+MAX(IF(Magic!AM29&gt;0,frenzy_bonus,IF(Magic!AQ29&gt;0,blizzard_bonus,IF(Magic!AP29&gt;0,howling_dp_bonus,IF(Magic!AI29&gt;0,ares_call_bonus)))),IF(Magic!AX29&gt;0,MIN(Construction!DF29/Construction!E29,0.2),0))</f>
        <v>0</v>
      </c>
      <c r="U29" s="1041">
        <f t="shared" ca="1" si="47"/>
        <v>0</v>
      </c>
      <c r="V29" s="308">
        <f t="shared" ca="1" si="48"/>
        <v>5295</v>
      </c>
      <c r="W29" s="308">
        <f>Construction!E29</f>
        <v>1000</v>
      </c>
      <c r="X29" s="364"/>
      <c r="Y29" s="232">
        <f t="shared" si="76"/>
        <v>0.4</v>
      </c>
      <c r="Z29" s="166">
        <f ca="1">Z28+Population!Z28 - IF(race="Lux",AF29,SUM(AF29:AK29)) - BE29 + SUM(BF29:BL29) - Explore!AI29</f>
        <v>5295</v>
      </c>
      <c r="AA29" s="164"/>
      <c r="AB29" s="251">
        <f>(Construction!$BA29+Construction!BY29)/(Construction!$E29-Explore!S29*20)</f>
        <v>0</v>
      </c>
      <c r="AC29" s="1515">
        <f ca="1">Imps!AE29</f>
        <v>0</v>
      </c>
      <c r="AD29" s="794">
        <f>Rezone!J29</f>
        <v>27</v>
      </c>
      <c r="AE29" s="587">
        <f>Explore!AA29</f>
        <v>43768.27083333327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0">
        <f t="shared" si="73"/>
        <v>43768.27083333327</v>
      </c>
      <c r="BD29" s="233">
        <f t="shared" ca="1" si="74"/>
        <v>5295</v>
      </c>
      <c r="BE29" s="352"/>
      <c r="BF29" s="345"/>
      <c r="BG29" s="345"/>
      <c r="BH29" s="345"/>
      <c r="BI29" s="345"/>
      <c r="BJ29" s="345"/>
      <c r="BK29" s="345"/>
      <c r="BL29" s="353"/>
      <c r="BN29" s="501">
        <f>Construction!BM29/Construction!E29</f>
        <v>0</v>
      </c>
      <c r="BO29" s="171">
        <f>Construction!BD29/Construction!E29</f>
        <v>0</v>
      </c>
      <c r="BP29" s="152">
        <f ca="1">ROUNDUP((1-MIN(AB29*smithy_bonus,smithy_bonus_cap)-AC29)*(1+Techs!AO29*tech_master_of_frugality)*spec_op_plat,0)</f>
        <v>275</v>
      </c>
      <c r="BQ29" s="164">
        <f ca="1">ROUNDUP(IF(OR(race="Gnome",race="Imperial Gnome"),1-AC29,(1-MIN(AB29*smithy_bonus,smithy_bonus_cap)-AC29)*(1+Techs!AO29*tech_master_of_frugality))*spec_op_ore,0)</f>
        <v>25</v>
      </c>
      <c r="BR29" s="164">
        <f t="shared" si="6"/>
        <v>0</v>
      </c>
      <c r="BS29" s="164">
        <f t="shared" si="7"/>
        <v>0</v>
      </c>
      <c r="BT29" s="164">
        <f ca="1">ROUNDUP((1-MIN(AB29*smithy_bonus,smithy_bonus_cap)-AC29)*(1+Techs!AO29*tech_master_of_frugality)*spec_dp_plat,0)</f>
        <v>275</v>
      </c>
      <c r="BU29" s="164">
        <f ca="1">ROUNDUP(IF(OR(race="Gnome",race="Imperial Gnome"),1-AC29,(1-MIN(AB29*smithy_bonus,smithy_bonus_cap)-AC29)*(1+Techs!AO29*tech_master_of_frugality))*spec_dp_ore,0)</f>
        <v>10</v>
      </c>
      <c r="BV29" s="164">
        <f t="shared" ca="1" si="8"/>
        <v>0</v>
      </c>
      <c r="BW29" s="164">
        <f t="shared" ca="1" si="9"/>
        <v>0</v>
      </c>
      <c r="BX29" s="164">
        <f t="shared" ca="1" si="10"/>
        <v>0</v>
      </c>
      <c r="BY29" s="164">
        <f ca="1">ROUNDUP((1-MIN(AB29*smithy_bonus,smithy_bonus_cap)-AC29)*(1+Techs!AO29*tech_master_of_frugality)*elite1_plat,0)</f>
        <v>1000</v>
      </c>
      <c r="BZ29" s="164">
        <f ca="1">ROUNDUP(IF(OR(race="Gnome",race="Imperial Gnome"),1-AC29,(1-MIN(AB29*smithy_bonus,smithy_bonus_cap)-AC29)*(1+Techs!AO29*tech_master_of_frugality))*elite1_ore,0)</f>
        <v>75</v>
      </c>
      <c r="CA29" s="164">
        <f t="shared" ca="1" si="55"/>
        <v>0</v>
      </c>
      <c r="CB29" s="164">
        <f t="shared" ca="1" si="12"/>
        <v>0</v>
      </c>
      <c r="CC29" s="164">
        <f t="shared" ca="1" si="13"/>
        <v>0</v>
      </c>
      <c r="CD29" s="164">
        <f t="shared" ca="1" si="14"/>
        <v>0</v>
      </c>
      <c r="CE29" s="164">
        <f t="shared" ca="1" si="15"/>
        <v>0</v>
      </c>
      <c r="CF29" s="164">
        <f ca="1">ROUNDUP((1-MIN(AB29*smithy_bonus,smithy_bonus_cap)-AC29)*(1+Techs!AO29*tech_master_of_frugality)*elite2_plat,0)</f>
        <v>1250</v>
      </c>
      <c r="CG29" s="164">
        <f ca="1">ROUNDUP(IF(OR(race="Gnome",race="Imperial Gnome"),1-AC29,(1-MIN(AB29*smithy_bonus,smithy_bonus_cap)-AC29)*(1+Techs!AO29*tech_master_of_frugality))*elite2_ore,0)</f>
        <v>100</v>
      </c>
      <c r="CH29" s="164">
        <f t="shared" ca="1" si="5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0">
        <f ca="1">Construction!DF29/Construction!E29</f>
        <v>0.15</v>
      </c>
      <c r="CR29" s="461">
        <f t="shared" si="75"/>
        <v>0</v>
      </c>
      <c r="CS29" s="461">
        <f>Construction!BK29/Construction!E29</f>
        <v>0.05</v>
      </c>
      <c r="CT29" s="461">
        <f>Construction!BJ29/Construction!E29</f>
        <v>0</v>
      </c>
      <c r="CU29" s="461">
        <f>Construction!AY29/Construction!E29</f>
        <v>0</v>
      </c>
      <c r="CV29" s="480">
        <f t="shared" ca="1" si="22"/>
        <v>0.74999999999999989</v>
      </c>
      <c r="CW29" s="481">
        <f t="shared" ca="1" si="23"/>
        <v>0.74999999999999989</v>
      </c>
      <c r="CX29" s="481">
        <f t="shared" ca="1" si="24"/>
        <v>0.74999999999999989</v>
      </c>
      <c r="CY29" s="482">
        <f t="shared" ca="1" si="25"/>
        <v>0.74999999999999989</v>
      </c>
      <c r="CZ29" s="482">
        <f t="shared" si="26"/>
        <v>0</v>
      </c>
      <c r="DA29" s="482">
        <f t="shared" ca="1" si="27"/>
        <v>2.9999999999999996</v>
      </c>
      <c r="DB29" s="482">
        <f t="shared" ca="1" si="28"/>
        <v>0.74999999999999989</v>
      </c>
      <c r="DC29" s="481">
        <f t="shared" si="29"/>
        <v>0</v>
      </c>
      <c r="DD29" s="842">
        <f t="shared" si="57"/>
        <v>0</v>
      </c>
      <c r="DE29" s="439">
        <f t="shared" si="58"/>
        <v>0</v>
      </c>
      <c r="DF29" s="439">
        <f t="shared" si="59"/>
        <v>0</v>
      </c>
      <c r="DG29" s="480">
        <f t="shared" ca="1" si="30"/>
        <v>0.74999999999999989</v>
      </c>
      <c r="DH29" s="449">
        <f t="shared" si="60"/>
        <v>0</v>
      </c>
      <c r="DI29" s="449">
        <f>MIN(valkyrja_cap,Production!O29/valkyrja_bonus)</f>
        <v>1</v>
      </c>
      <c r="DJ29" s="842">
        <f>MIN(voodoo_magi_cap,Production!O29/voodoo_magi_bonus)</f>
        <v>0.83333333333333337</v>
      </c>
      <c r="DK29" s="842">
        <f>MIN(warlock_cap,Production!O29/warlock_bonus)</f>
        <v>1</v>
      </c>
      <c r="DL29" s="842">
        <f ca="1">MIN(nox_nightshade_cap,Construction!DF29/Construction!E29/nox_nightshade_swamp_bonus)</f>
        <v>1.4999999999999998</v>
      </c>
      <c r="DM29" s="481">
        <f t="shared" si="31"/>
        <v>0</v>
      </c>
      <c r="DN29" s="482">
        <f t="shared" ca="1" si="32"/>
        <v>1.4999999999999998</v>
      </c>
      <c r="DO29" s="482">
        <f t="shared" ca="1" si="33"/>
        <v>1.4999999999999998</v>
      </c>
      <c r="DP29" s="482">
        <f t="shared" si="34"/>
        <v>1</v>
      </c>
      <c r="DQ29" s="481">
        <f t="shared" si="35"/>
        <v>0</v>
      </c>
      <c r="DR29" s="482">
        <f t="shared" si="36"/>
        <v>0</v>
      </c>
      <c r="DS29" s="481">
        <f t="shared" si="37"/>
        <v>0</v>
      </c>
      <c r="DT29" s="482">
        <f t="shared" si="61"/>
        <v>0</v>
      </c>
      <c r="DX29" s="480">
        <f ca="1">MIN(6,CV29+Races!$F$19)*1.8 +  IF(CV29+Races!$F$19&gt;6,(CV29+Races!$F$19-6)*0.2,0) - Races!$N$19</f>
        <v>1.3500000000000005</v>
      </c>
      <c r="DY29" s="481">
        <f ca="1">1.8 * MIN(MAX(CW29+Races!$E$20,CX29+Races!$F$20),6)  +  0.45 * MIN(MIN(CW29+Races!$E$20,CX29+Races!$F$20),6)  +  0.2 * ( MAX(CW29+Races!$E$20-6,0) + MAX(CX29+Races!$F$20-6,0) )  -  Races!$N$20</f>
        <v>1.6874999999999991</v>
      </c>
      <c r="DZ29" s="166">
        <f t="shared" ca="1" si="38"/>
        <v>0</v>
      </c>
      <c r="EA29" s="662">
        <f ca="1">MIN(6,CY29+Races!$F$35)*1.8 +  IF(CY29+Races!$F$35&gt;6,(CY29+Races!$F$35-6)*0.2,0) - Races!$N$19</f>
        <v>-0.45000000000000018</v>
      </c>
      <c r="EB29" s="166">
        <f t="shared" ca="1" si="39"/>
        <v>0</v>
      </c>
      <c r="EC29" s="662">
        <f ca="1">1.8 * MIN(MAX(Races!$E$27,DB29+Races!$F$27),6)  +  0.45 * MIN(MIN(Races!$E$27,DB29+Races!$F$27),6)  +  0.2 * ( MAX(Races!$E$27-6,0) + MAX(DB29+Races!$F$27-6,0) )  -  Races!$N$20</f>
        <v>3.6000000000000005</v>
      </c>
      <c r="ED29" s="166">
        <f t="shared" ca="1" si="40"/>
        <v>0</v>
      </c>
      <c r="EE29" s="662">
        <f>1.8 * MIN(MAX(DC29+Races!$E$47,DD29+Races!$F$47),6)  +  0.45 * MIN(MIN(DC29+Races!$E$47,DD29+Races!$F$47),6)  +  0.2 * ( MAX(DC29+Races!$E$47-6,0) + MAX(DD29+Races!$F$47-6,0) )  -  Races!$N$47</f>
        <v>0</v>
      </c>
      <c r="EF29" s="166">
        <f t="shared" si="41"/>
        <v>0</v>
      </c>
      <c r="EG29" s="662">
        <f ca="1">1.8 * MIN(MAX(DG29+Races!$F$71,Races!$E$71),6)  +  0.45 * MIN(MIN(DG29+Races!$F$71,Races!$E$71),6)  +  0.2 * ( MAX(DG29+Races!$F$71-6,0) + MAX(Races!$E$71-6,0) )  -  Races!$N$71</f>
        <v>1.3499999999999996</v>
      </c>
      <c r="EH29" s="662">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3">
        <f>(J29+2*K29)/Construction!E29</f>
        <v>0</v>
      </c>
      <c r="EP29" s="730">
        <f ca="1">EO29*(1+race_wizard_strength+tech_magical_weaponry_wiz*Techs!AV101)</f>
        <v>0</v>
      </c>
      <c r="EQ29" s="170">
        <f>(I29+halfer*H29/3)/Construction!E29</f>
        <v>0</v>
      </c>
    </row>
    <row r="30" spans="1:147" s="16" customFormat="1" ht="13.8" thickBot="1" x14ac:dyDescent="0.3">
      <c r="A30" s="627">
        <f>Rezone!J30</f>
        <v>28</v>
      </c>
      <c r="B30" s="56">
        <f ca="1">SUM(E30:K30)+SUM(AF22:AG30)+SUM(AH19:AL30)+Z30+Explore!AL30</f>
        <v>5295</v>
      </c>
      <c r="C30" s="97">
        <f ca="1">Population!G30</f>
        <v>0.67151129454999026</v>
      </c>
      <c r="E30" s="52">
        <f t="shared" si="66"/>
        <v>0</v>
      </c>
      <c r="F30" s="16">
        <f t="shared" si="67"/>
        <v>0</v>
      </c>
      <c r="G30" s="16">
        <f t="shared" si="68"/>
        <v>0</v>
      </c>
      <c r="H30" s="16">
        <f t="shared" si="69"/>
        <v>0</v>
      </c>
      <c r="I30" s="16">
        <f t="shared" si="70"/>
        <v>0</v>
      </c>
      <c r="J30" s="16">
        <f t="shared" si="71"/>
        <v>0</v>
      </c>
      <c r="K30" s="53">
        <f t="shared" si="72"/>
        <v>0</v>
      </c>
      <c r="M30" s="64">
        <f ca="1">Production!G30</f>
        <v>20900</v>
      </c>
      <c r="O30" s="234">
        <f t="shared" ca="1" si="0"/>
        <v>0</v>
      </c>
      <c r="P30" s="454">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47">
        <f ca="1">race_defense+Imps!AC30+ROUND(MIN(gt_bonus*Construction!BH30/Construction!$E30,gt_bonus_cap),4)+MAX(IF(Magic!AM30&gt;0,frenzy_bonus,IF(Magic!AQ30&gt;0,blizzard_bonus,IF(Magic!AP30&gt;0,howling_dp_bonus,IF(Magic!AI30&gt;0,ares_call_bonus)))),IF(Magic!AX30&gt;0,MIN(Construction!DF30/Construction!E30,0.2),0))</f>
        <v>0</v>
      </c>
      <c r="U30" s="1041">
        <f t="shared" ca="1" si="47"/>
        <v>0</v>
      </c>
      <c r="V30" s="308">
        <f t="shared" ca="1" si="48"/>
        <v>5295</v>
      </c>
      <c r="W30" s="310">
        <f>Construction!E30</f>
        <v>1000</v>
      </c>
      <c r="X30" s="367"/>
      <c r="Y30" s="146">
        <f t="shared" si="76"/>
        <v>0.4</v>
      </c>
      <c r="Z30" s="166">
        <f ca="1">Z29+Population!Z29 - IF(race="Lux",AF30,SUM(AF30:AK30)) - BE30 + SUM(BF30:BL30) - Explore!AI30</f>
        <v>5295</v>
      </c>
      <c r="AA30" s="164"/>
      <c r="AB30" s="91">
        <f>(Construction!$BA30+Construction!BY30)/(Construction!$E30-Explore!S30*20)</f>
        <v>0</v>
      </c>
      <c r="AC30" s="1516">
        <f ca="1">Imps!AE30</f>
        <v>0</v>
      </c>
      <c r="AD30" s="795">
        <f>Rezone!J30</f>
        <v>28</v>
      </c>
      <c r="AE30" s="587">
        <f>Explore!AA30</f>
        <v>43768.281249999935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2">
        <f t="shared" si="73"/>
        <v>43768.281249999935</v>
      </c>
      <c r="BD30" s="148">
        <f t="shared" ca="1" si="74"/>
        <v>5295</v>
      </c>
      <c r="BE30" s="356"/>
      <c r="BF30" s="348"/>
      <c r="BG30" s="348"/>
      <c r="BH30" s="348"/>
      <c r="BI30" s="348"/>
      <c r="BJ30" s="348"/>
      <c r="BK30" s="348"/>
      <c r="BL30" s="357"/>
      <c r="BN30" s="501">
        <f>Construction!BM30/Construction!E30</f>
        <v>0</v>
      </c>
      <c r="BO30" s="171">
        <f>Construction!BD30/Construction!E30</f>
        <v>0</v>
      </c>
      <c r="BP30" s="152">
        <f ca="1">ROUNDUP((1-MIN(AB30*smithy_bonus,smithy_bonus_cap)-AC30)*(1+Techs!AO30*tech_master_of_frugality)*spec_op_plat,0)</f>
        <v>275</v>
      </c>
      <c r="BQ30" s="164">
        <f ca="1">ROUNDUP(IF(OR(race="Gnome",race="Imperial Gnome"),1-AC30,(1-MIN(AB30*smithy_bonus,smithy_bonus_cap)-AC30)*(1+Techs!AO30*tech_master_of_frugality))*spec_op_ore,0)</f>
        <v>25</v>
      </c>
      <c r="BR30" s="164">
        <f t="shared" si="6"/>
        <v>0</v>
      </c>
      <c r="BS30" s="164">
        <f t="shared" si="7"/>
        <v>0</v>
      </c>
      <c r="BT30" s="164">
        <f ca="1">ROUNDUP((1-MIN(AB30*smithy_bonus,smithy_bonus_cap)-AC30)*(1+Techs!AO30*tech_master_of_frugality)*spec_dp_plat,0)</f>
        <v>275</v>
      </c>
      <c r="BU30" s="164">
        <f ca="1">ROUNDUP(IF(OR(race="Gnome",race="Imperial Gnome"),1-AC30,(1-MIN(AB30*smithy_bonus,smithy_bonus_cap)-AC30)*(1+Techs!AO30*tech_master_of_frugality))*spec_dp_ore,0)</f>
        <v>10</v>
      </c>
      <c r="BV30" s="164">
        <f t="shared" ca="1" si="8"/>
        <v>0</v>
      </c>
      <c r="BW30" s="164">
        <f t="shared" ca="1" si="9"/>
        <v>0</v>
      </c>
      <c r="BX30" s="164">
        <f t="shared" ca="1" si="10"/>
        <v>0</v>
      </c>
      <c r="BY30" s="164">
        <f ca="1">ROUNDUP((1-MIN(AB30*smithy_bonus,smithy_bonus_cap)-AC30)*(1+Techs!AO30*tech_master_of_frugality)*elite1_plat,0)</f>
        <v>1000</v>
      </c>
      <c r="BZ30" s="164">
        <f ca="1">ROUNDUP(IF(OR(race="Gnome",race="Imperial Gnome"),1-AC30,(1-MIN(AB30*smithy_bonus,smithy_bonus_cap)-AC30)*(1+Techs!AO30*tech_master_of_frugality))*elite1_ore,0)</f>
        <v>75</v>
      </c>
      <c r="CA30" s="164">
        <f t="shared" ca="1" si="55"/>
        <v>0</v>
      </c>
      <c r="CB30" s="164">
        <f t="shared" ca="1" si="12"/>
        <v>0</v>
      </c>
      <c r="CC30" s="164">
        <f t="shared" ca="1" si="13"/>
        <v>0</v>
      </c>
      <c r="CD30" s="164">
        <f t="shared" ca="1" si="14"/>
        <v>0</v>
      </c>
      <c r="CE30" s="164">
        <f t="shared" ca="1" si="15"/>
        <v>0</v>
      </c>
      <c r="CF30" s="164">
        <f ca="1">ROUNDUP((1-MIN(AB30*smithy_bonus,smithy_bonus_cap)-AC30)*(1+Techs!AO30*tech_master_of_frugality)*elite2_plat,0)</f>
        <v>1250</v>
      </c>
      <c r="CG30" s="164">
        <f ca="1">ROUNDUP(IF(OR(race="Gnome",race="Imperial Gnome"),1-AC30,(1-MIN(AB30*smithy_bonus,smithy_bonus_cap)-AC30)*(1+Techs!AO30*tech_master_of_frugality))*elite2_ore,0)</f>
        <v>100</v>
      </c>
      <c r="CH30" s="164">
        <f t="shared" ca="1" si="5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4">
        <f ca="1">Construction!DF30/Construction!E30</f>
        <v>0.15</v>
      </c>
      <c r="CR30" s="465">
        <f t="shared" si="75"/>
        <v>0</v>
      </c>
      <c r="CS30" s="465">
        <f>Construction!BK30/Construction!E30</f>
        <v>0.05</v>
      </c>
      <c r="CT30" s="465">
        <f>Construction!BJ30/Construction!E30</f>
        <v>0</v>
      </c>
      <c r="CU30" s="465">
        <f>Construction!AY30/Construction!E30</f>
        <v>0</v>
      </c>
      <c r="CV30" s="480">
        <f t="shared" ca="1" si="22"/>
        <v>0.74999999999999989</v>
      </c>
      <c r="CW30" s="481">
        <f t="shared" ca="1" si="23"/>
        <v>0.74999999999999989</v>
      </c>
      <c r="CX30" s="481">
        <f t="shared" ca="1" si="24"/>
        <v>0.74999999999999989</v>
      </c>
      <c r="CY30" s="482">
        <f t="shared" ca="1" si="25"/>
        <v>0.74999999999999989</v>
      </c>
      <c r="CZ30" s="482">
        <f t="shared" si="26"/>
        <v>0</v>
      </c>
      <c r="DA30" s="482">
        <f t="shared" ca="1" si="27"/>
        <v>2.9999999999999996</v>
      </c>
      <c r="DB30" s="482">
        <f t="shared" ca="1" si="28"/>
        <v>0.74999999999999989</v>
      </c>
      <c r="DC30" s="481">
        <f t="shared" si="29"/>
        <v>0</v>
      </c>
      <c r="DD30" s="842">
        <f t="shared" si="57"/>
        <v>0</v>
      </c>
      <c r="DE30" s="439">
        <f t="shared" si="58"/>
        <v>0</v>
      </c>
      <c r="DF30" s="439">
        <f t="shared" si="59"/>
        <v>0</v>
      </c>
      <c r="DG30" s="480">
        <f t="shared" ca="1" si="30"/>
        <v>0.74999999999999989</v>
      </c>
      <c r="DH30" s="449">
        <f t="shared" si="60"/>
        <v>0</v>
      </c>
      <c r="DI30" s="449">
        <f>MIN(valkyrja_cap,Production!O30/valkyrja_bonus)</f>
        <v>1</v>
      </c>
      <c r="DJ30" s="842">
        <f>MIN(voodoo_magi_cap,Production!O30/voodoo_magi_bonus)</f>
        <v>0.83333333333333337</v>
      </c>
      <c r="DK30" s="842">
        <f>MIN(warlock_cap,Production!O30/warlock_bonus)</f>
        <v>1</v>
      </c>
      <c r="DL30" s="842">
        <f ca="1">MIN(nox_nightshade_cap,Construction!DF30/Construction!E30/nox_nightshade_swamp_bonus)</f>
        <v>1.4999999999999998</v>
      </c>
      <c r="DM30" s="481">
        <f t="shared" si="31"/>
        <v>0</v>
      </c>
      <c r="DN30" s="482">
        <f t="shared" ca="1" si="32"/>
        <v>1.4999999999999998</v>
      </c>
      <c r="DO30" s="482">
        <f t="shared" ca="1" si="33"/>
        <v>1.4999999999999998</v>
      </c>
      <c r="DP30" s="482">
        <f t="shared" si="34"/>
        <v>1</v>
      </c>
      <c r="DQ30" s="481">
        <f t="shared" si="35"/>
        <v>0</v>
      </c>
      <c r="DR30" s="482">
        <f t="shared" si="36"/>
        <v>0</v>
      </c>
      <c r="DS30" s="481">
        <f t="shared" si="37"/>
        <v>0</v>
      </c>
      <c r="DT30" s="482">
        <f t="shared" si="61"/>
        <v>0</v>
      </c>
      <c r="DX30" s="486">
        <f ca="1">MIN(6,CV30+Races!$F$19)*1.8 +  IF(CV30+Races!$F$19&gt;6,(CV30+Races!$F$19-6)*0.2,0) - Races!$N$19</f>
        <v>1.3500000000000005</v>
      </c>
      <c r="DY30" s="487">
        <f ca="1">1.8 * MIN(MAX(CW30+Races!$E$20,CX30+Races!$F$20),6)  +  0.45 * MIN(MIN(CW30+Races!$E$20,CX30+Races!$F$20),6)  +  0.2 * ( MAX(CW30+Races!$E$20-6,0) + MAX(CX30+Races!$F$20-6,0) )  -  Races!$N$20</f>
        <v>1.6874999999999991</v>
      </c>
      <c r="DZ30" s="57">
        <f t="shared" ca="1" si="38"/>
        <v>0</v>
      </c>
      <c r="EA30" s="663">
        <f ca="1">MIN(6,CY30+Races!$F$35)*1.8 +  IF(CY30+Races!$F$35&gt;6,(CY30+Races!$F$35-6)*0.2,0) - Races!$N$19</f>
        <v>-0.45000000000000018</v>
      </c>
      <c r="EB30" s="57">
        <f t="shared" ca="1" si="39"/>
        <v>0</v>
      </c>
      <c r="EC30" s="663">
        <f ca="1">1.8 * MIN(MAX(Races!$E$27,DB30+Races!$F$27),6)  +  0.45 * MIN(MIN(Races!$E$27,DB30+Races!$F$27),6)  +  0.2 * ( MAX(Races!$E$27-6,0) + MAX(DB30+Races!$F$27-6,0) )  -  Races!$N$20</f>
        <v>3.6000000000000005</v>
      </c>
      <c r="ED30" s="57">
        <f t="shared" ca="1" si="40"/>
        <v>0</v>
      </c>
      <c r="EE30" s="663">
        <f>1.8 * MIN(MAX(DC30+Races!$E$47,DD30+Races!$F$47),6)  +  0.45 * MIN(MIN(DC30+Races!$E$47,DD30+Races!$F$47),6)  +  0.2 * ( MAX(DC30+Races!$E$47-6,0) + MAX(DD30+Races!$F$47-6,0) )  -  Races!$N$47</f>
        <v>0</v>
      </c>
      <c r="EF30" s="57">
        <f t="shared" si="41"/>
        <v>0</v>
      </c>
      <c r="EG30" s="663">
        <f ca="1">1.8 * MIN(MAX(DG30+Races!$F$71,Races!$E$71),6)  +  0.45 * MIN(MIN(DG30+Races!$F$71,Races!$E$71),6)  +  0.2 * ( MAX(DG30+Races!$F$71-6,0) + MAX(Races!$E$71-6,0) )  -  Races!$N$71</f>
        <v>1.3499999999999996</v>
      </c>
      <c r="EH30" s="663">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4">
        <f>(J30+2*K30)/Construction!E30</f>
        <v>0</v>
      </c>
      <c r="EP30" s="730">
        <f ca="1">EO30*(1+race_wizard_strength+tech_magical_weaponry_wiz*Techs!AV102)</f>
        <v>0</v>
      </c>
      <c r="EQ30" s="16">
        <f>(I30+halfer*H30/3)/Construction!E30</f>
        <v>0</v>
      </c>
    </row>
    <row r="31" spans="1:147" s="1203" customFormat="1" ht="14.4" thickTop="1" thickBot="1" x14ac:dyDescent="0.3">
      <c r="A31" s="1228">
        <f>Rezone!J31</f>
        <v>29</v>
      </c>
      <c r="B31" s="1192">
        <f ca="1">SUM(E31:K31)+SUM(AF23:AG31)+SUM(AH20:AL31)+Z31+Explore!AL31</f>
        <v>5295</v>
      </c>
      <c r="C31" s="1229">
        <f ca="1">Population!G31</f>
        <v>0.68272466156276779</v>
      </c>
      <c r="E31" s="1199">
        <f t="shared" si="66"/>
        <v>0</v>
      </c>
      <c r="F31" s="1203">
        <f t="shared" si="67"/>
        <v>0</v>
      </c>
      <c r="G31" s="1203">
        <f t="shared" si="68"/>
        <v>0</v>
      </c>
      <c r="H31" s="1203">
        <f t="shared" si="69"/>
        <v>0</v>
      </c>
      <c r="I31" s="1203">
        <f t="shared" si="70"/>
        <v>0</v>
      </c>
      <c r="J31" s="1203">
        <f t="shared" si="71"/>
        <v>0</v>
      </c>
      <c r="K31" s="1222">
        <f t="shared" si="72"/>
        <v>0</v>
      </c>
      <c r="M31" s="1230">
        <f ca="1">Production!G31</f>
        <v>20900</v>
      </c>
      <c r="O31" s="1231">
        <f t="shared" ca="1" si="0"/>
        <v>0</v>
      </c>
      <c r="P31" s="1208">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1232">
        <f t="shared" ca="1" si="46"/>
        <v>0</v>
      </c>
      <c r="R31" s="1231">
        <f ca="1">F31*(spec_dp+spirit*DR31)+G31*(elite1_dp+woodie*CV31+sylvan*CY31+gnome*DB31+dark_elf*DD31+icekin*DG31+orc*DJ31+nox*DL31+beast*DN31+sacred*DP31+spirit*DS31+blackorc*DK31)+H31*(elite2_dp+woodie*CX31+beast*DO31+sacred*DQ31) + fh_peas_dp*MIN(Population!C31,20*Construction!BD31)+kobold*DE31</f>
        <v>0</v>
      </c>
      <c r="S31" s="1232">
        <f t="shared" ca="1" si="1"/>
        <v>5295</v>
      </c>
      <c r="T31" s="1233">
        <f ca="1">race_defense+Imps!AC31+ROUND(MIN(gt_bonus*Construction!BH31/Construction!$E31,gt_bonus_cap),4)+MAX(IF(Magic!AM31&gt;0,frenzy_bonus,IF(Magic!AQ31&gt;0,blizzard_bonus,IF(Magic!AP31&gt;0,howling_dp_bonus,IF(Magic!AI31&gt;0,ares_call_bonus)))),IF(Magic!AX31&gt;0,MIN(Construction!DF31/Construction!E31,0.2),0))</f>
        <v>0</v>
      </c>
      <c r="U31" s="1234">
        <f t="shared" ca="1" si="47"/>
        <v>0</v>
      </c>
      <c r="V31" s="1235">
        <f t="shared" ca="1" si="48"/>
        <v>5295</v>
      </c>
      <c r="W31" s="1235">
        <f>Construction!E31</f>
        <v>1000</v>
      </c>
      <c r="X31" s="1236"/>
      <c r="Y31" s="1237">
        <f t="shared" si="76"/>
        <v>0.4</v>
      </c>
      <c r="Z31" s="1198">
        <f ca="1">Z30+Population!Z30 - IF(race="Lux",AF31,SUM(AF31:AK31)) - BE31 + SUM(BF31:BL31) - Explore!AI31</f>
        <v>5295</v>
      </c>
      <c r="AA31" s="1193"/>
      <c r="AB31" s="1220">
        <f>(Construction!$BA31+Construction!BY31)/(Construction!$E31-Explore!S31*20)</f>
        <v>0</v>
      </c>
      <c r="AC31" s="1518">
        <f ca="1">Imps!AE31</f>
        <v>0</v>
      </c>
      <c r="AD31" s="1239">
        <f>Rezone!J31</f>
        <v>29</v>
      </c>
      <c r="AE31" s="1191">
        <f>Explore!AA31</f>
        <v>43768.291666666599</v>
      </c>
      <c r="AF31" s="1217"/>
      <c r="AG31" s="1200"/>
      <c r="AH31" s="1200"/>
      <c r="AI31" s="1200"/>
      <c r="AJ31" s="1200"/>
      <c r="AK31" s="1200"/>
      <c r="AL31" s="1223"/>
      <c r="AN31" s="1192">
        <f ca="1">Production!$H31</f>
        <v>4611516</v>
      </c>
      <c r="AO31" s="1193">
        <f ca="1">Production!$L31</f>
        <v>300000</v>
      </c>
      <c r="AP31" s="1193">
        <f ca="1">Production!J31</f>
        <v>329244</v>
      </c>
      <c r="AQ31" s="1193">
        <f ca="1">Production!M31</f>
        <v>20000</v>
      </c>
      <c r="AR31" s="1193">
        <f ca="1">Production!K31</f>
        <v>38362</v>
      </c>
      <c r="AS31" s="1193">
        <f ca="1">Production!I31</f>
        <v>144468</v>
      </c>
      <c r="AT31" s="1193">
        <f ca="1">Production!N31</f>
        <v>200</v>
      </c>
      <c r="AU31" s="1192">
        <f t="shared" ca="1" si="2"/>
        <v>0</v>
      </c>
      <c r="AV31" s="1193">
        <f t="shared" ca="1" si="3"/>
        <v>0</v>
      </c>
      <c r="AW31" s="1193">
        <f t="shared" ca="1" si="50"/>
        <v>0</v>
      </c>
      <c r="AX31" s="1193">
        <f t="shared" ca="1" si="51"/>
        <v>0</v>
      </c>
      <c r="AY31" s="1193">
        <f t="shared" ca="1" si="52"/>
        <v>0</v>
      </c>
      <c r="AZ31" s="1193">
        <f t="shared" ca="1" si="53"/>
        <v>0</v>
      </c>
      <c r="BA31" s="1198">
        <f t="shared" ca="1" si="54"/>
        <v>0</v>
      </c>
      <c r="BB31" s="1203">
        <v>29</v>
      </c>
      <c r="BC31" s="1204">
        <f t="shared" si="73"/>
        <v>43768.291666666599</v>
      </c>
      <c r="BD31" s="1240">
        <f t="shared" ca="1" si="74"/>
        <v>5295</v>
      </c>
      <c r="BE31" s="1217"/>
      <c r="BF31" s="1200"/>
      <c r="BG31" s="1200"/>
      <c r="BH31" s="1200"/>
      <c r="BI31" s="1200"/>
      <c r="BJ31" s="1200"/>
      <c r="BK31" s="1200"/>
      <c r="BL31" s="1223"/>
      <c r="BN31" s="1241">
        <f>Construction!BM31/Construction!E31</f>
        <v>0</v>
      </c>
      <c r="BO31" s="1229">
        <f>Construction!BD31/Construction!E31</f>
        <v>0</v>
      </c>
      <c r="BP31" s="1192">
        <f ca="1">ROUNDUP((1-MIN(AB31*smithy_bonus,smithy_bonus_cap)-AC31)*(1+Techs!AO31*tech_master_of_frugality)*spec_op_plat,0)</f>
        <v>275</v>
      </c>
      <c r="BQ31" s="1193">
        <f ca="1">ROUNDUP(IF(OR(race="Gnome",race="Imperial Gnome"),1-AC31,(1-MIN(AB31*smithy_bonus,smithy_bonus_cap)-AC31)*(1+Techs!AO31*tech_master_of_frugality))*spec_op_ore,0)</f>
        <v>25</v>
      </c>
      <c r="BR31" s="1193">
        <f t="shared" si="6"/>
        <v>0</v>
      </c>
      <c r="BS31" s="1193">
        <f t="shared" si="7"/>
        <v>0</v>
      </c>
      <c r="BT31" s="1193">
        <f ca="1">ROUNDUP((1-MIN(AB31*smithy_bonus,smithy_bonus_cap)-AC31)*(1+Techs!AO31*tech_master_of_frugality)*spec_dp_plat,0)</f>
        <v>275</v>
      </c>
      <c r="BU31" s="1193">
        <f ca="1">ROUNDUP(IF(OR(race="Gnome",race="Imperial Gnome"),1-AC31,(1-MIN(AB31*smithy_bonus,smithy_bonus_cap)-AC31)*(1+Techs!AO31*tech_master_of_frugality))*spec_dp_ore,0)</f>
        <v>10</v>
      </c>
      <c r="BV31" s="1193">
        <f t="shared" ca="1" si="8"/>
        <v>0</v>
      </c>
      <c r="BW31" s="1193">
        <f t="shared" ca="1" si="9"/>
        <v>0</v>
      </c>
      <c r="BX31" s="1193">
        <f t="shared" ca="1" si="10"/>
        <v>0</v>
      </c>
      <c r="BY31" s="1193">
        <f ca="1">ROUNDUP((1-MIN(AB31*smithy_bonus,smithy_bonus_cap)-AC31)*(1+Techs!AO31*tech_master_of_frugality)*elite1_plat,0)</f>
        <v>1000</v>
      </c>
      <c r="BZ31" s="1193">
        <f ca="1">ROUNDUP(IF(OR(race="Gnome",race="Imperial Gnome"),1-AC31,(1-MIN(AB31*smithy_bonus,smithy_bonus_cap)-AC31)*(1+Techs!AO31*tech_master_of_frugality))*elite1_ore,0)</f>
        <v>75</v>
      </c>
      <c r="CA31" s="1193">
        <f t="shared" ca="1" si="55"/>
        <v>0</v>
      </c>
      <c r="CB31" s="1193">
        <f t="shared" ca="1" si="12"/>
        <v>0</v>
      </c>
      <c r="CC31" s="1193">
        <f t="shared" ca="1" si="13"/>
        <v>0</v>
      </c>
      <c r="CD31" s="1193">
        <f t="shared" ca="1" si="14"/>
        <v>0</v>
      </c>
      <c r="CE31" s="1193">
        <f t="shared" ca="1" si="15"/>
        <v>0</v>
      </c>
      <c r="CF31" s="1193">
        <f ca="1">ROUNDUP((1-MIN(AB31*smithy_bonus,smithy_bonus_cap)-AC31)*(1+Techs!AO31*tech_master_of_frugality)*elite2_plat,0)</f>
        <v>1250</v>
      </c>
      <c r="CG31" s="1193">
        <f ca="1">ROUNDUP(IF(OR(race="Gnome",race="Imperial Gnome"),1-AC31,(1-MIN(AB31*smithy_bonus,smithy_bonus_cap)-AC31)*(1+Techs!AO31*tech_master_of_frugality))*elite2_ore,0)</f>
        <v>100</v>
      </c>
      <c r="CH31" s="1193">
        <f t="shared" ca="1" si="56"/>
        <v>0</v>
      </c>
      <c r="CI31" s="1193">
        <f t="shared" ca="1" si="17"/>
        <v>0</v>
      </c>
      <c r="CJ31" s="1193">
        <f t="shared" ca="1" si="18"/>
        <v>0</v>
      </c>
      <c r="CK31" s="1193">
        <f t="shared" ca="1" si="19"/>
        <v>0</v>
      </c>
      <c r="CL31" s="1193">
        <f t="shared" ca="1" si="20"/>
        <v>0</v>
      </c>
      <c r="CM31" s="1193">
        <f>ROUNDUP((1+tech_spy_cost*Techs!AJ31)*spy_plat,0)</f>
        <v>500</v>
      </c>
      <c r="CN31" s="1193">
        <f>ROUNDUP((1+tech_wizard_cost*Techs!AM31-MIN(ROUND(wg_wiz_cost_bonus*BN31,4),wg_wiz_cost_cap))*wizard_plat,0)</f>
        <v>500</v>
      </c>
      <c r="CO31" s="1198">
        <f>ROUNDUP((1+tech_wizard_cost*Techs!AM31-MIN(ROUND(wg_wiz_cost_bonus*BN31,4),wg_wiz_cost_cap))*archmage_plat,0)</f>
        <v>1000</v>
      </c>
      <c r="CP31" s="1200"/>
      <c r="CQ31" s="1241">
        <f ca="1">Construction!DF31/Construction!E31</f>
        <v>0.15</v>
      </c>
      <c r="CR31" s="1208">
        <f t="shared" si="75"/>
        <v>0</v>
      </c>
      <c r="CS31" s="1208">
        <f>Construction!BK31/Construction!E31</f>
        <v>0.05</v>
      </c>
      <c r="CT31" s="1208">
        <f>Construction!BJ31/Construction!E31</f>
        <v>0</v>
      </c>
      <c r="CU31" s="1208">
        <f>Construction!AY31/Construction!E31</f>
        <v>0</v>
      </c>
      <c r="CV31" s="1242">
        <f t="shared" ca="1" si="22"/>
        <v>0.74999999999999989</v>
      </c>
      <c r="CW31" s="1243">
        <f t="shared" ca="1" si="23"/>
        <v>0.74999999999999989</v>
      </c>
      <c r="CX31" s="1243">
        <f t="shared" ca="1" si="24"/>
        <v>0.74999999999999989</v>
      </c>
      <c r="CY31" s="1244">
        <f t="shared" ca="1" si="25"/>
        <v>0.74999999999999989</v>
      </c>
      <c r="CZ31" s="1244">
        <f t="shared" si="26"/>
        <v>0</v>
      </c>
      <c r="DA31" s="1244">
        <f t="shared" ca="1" si="27"/>
        <v>2.9999999999999996</v>
      </c>
      <c r="DB31" s="1244">
        <f t="shared" ca="1" si="28"/>
        <v>0.74999999999999989</v>
      </c>
      <c r="DC31" s="1243">
        <f t="shared" si="29"/>
        <v>0</v>
      </c>
      <c r="DD31" s="1245">
        <f t="shared" si="57"/>
        <v>0</v>
      </c>
      <c r="DE31" s="1193">
        <f t="shared" si="58"/>
        <v>0</v>
      </c>
      <c r="DF31" s="1193">
        <f t="shared" si="59"/>
        <v>0</v>
      </c>
      <c r="DG31" s="1242">
        <f t="shared" ca="1" si="30"/>
        <v>0.74999999999999989</v>
      </c>
      <c r="DH31" s="1222">
        <f t="shared" si="60"/>
        <v>0</v>
      </c>
      <c r="DI31" s="1222">
        <f>MIN(valkyrja_cap,Production!O31/valkyrja_bonus)</f>
        <v>1</v>
      </c>
      <c r="DJ31" s="1245">
        <f>MIN(voodoo_magi_cap,Production!O31/voodoo_magi_bonus)</f>
        <v>0.83333333333333337</v>
      </c>
      <c r="DK31" s="1245">
        <f>MIN(warlock_cap,Production!O31/warlock_bonus)</f>
        <v>1</v>
      </c>
      <c r="DL31" s="1245">
        <f ca="1">MIN(nox_nightshade_cap,Construction!DF31/Construction!E31/nox_nightshade_swamp_bonus)</f>
        <v>1.4999999999999998</v>
      </c>
      <c r="DM31" s="1243">
        <f t="shared" si="31"/>
        <v>0</v>
      </c>
      <c r="DN31" s="1244">
        <f t="shared" ca="1" si="32"/>
        <v>1.4999999999999998</v>
      </c>
      <c r="DO31" s="1244">
        <f t="shared" ca="1" si="33"/>
        <v>1.4999999999999998</v>
      </c>
      <c r="DP31" s="1244">
        <f t="shared" si="34"/>
        <v>1</v>
      </c>
      <c r="DQ31" s="1243">
        <f t="shared" si="35"/>
        <v>0</v>
      </c>
      <c r="DR31" s="1244">
        <f t="shared" si="36"/>
        <v>0</v>
      </c>
      <c r="DS31" s="1243">
        <f t="shared" si="37"/>
        <v>0</v>
      </c>
      <c r="DT31" s="1244">
        <f t="shared" si="61"/>
        <v>0</v>
      </c>
      <c r="DX31" s="1242">
        <f ca="1">MIN(6,CV31+Races!$F$19)*1.8 +  IF(CV31+Races!$F$19&gt;6,(CV31+Races!$F$19-6)*0.2,0) - Races!$N$19</f>
        <v>1.3500000000000005</v>
      </c>
      <c r="DY31" s="1243">
        <f ca="1">1.8 * MIN(MAX(CW31+Races!$E$20,CX31+Races!$F$20),6)  +  0.45 * MIN(MIN(CW31+Races!$E$20,CX31+Races!$F$20),6)  +  0.2 * ( MAX(CW31+Races!$E$20-6,0) + MAX(CX31+Races!$F$20-6,0) )  -  Races!$N$20</f>
        <v>1.6874999999999991</v>
      </c>
      <c r="DZ31" s="1198">
        <f t="shared" ca="1" si="38"/>
        <v>0</v>
      </c>
      <c r="EA31" s="1246">
        <f ca="1">MIN(6,CY31+Races!$F$35)*1.8 +  IF(CY31+Races!$F$35&gt;6,(CY31+Races!$F$35-6)*0.2,0) - Races!$N$19</f>
        <v>-0.45000000000000018</v>
      </c>
      <c r="EB31" s="1198">
        <f t="shared" ca="1" si="39"/>
        <v>0</v>
      </c>
      <c r="EC31" s="1246">
        <f ca="1">1.8 * MIN(MAX(Races!$E$27,DB31+Races!$F$27),6)  +  0.45 * MIN(MIN(Races!$E$27,DB31+Races!$F$27),6)  +  0.2 * ( MAX(Races!$E$27-6,0) + MAX(DB31+Races!$F$27-6,0) )  -  Races!$N$20</f>
        <v>3.6000000000000005</v>
      </c>
      <c r="ED31" s="1198">
        <f t="shared" ca="1" si="40"/>
        <v>0</v>
      </c>
      <c r="EE31" s="1246">
        <f>1.8 * MIN(MAX(DC31+Races!$E$47,DD31+Races!$F$47),6)  +  0.45 * MIN(MIN(DC31+Races!$E$47,DD31+Races!$F$47),6)  +  0.2 * ( MAX(DC31+Races!$E$47-6,0) + MAX(DD31+Races!$F$47-6,0) )  -  Races!$N$47</f>
        <v>0</v>
      </c>
      <c r="EF31" s="1198">
        <f t="shared" si="41"/>
        <v>0</v>
      </c>
      <c r="EG31" s="1246">
        <f ca="1">1.8 * MIN(MAX(DG31+Races!$F$71,Races!$E$71),6)  +  0.45 * MIN(MIN(DG31+Races!$F$71,Races!$E$71),6)  +  0.2 * ( MAX(DG31+Races!$F$71-6,0) + MAX(Races!$E$71-6,0) )  -  Races!$N$71</f>
        <v>1.3499999999999996</v>
      </c>
      <c r="EH31" s="1246">
        <f>1.8 * MIN(MAX(DH31+Races!$E$71,Races!$F$71),6)  +  0.45 * MIN(MIN(DH31+Races!$E$71,Races!$F$71),6)  +  0.2 * ( MAX(DH31+Races!$E$71-6,0) + MAX(Races!$F$71-6,0) )  -  Races!$N$71</f>
        <v>0</v>
      </c>
      <c r="EI31" s="1198">
        <f t="shared" ca="1" si="42"/>
        <v>0</v>
      </c>
      <c r="EJ31" s="1198"/>
      <c r="EK31" s="1198"/>
      <c r="EL31" s="1198"/>
      <c r="EM31" s="1198">
        <f ca="1">Overview!$L$22*E31+Overview!$L$23*F31+Overview!$L$24*G31+Overview!$L$25*H31+Overview!$L$26*I31+Overview!$L$27*J31+Overview!$L$28*K31+Construction!E31*20+Construction!B31*5 + DZ31*$DV$4+EB31*$DV$5+ED31*$DV$6+EF31*$DV$7+EI31*$DV$9</f>
        <v>20900</v>
      </c>
      <c r="EO31" s="1247">
        <f>(J31+2*K31)/Construction!E31</f>
        <v>0</v>
      </c>
      <c r="EP31" s="1248">
        <f ca="1">EO31*(1+race_wizard_strength+tech_magical_weaponry_wiz*Techs!AV103)</f>
        <v>0</v>
      </c>
      <c r="EQ31" s="1203">
        <f>(I31+halfer*H31/3)/Construction!E31</f>
        <v>0</v>
      </c>
    </row>
    <row r="32" spans="1:147" s="16" customFormat="1" ht="13.8" thickTop="1" x14ac:dyDescent="0.25">
      <c r="A32" s="627">
        <f>Rezone!J32</f>
        <v>30</v>
      </c>
      <c r="B32" s="56">
        <f ca="1">SUM(E32:K32)+SUM(AF24:AG32)+SUM(AH21:AL32)+Z32+Explore!AL32</f>
        <v>5295</v>
      </c>
      <c r="C32" s="97">
        <f ca="1">Population!G32</f>
        <v>0.69372982989089971</v>
      </c>
      <c r="E32" s="52">
        <f t="shared" si="66"/>
        <v>0</v>
      </c>
      <c r="F32" s="16">
        <f t="shared" si="67"/>
        <v>0</v>
      </c>
      <c r="G32" s="16">
        <f t="shared" si="68"/>
        <v>0</v>
      </c>
      <c r="H32" s="16">
        <f t="shared" si="69"/>
        <v>0</v>
      </c>
      <c r="I32" s="16">
        <f t="shared" si="70"/>
        <v>0</v>
      </c>
      <c r="J32" s="16">
        <f t="shared" si="71"/>
        <v>0</v>
      </c>
      <c r="K32" s="53">
        <f t="shared" si="72"/>
        <v>0</v>
      </c>
      <c r="M32" s="64">
        <f ca="1">Production!G32</f>
        <v>20900</v>
      </c>
      <c r="O32" s="234">
        <f t="shared" ca="1" si="0"/>
        <v>0</v>
      </c>
      <c r="P32" s="454">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47">
        <f ca="1">race_defense+Imps!AC32+ROUND(MIN(gt_bonus*Construction!BH32/Construction!$E32,gt_bonus_cap),4)+MAX(IF(Magic!AM32&gt;0,frenzy_bonus,IF(Magic!AQ32&gt;0,blizzard_bonus,IF(Magic!AP32&gt;0,howling_dp_bonus,IF(Magic!AI32&gt;0,ares_call_bonus)))),IF(Magic!AX32&gt;0,MIN(Construction!DF32/Construction!E32,0.2),0))</f>
        <v>0</v>
      </c>
      <c r="U32" s="1041">
        <f t="shared" ca="1" si="47"/>
        <v>0</v>
      </c>
      <c r="V32" s="308">
        <f t="shared" ca="1" si="48"/>
        <v>5295</v>
      </c>
      <c r="W32" s="310">
        <f>Construction!E32</f>
        <v>1000</v>
      </c>
      <c r="X32" s="367"/>
      <c r="Y32" s="146">
        <f t="shared" si="76"/>
        <v>0.4</v>
      </c>
      <c r="Z32" s="166">
        <f ca="1">Z31+Population!Z31 - IF(race="Lux",AF32,SUM(AF32:AK32)) - BE32 + SUM(BF32:BL32) - Explore!AI32</f>
        <v>5295</v>
      </c>
      <c r="AA32" s="164"/>
      <c r="AB32" s="91">
        <f>(Construction!$BA32+Construction!BY32)/(Construction!$E32-Explore!S32*20)</f>
        <v>0</v>
      </c>
      <c r="AC32" s="1516">
        <f ca="1">Imps!AE32</f>
        <v>0</v>
      </c>
      <c r="AD32" s="795">
        <f>Rezone!J32</f>
        <v>30</v>
      </c>
      <c r="AE32" s="587">
        <f>Explore!AA32</f>
        <v>43768.302083333263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2">
        <f t="shared" si="73"/>
        <v>43768.302083333263</v>
      </c>
      <c r="BD32" s="148">
        <f t="shared" ca="1" si="74"/>
        <v>5295</v>
      </c>
      <c r="BE32" s="356"/>
      <c r="BF32" s="348"/>
      <c r="BG32" s="348"/>
      <c r="BH32" s="348"/>
      <c r="BI32" s="348"/>
      <c r="BJ32" s="348"/>
      <c r="BK32" s="348"/>
      <c r="BL32" s="357"/>
      <c r="BN32" s="501">
        <f>Construction!BM32/Construction!E32</f>
        <v>0</v>
      </c>
      <c r="BO32" s="171">
        <f>Construction!BD32/Construction!E32</f>
        <v>0</v>
      </c>
      <c r="BP32" s="152">
        <f ca="1">ROUNDUP((1-MIN(AB32*smithy_bonus,smithy_bonus_cap)-AC32)*(1+Techs!AO32*tech_master_of_frugality)*spec_op_plat,0)</f>
        <v>275</v>
      </c>
      <c r="BQ32" s="164">
        <f ca="1">ROUNDUP(IF(OR(race="Gnome",race="Imperial Gnome"),1-AC32,(1-MIN(AB32*smithy_bonus,smithy_bonus_cap)-AC32)*(1+Techs!AO32*tech_master_of_frugality))*spec_op_ore,0)</f>
        <v>25</v>
      </c>
      <c r="BR32" s="164">
        <f t="shared" si="6"/>
        <v>0</v>
      </c>
      <c r="BS32" s="164">
        <f t="shared" si="7"/>
        <v>0</v>
      </c>
      <c r="BT32" s="164">
        <f ca="1">ROUNDUP((1-MIN(AB32*smithy_bonus,smithy_bonus_cap)-AC32)*(1+Techs!AO32*tech_master_of_frugality)*spec_dp_plat,0)</f>
        <v>275</v>
      </c>
      <c r="BU32" s="164">
        <f ca="1">ROUNDUP(IF(OR(race="Gnome",race="Imperial Gnome"),1-AC32,(1-MIN(AB32*smithy_bonus,smithy_bonus_cap)-AC32)*(1+Techs!AO32*tech_master_of_frugality))*spec_dp_ore,0)</f>
        <v>10</v>
      </c>
      <c r="BV32" s="164">
        <f t="shared" ca="1" si="8"/>
        <v>0</v>
      </c>
      <c r="BW32" s="164">
        <f t="shared" ca="1" si="9"/>
        <v>0</v>
      </c>
      <c r="BX32" s="164">
        <f t="shared" ca="1" si="10"/>
        <v>0</v>
      </c>
      <c r="BY32" s="164">
        <f ca="1">ROUNDUP((1-MIN(AB32*smithy_bonus,smithy_bonus_cap)-AC32)*(1+Techs!AO32*tech_master_of_frugality)*elite1_plat,0)</f>
        <v>1000</v>
      </c>
      <c r="BZ32" s="164">
        <f ca="1">ROUNDUP(IF(OR(race="Gnome",race="Imperial Gnome"),1-AC32,(1-MIN(AB32*smithy_bonus,smithy_bonus_cap)-AC32)*(1+Techs!AO32*tech_master_of_frugality))*elite1_ore,0)</f>
        <v>75</v>
      </c>
      <c r="CA32" s="164">
        <f t="shared" ca="1" si="55"/>
        <v>0</v>
      </c>
      <c r="CB32" s="164">
        <f t="shared" ca="1" si="12"/>
        <v>0</v>
      </c>
      <c r="CC32" s="164">
        <f t="shared" ca="1" si="13"/>
        <v>0</v>
      </c>
      <c r="CD32" s="164">
        <f t="shared" ca="1" si="14"/>
        <v>0</v>
      </c>
      <c r="CE32" s="164">
        <f t="shared" ca="1" si="15"/>
        <v>0</v>
      </c>
      <c r="CF32" s="164">
        <f ca="1">ROUNDUP((1-MIN(AB32*smithy_bonus,smithy_bonus_cap)-AC32)*(1+Techs!AO32*tech_master_of_frugality)*elite2_plat,0)</f>
        <v>1250</v>
      </c>
      <c r="CG32" s="164">
        <f ca="1">ROUNDUP(IF(OR(race="Gnome",race="Imperial Gnome"),1-AC32,(1-MIN(AB32*smithy_bonus,smithy_bonus_cap)-AC32)*(1+Techs!AO32*tech_master_of_frugality))*elite2_ore,0)</f>
        <v>100</v>
      </c>
      <c r="CH32" s="164">
        <f t="shared" ca="1" si="5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4">
        <f ca="1">Construction!DF32/Construction!E32</f>
        <v>0.15</v>
      </c>
      <c r="CR32" s="465">
        <f t="shared" si="75"/>
        <v>0</v>
      </c>
      <c r="CS32" s="465">
        <f>Construction!BK32/Construction!E32</f>
        <v>0.05</v>
      </c>
      <c r="CT32" s="465">
        <f>Construction!BJ32/Construction!E32</f>
        <v>0</v>
      </c>
      <c r="CU32" s="465">
        <f>Construction!AY32/Construction!E32</f>
        <v>0</v>
      </c>
      <c r="CV32" s="480">
        <f t="shared" ca="1" si="22"/>
        <v>0.74999999999999989</v>
      </c>
      <c r="CW32" s="481">
        <f t="shared" ca="1" si="23"/>
        <v>0.74999999999999989</v>
      </c>
      <c r="CX32" s="481">
        <f t="shared" ca="1" si="24"/>
        <v>0.74999999999999989</v>
      </c>
      <c r="CY32" s="482">
        <f t="shared" ca="1" si="25"/>
        <v>0.74999999999999989</v>
      </c>
      <c r="CZ32" s="482">
        <f t="shared" si="26"/>
        <v>0</v>
      </c>
      <c r="DA32" s="482">
        <f t="shared" ca="1" si="27"/>
        <v>2.9999999999999996</v>
      </c>
      <c r="DB32" s="482">
        <f t="shared" ca="1" si="28"/>
        <v>0.74999999999999989</v>
      </c>
      <c r="DC32" s="481">
        <f t="shared" si="29"/>
        <v>0</v>
      </c>
      <c r="DD32" s="842">
        <f t="shared" si="57"/>
        <v>0</v>
      </c>
      <c r="DE32" s="439">
        <f t="shared" si="58"/>
        <v>0</v>
      </c>
      <c r="DF32" s="439">
        <f t="shared" si="59"/>
        <v>0</v>
      </c>
      <c r="DG32" s="480">
        <f t="shared" ca="1" si="30"/>
        <v>0.74999999999999989</v>
      </c>
      <c r="DH32" s="449">
        <f t="shared" si="60"/>
        <v>0</v>
      </c>
      <c r="DI32" s="449">
        <f>MIN(valkyrja_cap,Production!O32/valkyrja_bonus)</f>
        <v>1</v>
      </c>
      <c r="DJ32" s="842">
        <f>MIN(voodoo_magi_cap,Production!O32/voodoo_magi_bonus)</f>
        <v>0.83333333333333337</v>
      </c>
      <c r="DK32" s="842">
        <f>MIN(warlock_cap,Production!O32/warlock_bonus)</f>
        <v>1</v>
      </c>
      <c r="DL32" s="842">
        <f ca="1">MIN(nox_nightshade_cap,Construction!DF32/Construction!E32/nox_nightshade_swamp_bonus)</f>
        <v>1.4999999999999998</v>
      </c>
      <c r="DM32" s="481">
        <f t="shared" si="31"/>
        <v>0</v>
      </c>
      <c r="DN32" s="482">
        <f t="shared" ca="1" si="32"/>
        <v>1.4999999999999998</v>
      </c>
      <c r="DO32" s="482">
        <f t="shared" ca="1" si="33"/>
        <v>1.4999999999999998</v>
      </c>
      <c r="DP32" s="482">
        <f t="shared" si="34"/>
        <v>1</v>
      </c>
      <c r="DQ32" s="481">
        <f t="shared" si="35"/>
        <v>0</v>
      </c>
      <c r="DR32" s="482">
        <f t="shared" si="36"/>
        <v>0</v>
      </c>
      <c r="DS32" s="481">
        <f t="shared" si="37"/>
        <v>0</v>
      </c>
      <c r="DT32" s="482">
        <f t="shared" si="61"/>
        <v>0</v>
      </c>
      <c r="DX32" s="486">
        <f ca="1">MIN(6,CV32+Races!$F$19)*1.8 +  IF(CV32+Races!$F$19&gt;6,(CV32+Races!$F$19-6)*0.2,0) - Races!$N$19</f>
        <v>1.3500000000000005</v>
      </c>
      <c r="DY32" s="487">
        <f ca="1">1.8 * MIN(MAX(CW32+Races!$E$20,CX32+Races!$F$20),6)  +  0.45 * MIN(MIN(CW32+Races!$E$20,CX32+Races!$F$20),6)  +  0.2 * ( MAX(CW32+Races!$E$20-6,0) + MAX(CX32+Races!$F$20-6,0) )  -  Races!$N$20</f>
        <v>1.6874999999999991</v>
      </c>
      <c r="DZ32" s="57">
        <f t="shared" ca="1" si="38"/>
        <v>0</v>
      </c>
      <c r="EA32" s="663">
        <f ca="1">MIN(6,CY32+Races!$F$35)*1.8 +  IF(CY32+Races!$F$35&gt;6,(CY32+Races!$F$35-6)*0.2,0) - Races!$N$19</f>
        <v>-0.45000000000000018</v>
      </c>
      <c r="EB32" s="57">
        <f t="shared" ca="1" si="39"/>
        <v>0</v>
      </c>
      <c r="EC32" s="663">
        <f ca="1">1.8 * MIN(MAX(Races!$E$27,DB32+Races!$F$27),6)  +  0.45 * MIN(MIN(Races!$E$27,DB32+Races!$F$27),6)  +  0.2 * ( MAX(Races!$E$27-6,0) + MAX(DB32+Races!$F$27-6,0) )  -  Races!$N$20</f>
        <v>3.6000000000000005</v>
      </c>
      <c r="ED32" s="57">
        <f t="shared" ca="1" si="40"/>
        <v>0</v>
      </c>
      <c r="EE32" s="663">
        <f>1.8 * MIN(MAX(DC32+Races!$E$47,DD32+Races!$F$47),6)  +  0.45 * MIN(MIN(DC32+Races!$E$47,DD32+Races!$F$47),6)  +  0.2 * ( MAX(DC32+Races!$E$47-6,0) + MAX(DD32+Races!$F$47-6,0) )  -  Races!$N$47</f>
        <v>0</v>
      </c>
      <c r="EF32" s="57">
        <f t="shared" si="41"/>
        <v>0</v>
      </c>
      <c r="EG32" s="663">
        <f ca="1">1.8 * MIN(MAX(DG32+Races!$F$71,Races!$E$71),6)  +  0.45 * MIN(MIN(DG32+Races!$F$71,Races!$E$71),6)  +  0.2 * ( MAX(DG32+Races!$F$71-6,0) + MAX(Races!$E$71-6,0) )  -  Races!$N$71</f>
        <v>1.3499999999999996</v>
      </c>
      <c r="EH32" s="663">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4">
        <f>(J32+2*K32)/Construction!E32</f>
        <v>0</v>
      </c>
      <c r="EP32" s="730">
        <f ca="1">EO32*(1+race_wizard_strength+tech_magical_weaponry_wiz*Techs!AV104)</f>
        <v>0</v>
      </c>
      <c r="EQ32" s="16">
        <f>(I32+halfer*H32/3)/Construction!E32</f>
        <v>0</v>
      </c>
    </row>
    <row r="33" spans="1:147" s="16" customFormat="1" x14ac:dyDescent="0.25">
      <c r="A33" s="627">
        <f>Rezone!J33</f>
        <v>31</v>
      </c>
      <c r="B33" s="56">
        <f ca="1">SUM(E33:K33)+SUM(AF25:AG33)+SUM(AH22:AL33)+Z33+Explore!AL33</f>
        <v>5295</v>
      </c>
      <c r="C33" s="97">
        <f ca="1">Population!G33</f>
        <v>0.70451847962082337</v>
      </c>
      <c r="E33" s="52">
        <f t="shared" si="66"/>
        <v>0</v>
      </c>
      <c r="F33" s="16">
        <f t="shared" si="67"/>
        <v>0</v>
      </c>
      <c r="G33" s="16">
        <f t="shared" si="68"/>
        <v>0</v>
      </c>
      <c r="H33" s="16">
        <f t="shared" si="69"/>
        <v>0</v>
      </c>
      <c r="I33" s="16">
        <f t="shared" si="70"/>
        <v>0</v>
      </c>
      <c r="J33" s="16">
        <f t="shared" si="71"/>
        <v>0</v>
      </c>
      <c r="K33" s="53">
        <f t="shared" si="72"/>
        <v>0</v>
      </c>
      <c r="M33" s="64">
        <f ca="1">Production!G33</f>
        <v>20900</v>
      </c>
      <c r="O33" s="234">
        <f t="shared" ca="1" si="0"/>
        <v>0</v>
      </c>
      <c r="P33" s="454">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47">
        <f ca="1">race_defense+Imps!AC33+ROUND(MIN(gt_bonus*Construction!BH33/Construction!$E33,gt_bonus_cap),4)+MAX(IF(Magic!AM33&gt;0,frenzy_bonus,IF(Magic!AQ33&gt;0,blizzard_bonus,IF(Magic!AP33&gt;0,howling_dp_bonus,IF(Magic!AI33&gt;0,ares_call_bonus)))),IF(Magic!AX33&gt;0,MIN(Construction!DF33/Construction!E33,0.2),0))</f>
        <v>0</v>
      </c>
      <c r="U33" s="1041">
        <f t="shared" ca="1" si="47"/>
        <v>0</v>
      </c>
      <c r="V33" s="308">
        <f t="shared" ca="1" si="48"/>
        <v>5295</v>
      </c>
      <c r="W33" s="310">
        <f>Construction!E33</f>
        <v>1000</v>
      </c>
      <c r="X33" s="367"/>
      <c r="Y33" s="146">
        <f t="shared" si="76"/>
        <v>0.4</v>
      </c>
      <c r="Z33" s="166">
        <f ca="1">Z32+Population!Z32 - IF(race="Lux",AF33,SUM(AF33:AK33)) - BE33 + SUM(BF33:BL33) - Explore!AI33</f>
        <v>5295</v>
      </c>
      <c r="AA33" s="164"/>
      <c r="AB33" s="91">
        <f>(Construction!$BA33+Construction!BY33)/(Construction!$E33-Explore!S33*20)</f>
        <v>0</v>
      </c>
      <c r="AC33" s="1516">
        <f ca="1">Imps!AE33</f>
        <v>0</v>
      </c>
      <c r="AD33" s="795">
        <f>Rezone!J33</f>
        <v>31</v>
      </c>
      <c r="AE33" s="587">
        <f>Explore!AA33</f>
        <v>43768.312499999927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2">
        <f t="shared" si="73"/>
        <v>43768.312499999927</v>
      </c>
      <c r="BD33" s="148">
        <f t="shared" ca="1" si="74"/>
        <v>5295</v>
      </c>
      <c r="BE33" s="356"/>
      <c r="BF33" s="348"/>
      <c r="BG33" s="348"/>
      <c r="BH33" s="348"/>
      <c r="BI33" s="348"/>
      <c r="BJ33" s="348"/>
      <c r="BK33" s="348"/>
      <c r="BL33" s="357"/>
      <c r="BN33" s="501">
        <f>Construction!BM33/Construction!E33</f>
        <v>0</v>
      </c>
      <c r="BO33" s="171">
        <f>Construction!BD33/Construction!E33</f>
        <v>0</v>
      </c>
      <c r="BP33" s="152">
        <f ca="1">ROUNDUP((1-MIN(AB33*smithy_bonus,smithy_bonus_cap)-AC33)*(1+Techs!AO33*tech_master_of_frugality)*spec_op_plat,0)</f>
        <v>275</v>
      </c>
      <c r="BQ33" s="164">
        <f ca="1">ROUNDUP(IF(OR(race="Gnome",race="Imperial Gnome"),1-AC33,(1-MIN(AB33*smithy_bonus,smithy_bonus_cap)-AC33)*(1+Techs!AO33*tech_master_of_frugality))*spec_op_ore,0)</f>
        <v>25</v>
      </c>
      <c r="BR33" s="164">
        <f t="shared" si="6"/>
        <v>0</v>
      </c>
      <c r="BS33" s="164">
        <f t="shared" si="7"/>
        <v>0</v>
      </c>
      <c r="BT33" s="164">
        <f ca="1">ROUNDUP((1-MIN(AB33*smithy_bonus,smithy_bonus_cap)-AC33)*(1+Techs!AO33*tech_master_of_frugality)*spec_dp_plat,0)</f>
        <v>275</v>
      </c>
      <c r="BU33" s="164">
        <f ca="1">ROUNDUP(IF(OR(race="Gnome",race="Imperial Gnome"),1-AC33,(1-MIN(AB33*smithy_bonus,smithy_bonus_cap)-AC33)*(1+Techs!AO33*tech_master_of_frugality))*spec_dp_ore,0)</f>
        <v>10</v>
      </c>
      <c r="BV33" s="164">
        <f t="shared" ca="1" si="8"/>
        <v>0</v>
      </c>
      <c r="BW33" s="164">
        <f t="shared" ca="1" si="9"/>
        <v>0</v>
      </c>
      <c r="BX33" s="164">
        <f t="shared" ca="1" si="10"/>
        <v>0</v>
      </c>
      <c r="BY33" s="164">
        <f ca="1">ROUNDUP((1-MIN(AB33*smithy_bonus,smithy_bonus_cap)-AC33)*(1+Techs!AO33*tech_master_of_frugality)*elite1_plat,0)</f>
        <v>1000</v>
      </c>
      <c r="BZ33" s="164">
        <f ca="1">ROUNDUP(IF(OR(race="Gnome",race="Imperial Gnome"),1-AC33,(1-MIN(AB33*smithy_bonus,smithy_bonus_cap)-AC33)*(1+Techs!AO33*tech_master_of_frugality))*elite1_ore,0)</f>
        <v>75</v>
      </c>
      <c r="CA33" s="164">
        <f t="shared" ca="1" si="55"/>
        <v>0</v>
      </c>
      <c r="CB33" s="164">
        <f t="shared" ca="1" si="12"/>
        <v>0</v>
      </c>
      <c r="CC33" s="164">
        <f t="shared" ca="1" si="13"/>
        <v>0</v>
      </c>
      <c r="CD33" s="164">
        <f t="shared" ca="1" si="14"/>
        <v>0</v>
      </c>
      <c r="CE33" s="164">
        <f t="shared" ca="1" si="15"/>
        <v>0</v>
      </c>
      <c r="CF33" s="164">
        <f ca="1">ROUNDUP((1-MIN(AB33*smithy_bonus,smithy_bonus_cap)-AC33)*(1+Techs!AO33*tech_master_of_frugality)*elite2_plat,0)</f>
        <v>1250</v>
      </c>
      <c r="CG33" s="164">
        <f ca="1">ROUNDUP(IF(OR(race="Gnome",race="Imperial Gnome"),1-AC33,(1-MIN(AB33*smithy_bonus,smithy_bonus_cap)-AC33)*(1+Techs!AO33*tech_master_of_frugality))*elite2_ore,0)</f>
        <v>100</v>
      </c>
      <c r="CH33" s="164">
        <f t="shared" ca="1" si="5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4">
        <f ca="1">Construction!DF33/Construction!E33</f>
        <v>0.15</v>
      </c>
      <c r="CR33" s="465">
        <f t="shared" si="75"/>
        <v>0</v>
      </c>
      <c r="CS33" s="465">
        <f>Construction!BK33/Construction!E33</f>
        <v>0.05</v>
      </c>
      <c r="CT33" s="465">
        <f>Construction!BJ33/Construction!E33</f>
        <v>0</v>
      </c>
      <c r="CU33" s="465">
        <f>Construction!AY33/Construction!E33</f>
        <v>0</v>
      </c>
      <c r="CV33" s="480">
        <f t="shared" ca="1" si="22"/>
        <v>0.74999999999999989</v>
      </c>
      <c r="CW33" s="481">
        <f t="shared" ca="1" si="23"/>
        <v>0.74999999999999989</v>
      </c>
      <c r="CX33" s="481">
        <f t="shared" ca="1" si="24"/>
        <v>0.74999999999999989</v>
      </c>
      <c r="CY33" s="482">
        <f t="shared" ca="1" si="25"/>
        <v>0.74999999999999989</v>
      </c>
      <c r="CZ33" s="482">
        <f t="shared" si="26"/>
        <v>0</v>
      </c>
      <c r="DA33" s="482">
        <f t="shared" ca="1" si="27"/>
        <v>2.9999999999999996</v>
      </c>
      <c r="DB33" s="482">
        <f t="shared" ca="1" si="28"/>
        <v>0.74999999999999989</v>
      </c>
      <c r="DC33" s="481">
        <f t="shared" si="29"/>
        <v>0</v>
      </c>
      <c r="DD33" s="842">
        <f t="shared" si="57"/>
        <v>0</v>
      </c>
      <c r="DE33" s="439">
        <f t="shared" si="58"/>
        <v>0</v>
      </c>
      <c r="DF33" s="439">
        <f t="shared" si="59"/>
        <v>0</v>
      </c>
      <c r="DG33" s="480">
        <f t="shared" ca="1" si="30"/>
        <v>0.74999999999999989</v>
      </c>
      <c r="DH33" s="449">
        <f t="shared" si="60"/>
        <v>0</v>
      </c>
      <c r="DI33" s="449">
        <f>MIN(valkyrja_cap,Production!O33/valkyrja_bonus)</f>
        <v>1</v>
      </c>
      <c r="DJ33" s="842">
        <f>MIN(voodoo_magi_cap,Production!O33/voodoo_magi_bonus)</f>
        <v>0.83333333333333337</v>
      </c>
      <c r="DK33" s="842">
        <f>MIN(warlock_cap,Production!O33/warlock_bonus)</f>
        <v>1</v>
      </c>
      <c r="DL33" s="842">
        <f ca="1">MIN(nox_nightshade_cap,Construction!DF33/Construction!E33/nox_nightshade_swamp_bonus)</f>
        <v>1.4999999999999998</v>
      </c>
      <c r="DM33" s="481">
        <f t="shared" si="31"/>
        <v>0</v>
      </c>
      <c r="DN33" s="482">
        <f t="shared" ca="1" si="32"/>
        <v>1.4999999999999998</v>
      </c>
      <c r="DO33" s="482">
        <f t="shared" ca="1" si="33"/>
        <v>1.4999999999999998</v>
      </c>
      <c r="DP33" s="482">
        <f t="shared" si="34"/>
        <v>1</v>
      </c>
      <c r="DQ33" s="481">
        <f t="shared" si="35"/>
        <v>0</v>
      </c>
      <c r="DR33" s="482">
        <f t="shared" si="36"/>
        <v>0</v>
      </c>
      <c r="DS33" s="481">
        <f t="shared" si="37"/>
        <v>0</v>
      </c>
      <c r="DT33" s="482">
        <f t="shared" si="61"/>
        <v>0</v>
      </c>
      <c r="DX33" s="486">
        <f ca="1">MIN(6,CV33+Races!$F$19)*1.8 +  IF(CV33+Races!$F$19&gt;6,(CV33+Races!$F$19-6)*0.2,0) - Races!$N$19</f>
        <v>1.3500000000000005</v>
      </c>
      <c r="DY33" s="487">
        <f ca="1">1.8 * MIN(MAX(CW33+Races!$E$20,CX33+Races!$F$20),6)  +  0.45 * MIN(MIN(CW33+Races!$E$20,CX33+Races!$F$20),6)  +  0.2 * ( MAX(CW33+Races!$E$20-6,0) + MAX(CX33+Races!$F$20-6,0) )  -  Races!$N$20</f>
        <v>1.6874999999999991</v>
      </c>
      <c r="DZ33" s="57">
        <f t="shared" ca="1" si="38"/>
        <v>0</v>
      </c>
      <c r="EA33" s="663">
        <f ca="1">MIN(6,CY33+Races!$F$35)*1.8 +  IF(CY33+Races!$F$35&gt;6,(CY33+Races!$F$35-6)*0.2,0) - Races!$N$19</f>
        <v>-0.45000000000000018</v>
      </c>
      <c r="EB33" s="57">
        <f t="shared" ca="1" si="39"/>
        <v>0</v>
      </c>
      <c r="EC33" s="663">
        <f ca="1">1.8 * MIN(MAX(Races!$E$27,DB33+Races!$F$27),6)  +  0.45 * MIN(MIN(Races!$E$27,DB33+Races!$F$27),6)  +  0.2 * ( MAX(Races!$E$27-6,0) + MAX(DB33+Races!$F$27-6,0) )  -  Races!$N$20</f>
        <v>3.6000000000000005</v>
      </c>
      <c r="ED33" s="57">
        <f t="shared" ca="1" si="40"/>
        <v>0</v>
      </c>
      <c r="EE33" s="663">
        <f>1.8 * MIN(MAX(DC33+Races!$E$47,DD33+Races!$F$47),6)  +  0.45 * MIN(MIN(DC33+Races!$E$47,DD33+Races!$F$47),6)  +  0.2 * ( MAX(DC33+Races!$E$47-6,0) + MAX(DD33+Races!$F$47-6,0) )  -  Races!$N$47</f>
        <v>0</v>
      </c>
      <c r="EF33" s="57">
        <f t="shared" si="41"/>
        <v>0</v>
      </c>
      <c r="EG33" s="663">
        <f ca="1">1.8 * MIN(MAX(DG33+Races!$F$71,Races!$E$71),6)  +  0.45 * MIN(MIN(DG33+Races!$F$71,Races!$E$71),6)  +  0.2 * ( MAX(DG33+Races!$F$71-6,0) + MAX(Races!$E$71-6,0) )  -  Races!$N$71</f>
        <v>1.3499999999999996</v>
      </c>
      <c r="EH33" s="663">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4">
        <f>(J33+2*K33)/Construction!E33</f>
        <v>0</v>
      </c>
      <c r="EP33" s="730">
        <f ca="1">EO33*(1+race_wizard_strength+tech_magical_weaponry_wiz*Techs!AV105)</f>
        <v>0</v>
      </c>
      <c r="EQ33" s="16">
        <f>(I33+halfer*H33/3)/Construction!E33</f>
        <v>0</v>
      </c>
    </row>
    <row r="34" spans="1:147" s="16" customFormat="1" x14ac:dyDescent="0.25">
      <c r="A34" s="627">
        <f>Rezone!J34</f>
        <v>32</v>
      </c>
      <c r="B34" s="56">
        <f ca="1">SUM(E34:K34)+SUM(AF26:AG34)+SUM(AH23:AL34)+Z34+Explore!AL34</f>
        <v>5295</v>
      </c>
      <c r="C34" s="97">
        <f ca="1">Population!G34</f>
        <v>0.71508317277528377</v>
      </c>
      <c r="E34" s="52">
        <f t="shared" si="66"/>
        <v>0</v>
      </c>
      <c r="F34" s="16">
        <f t="shared" si="67"/>
        <v>0</v>
      </c>
      <c r="G34" s="16">
        <f t="shared" si="68"/>
        <v>0</v>
      </c>
      <c r="H34" s="16">
        <f t="shared" si="69"/>
        <v>0</v>
      </c>
      <c r="I34" s="16">
        <f t="shared" si="70"/>
        <v>0</v>
      </c>
      <c r="J34" s="16">
        <f t="shared" si="71"/>
        <v>0</v>
      </c>
      <c r="K34" s="53">
        <f t="shared" si="72"/>
        <v>0</v>
      </c>
      <c r="M34" s="64">
        <f ca="1">Production!G34</f>
        <v>20900</v>
      </c>
      <c r="O34" s="234">
        <f t="shared" ca="1" si="0"/>
        <v>0</v>
      </c>
      <c r="P34" s="454">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47">
        <f ca="1">race_defense+Imps!AC34+ROUND(MIN(gt_bonus*Construction!BH34/Construction!$E34,gt_bonus_cap),4)+MAX(IF(Magic!AM34&gt;0,frenzy_bonus,IF(Magic!AQ34&gt;0,blizzard_bonus,IF(Magic!AP34&gt;0,howling_dp_bonus,IF(Magic!AI34&gt;0,ares_call_bonus)))),IF(Magic!AX34&gt;0,MIN(Construction!DF34/Construction!E34,0.2),0))</f>
        <v>0</v>
      </c>
      <c r="U34" s="1041">
        <f t="shared" ca="1" si="47"/>
        <v>0</v>
      </c>
      <c r="V34" s="308">
        <f t="shared" ca="1" si="48"/>
        <v>5295</v>
      </c>
      <c r="W34" s="310">
        <f>Construction!E34</f>
        <v>1000</v>
      </c>
      <c r="X34" s="367"/>
      <c r="Y34" s="146">
        <f t="shared" si="76"/>
        <v>0.4</v>
      </c>
      <c r="Z34" s="166">
        <f ca="1">Z33+Population!Z33 - IF(race="Lux",AF34,SUM(AF34:AK34)) - BE34 + SUM(BF34:BL34) - Explore!AI34</f>
        <v>5295</v>
      </c>
      <c r="AA34" s="164"/>
      <c r="AB34" s="91">
        <f>(Construction!$BA34+Construction!BY34)/(Construction!$E34-Explore!S34*20)</f>
        <v>0</v>
      </c>
      <c r="AC34" s="1516">
        <f ca="1">Imps!AE34</f>
        <v>0</v>
      </c>
      <c r="AD34" s="795">
        <f>Rezone!J34</f>
        <v>32</v>
      </c>
      <c r="AE34" s="587">
        <f>Explore!AA34</f>
        <v>43768.322916666591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2">
        <f t="shared" si="73"/>
        <v>43768.322916666591</v>
      </c>
      <c r="BD34" s="148">
        <f t="shared" ca="1" si="74"/>
        <v>5295</v>
      </c>
      <c r="BE34" s="356"/>
      <c r="BF34" s="348"/>
      <c r="BG34" s="348"/>
      <c r="BH34" s="348"/>
      <c r="BI34" s="348"/>
      <c r="BJ34" s="348"/>
      <c r="BK34" s="348"/>
      <c r="BL34" s="357"/>
      <c r="BN34" s="501">
        <f>Construction!BM34/Construction!E34</f>
        <v>0</v>
      </c>
      <c r="BO34" s="171">
        <f>Construction!BD34/Construction!E34</f>
        <v>0</v>
      </c>
      <c r="BP34" s="152">
        <f ca="1">ROUNDUP((1-MIN(AB34*smithy_bonus,smithy_bonus_cap)-AC34)*(1+Techs!AO34*tech_master_of_frugality)*spec_op_plat,0)</f>
        <v>275</v>
      </c>
      <c r="BQ34" s="164">
        <f ca="1">ROUNDUP(IF(OR(race="Gnome",race="Imperial Gnome"),1-AC34,(1-MIN(AB34*smithy_bonus,smithy_bonus_cap)-AC34)*(1+Techs!AO34*tech_master_of_frugality))*spec_op_ore,0)</f>
        <v>25</v>
      </c>
      <c r="BR34" s="164">
        <f t="shared" si="6"/>
        <v>0</v>
      </c>
      <c r="BS34" s="164">
        <f t="shared" si="7"/>
        <v>0</v>
      </c>
      <c r="BT34" s="164">
        <f ca="1">ROUNDUP((1-MIN(AB34*smithy_bonus,smithy_bonus_cap)-AC34)*(1+Techs!AO34*tech_master_of_frugality)*spec_dp_plat,0)</f>
        <v>275</v>
      </c>
      <c r="BU34" s="164">
        <f ca="1">ROUNDUP(IF(OR(race="Gnome",race="Imperial Gnome"),1-AC34,(1-MIN(AB34*smithy_bonus,smithy_bonus_cap)-AC34)*(1+Techs!AO34*tech_master_of_frugality))*spec_dp_ore,0)</f>
        <v>10</v>
      </c>
      <c r="BV34" s="164">
        <f t="shared" ca="1" si="8"/>
        <v>0</v>
      </c>
      <c r="BW34" s="164">
        <f t="shared" ca="1" si="9"/>
        <v>0</v>
      </c>
      <c r="BX34" s="164">
        <f t="shared" ca="1" si="10"/>
        <v>0</v>
      </c>
      <c r="BY34" s="164">
        <f ca="1">ROUNDUP((1-MIN(AB34*smithy_bonus,smithy_bonus_cap)-AC34)*(1+Techs!AO34*tech_master_of_frugality)*elite1_plat,0)</f>
        <v>1000</v>
      </c>
      <c r="BZ34" s="164">
        <f ca="1">ROUNDUP(IF(OR(race="Gnome",race="Imperial Gnome"),1-AC34,(1-MIN(AB34*smithy_bonus,smithy_bonus_cap)-AC34)*(1+Techs!AO34*tech_master_of_frugality))*elite1_ore,0)</f>
        <v>75</v>
      </c>
      <c r="CA34" s="164">
        <f t="shared" ca="1" si="55"/>
        <v>0</v>
      </c>
      <c r="CB34" s="164">
        <f t="shared" ca="1" si="12"/>
        <v>0</v>
      </c>
      <c r="CC34" s="164">
        <f t="shared" ca="1" si="13"/>
        <v>0</v>
      </c>
      <c r="CD34" s="164">
        <f t="shared" ca="1" si="14"/>
        <v>0</v>
      </c>
      <c r="CE34" s="164">
        <f t="shared" ca="1" si="15"/>
        <v>0</v>
      </c>
      <c r="CF34" s="164">
        <f ca="1">ROUNDUP((1-MIN(AB34*smithy_bonus,smithy_bonus_cap)-AC34)*(1+Techs!AO34*tech_master_of_frugality)*elite2_plat,0)</f>
        <v>1250</v>
      </c>
      <c r="CG34" s="164">
        <f ca="1">ROUNDUP(IF(OR(race="Gnome",race="Imperial Gnome"),1-AC34,(1-MIN(AB34*smithy_bonus,smithy_bonus_cap)-AC34)*(1+Techs!AO34*tech_master_of_frugality))*elite2_ore,0)</f>
        <v>100</v>
      </c>
      <c r="CH34" s="164">
        <f t="shared" ca="1" si="5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4">
        <f ca="1">Construction!DF34/Construction!E34</f>
        <v>0.15</v>
      </c>
      <c r="CR34" s="465">
        <f t="shared" si="75"/>
        <v>0</v>
      </c>
      <c r="CS34" s="465">
        <f>Construction!BK34/Construction!E34</f>
        <v>0.05</v>
      </c>
      <c r="CT34" s="465">
        <f>Construction!BJ34/Construction!E34</f>
        <v>0</v>
      </c>
      <c r="CU34" s="465">
        <f>Construction!AY34/Construction!E34</f>
        <v>0</v>
      </c>
      <c r="CV34" s="480">
        <f t="shared" ca="1" si="22"/>
        <v>0.74999999999999989</v>
      </c>
      <c r="CW34" s="481">
        <f t="shared" ca="1" si="23"/>
        <v>0.74999999999999989</v>
      </c>
      <c r="CX34" s="481">
        <f t="shared" ca="1" si="24"/>
        <v>0.74999999999999989</v>
      </c>
      <c r="CY34" s="482">
        <f t="shared" ca="1" si="25"/>
        <v>0.74999999999999989</v>
      </c>
      <c r="CZ34" s="482">
        <f t="shared" si="26"/>
        <v>0</v>
      </c>
      <c r="DA34" s="482">
        <f t="shared" ca="1" si="27"/>
        <v>2.9999999999999996</v>
      </c>
      <c r="DB34" s="482">
        <f t="shared" ca="1" si="28"/>
        <v>0.74999999999999989</v>
      </c>
      <c r="DC34" s="481">
        <f t="shared" si="29"/>
        <v>0</v>
      </c>
      <c r="DD34" s="842">
        <f t="shared" si="57"/>
        <v>0</v>
      </c>
      <c r="DE34" s="439">
        <f t="shared" si="58"/>
        <v>0</v>
      </c>
      <c r="DF34" s="439">
        <f t="shared" si="59"/>
        <v>0</v>
      </c>
      <c r="DG34" s="480">
        <f t="shared" ca="1" si="30"/>
        <v>0.74999999999999989</v>
      </c>
      <c r="DH34" s="449">
        <f t="shared" si="60"/>
        <v>0</v>
      </c>
      <c r="DI34" s="449">
        <f>MIN(valkyrja_cap,Production!O34/valkyrja_bonus)</f>
        <v>1</v>
      </c>
      <c r="DJ34" s="842">
        <f>MIN(voodoo_magi_cap,Production!O34/voodoo_magi_bonus)</f>
        <v>0.83333333333333337</v>
      </c>
      <c r="DK34" s="842">
        <f>MIN(warlock_cap,Production!O34/warlock_bonus)</f>
        <v>1</v>
      </c>
      <c r="DL34" s="842">
        <f ca="1">MIN(nox_nightshade_cap,Construction!DF34/Construction!E34/nox_nightshade_swamp_bonus)</f>
        <v>1.4999999999999998</v>
      </c>
      <c r="DM34" s="481">
        <f t="shared" si="31"/>
        <v>0</v>
      </c>
      <c r="DN34" s="482">
        <f t="shared" ca="1" si="32"/>
        <v>1.4999999999999998</v>
      </c>
      <c r="DO34" s="482">
        <f t="shared" ca="1" si="33"/>
        <v>1.4999999999999998</v>
      </c>
      <c r="DP34" s="482">
        <f t="shared" si="34"/>
        <v>1</v>
      </c>
      <c r="DQ34" s="481">
        <f t="shared" si="35"/>
        <v>0</v>
      </c>
      <c r="DR34" s="482">
        <f t="shared" si="36"/>
        <v>0</v>
      </c>
      <c r="DS34" s="481">
        <f t="shared" si="37"/>
        <v>0</v>
      </c>
      <c r="DT34" s="482">
        <f t="shared" si="61"/>
        <v>0</v>
      </c>
      <c r="DX34" s="486">
        <f ca="1">MIN(6,CV34+Races!$F$19)*1.8 +  IF(CV34+Races!$F$19&gt;6,(CV34+Races!$F$19-6)*0.2,0) - Races!$N$19</f>
        <v>1.3500000000000005</v>
      </c>
      <c r="DY34" s="487">
        <f ca="1">1.8 * MIN(MAX(CW34+Races!$E$20,CX34+Races!$F$20),6)  +  0.45 * MIN(MIN(CW34+Races!$E$20,CX34+Races!$F$20),6)  +  0.2 * ( MAX(CW34+Races!$E$20-6,0) + MAX(CX34+Races!$F$20-6,0) )  -  Races!$N$20</f>
        <v>1.6874999999999991</v>
      </c>
      <c r="DZ34" s="57">
        <f t="shared" ca="1" si="38"/>
        <v>0</v>
      </c>
      <c r="EA34" s="663">
        <f ca="1">MIN(6,CY34+Races!$F$35)*1.8 +  IF(CY34+Races!$F$35&gt;6,(CY34+Races!$F$35-6)*0.2,0) - Races!$N$19</f>
        <v>-0.45000000000000018</v>
      </c>
      <c r="EB34" s="57">
        <f t="shared" ca="1" si="39"/>
        <v>0</v>
      </c>
      <c r="EC34" s="663">
        <f ca="1">1.8 * MIN(MAX(Races!$E$27,DB34+Races!$F$27),6)  +  0.45 * MIN(MIN(Races!$E$27,DB34+Races!$F$27),6)  +  0.2 * ( MAX(Races!$E$27-6,0) + MAX(DB34+Races!$F$27-6,0) )  -  Races!$N$20</f>
        <v>3.6000000000000005</v>
      </c>
      <c r="ED34" s="57">
        <f t="shared" ca="1" si="40"/>
        <v>0</v>
      </c>
      <c r="EE34" s="663">
        <f>1.8 * MIN(MAX(DC34+Races!$E$47,DD34+Races!$F$47),6)  +  0.45 * MIN(MIN(DC34+Races!$E$47,DD34+Races!$F$47),6)  +  0.2 * ( MAX(DC34+Races!$E$47-6,0) + MAX(DD34+Races!$F$47-6,0) )  -  Races!$N$47</f>
        <v>0</v>
      </c>
      <c r="EF34" s="57">
        <f t="shared" si="41"/>
        <v>0</v>
      </c>
      <c r="EG34" s="663">
        <f ca="1">1.8 * MIN(MAX(DG34+Races!$F$71,Races!$E$71),6)  +  0.45 * MIN(MIN(DG34+Races!$F$71,Races!$E$71),6)  +  0.2 * ( MAX(DG34+Races!$F$71-6,0) + MAX(Races!$E$71-6,0) )  -  Races!$N$71</f>
        <v>1.3499999999999996</v>
      </c>
      <c r="EH34" s="663">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4">
        <f>(J34+2*K34)/Construction!E34</f>
        <v>0</v>
      </c>
      <c r="EP34" s="730">
        <f ca="1">EO34*(1+race_wizard_strength+tech_magical_weaponry_wiz*Techs!AV106)</f>
        <v>0</v>
      </c>
      <c r="EQ34" s="16">
        <f>(I34+halfer*H34/3)/Construction!E34</f>
        <v>0</v>
      </c>
    </row>
    <row r="35" spans="1:147" s="16" customFormat="1" x14ac:dyDescent="0.25">
      <c r="A35" s="627">
        <f>Rezone!J35</f>
        <v>33</v>
      </c>
      <c r="B35" s="56">
        <f ca="1">SUM(E35:K35)+SUM(AF27:AG35)+SUM(AH24:AL35)+Z35+Explore!AL35</f>
        <v>5295</v>
      </c>
      <c r="C35" s="97">
        <f ca="1">Population!G35</f>
        <v>0.72541735331124324</v>
      </c>
      <c r="E35" s="52">
        <f t="shared" si="66"/>
        <v>0</v>
      </c>
      <c r="F35" s="16">
        <f t="shared" si="67"/>
        <v>0</v>
      </c>
      <c r="G35" s="16">
        <f t="shared" si="68"/>
        <v>0</v>
      </c>
      <c r="H35" s="16">
        <f t="shared" si="69"/>
        <v>0</v>
      </c>
      <c r="I35" s="16">
        <f t="shared" si="70"/>
        <v>0</v>
      </c>
      <c r="J35" s="16">
        <f t="shared" si="71"/>
        <v>0</v>
      </c>
      <c r="K35" s="53">
        <f t="shared" si="72"/>
        <v>0</v>
      </c>
      <c r="M35" s="64">
        <f ca="1">Production!G35</f>
        <v>20900</v>
      </c>
      <c r="O35" s="234">
        <f t="shared" ref="O35:O66" ca="1" si="77">E35*(spec_op+spirit*DR35)+G35*(elite1_op+dark_elf*DC35+beast*DN35+sacred*DP35+spirit*DS35+halfer*CZ35+norse*DI35)+H35*(elite2_op+icekin*DH35+woodie*CW35+ants*DM35+beast*DO35+sacred*DQ35+undead*DT35+lizzie*DA35)+kobold*DF35</f>
        <v>0</v>
      </c>
      <c r="P35" s="454">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8">R35+Z35*IF(race="Ants",0.1,IF(race="Growth",0.01,1))</f>
        <v>5295</v>
      </c>
      <c r="T35" s="1047">
        <f ca="1">race_defense+Imps!AC35+ROUND(MIN(gt_bonus*Construction!BH35/Construction!$E35,gt_bonus_cap),4)+MAX(IF(Magic!AM35&gt;0,frenzy_bonus,IF(Magic!AQ35&gt;0,blizzard_bonus,IF(Magic!AP35&gt;0,howling_dp_bonus,IF(Magic!AI35&gt;0,ares_call_bonus)))),IF(Magic!AX35&gt;0,MIN(Construction!DF35/Construction!E35,0.2),0))</f>
        <v>0</v>
      </c>
      <c r="U35" s="1041">
        <f t="shared" ca="1" si="47"/>
        <v>0</v>
      </c>
      <c r="V35" s="308">
        <f t="shared" ca="1" si="48"/>
        <v>5295</v>
      </c>
      <c r="W35" s="310">
        <f>Construction!E35</f>
        <v>1000</v>
      </c>
      <c r="X35" s="367"/>
      <c r="Y35" s="146">
        <f t="shared" si="76"/>
        <v>0.4</v>
      </c>
      <c r="Z35" s="166">
        <f ca="1">Z34+Population!Z34 - IF(race="Lux",AF35,SUM(AF35:AK35)) - BE35 + SUM(BF35:BL35) - Explore!AI35</f>
        <v>5295</v>
      </c>
      <c r="AA35" s="164"/>
      <c r="AB35" s="91">
        <f>(Construction!$BA35+Construction!BY35)/(Construction!$E35-Explore!S35*20)</f>
        <v>0</v>
      </c>
      <c r="AC35" s="1516">
        <f ca="1">Imps!AE35</f>
        <v>0</v>
      </c>
      <c r="AD35" s="795">
        <f>Rezone!J35</f>
        <v>33</v>
      </c>
      <c r="AE35" s="587">
        <f>Explore!AA35</f>
        <v>43768.333333333256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9">$AF35*BP35+$AG35*BT35+$AH35*BY35+$AI35*CF35+AJ35*CM35+AK35*CN35+AL35*CO35</f>
        <v>0</v>
      </c>
      <c r="AV35" s="164">
        <f t="shared" ref="AV35:AV66" ca="1" si="80">$AF35*BQ35+$AG35*BU35+$AH35*BZ35+$AI35*CG35</f>
        <v>0</v>
      </c>
      <c r="AW35" s="164">
        <f t="shared" ca="1" si="50"/>
        <v>0</v>
      </c>
      <c r="AX35" s="164">
        <f t="shared" ca="1" si="51"/>
        <v>0</v>
      </c>
      <c r="AY35" s="164">
        <f t="shared" ca="1" si="52"/>
        <v>0</v>
      </c>
      <c r="AZ35" s="164">
        <f t="shared" ca="1" si="53"/>
        <v>0</v>
      </c>
      <c r="BA35" s="166">
        <f t="shared" ca="1" si="54"/>
        <v>0</v>
      </c>
      <c r="BB35" s="16">
        <v>33</v>
      </c>
      <c r="BC35" s="572">
        <f t="shared" si="73"/>
        <v>43768.333333333256</v>
      </c>
      <c r="BD35" s="148">
        <f t="shared" ca="1" si="74"/>
        <v>5295</v>
      </c>
      <c r="BE35" s="356"/>
      <c r="BF35" s="348"/>
      <c r="BG35" s="348"/>
      <c r="BH35" s="348"/>
      <c r="BI35" s="348"/>
      <c r="BJ35" s="348"/>
      <c r="BK35" s="348"/>
      <c r="BL35" s="357"/>
      <c r="BN35" s="501">
        <f>Construction!BM35/Construction!E35</f>
        <v>0</v>
      </c>
      <c r="BO35" s="171">
        <f>Construction!BD35/Construction!E35</f>
        <v>0</v>
      </c>
      <c r="BP35" s="152">
        <f ca="1">ROUNDUP((1-MIN(AB35*smithy_bonus,smithy_bonus_cap)-AC35)*(1+Techs!AO35*tech_master_of_frugality)*spec_op_plat,0)</f>
        <v>275</v>
      </c>
      <c r="BQ35" s="164">
        <f ca="1">ROUNDUP(IF(OR(race="Gnome",race="Imperial Gnome"),1-AC35,(1-MIN(AB35*smithy_bonus,smithy_bonus_cap)-AC35)*(1+Techs!AO35*tech_master_of_frugality))*spec_op_ore,0)</f>
        <v>25</v>
      </c>
      <c r="BR35" s="164">
        <f t="shared" si="6"/>
        <v>0</v>
      </c>
      <c r="BS35" s="164">
        <f t="shared" si="7"/>
        <v>0</v>
      </c>
      <c r="BT35" s="164">
        <f ca="1">ROUNDUP((1-MIN(AB35*smithy_bonus,smithy_bonus_cap)-AC35)*(1+Techs!AO35*tech_master_of_frugality)*spec_dp_plat,0)</f>
        <v>275</v>
      </c>
      <c r="BU35" s="164">
        <f ca="1">ROUNDUP(IF(OR(race="Gnome",race="Imperial Gnome"),1-AC35,(1-MIN(AB35*smithy_bonus,smithy_bonus_cap)-AC35)*(1+Techs!AO35*tech_master_of_frugality))*spec_dp_ore,0)</f>
        <v>10</v>
      </c>
      <c r="BV35" s="164">
        <f t="shared" ca="1" si="8"/>
        <v>0</v>
      </c>
      <c r="BW35" s="164">
        <f t="shared" ca="1" si="9"/>
        <v>0</v>
      </c>
      <c r="BX35" s="164">
        <f t="shared" ca="1" si="10"/>
        <v>0</v>
      </c>
      <c r="BY35" s="164">
        <f ca="1">ROUNDUP((1-MIN(AB35*smithy_bonus,smithy_bonus_cap)-AC35)*(1+Techs!AO35*tech_master_of_frugality)*elite1_plat,0)</f>
        <v>1000</v>
      </c>
      <c r="BZ35" s="164">
        <f ca="1">ROUNDUP(IF(OR(race="Gnome",race="Imperial Gnome"),1-AC35,(1-MIN(AB35*smithy_bonus,smithy_bonus_cap)-AC35)*(1+Techs!AO35*tech_master_of_frugality))*elite1_ore,0)</f>
        <v>75</v>
      </c>
      <c r="CA35" s="164">
        <f t="shared" ca="1" si="55"/>
        <v>0</v>
      </c>
      <c r="CB35" s="164">
        <f t="shared" ca="1" si="12"/>
        <v>0</v>
      </c>
      <c r="CC35" s="164">
        <f t="shared" ca="1" si="13"/>
        <v>0</v>
      </c>
      <c r="CD35" s="164">
        <f t="shared" ca="1" si="14"/>
        <v>0</v>
      </c>
      <c r="CE35" s="164">
        <f t="shared" ca="1" si="15"/>
        <v>0</v>
      </c>
      <c r="CF35" s="164">
        <f ca="1">ROUNDUP((1-MIN(AB35*smithy_bonus,smithy_bonus_cap)-AC35)*(1+Techs!AO35*tech_master_of_frugality)*elite2_plat,0)</f>
        <v>1250</v>
      </c>
      <c r="CG35" s="164">
        <f ca="1">ROUNDUP(IF(OR(race="Gnome",race="Imperial Gnome"),1-AC35,(1-MIN(AB35*smithy_bonus,smithy_bonus_cap)-AC35)*(1+Techs!AO35*tech_master_of_frugality))*elite2_ore,0)</f>
        <v>100</v>
      </c>
      <c r="CH35" s="164">
        <f t="shared" ca="1" si="56"/>
        <v>0</v>
      </c>
      <c r="CI35" s="164">
        <f t="shared" ca="1" si="17"/>
        <v>0</v>
      </c>
      <c r="CJ35" s="164">
        <f t="shared" ca="1" si="18"/>
        <v>0</v>
      </c>
      <c r="CK35" s="164">
        <f t="shared" ca="1" si="19"/>
        <v>0</v>
      </c>
      <c r="CL35" s="164">
        <f t="shared" ca="1" si="20"/>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4">
        <f ca="1">Construction!DF35/Construction!E35</f>
        <v>0.15</v>
      </c>
      <c r="CR35" s="465">
        <f t="shared" si="75"/>
        <v>0</v>
      </c>
      <c r="CS35" s="465">
        <f>Construction!BK35/Construction!E35</f>
        <v>0.05</v>
      </c>
      <c r="CT35" s="465">
        <f>Construction!BJ35/Construction!E35</f>
        <v>0</v>
      </c>
      <c r="CU35" s="465">
        <f>Construction!AY35/Construction!E35</f>
        <v>0</v>
      </c>
      <c r="CV35" s="480">
        <f t="shared" ref="CV35:CV66" ca="1" si="81">IF(mystic_cap="none",CQ35/mystic_bonus,MIN(mystic_cap,CQ35/mystic_bonus))</f>
        <v>0.74999999999999989</v>
      </c>
      <c r="CW35" s="481">
        <f t="shared" ref="CW35:CW66" ca="1" si="82">IF(druid_op_cap="none",CQ35/druid_op_bonus,MIN(druid_op_cap,CQ35/druid_op_bonus))</f>
        <v>0.74999999999999989</v>
      </c>
      <c r="CX35" s="481">
        <f t="shared" ref="CX35:CX66" ca="1" si="83">IF(druid_dp_cap="none",CQ35/druid_dp_bonus,MIN(druid_dp_cap,CQ35/druid_dp_bonus))</f>
        <v>0.74999999999999989</v>
      </c>
      <c r="CY35" s="482">
        <f t="shared" ref="CY35:CY66" ca="1" si="84">MIN(dryad_cap,CQ35/dryad_bonus)</f>
        <v>0.74999999999999989</v>
      </c>
      <c r="CZ35" s="482">
        <f t="shared" ref="CZ35:CZ66" si="85">MIN(staff_cap,EQ35*staff_bonus)</f>
        <v>0</v>
      </c>
      <c r="DA35" s="482">
        <f t="shared" ref="DA35:DA66" ca="1" si="86">MIN(lizardman_cap,CQ35/lizardman_bonus)</f>
        <v>2.9999999999999996</v>
      </c>
      <c r="DB35" s="482">
        <f t="shared" ref="DB35:DB66" ca="1" si="87">MIN(rocka_cap,CQ35/rocka_bonus)</f>
        <v>0.74999999999999989</v>
      </c>
      <c r="DC35" s="481">
        <f t="shared" ref="DC35:DC66" si="88">MIN(adept_op_cap,CR35/adept_op_bonus)</f>
        <v>0</v>
      </c>
      <c r="DD35" s="842">
        <f t="shared" ref="DD35:DD66" si="89">MIN(adept_dp_cap,CR35/adept_dp_bonus)</f>
        <v>0</v>
      </c>
      <c r="DE35" s="439">
        <f t="shared" si="58"/>
        <v>0</v>
      </c>
      <c r="DF35" s="439">
        <f t="shared" si="59"/>
        <v>0</v>
      </c>
      <c r="DG35" s="480">
        <f t="shared" ref="DG35:DG66" ca="1" si="90">MIN(frost_mage_cap,CQ35/frost_mage_bonus)</f>
        <v>0.74999999999999989</v>
      </c>
      <c r="DH35" s="449">
        <f t="shared" ref="DH35:DH66" si="91">MIN(ice_elem_cap,EO35*ice_elem_bonus)</f>
        <v>0</v>
      </c>
      <c r="DI35" s="449">
        <f>MIN(valkyrja_cap,Production!O35/valkyrja_bonus)</f>
        <v>1</v>
      </c>
      <c r="DJ35" s="842">
        <f>MIN(voodoo_magi_cap,Production!O35/voodoo_magi_bonus)</f>
        <v>0.83333333333333337</v>
      </c>
      <c r="DK35" s="842">
        <f>MIN(warlock_cap,Production!O35/warlock_bonus)</f>
        <v>1</v>
      </c>
      <c r="DL35" s="842">
        <f ca="1">MIN(nox_nightshade_cap,Construction!DF35/Construction!E35/nox_nightshade_swamp_bonus)</f>
        <v>1.4999999999999998</v>
      </c>
      <c r="DM35" s="481">
        <f t="shared" ref="DM35:DM66" si="92">MIN(flying_ant_cap,BO35/flying_ant_bonus)</f>
        <v>0</v>
      </c>
      <c r="DN35" s="482">
        <f t="shared" ref="DN35:DN66" ca="1" si="93">MIN(goat_witch_cap,CQ35/goat_witch_bonus)</f>
        <v>1.4999999999999998</v>
      </c>
      <c r="DO35" s="482">
        <f t="shared" ref="DO35:DO66" ca="1" si="94">MIN(minotaur_cap,CQ35/minotaur_bonus)</f>
        <v>1.4999999999999998</v>
      </c>
      <c r="DP35" s="482">
        <f t="shared" ref="DP35:DP66" si="95">MIN(fanatic_cap,CS35/fanatic_bonus)</f>
        <v>1</v>
      </c>
      <c r="DQ35" s="481">
        <f t="shared" ref="DQ35:DQ66" si="96">MIN(holy_warrior_cap,CT35/holy_warrior_bonus)</f>
        <v>0</v>
      </c>
      <c r="DR35" s="482">
        <f t="shared" ref="DR35:DR66" si="97">MIN(banshee_cap,CU35/banshee_bonus)</f>
        <v>0</v>
      </c>
      <c r="DS35" s="481">
        <f t="shared" ref="DS35:DS66" si="98">MIN(phantom_cap,CU35/phantom_bonus)</f>
        <v>0</v>
      </c>
      <c r="DT35" s="482">
        <f t="shared" ref="DT35:DT66" si="99">MIN(wraith_cap,EO35*wraith_bonus)</f>
        <v>0</v>
      </c>
      <c r="DX35" s="486">
        <f ca="1">MIN(6,CV35+Races!$F$19)*1.8 +  IF(CV35+Races!$F$19&gt;6,(CV35+Races!$F$19-6)*0.2,0) - Races!$N$19</f>
        <v>1.3500000000000005</v>
      </c>
      <c r="DY35" s="487">
        <f ca="1">1.8 * MIN(MAX(CW35+Races!$E$20,CX35+Races!$F$20),6)  +  0.45 * MIN(MIN(CW35+Races!$E$20,CX35+Races!$F$20),6)  +  0.2 * ( MAX(CW35+Races!$E$20-6,0) + MAX(CX35+Races!$F$20-6,0) )  -  Races!$N$20</f>
        <v>1.6874999999999991</v>
      </c>
      <c r="DZ35" s="57">
        <f t="shared" ref="DZ35:DZ66" ca="1" si="100">DX35*G35+DY35*H35</f>
        <v>0</v>
      </c>
      <c r="EA35" s="663">
        <f ca="1">MIN(6,CY35+Races!$F$35)*1.8 +  IF(CY35+Races!$F$35&gt;6,(CY35+Races!$F$35-6)*0.2,0) - Races!$N$19</f>
        <v>-0.45000000000000018</v>
      </c>
      <c r="EB35" s="57">
        <f t="shared" ref="EB35:EB66" ca="1" si="101">$DV$5*(DX35*G35)</f>
        <v>0</v>
      </c>
      <c r="EC35" s="663">
        <f ca="1">1.8 * MIN(MAX(Races!$E$27,DB35+Races!$F$27),6)  +  0.45 * MIN(MIN(Races!$E$27,DB35+Races!$F$27),6)  +  0.2 * ( MAX(Races!$E$27-6,0) + MAX(DB35+Races!$F$27-6,0) )  -  Races!$N$20</f>
        <v>3.6000000000000005</v>
      </c>
      <c r="ED35" s="57">
        <f t="shared" ref="ED35:ED66" ca="1" si="102">$DV$6*(EC35*G35)</f>
        <v>0</v>
      </c>
      <c r="EE35" s="663">
        <f>1.8 * MIN(MAX(DC35+Races!$E$47,DD35+Races!$F$47),6)  +  0.45 * MIN(MIN(DC35+Races!$E$47,DD35+Races!$F$47),6)  +  0.2 * ( MAX(DC35+Races!$E$47-6,0) + MAX(DD35+Races!$F$47-6,0) )  -  Races!$N$47</f>
        <v>0</v>
      </c>
      <c r="EF35" s="57">
        <f t="shared" ref="EF35:EF66" si="103">$DV$7*(EE35*G35)</f>
        <v>0</v>
      </c>
      <c r="EG35" s="663">
        <f ca="1">1.8 * MIN(MAX(DG35+Races!$F$71,Races!$E$71),6)  +  0.45 * MIN(MIN(DG35+Races!$F$71,Races!$E$71),6)  +  0.2 * ( MAX(DG35+Races!$F$71-6,0) + MAX(Races!$E$71-6,0) )  -  Races!$N$71</f>
        <v>1.3499999999999996</v>
      </c>
      <c r="EH35" s="663">
        <f>1.8 * MIN(MAX(DH35+Races!$E$71,Races!$F$71),6)  +  0.45 * MIN(MIN(DH35+Races!$E$71,Races!$F$71),6)  +  0.2 * ( MAX(DH35+Races!$E$71-6,0) + MAX(Races!$F$71-6,0) )  -  Races!$N$71</f>
        <v>0</v>
      </c>
      <c r="EI35" s="57">
        <f t="shared" ref="EI35:EI66" ca="1" si="104">EG35*G35+EH35*H35</f>
        <v>0</v>
      </c>
      <c r="EJ35" s="57"/>
      <c r="EK35" s="57"/>
      <c r="EL35" s="57"/>
      <c r="EM35" s="57">
        <f ca="1">Overview!$L$22*E35+Overview!$L$23*F35+Overview!$L$24*G35+Overview!$L$25*H35+Overview!$L$26*I35+Overview!$L$27*J35+Overview!$L$28*K35+Construction!E35*20+Construction!B35*5 + DZ35*$DV$4+EB35*$DV$5+ED35*$DV$6+EF35*$DV$7+EI35*$DV$9</f>
        <v>20900</v>
      </c>
      <c r="EO35" s="734">
        <f>(J35+2*K35)/Construction!E35</f>
        <v>0</v>
      </c>
      <c r="EP35" s="730">
        <f ca="1">EO35*(1+race_wizard_strength+tech_magical_weaponry_wiz*Techs!AV107)</f>
        <v>0</v>
      </c>
      <c r="EQ35" s="16">
        <f>(I35+halfer*H35/3)/Construction!E35</f>
        <v>0</v>
      </c>
    </row>
    <row r="36" spans="1:147" s="16" customFormat="1" x14ac:dyDescent="0.25">
      <c r="A36" s="627">
        <f>Rezone!J36</f>
        <v>34</v>
      </c>
      <c r="B36" s="56">
        <f ca="1">SUM(E36:K36)+SUM(AF28:AG36)+SUM(AH25:AL36)+Z36+Explore!AL36</f>
        <v>5295</v>
      </c>
      <c r="C36" s="97">
        <f ca="1">Population!G36</f>
        <v>0.7355153407585262</v>
      </c>
      <c r="E36" s="52">
        <f t="shared" si="66"/>
        <v>0</v>
      </c>
      <c r="F36" s="16">
        <f t="shared" si="67"/>
        <v>0</v>
      </c>
      <c r="G36" s="16">
        <f t="shared" si="68"/>
        <v>0</v>
      </c>
      <c r="H36" s="16">
        <f t="shared" si="69"/>
        <v>0</v>
      </c>
      <c r="I36" s="16">
        <f t="shared" si="70"/>
        <v>0</v>
      </c>
      <c r="J36" s="16">
        <f t="shared" si="71"/>
        <v>0</v>
      </c>
      <c r="K36" s="53">
        <f t="shared" si="72"/>
        <v>0</v>
      </c>
      <c r="M36" s="64">
        <f ca="1">Production!G36</f>
        <v>20900</v>
      </c>
      <c r="O36" s="234">
        <f t="shared" ca="1" si="77"/>
        <v>0</v>
      </c>
      <c r="P36" s="454">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8"/>
        <v>5295</v>
      </c>
      <c r="T36" s="1047">
        <f ca="1">race_defense+Imps!AC36+ROUND(MIN(gt_bonus*Construction!BH36/Construction!$E36,gt_bonus_cap),4)+MAX(IF(Magic!AM36&gt;0,frenzy_bonus,IF(Magic!AQ36&gt;0,blizzard_bonus,IF(Magic!AP36&gt;0,howling_dp_bonus,IF(Magic!AI36&gt;0,ares_call_bonus)))),IF(Magic!AX36&gt;0,MIN(Construction!DF36/Construction!E36,0.2),0))</f>
        <v>0</v>
      </c>
      <c r="U36" s="1041">
        <f t="shared" ca="1" si="47"/>
        <v>0</v>
      </c>
      <c r="V36" s="308">
        <f t="shared" ca="1" si="48"/>
        <v>5295</v>
      </c>
      <c r="W36" s="310">
        <f>Construction!E36</f>
        <v>1000</v>
      </c>
      <c r="X36" s="367"/>
      <c r="Y36" s="146">
        <f t="shared" si="76"/>
        <v>0.4</v>
      </c>
      <c r="Z36" s="166">
        <f ca="1">Z35+Population!Z35 - IF(race="Lux",AF36,SUM(AF36:AK36)) - BE36 + SUM(BF36:BL36) - Explore!AI36</f>
        <v>5295</v>
      </c>
      <c r="AA36" s="164"/>
      <c r="AB36" s="91">
        <f>(Construction!$BA36+Construction!BY36)/(Construction!$E36-Explore!S36*20)</f>
        <v>0</v>
      </c>
      <c r="AC36" s="1516">
        <f ca="1">Imps!AE36</f>
        <v>0</v>
      </c>
      <c r="AD36" s="795">
        <f>Rezone!J36</f>
        <v>34</v>
      </c>
      <c r="AE36" s="587">
        <f>Explore!AA36</f>
        <v>43768.34374999992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9"/>
        <v>0</v>
      </c>
      <c r="AV36" s="164">
        <f t="shared" ca="1" si="80"/>
        <v>0</v>
      </c>
      <c r="AW36" s="164">
        <f t="shared" ca="1" si="50"/>
        <v>0</v>
      </c>
      <c r="AX36" s="164">
        <f t="shared" ca="1" si="51"/>
        <v>0</v>
      </c>
      <c r="AY36" s="164">
        <f t="shared" ca="1" si="52"/>
        <v>0</v>
      </c>
      <c r="AZ36" s="164">
        <f t="shared" ca="1" si="53"/>
        <v>0</v>
      </c>
      <c r="BA36" s="166">
        <f t="shared" ca="1" si="54"/>
        <v>0</v>
      </c>
      <c r="BB36" s="16">
        <v>34</v>
      </c>
      <c r="BC36" s="572">
        <f t="shared" si="73"/>
        <v>43768.34374999992</v>
      </c>
      <c r="BD36" s="148">
        <f t="shared" ca="1" si="74"/>
        <v>5295</v>
      </c>
      <c r="BE36" s="356"/>
      <c r="BF36" s="348"/>
      <c r="BG36" s="348"/>
      <c r="BH36" s="348"/>
      <c r="BI36" s="348"/>
      <c r="BJ36" s="348"/>
      <c r="BK36" s="348"/>
      <c r="BL36" s="357"/>
      <c r="BN36" s="501">
        <f>Construction!BM36/Construction!E36</f>
        <v>0</v>
      </c>
      <c r="BO36" s="171">
        <f>Construction!BD36/Construction!E36</f>
        <v>0</v>
      </c>
      <c r="BP36" s="152">
        <f ca="1">ROUNDUP((1-MIN(AB36*smithy_bonus,smithy_bonus_cap)-AC36)*(1+Techs!AO36*tech_master_of_frugality)*spec_op_plat,0)</f>
        <v>275</v>
      </c>
      <c r="BQ36" s="164">
        <f ca="1">ROUNDUP(IF(OR(race="Gnome",race="Imperial Gnome"),1-AC36,(1-MIN(AB36*smithy_bonus,smithy_bonus_cap)-AC36)*(1+Techs!AO36*tech_master_of_frugality))*spec_op_ore,0)</f>
        <v>25</v>
      </c>
      <c r="BR36" s="164">
        <f t="shared" si="6"/>
        <v>0</v>
      </c>
      <c r="BS36" s="164">
        <f t="shared" si="7"/>
        <v>0</v>
      </c>
      <c r="BT36" s="164">
        <f ca="1">ROUNDUP((1-MIN(AB36*smithy_bonus,smithy_bonus_cap)-AC36)*(1+Techs!AO36*tech_master_of_frugality)*spec_dp_plat,0)</f>
        <v>275</v>
      </c>
      <c r="BU36" s="164">
        <f ca="1">ROUNDUP(IF(OR(race="Gnome",race="Imperial Gnome"),1-AC36,(1-MIN(AB36*smithy_bonus,smithy_bonus_cap)-AC36)*(1+Techs!AO36*tech_master_of_frugality))*spec_dp_ore,0)</f>
        <v>10</v>
      </c>
      <c r="BV36" s="164">
        <f t="shared" ca="1" si="8"/>
        <v>0</v>
      </c>
      <c r="BW36" s="164">
        <f t="shared" ca="1" si="9"/>
        <v>0</v>
      </c>
      <c r="BX36" s="164">
        <f t="shared" ca="1" si="10"/>
        <v>0</v>
      </c>
      <c r="BY36" s="164">
        <f ca="1">ROUNDUP((1-MIN(AB36*smithy_bonus,smithy_bonus_cap)-AC36)*(1+Techs!AO36*tech_master_of_frugality)*elite1_plat,0)</f>
        <v>1000</v>
      </c>
      <c r="BZ36" s="164">
        <f ca="1">ROUNDUP(IF(OR(race="Gnome",race="Imperial Gnome"),1-AC36,(1-MIN(AB36*smithy_bonus,smithy_bonus_cap)-AC36)*(1+Techs!AO36*tech_master_of_frugality))*elite1_ore,0)</f>
        <v>75</v>
      </c>
      <c r="CA36" s="164">
        <f t="shared" ca="1" si="55"/>
        <v>0</v>
      </c>
      <c r="CB36" s="164">
        <f t="shared" ca="1" si="12"/>
        <v>0</v>
      </c>
      <c r="CC36" s="164">
        <f t="shared" ca="1" si="13"/>
        <v>0</v>
      </c>
      <c r="CD36" s="164">
        <f t="shared" ca="1" si="14"/>
        <v>0</v>
      </c>
      <c r="CE36" s="164">
        <f t="shared" ca="1" si="15"/>
        <v>0</v>
      </c>
      <c r="CF36" s="164">
        <f ca="1">ROUNDUP((1-MIN(AB36*smithy_bonus,smithy_bonus_cap)-AC36)*(1+Techs!AO36*tech_master_of_frugality)*elite2_plat,0)</f>
        <v>1250</v>
      </c>
      <c r="CG36" s="164">
        <f ca="1">ROUNDUP(IF(OR(race="Gnome",race="Imperial Gnome"),1-AC36,(1-MIN(AB36*smithy_bonus,smithy_bonus_cap)-AC36)*(1+Techs!AO36*tech_master_of_frugality))*elite2_ore,0)</f>
        <v>100</v>
      </c>
      <c r="CH36" s="164">
        <f t="shared" ca="1" si="56"/>
        <v>0</v>
      </c>
      <c r="CI36" s="164">
        <f t="shared" ca="1" si="17"/>
        <v>0</v>
      </c>
      <c r="CJ36" s="164">
        <f t="shared" ca="1" si="18"/>
        <v>0</v>
      </c>
      <c r="CK36" s="164">
        <f t="shared" ca="1" si="19"/>
        <v>0</v>
      </c>
      <c r="CL36" s="164">
        <f t="shared" ca="1" si="20"/>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4">
        <f ca="1">Construction!DF36/Construction!E36</f>
        <v>0.15</v>
      </c>
      <c r="CR36" s="465">
        <f t="shared" si="75"/>
        <v>0</v>
      </c>
      <c r="CS36" s="465">
        <f>Construction!BK36/Construction!E36</f>
        <v>0.05</v>
      </c>
      <c r="CT36" s="465">
        <f>Construction!BJ36/Construction!E36</f>
        <v>0</v>
      </c>
      <c r="CU36" s="465">
        <f>Construction!AY36/Construction!E36</f>
        <v>0</v>
      </c>
      <c r="CV36" s="480">
        <f t="shared" ca="1" si="81"/>
        <v>0.74999999999999989</v>
      </c>
      <c r="CW36" s="481">
        <f t="shared" ca="1" si="82"/>
        <v>0.74999999999999989</v>
      </c>
      <c r="CX36" s="481">
        <f t="shared" ca="1" si="83"/>
        <v>0.74999999999999989</v>
      </c>
      <c r="CY36" s="482">
        <f t="shared" ca="1" si="84"/>
        <v>0.74999999999999989</v>
      </c>
      <c r="CZ36" s="482">
        <f t="shared" si="85"/>
        <v>0</v>
      </c>
      <c r="DA36" s="482">
        <f t="shared" ca="1" si="86"/>
        <v>2.9999999999999996</v>
      </c>
      <c r="DB36" s="482">
        <f t="shared" ca="1" si="87"/>
        <v>0.74999999999999989</v>
      </c>
      <c r="DC36" s="481">
        <f t="shared" si="88"/>
        <v>0</v>
      </c>
      <c r="DD36" s="842">
        <f t="shared" si="89"/>
        <v>0</v>
      </c>
      <c r="DE36" s="439">
        <f t="shared" si="58"/>
        <v>0</v>
      </c>
      <c r="DF36" s="439">
        <f t="shared" si="59"/>
        <v>0</v>
      </c>
      <c r="DG36" s="480">
        <f t="shared" ca="1" si="90"/>
        <v>0.74999999999999989</v>
      </c>
      <c r="DH36" s="449">
        <f t="shared" si="91"/>
        <v>0</v>
      </c>
      <c r="DI36" s="449">
        <f>MIN(valkyrja_cap,Production!O36/valkyrja_bonus)</f>
        <v>1</v>
      </c>
      <c r="DJ36" s="842">
        <f>MIN(voodoo_magi_cap,Production!O36/voodoo_magi_bonus)</f>
        <v>0.83333333333333337</v>
      </c>
      <c r="DK36" s="842">
        <f>MIN(warlock_cap,Production!O36/warlock_bonus)</f>
        <v>1</v>
      </c>
      <c r="DL36" s="842">
        <f ca="1">MIN(nox_nightshade_cap,Construction!DF36/Construction!E36/nox_nightshade_swamp_bonus)</f>
        <v>1.4999999999999998</v>
      </c>
      <c r="DM36" s="481">
        <f t="shared" si="92"/>
        <v>0</v>
      </c>
      <c r="DN36" s="482">
        <f t="shared" ca="1" si="93"/>
        <v>1.4999999999999998</v>
      </c>
      <c r="DO36" s="482">
        <f t="shared" ca="1" si="94"/>
        <v>1.4999999999999998</v>
      </c>
      <c r="DP36" s="482">
        <f t="shared" si="95"/>
        <v>1</v>
      </c>
      <c r="DQ36" s="481">
        <f t="shared" si="96"/>
        <v>0</v>
      </c>
      <c r="DR36" s="482">
        <f t="shared" si="97"/>
        <v>0</v>
      </c>
      <c r="DS36" s="481">
        <f t="shared" si="98"/>
        <v>0</v>
      </c>
      <c r="DT36" s="482">
        <f t="shared" si="99"/>
        <v>0</v>
      </c>
      <c r="DX36" s="486">
        <f ca="1">MIN(6,CV36+Races!$F$19)*1.8 +  IF(CV36+Races!$F$19&gt;6,(CV36+Races!$F$19-6)*0.2,0) - Races!$N$19</f>
        <v>1.3500000000000005</v>
      </c>
      <c r="DY36" s="487">
        <f ca="1">1.8 * MIN(MAX(CW36+Races!$E$20,CX36+Races!$F$20),6)  +  0.45 * MIN(MIN(CW36+Races!$E$20,CX36+Races!$F$20),6)  +  0.2 * ( MAX(CW36+Races!$E$20-6,0) + MAX(CX36+Races!$F$20-6,0) )  -  Races!$N$20</f>
        <v>1.6874999999999991</v>
      </c>
      <c r="DZ36" s="57">
        <f t="shared" ca="1" si="100"/>
        <v>0</v>
      </c>
      <c r="EA36" s="663">
        <f ca="1">MIN(6,CY36+Races!$F$35)*1.8 +  IF(CY36+Races!$F$35&gt;6,(CY36+Races!$F$35-6)*0.2,0) - Races!$N$19</f>
        <v>-0.45000000000000018</v>
      </c>
      <c r="EB36" s="57">
        <f t="shared" ca="1" si="101"/>
        <v>0</v>
      </c>
      <c r="EC36" s="663">
        <f ca="1">1.8 * MIN(MAX(Races!$E$27,DB36+Races!$F$27),6)  +  0.45 * MIN(MIN(Races!$E$27,DB36+Races!$F$27),6)  +  0.2 * ( MAX(Races!$E$27-6,0) + MAX(DB36+Races!$F$27-6,0) )  -  Races!$N$20</f>
        <v>3.6000000000000005</v>
      </c>
      <c r="ED36" s="57">
        <f t="shared" ca="1" si="102"/>
        <v>0</v>
      </c>
      <c r="EE36" s="663">
        <f>1.8 * MIN(MAX(DC36+Races!$E$47,DD36+Races!$F$47),6)  +  0.45 * MIN(MIN(DC36+Races!$E$47,DD36+Races!$F$47),6)  +  0.2 * ( MAX(DC36+Races!$E$47-6,0) + MAX(DD36+Races!$F$47-6,0) )  -  Races!$N$47</f>
        <v>0</v>
      </c>
      <c r="EF36" s="57">
        <f t="shared" si="103"/>
        <v>0</v>
      </c>
      <c r="EG36" s="663">
        <f ca="1">1.8 * MIN(MAX(DG36+Races!$F$71,Races!$E$71),6)  +  0.45 * MIN(MIN(DG36+Races!$F$71,Races!$E$71),6)  +  0.2 * ( MAX(DG36+Races!$F$71-6,0) + MAX(Races!$E$71-6,0) )  -  Races!$N$71</f>
        <v>1.3499999999999996</v>
      </c>
      <c r="EH36" s="663">
        <f>1.8 * MIN(MAX(DH36+Races!$E$71,Races!$F$71),6)  +  0.45 * MIN(MIN(DH36+Races!$E$71,Races!$F$71),6)  +  0.2 * ( MAX(DH36+Races!$E$71-6,0) + MAX(Races!$F$71-6,0) )  -  Races!$N$71</f>
        <v>0</v>
      </c>
      <c r="EI36" s="57">
        <f t="shared" ca="1" si="104"/>
        <v>0</v>
      </c>
      <c r="EJ36" s="57"/>
      <c r="EK36" s="57"/>
      <c r="EL36" s="57"/>
      <c r="EM36" s="57">
        <f ca="1">Overview!$L$22*E36+Overview!$L$23*F36+Overview!$L$24*G36+Overview!$L$25*H36+Overview!$L$26*I36+Overview!$L$27*J36+Overview!$L$28*K36+Construction!E36*20+Construction!B36*5 + DZ36*$DV$4+EB36*$DV$5+ED36*$DV$6+EF36*$DV$7+EI36*$DV$9</f>
        <v>20900</v>
      </c>
      <c r="EO36" s="734">
        <f>(J36+2*K36)/Construction!E36</f>
        <v>0</v>
      </c>
      <c r="EP36" s="730">
        <f ca="1">EO36*(1+race_wizard_strength+tech_magical_weaponry_wiz*Techs!AV108)</f>
        <v>0</v>
      </c>
      <c r="EQ36" s="16">
        <f>(I36+halfer*H36/3)/Construction!E36</f>
        <v>0</v>
      </c>
    </row>
    <row r="37" spans="1:147" s="16" customFormat="1" x14ac:dyDescent="0.25">
      <c r="A37" s="627">
        <f>Rezone!J37</f>
        <v>35</v>
      </c>
      <c r="B37" s="56">
        <f ca="1">SUM(E37:K37)+SUM(AF29:AG37)+SUM(AH26:AL37)+Z37+Explore!AL37</f>
        <v>5295</v>
      </c>
      <c r="C37" s="97">
        <f ca="1">Population!G37</f>
        <v>0.74159663865546221</v>
      </c>
      <c r="E37" s="52">
        <f t="shared" si="66"/>
        <v>0</v>
      </c>
      <c r="F37" s="16">
        <f t="shared" si="67"/>
        <v>0</v>
      </c>
      <c r="G37" s="16">
        <f t="shared" si="68"/>
        <v>0</v>
      </c>
      <c r="H37" s="16">
        <f t="shared" si="69"/>
        <v>0</v>
      </c>
      <c r="I37" s="16">
        <f t="shared" si="70"/>
        <v>0</v>
      </c>
      <c r="J37" s="16">
        <f t="shared" si="71"/>
        <v>0</v>
      </c>
      <c r="K37" s="53">
        <f t="shared" si="72"/>
        <v>0</v>
      </c>
      <c r="M37" s="64">
        <f ca="1">Production!G37</f>
        <v>20900</v>
      </c>
      <c r="O37" s="234">
        <f t="shared" ca="1" si="77"/>
        <v>0</v>
      </c>
      <c r="P37" s="454">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8"/>
        <v>5295</v>
      </c>
      <c r="T37" s="1047">
        <f ca="1">race_defense+Imps!AC37+ROUND(MIN(gt_bonus*Construction!BH37/Construction!$E37,gt_bonus_cap),4)+MAX(IF(Magic!AM37&gt;0,frenzy_bonus,IF(Magic!AQ37&gt;0,blizzard_bonus,IF(Magic!AP37&gt;0,howling_dp_bonus,IF(Magic!AI37&gt;0,ares_call_bonus)))),IF(Magic!AX37&gt;0,MIN(Construction!DF37/Construction!E37,0.2),0))</f>
        <v>0</v>
      </c>
      <c r="U37" s="1041">
        <f t="shared" ca="1" si="47"/>
        <v>0</v>
      </c>
      <c r="V37" s="308">
        <f t="shared" ca="1" si="48"/>
        <v>5295</v>
      </c>
      <c r="W37" s="310">
        <f>Construction!E37</f>
        <v>1000</v>
      </c>
      <c r="X37" s="367"/>
      <c r="Y37" s="146">
        <f t="shared" si="76"/>
        <v>0.4</v>
      </c>
      <c r="Z37" s="166">
        <f ca="1">Z36+Population!Z36 - IF(race="Lux",AF37,SUM(AF37:AK37)) - BE37 + SUM(BF37:BL37) - Explore!AI37</f>
        <v>5295</v>
      </c>
      <c r="AA37" s="164"/>
      <c r="AB37" s="91">
        <f>(Construction!$BA37+Construction!BY37)/(Construction!$E37-Explore!S37*20)</f>
        <v>0</v>
      </c>
      <c r="AC37" s="1516">
        <f ca="1">Imps!AE37</f>
        <v>0</v>
      </c>
      <c r="AD37" s="795">
        <f>Rezone!J37</f>
        <v>35</v>
      </c>
      <c r="AE37" s="587">
        <f>Explore!AA37</f>
        <v>43768.354166666584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9"/>
        <v>0</v>
      </c>
      <c r="AV37" s="164">
        <f t="shared" ca="1" si="80"/>
        <v>0</v>
      </c>
      <c r="AW37" s="164">
        <f t="shared" ca="1" si="50"/>
        <v>0</v>
      </c>
      <c r="AX37" s="164">
        <f t="shared" ca="1" si="51"/>
        <v>0</v>
      </c>
      <c r="AY37" s="164">
        <f t="shared" ca="1" si="52"/>
        <v>0</v>
      </c>
      <c r="AZ37" s="164">
        <f t="shared" ca="1" si="53"/>
        <v>0</v>
      </c>
      <c r="BA37" s="166">
        <f t="shared" ca="1" si="54"/>
        <v>0</v>
      </c>
      <c r="BB37" s="16">
        <v>35</v>
      </c>
      <c r="BC37" s="572">
        <f t="shared" si="73"/>
        <v>43768.354166666584</v>
      </c>
      <c r="BD37" s="148">
        <f t="shared" ca="1" si="74"/>
        <v>5295</v>
      </c>
      <c r="BE37" s="356"/>
      <c r="BF37" s="348"/>
      <c r="BG37" s="348"/>
      <c r="BH37" s="348"/>
      <c r="BI37" s="348"/>
      <c r="BJ37" s="348"/>
      <c r="BK37" s="348"/>
      <c r="BL37" s="357"/>
      <c r="BN37" s="501">
        <f>Construction!BM37/Construction!E37</f>
        <v>0</v>
      </c>
      <c r="BO37" s="171">
        <f>Construction!BD37/Construction!E37</f>
        <v>0</v>
      </c>
      <c r="BP37" s="152">
        <f ca="1">ROUNDUP((1-MIN(AB37*smithy_bonus,smithy_bonus_cap)-AC37)*(1+Techs!AO37*tech_master_of_frugality)*spec_op_plat,0)</f>
        <v>275</v>
      </c>
      <c r="BQ37" s="164">
        <f ca="1">ROUNDUP(IF(OR(race="Gnome",race="Imperial Gnome"),1-AC37,(1-MIN(AB37*smithy_bonus,smithy_bonus_cap)-AC37)*(1+Techs!AO37*tech_master_of_frugality))*spec_op_ore,0)</f>
        <v>25</v>
      </c>
      <c r="BR37" s="164">
        <f t="shared" si="6"/>
        <v>0</v>
      </c>
      <c r="BS37" s="164">
        <f t="shared" si="7"/>
        <v>0</v>
      </c>
      <c r="BT37" s="164">
        <f ca="1">ROUNDUP((1-MIN(AB37*smithy_bonus,smithy_bonus_cap)-AC37)*(1+Techs!AO37*tech_master_of_frugality)*spec_dp_plat,0)</f>
        <v>275</v>
      </c>
      <c r="BU37" s="164">
        <f ca="1">ROUNDUP(IF(OR(race="Gnome",race="Imperial Gnome"),1-AC37,(1-MIN(AB37*smithy_bonus,smithy_bonus_cap)-AC37)*(1+Techs!AO37*tech_master_of_frugality))*spec_dp_ore,0)</f>
        <v>10</v>
      </c>
      <c r="BV37" s="164">
        <f t="shared" ca="1" si="8"/>
        <v>0</v>
      </c>
      <c r="BW37" s="164">
        <f t="shared" ca="1" si="9"/>
        <v>0</v>
      </c>
      <c r="BX37" s="164">
        <f t="shared" ca="1" si="10"/>
        <v>0</v>
      </c>
      <c r="BY37" s="164">
        <f ca="1">ROUNDUP((1-MIN(AB37*smithy_bonus,smithy_bonus_cap)-AC37)*(1+Techs!AO37*tech_master_of_frugality)*elite1_plat,0)</f>
        <v>1000</v>
      </c>
      <c r="BZ37" s="164">
        <f ca="1">ROUNDUP(IF(OR(race="Gnome",race="Imperial Gnome"),1-AC37,(1-MIN(AB37*smithy_bonus,smithy_bonus_cap)-AC37)*(1+Techs!AO37*tech_master_of_frugality))*elite1_ore,0)</f>
        <v>75</v>
      </c>
      <c r="CA37" s="164">
        <f t="shared" ca="1" si="55"/>
        <v>0</v>
      </c>
      <c r="CB37" s="164">
        <f t="shared" ca="1" si="12"/>
        <v>0</v>
      </c>
      <c r="CC37" s="164">
        <f t="shared" ca="1" si="13"/>
        <v>0</v>
      </c>
      <c r="CD37" s="164">
        <f t="shared" ca="1" si="14"/>
        <v>0</v>
      </c>
      <c r="CE37" s="164">
        <f t="shared" ca="1" si="15"/>
        <v>0</v>
      </c>
      <c r="CF37" s="164">
        <f ca="1">ROUNDUP((1-MIN(AB37*smithy_bonus,smithy_bonus_cap)-AC37)*(1+Techs!AO37*tech_master_of_frugality)*elite2_plat,0)</f>
        <v>1250</v>
      </c>
      <c r="CG37" s="164">
        <f ca="1">ROUNDUP(IF(OR(race="Gnome",race="Imperial Gnome"),1-AC37,(1-MIN(AB37*smithy_bonus,smithy_bonus_cap)-AC37)*(1+Techs!AO37*tech_master_of_frugality))*elite2_ore,0)</f>
        <v>100</v>
      </c>
      <c r="CH37" s="164">
        <f t="shared" ca="1" si="56"/>
        <v>0</v>
      </c>
      <c r="CI37" s="164">
        <f t="shared" ca="1" si="17"/>
        <v>0</v>
      </c>
      <c r="CJ37" s="164">
        <f t="shared" ca="1" si="18"/>
        <v>0</v>
      </c>
      <c r="CK37" s="164">
        <f t="shared" ca="1" si="19"/>
        <v>0</v>
      </c>
      <c r="CL37" s="164">
        <f t="shared" ca="1" si="20"/>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4">
        <f ca="1">Construction!DF37/Construction!E37</f>
        <v>0.15</v>
      </c>
      <c r="CR37" s="465">
        <f t="shared" si="75"/>
        <v>0</v>
      </c>
      <c r="CS37" s="465">
        <f>Construction!BK37/Construction!E37</f>
        <v>0.05</v>
      </c>
      <c r="CT37" s="465">
        <f>Construction!BJ37/Construction!E37</f>
        <v>0</v>
      </c>
      <c r="CU37" s="465">
        <f>Construction!AY37/Construction!E37</f>
        <v>0</v>
      </c>
      <c r="CV37" s="480">
        <f t="shared" ca="1" si="81"/>
        <v>0.74999999999999989</v>
      </c>
      <c r="CW37" s="481">
        <f t="shared" ca="1" si="82"/>
        <v>0.74999999999999989</v>
      </c>
      <c r="CX37" s="481">
        <f t="shared" ca="1" si="83"/>
        <v>0.74999999999999989</v>
      </c>
      <c r="CY37" s="482">
        <f t="shared" ca="1" si="84"/>
        <v>0.74999999999999989</v>
      </c>
      <c r="CZ37" s="482">
        <f t="shared" si="85"/>
        <v>0</v>
      </c>
      <c r="DA37" s="482">
        <f t="shared" ca="1" si="86"/>
        <v>2.9999999999999996</v>
      </c>
      <c r="DB37" s="482">
        <f t="shared" ca="1" si="87"/>
        <v>0.74999999999999989</v>
      </c>
      <c r="DC37" s="481">
        <f t="shared" si="88"/>
        <v>0</v>
      </c>
      <c r="DD37" s="842">
        <f t="shared" si="89"/>
        <v>0</v>
      </c>
      <c r="DE37" s="439">
        <f t="shared" si="58"/>
        <v>0</v>
      </c>
      <c r="DF37" s="439">
        <f t="shared" si="59"/>
        <v>0</v>
      </c>
      <c r="DG37" s="480">
        <f t="shared" ca="1" si="90"/>
        <v>0.74999999999999989</v>
      </c>
      <c r="DH37" s="449">
        <f t="shared" si="91"/>
        <v>0</v>
      </c>
      <c r="DI37" s="449">
        <f>MIN(valkyrja_cap,Production!O37/valkyrja_bonus)</f>
        <v>1</v>
      </c>
      <c r="DJ37" s="842">
        <f>MIN(voodoo_magi_cap,Production!O37/voodoo_magi_bonus)</f>
        <v>0.83333333333333337</v>
      </c>
      <c r="DK37" s="842">
        <f>MIN(warlock_cap,Production!O37/warlock_bonus)</f>
        <v>1</v>
      </c>
      <c r="DL37" s="842">
        <f ca="1">MIN(nox_nightshade_cap,Construction!DF37/Construction!E37/nox_nightshade_swamp_bonus)</f>
        <v>1.4999999999999998</v>
      </c>
      <c r="DM37" s="481">
        <f t="shared" si="92"/>
        <v>0</v>
      </c>
      <c r="DN37" s="482">
        <f t="shared" ca="1" si="93"/>
        <v>1.4999999999999998</v>
      </c>
      <c r="DO37" s="482">
        <f t="shared" ca="1" si="94"/>
        <v>1.4999999999999998</v>
      </c>
      <c r="DP37" s="482">
        <f t="shared" si="95"/>
        <v>1</v>
      </c>
      <c r="DQ37" s="481">
        <f t="shared" si="96"/>
        <v>0</v>
      </c>
      <c r="DR37" s="482">
        <f t="shared" si="97"/>
        <v>0</v>
      </c>
      <c r="DS37" s="481">
        <f t="shared" si="98"/>
        <v>0</v>
      </c>
      <c r="DT37" s="482">
        <f t="shared" si="99"/>
        <v>0</v>
      </c>
      <c r="DX37" s="486">
        <f ca="1">MIN(6,CV37+Races!$F$19)*1.8 +  IF(CV37+Races!$F$19&gt;6,(CV37+Races!$F$19-6)*0.2,0) - Races!$N$19</f>
        <v>1.3500000000000005</v>
      </c>
      <c r="DY37" s="487">
        <f ca="1">1.8 * MIN(MAX(CW37+Races!$E$20,CX37+Races!$F$20),6)  +  0.45 * MIN(MIN(CW37+Races!$E$20,CX37+Races!$F$20),6)  +  0.2 * ( MAX(CW37+Races!$E$20-6,0) + MAX(CX37+Races!$F$20-6,0) )  -  Races!$N$20</f>
        <v>1.6874999999999991</v>
      </c>
      <c r="DZ37" s="57">
        <f t="shared" ca="1" si="100"/>
        <v>0</v>
      </c>
      <c r="EA37" s="663">
        <f ca="1">MIN(6,CY37+Races!$F$35)*1.8 +  IF(CY37+Races!$F$35&gt;6,(CY37+Races!$F$35-6)*0.2,0) - Races!$N$19</f>
        <v>-0.45000000000000018</v>
      </c>
      <c r="EB37" s="57">
        <f t="shared" ca="1" si="101"/>
        <v>0</v>
      </c>
      <c r="EC37" s="663">
        <f ca="1">1.8 * MIN(MAX(Races!$E$27,DB37+Races!$F$27),6)  +  0.45 * MIN(MIN(Races!$E$27,DB37+Races!$F$27),6)  +  0.2 * ( MAX(Races!$E$27-6,0) + MAX(DB37+Races!$F$27-6,0) )  -  Races!$N$20</f>
        <v>3.6000000000000005</v>
      </c>
      <c r="ED37" s="57">
        <f t="shared" ca="1" si="102"/>
        <v>0</v>
      </c>
      <c r="EE37" s="663">
        <f>1.8 * MIN(MAX(DC37+Races!$E$47,DD37+Races!$F$47),6)  +  0.45 * MIN(MIN(DC37+Races!$E$47,DD37+Races!$F$47),6)  +  0.2 * ( MAX(DC37+Races!$E$47-6,0) + MAX(DD37+Races!$F$47-6,0) )  -  Races!$N$47</f>
        <v>0</v>
      </c>
      <c r="EF37" s="57">
        <f t="shared" si="103"/>
        <v>0</v>
      </c>
      <c r="EG37" s="663">
        <f ca="1">1.8 * MIN(MAX(DG37+Races!$F$71,Races!$E$71),6)  +  0.45 * MIN(MIN(DG37+Races!$F$71,Races!$E$71),6)  +  0.2 * ( MAX(DG37+Races!$F$71-6,0) + MAX(Races!$E$71-6,0) )  -  Races!$N$71</f>
        <v>1.3499999999999996</v>
      </c>
      <c r="EH37" s="663">
        <f>1.8 * MIN(MAX(DH37+Races!$E$71,Races!$F$71),6)  +  0.45 * MIN(MIN(DH37+Races!$E$71,Races!$F$71),6)  +  0.2 * ( MAX(DH37+Races!$E$71-6,0) + MAX(Races!$F$71-6,0) )  -  Races!$N$71</f>
        <v>0</v>
      </c>
      <c r="EI37" s="57">
        <f t="shared" ca="1" si="104"/>
        <v>0</v>
      </c>
      <c r="EJ37" s="57"/>
      <c r="EK37" s="57"/>
      <c r="EL37" s="57"/>
      <c r="EM37" s="57">
        <f ca="1">Overview!$L$22*E37+Overview!$L$23*F37+Overview!$L$24*G37+Overview!$L$25*H37+Overview!$L$26*I37+Overview!$L$27*J37+Overview!$L$28*K37+Construction!E37*20+Construction!B37*5 + DZ37*$DV$4+EB37*$DV$5+ED37*$DV$6+EF37*$DV$7+EI37*$DV$9</f>
        <v>20900</v>
      </c>
      <c r="EO37" s="734">
        <f>(J37+2*K37)/Construction!E37</f>
        <v>0</v>
      </c>
      <c r="EP37" s="730">
        <f ca="1">EO37*(1+race_wizard_strength+tech_magical_weaponry_wiz*Techs!AV109)</f>
        <v>0</v>
      </c>
      <c r="EQ37" s="16">
        <f>(I37+halfer*H37/3)/Construction!E37</f>
        <v>0</v>
      </c>
    </row>
    <row r="38" spans="1:147" s="16" customFormat="1" x14ac:dyDescent="0.25">
      <c r="A38" s="627">
        <f>Rezone!J38</f>
        <v>36</v>
      </c>
      <c r="B38" s="56">
        <f ca="1">SUM(E38:K38)+SUM(AF30:AG38)+SUM(AH27:AL38)+Z38+Explore!AL38</f>
        <v>5295</v>
      </c>
      <c r="C38" s="97">
        <f ca="1">Population!G38</f>
        <v>0.74159663865546221</v>
      </c>
      <c r="E38" s="52">
        <f t="shared" si="66"/>
        <v>0</v>
      </c>
      <c r="F38" s="16">
        <f t="shared" si="67"/>
        <v>0</v>
      </c>
      <c r="G38" s="16">
        <f t="shared" si="68"/>
        <v>0</v>
      </c>
      <c r="H38" s="16">
        <f t="shared" si="69"/>
        <v>0</v>
      </c>
      <c r="I38" s="16">
        <f t="shared" si="70"/>
        <v>0</v>
      </c>
      <c r="J38" s="16">
        <f t="shared" si="71"/>
        <v>0</v>
      </c>
      <c r="K38" s="53">
        <f t="shared" si="72"/>
        <v>0</v>
      </c>
      <c r="M38" s="64">
        <f ca="1">Production!G38</f>
        <v>20900</v>
      </c>
      <c r="O38" s="234">
        <f t="shared" ca="1" si="77"/>
        <v>0</v>
      </c>
      <c r="P38" s="454">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8"/>
        <v>5295</v>
      </c>
      <c r="T38" s="1047">
        <f ca="1">race_defense+Imps!AC38+ROUND(MIN(gt_bonus*Construction!BH38/Construction!$E38,gt_bonus_cap),4)+MAX(IF(Magic!AM38&gt;0,frenzy_bonus,IF(Magic!AQ38&gt;0,blizzard_bonus,IF(Magic!AP38&gt;0,howling_dp_bonus,IF(Magic!AI38&gt;0,ares_call_bonus)))),IF(Magic!AX38&gt;0,MIN(Construction!DF38/Construction!E38,0.2),0))</f>
        <v>0</v>
      </c>
      <c r="U38" s="1041">
        <f t="shared" ca="1" si="47"/>
        <v>0</v>
      </c>
      <c r="V38" s="308">
        <f t="shared" ca="1" si="48"/>
        <v>5295</v>
      </c>
      <c r="W38" s="310">
        <f>Construction!E38</f>
        <v>1000</v>
      </c>
      <c r="X38" s="367"/>
      <c r="Y38" s="146">
        <f t="shared" si="76"/>
        <v>0.4</v>
      </c>
      <c r="Z38" s="166">
        <f ca="1">Z37+Population!Z37 - IF(race="Lux",AF38,SUM(AF38:AK38)) - BE38 + SUM(BF38:BL38) - Explore!AI38</f>
        <v>5295</v>
      </c>
      <c r="AA38" s="164"/>
      <c r="AB38" s="91">
        <f>(Construction!$BA38+Construction!BY38)/(Construction!$E38-Explore!S38*20)</f>
        <v>0</v>
      </c>
      <c r="AC38" s="1516">
        <f ca="1">Imps!AE38</f>
        <v>0</v>
      </c>
      <c r="AD38" s="795">
        <f>Rezone!J38</f>
        <v>36</v>
      </c>
      <c r="AE38" s="587">
        <f>Explore!AA38</f>
        <v>43768.364583333248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9"/>
        <v>0</v>
      </c>
      <c r="AV38" s="164">
        <f t="shared" ca="1" si="80"/>
        <v>0</v>
      </c>
      <c r="AW38" s="164">
        <f t="shared" ca="1" si="50"/>
        <v>0</v>
      </c>
      <c r="AX38" s="164">
        <f t="shared" ca="1" si="51"/>
        <v>0</v>
      </c>
      <c r="AY38" s="164">
        <f t="shared" ca="1" si="52"/>
        <v>0</v>
      </c>
      <c r="AZ38" s="164">
        <f t="shared" ca="1" si="53"/>
        <v>0</v>
      </c>
      <c r="BA38" s="166">
        <f t="shared" ca="1" si="54"/>
        <v>0</v>
      </c>
      <c r="BB38" s="16">
        <v>36</v>
      </c>
      <c r="BC38" s="572">
        <f t="shared" si="73"/>
        <v>43768.364583333248</v>
      </c>
      <c r="BD38" s="148">
        <f t="shared" ca="1" si="74"/>
        <v>5295</v>
      </c>
      <c r="BE38" s="356"/>
      <c r="BF38" s="348"/>
      <c r="BG38" s="348"/>
      <c r="BH38" s="348"/>
      <c r="BI38" s="348"/>
      <c r="BJ38" s="348"/>
      <c r="BK38" s="348"/>
      <c r="BL38" s="357"/>
      <c r="BN38" s="501">
        <f>Construction!BM38/Construction!E38</f>
        <v>0</v>
      </c>
      <c r="BO38" s="171">
        <f>Construction!BD38/Construction!E38</f>
        <v>0</v>
      </c>
      <c r="BP38" s="152">
        <f ca="1">ROUNDUP((1-MIN(AB38*smithy_bonus,smithy_bonus_cap)-AC38)*(1+Techs!AO38*tech_master_of_frugality)*spec_op_plat,0)</f>
        <v>275</v>
      </c>
      <c r="BQ38" s="164">
        <f ca="1">ROUNDUP(IF(OR(race="Gnome",race="Imperial Gnome"),1-AC38,(1-MIN(AB38*smithy_bonus,smithy_bonus_cap)-AC38)*(1+Techs!AO38*tech_master_of_frugality))*spec_op_ore,0)</f>
        <v>25</v>
      </c>
      <c r="BR38" s="164">
        <f t="shared" si="6"/>
        <v>0</v>
      </c>
      <c r="BS38" s="164">
        <f t="shared" si="7"/>
        <v>0</v>
      </c>
      <c r="BT38" s="164">
        <f ca="1">ROUNDUP((1-MIN(AB38*smithy_bonus,smithy_bonus_cap)-AC38)*(1+Techs!AO38*tech_master_of_frugality)*spec_dp_plat,0)</f>
        <v>275</v>
      </c>
      <c r="BU38" s="164">
        <f ca="1">ROUNDUP(IF(OR(race="Gnome",race="Imperial Gnome"),1-AC38,(1-MIN(AB38*smithy_bonus,smithy_bonus_cap)-AC38)*(1+Techs!AO38*tech_master_of_frugality))*spec_dp_ore,0)</f>
        <v>10</v>
      </c>
      <c r="BV38" s="164">
        <f t="shared" ca="1" si="8"/>
        <v>0</v>
      </c>
      <c r="BW38" s="164">
        <f t="shared" ca="1" si="9"/>
        <v>0</v>
      </c>
      <c r="BX38" s="164">
        <f t="shared" ca="1" si="10"/>
        <v>0</v>
      </c>
      <c r="BY38" s="164">
        <f ca="1">ROUNDUP((1-MIN(AB38*smithy_bonus,smithy_bonus_cap)-AC38)*(1+Techs!AO38*tech_master_of_frugality)*elite1_plat,0)</f>
        <v>1000</v>
      </c>
      <c r="BZ38" s="164">
        <f ca="1">ROUNDUP(IF(OR(race="Gnome",race="Imperial Gnome"),1-AC38,(1-MIN(AB38*smithy_bonus,smithy_bonus_cap)-AC38)*(1+Techs!AO38*tech_master_of_frugality))*elite1_ore,0)</f>
        <v>75</v>
      </c>
      <c r="CA38" s="164">
        <f t="shared" ca="1" si="55"/>
        <v>0</v>
      </c>
      <c r="CB38" s="164">
        <f t="shared" ca="1" si="12"/>
        <v>0</v>
      </c>
      <c r="CC38" s="164">
        <f t="shared" ca="1" si="13"/>
        <v>0</v>
      </c>
      <c r="CD38" s="164">
        <f t="shared" ca="1" si="14"/>
        <v>0</v>
      </c>
      <c r="CE38" s="164">
        <f t="shared" ca="1" si="15"/>
        <v>0</v>
      </c>
      <c r="CF38" s="164">
        <f ca="1">ROUNDUP((1-MIN(AB38*smithy_bonus,smithy_bonus_cap)-AC38)*(1+Techs!AO38*tech_master_of_frugality)*elite2_plat,0)</f>
        <v>1250</v>
      </c>
      <c r="CG38" s="164">
        <f ca="1">ROUNDUP(IF(OR(race="Gnome",race="Imperial Gnome"),1-AC38,(1-MIN(AB38*smithy_bonus,smithy_bonus_cap)-AC38)*(1+Techs!AO38*tech_master_of_frugality))*elite2_ore,0)</f>
        <v>100</v>
      </c>
      <c r="CH38" s="164">
        <f t="shared" ca="1" si="56"/>
        <v>0</v>
      </c>
      <c r="CI38" s="164">
        <f t="shared" ca="1" si="17"/>
        <v>0</v>
      </c>
      <c r="CJ38" s="164">
        <f t="shared" ca="1" si="18"/>
        <v>0</v>
      </c>
      <c r="CK38" s="164">
        <f t="shared" ca="1" si="19"/>
        <v>0</v>
      </c>
      <c r="CL38" s="164">
        <f t="shared" ca="1" si="20"/>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4">
        <f ca="1">Construction!DF38/Construction!E38</f>
        <v>0.15</v>
      </c>
      <c r="CR38" s="465">
        <f t="shared" si="75"/>
        <v>0</v>
      </c>
      <c r="CS38" s="465">
        <f>Construction!BK38/Construction!E38</f>
        <v>0.05</v>
      </c>
      <c r="CT38" s="465">
        <f>Construction!BJ38/Construction!E38</f>
        <v>0</v>
      </c>
      <c r="CU38" s="465">
        <f>Construction!AY38/Construction!E38</f>
        <v>0</v>
      </c>
      <c r="CV38" s="480">
        <f t="shared" ca="1" si="81"/>
        <v>0.74999999999999989</v>
      </c>
      <c r="CW38" s="481">
        <f t="shared" ca="1" si="82"/>
        <v>0.74999999999999989</v>
      </c>
      <c r="CX38" s="481">
        <f t="shared" ca="1" si="83"/>
        <v>0.74999999999999989</v>
      </c>
      <c r="CY38" s="482">
        <f t="shared" ca="1" si="84"/>
        <v>0.74999999999999989</v>
      </c>
      <c r="CZ38" s="482">
        <f t="shared" si="85"/>
        <v>0</v>
      </c>
      <c r="DA38" s="482">
        <f t="shared" ca="1" si="86"/>
        <v>2.9999999999999996</v>
      </c>
      <c r="DB38" s="482">
        <f t="shared" ca="1" si="87"/>
        <v>0.74999999999999989</v>
      </c>
      <c r="DC38" s="481">
        <f t="shared" si="88"/>
        <v>0</v>
      </c>
      <c r="DD38" s="842">
        <f t="shared" si="89"/>
        <v>0</v>
      </c>
      <c r="DE38" s="439">
        <f t="shared" si="58"/>
        <v>0</v>
      </c>
      <c r="DF38" s="439">
        <f t="shared" si="59"/>
        <v>0</v>
      </c>
      <c r="DG38" s="480">
        <f t="shared" ca="1" si="90"/>
        <v>0.74999999999999989</v>
      </c>
      <c r="DH38" s="449">
        <f t="shared" si="91"/>
        <v>0</v>
      </c>
      <c r="DI38" s="449">
        <f>MIN(valkyrja_cap,Production!O38/valkyrja_bonus)</f>
        <v>1</v>
      </c>
      <c r="DJ38" s="842">
        <f>MIN(voodoo_magi_cap,Production!O38/voodoo_magi_bonus)</f>
        <v>0.83333333333333337</v>
      </c>
      <c r="DK38" s="842">
        <f>MIN(warlock_cap,Production!O38/warlock_bonus)</f>
        <v>1</v>
      </c>
      <c r="DL38" s="842">
        <f ca="1">MIN(nox_nightshade_cap,Construction!DF38/Construction!E38/nox_nightshade_swamp_bonus)</f>
        <v>1.4999999999999998</v>
      </c>
      <c r="DM38" s="481">
        <f t="shared" si="92"/>
        <v>0</v>
      </c>
      <c r="DN38" s="482">
        <f t="shared" ca="1" si="93"/>
        <v>1.4999999999999998</v>
      </c>
      <c r="DO38" s="482">
        <f t="shared" ca="1" si="94"/>
        <v>1.4999999999999998</v>
      </c>
      <c r="DP38" s="482">
        <f t="shared" si="95"/>
        <v>1</v>
      </c>
      <c r="DQ38" s="481">
        <f t="shared" si="96"/>
        <v>0</v>
      </c>
      <c r="DR38" s="482">
        <f t="shared" si="97"/>
        <v>0</v>
      </c>
      <c r="DS38" s="481">
        <f t="shared" si="98"/>
        <v>0</v>
      </c>
      <c r="DT38" s="482">
        <f t="shared" si="99"/>
        <v>0</v>
      </c>
      <c r="DX38" s="486">
        <f ca="1">MIN(6,CV38+Races!$F$19)*1.8 +  IF(CV38+Races!$F$19&gt;6,(CV38+Races!$F$19-6)*0.2,0) - Races!$N$19</f>
        <v>1.3500000000000005</v>
      </c>
      <c r="DY38" s="487">
        <f ca="1">1.8 * MIN(MAX(CW38+Races!$E$20,CX38+Races!$F$20),6)  +  0.45 * MIN(MIN(CW38+Races!$E$20,CX38+Races!$F$20),6)  +  0.2 * ( MAX(CW38+Races!$E$20-6,0) + MAX(CX38+Races!$F$20-6,0) )  -  Races!$N$20</f>
        <v>1.6874999999999991</v>
      </c>
      <c r="DZ38" s="57">
        <f t="shared" ca="1" si="100"/>
        <v>0</v>
      </c>
      <c r="EA38" s="663">
        <f ca="1">MIN(6,CY38+Races!$F$35)*1.8 +  IF(CY38+Races!$F$35&gt;6,(CY38+Races!$F$35-6)*0.2,0) - Races!$N$19</f>
        <v>-0.45000000000000018</v>
      </c>
      <c r="EB38" s="57">
        <f t="shared" ca="1" si="101"/>
        <v>0</v>
      </c>
      <c r="EC38" s="663">
        <f ca="1">1.8 * MIN(MAX(Races!$E$27,DB38+Races!$F$27),6)  +  0.45 * MIN(MIN(Races!$E$27,DB38+Races!$F$27),6)  +  0.2 * ( MAX(Races!$E$27-6,0) + MAX(DB38+Races!$F$27-6,0) )  -  Races!$N$20</f>
        <v>3.6000000000000005</v>
      </c>
      <c r="ED38" s="57">
        <f t="shared" ca="1" si="102"/>
        <v>0</v>
      </c>
      <c r="EE38" s="663">
        <f>1.8 * MIN(MAX(DC38+Races!$E$47,DD38+Races!$F$47),6)  +  0.45 * MIN(MIN(DC38+Races!$E$47,DD38+Races!$F$47),6)  +  0.2 * ( MAX(DC38+Races!$E$47-6,0) + MAX(DD38+Races!$F$47-6,0) )  -  Races!$N$47</f>
        <v>0</v>
      </c>
      <c r="EF38" s="57">
        <f t="shared" si="103"/>
        <v>0</v>
      </c>
      <c r="EG38" s="663">
        <f ca="1">1.8 * MIN(MAX(DG38+Races!$F$71,Races!$E$71),6)  +  0.45 * MIN(MIN(DG38+Races!$F$71,Races!$E$71),6)  +  0.2 * ( MAX(DG38+Races!$F$71-6,0) + MAX(Races!$E$71-6,0) )  -  Races!$N$71</f>
        <v>1.3499999999999996</v>
      </c>
      <c r="EH38" s="663">
        <f>1.8 * MIN(MAX(DH38+Races!$E$71,Races!$F$71),6)  +  0.45 * MIN(MIN(DH38+Races!$E$71,Races!$F$71),6)  +  0.2 * ( MAX(DH38+Races!$E$71-6,0) + MAX(Races!$F$71-6,0) )  -  Races!$N$71</f>
        <v>0</v>
      </c>
      <c r="EI38" s="57">
        <f t="shared" ca="1" si="104"/>
        <v>0</v>
      </c>
      <c r="EJ38" s="57"/>
      <c r="EK38" s="57"/>
      <c r="EL38" s="57"/>
      <c r="EM38" s="57">
        <f ca="1">Overview!$L$22*E38+Overview!$L$23*F38+Overview!$L$24*G38+Overview!$L$25*H38+Overview!$L$26*I38+Overview!$L$27*J38+Overview!$L$28*K38+Construction!E38*20+Construction!B38*5 + DZ38*$DV$4+EB38*$DV$5+ED38*$DV$6+EF38*$DV$7+EI38*$DV$9</f>
        <v>20900</v>
      </c>
      <c r="EO38" s="734">
        <f>(J38+2*K38)/Construction!E38</f>
        <v>0</v>
      </c>
      <c r="EP38" s="730">
        <f ca="1">EO38*(1+race_wizard_strength+tech_magical_weaponry_wiz*Techs!AV110)</f>
        <v>0</v>
      </c>
      <c r="EQ38" s="16">
        <f>(I38+halfer*H38/3)/Construction!E38</f>
        <v>0</v>
      </c>
    </row>
    <row r="39" spans="1:147" s="12" customFormat="1" x14ac:dyDescent="0.25">
      <c r="A39" s="319">
        <f>Rezone!J39</f>
        <v>37</v>
      </c>
      <c r="B39" s="54">
        <f ca="1">SUM(E39:K39)+SUM(AF31:AG39)+SUM(AH28:AL39)+Z39+Explore!AL39</f>
        <v>5295</v>
      </c>
      <c r="C39" s="96">
        <f ca="1">Population!G39</f>
        <v>0.74159663865546221</v>
      </c>
      <c r="D39" s="286"/>
      <c r="E39" s="50">
        <f t="shared" si="66"/>
        <v>0</v>
      </c>
      <c r="F39" s="12">
        <f t="shared" si="67"/>
        <v>0</v>
      </c>
      <c r="G39" s="12">
        <f t="shared" si="68"/>
        <v>0</v>
      </c>
      <c r="H39" s="12">
        <f t="shared" si="69"/>
        <v>0</v>
      </c>
      <c r="I39" s="12">
        <f t="shared" si="70"/>
        <v>0</v>
      </c>
      <c r="J39" s="12">
        <f t="shared" si="71"/>
        <v>0</v>
      </c>
      <c r="K39" s="51">
        <f t="shared" si="72"/>
        <v>0</v>
      </c>
      <c r="L39" s="286"/>
      <c r="M39" s="93">
        <f ca="1">Production!G39</f>
        <v>20900</v>
      </c>
      <c r="N39" s="286"/>
      <c r="O39" s="141">
        <f t="shared" ca="1" si="77"/>
        <v>0</v>
      </c>
      <c r="P39" s="446">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8"/>
        <v>5295</v>
      </c>
      <c r="T39" s="1171">
        <f ca="1">race_defense+Imps!AC39+ROUND(MIN(gt_bonus*Construction!BH39/Construction!$E39,gt_bonus_cap),4)+MAX(IF(Magic!AM39&gt;0,frenzy_bonus,IF(Magic!AQ39&gt;0,blizzard_bonus,IF(Magic!AP39&gt;0,howling_dp_bonus,IF(Magic!AI39&gt;0,ares_call_bonus)))),IF(Magic!AX39&gt;0,MIN(Construction!DF39/Construction!E39,0.2),0))</f>
        <v>0</v>
      </c>
      <c r="U39" s="1042">
        <f t="shared" ca="1" si="47"/>
        <v>0</v>
      </c>
      <c r="V39" s="311">
        <f t="shared" ca="1" si="48"/>
        <v>5295</v>
      </c>
      <c r="W39" s="311">
        <f>Construction!E39</f>
        <v>1000</v>
      </c>
      <c r="X39" s="368"/>
      <c r="Y39" s="145">
        <f t="shared" si="76"/>
        <v>0.4</v>
      </c>
      <c r="Z39" s="158">
        <f ca="1">Z38+Population!Z38 - IF(race="Lux",AF39,SUM(AF39:AK39)) - BE39 + SUM(BF39:BL39) - Explore!AI39</f>
        <v>5295</v>
      </c>
      <c r="AA39" s="153"/>
      <c r="AB39" s="306">
        <f>(Construction!$BA39+Construction!BY39)/(Construction!$E39-Explore!S39*20)</f>
        <v>0</v>
      </c>
      <c r="AC39" s="1519">
        <f ca="1">Imps!AE39</f>
        <v>0</v>
      </c>
      <c r="AD39" s="1059">
        <f>Rezone!J39</f>
        <v>37</v>
      </c>
      <c r="AE39" s="586">
        <f>Explore!AA39</f>
        <v>43768.374999999913</v>
      </c>
      <c r="AF39" s="373"/>
      <c r="AG39" s="349"/>
      <c r="AH39" s="349"/>
      <c r="AI39" s="349"/>
      <c r="AJ39" s="349"/>
      <c r="AK39" s="349"/>
      <c r="AL39" s="374"/>
      <c r="AM39" s="1058"/>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9"/>
        <v>0</v>
      </c>
      <c r="AV39" s="153">
        <f t="shared" ca="1" si="80"/>
        <v>0</v>
      </c>
      <c r="AW39" s="153">
        <f t="shared" ca="1" si="50"/>
        <v>0</v>
      </c>
      <c r="AX39" s="153">
        <f t="shared" ca="1" si="51"/>
        <v>0</v>
      </c>
      <c r="AY39" s="153">
        <f t="shared" ca="1" si="52"/>
        <v>0</v>
      </c>
      <c r="AZ39" s="153">
        <f t="shared" ca="1" si="53"/>
        <v>0</v>
      </c>
      <c r="BA39" s="158">
        <f t="shared" ca="1" si="54"/>
        <v>0</v>
      </c>
      <c r="BB39" s="12">
        <v>37</v>
      </c>
      <c r="BC39" s="676">
        <f t="shared" si="73"/>
        <v>43768.374999999913</v>
      </c>
      <c r="BD39" s="149">
        <f t="shared" ca="1" si="74"/>
        <v>5295</v>
      </c>
      <c r="BE39" s="373"/>
      <c r="BF39" s="349"/>
      <c r="BG39" s="349"/>
      <c r="BH39" s="349"/>
      <c r="BI39" s="349"/>
      <c r="BJ39" s="349"/>
      <c r="BK39" s="349"/>
      <c r="BL39" s="374"/>
      <c r="BN39" s="500">
        <f>Construction!BM39/Construction!E39</f>
        <v>0</v>
      </c>
      <c r="BO39" s="162">
        <f>Construction!BD39/Construction!E39</f>
        <v>0</v>
      </c>
      <c r="BP39" s="151">
        <f ca="1">ROUNDUP((1-MIN(AB39*smithy_bonus,smithy_bonus_cap)-AC39)*(1+Techs!AO39*tech_master_of_frugality)*spec_op_plat,0)</f>
        <v>275</v>
      </c>
      <c r="BQ39" s="153">
        <f ca="1">ROUNDUP(IF(OR(race="Gnome",race="Imperial Gnome"),1-AC39,(1-MIN(AB39*smithy_bonus,smithy_bonus_cap)-AC39)*(1+Techs!AO39*tech_master_of_frugality))*spec_op_ore,0)</f>
        <v>25</v>
      </c>
      <c r="BR39" s="153">
        <f t="shared" si="6"/>
        <v>0</v>
      </c>
      <c r="BS39" s="153">
        <f t="shared" si="7"/>
        <v>0</v>
      </c>
      <c r="BT39" s="153">
        <f ca="1">ROUNDUP((1-MIN(AB39*smithy_bonus,smithy_bonus_cap)-AC39)*(1+Techs!AO39*tech_master_of_frugality)*spec_dp_plat,0)</f>
        <v>275</v>
      </c>
      <c r="BU39" s="153">
        <f ca="1">ROUNDUP(IF(OR(race="Gnome",race="Imperial Gnome"),1-AC39,(1-MIN(AB39*smithy_bonus,smithy_bonus_cap)-AC39)*(1+Techs!AO39*tech_master_of_frugality))*spec_dp_ore,0)</f>
        <v>10</v>
      </c>
      <c r="BV39" s="153">
        <f t="shared" ca="1" si="8"/>
        <v>0</v>
      </c>
      <c r="BW39" s="153">
        <f t="shared" ca="1" si="9"/>
        <v>0</v>
      </c>
      <c r="BX39" s="153">
        <f t="shared" ca="1" si="10"/>
        <v>0</v>
      </c>
      <c r="BY39" s="153">
        <f ca="1">ROUNDUP((1-MIN(AB39*smithy_bonus,smithy_bonus_cap)-AC39)*(1+Techs!AO39*tech_master_of_frugality)*elite1_plat,0)</f>
        <v>1000</v>
      </c>
      <c r="BZ39" s="153">
        <f ca="1">ROUNDUP(IF(OR(race="Gnome",race="Imperial Gnome"),1-AC39,(1-MIN(AB39*smithy_bonus,smithy_bonus_cap)-AC39)*(1+Techs!AO39*tech_master_of_frugality))*elite1_ore,0)</f>
        <v>75</v>
      </c>
      <c r="CA39" s="153">
        <f t="shared" ca="1" si="55"/>
        <v>0</v>
      </c>
      <c r="CB39" s="153">
        <f t="shared" ca="1" si="12"/>
        <v>0</v>
      </c>
      <c r="CC39" s="153">
        <f t="shared" ca="1" si="13"/>
        <v>0</v>
      </c>
      <c r="CD39" s="153">
        <f t="shared" ca="1" si="14"/>
        <v>0</v>
      </c>
      <c r="CE39" s="153">
        <f t="shared" ca="1" si="15"/>
        <v>0</v>
      </c>
      <c r="CF39" s="153">
        <f ca="1">ROUNDUP((1-MIN(AB39*smithy_bonus,smithy_bonus_cap)-AC39)*(1+Techs!AO39*tech_master_of_frugality)*elite2_plat,0)</f>
        <v>1250</v>
      </c>
      <c r="CG39" s="153">
        <f ca="1">ROUNDUP(IF(OR(race="Gnome",race="Imperial Gnome"),1-AC39,(1-MIN(AB39*smithy_bonus,smithy_bonus_cap)-AC39)*(1+Techs!AO39*tech_master_of_frugality))*elite2_ore,0)</f>
        <v>100</v>
      </c>
      <c r="CH39" s="153">
        <f t="shared" ca="1" si="56"/>
        <v>0</v>
      </c>
      <c r="CI39" s="153">
        <f t="shared" ca="1" si="17"/>
        <v>0</v>
      </c>
      <c r="CJ39" s="153">
        <f t="shared" ca="1" si="18"/>
        <v>0</v>
      </c>
      <c r="CK39" s="153">
        <f t="shared" ca="1" si="19"/>
        <v>0</v>
      </c>
      <c r="CL39" s="153">
        <f t="shared" ca="1" si="20"/>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6">
        <f ca="1">Construction!DF39/Construction!E39</f>
        <v>0.15</v>
      </c>
      <c r="CR39" s="467">
        <f t="shared" si="75"/>
        <v>0</v>
      </c>
      <c r="CS39" s="467">
        <f>Construction!BK39/Construction!E39</f>
        <v>0.05</v>
      </c>
      <c r="CT39" s="467">
        <f>Construction!BJ39/Construction!E39</f>
        <v>0</v>
      </c>
      <c r="CU39" s="467">
        <f>Construction!AY39/Construction!E39</f>
        <v>0</v>
      </c>
      <c r="CV39" s="489">
        <f t="shared" ca="1" si="81"/>
        <v>0.74999999999999989</v>
      </c>
      <c r="CW39" s="490">
        <f t="shared" ca="1" si="82"/>
        <v>0.74999999999999989</v>
      </c>
      <c r="CX39" s="490">
        <f t="shared" ca="1" si="83"/>
        <v>0.74999999999999989</v>
      </c>
      <c r="CY39" s="491">
        <f t="shared" ca="1" si="84"/>
        <v>0.74999999999999989</v>
      </c>
      <c r="CZ39" s="491">
        <f t="shared" si="85"/>
        <v>0</v>
      </c>
      <c r="DA39" s="491">
        <f t="shared" ca="1" si="86"/>
        <v>2.9999999999999996</v>
      </c>
      <c r="DB39" s="491">
        <f t="shared" ca="1" si="87"/>
        <v>0.74999999999999989</v>
      </c>
      <c r="DC39" s="490">
        <f t="shared" si="88"/>
        <v>0</v>
      </c>
      <c r="DD39" s="846">
        <f t="shared" si="89"/>
        <v>0</v>
      </c>
      <c r="DE39" s="728">
        <f t="shared" si="58"/>
        <v>0</v>
      </c>
      <c r="DF39" s="728">
        <f t="shared" si="59"/>
        <v>0</v>
      </c>
      <c r="DG39" s="489">
        <f t="shared" ca="1" si="90"/>
        <v>0.74999999999999989</v>
      </c>
      <c r="DH39" s="452">
        <f t="shared" si="91"/>
        <v>0</v>
      </c>
      <c r="DI39" s="452">
        <f>MIN(valkyrja_cap,Production!O39/valkyrja_bonus)</f>
        <v>1</v>
      </c>
      <c r="DJ39" s="846">
        <f>MIN(voodoo_magi_cap,Production!O39/voodoo_magi_bonus)</f>
        <v>0.83333333333333337</v>
      </c>
      <c r="DK39" s="846">
        <f>MIN(warlock_cap,Production!O39/warlock_bonus)</f>
        <v>1</v>
      </c>
      <c r="DL39" s="846">
        <f ca="1">MIN(nox_nightshade_cap,Construction!DF39/Construction!E39/nox_nightshade_swamp_bonus)</f>
        <v>1.4999999999999998</v>
      </c>
      <c r="DM39" s="490">
        <f t="shared" si="92"/>
        <v>0</v>
      </c>
      <c r="DN39" s="491">
        <f t="shared" ca="1" si="93"/>
        <v>1.4999999999999998</v>
      </c>
      <c r="DO39" s="491">
        <f t="shared" ca="1" si="94"/>
        <v>1.4999999999999998</v>
      </c>
      <c r="DP39" s="491">
        <f t="shared" si="95"/>
        <v>1</v>
      </c>
      <c r="DQ39" s="490">
        <f t="shared" si="96"/>
        <v>0</v>
      </c>
      <c r="DR39" s="491">
        <f t="shared" si="97"/>
        <v>0</v>
      </c>
      <c r="DS39" s="490">
        <f t="shared" si="98"/>
        <v>0</v>
      </c>
      <c r="DT39" s="491">
        <f t="shared" si="99"/>
        <v>0</v>
      </c>
      <c r="DX39" s="489">
        <f ca="1">MIN(6,CV39+Races!$F$19)*1.8 +  IF(CV39+Races!$F$19&gt;6,(CV39+Races!$F$19-6)*0.2,0) - Races!$N$19</f>
        <v>1.3500000000000005</v>
      </c>
      <c r="DY39" s="490">
        <f ca="1">1.8 * MIN(MAX(CW39+Races!$E$20,CX39+Races!$F$20),6)  +  0.45 * MIN(MIN(CW39+Races!$E$20,CX39+Races!$F$20),6)  +  0.2 * ( MAX(CW39+Races!$E$20-6,0) + MAX(CX39+Races!$F$20-6,0) )  -  Races!$N$20</f>
        <v>1.6874999999999991</v>
      </c>
      <c r="DZ39" s="55">
        <f t="shared" ca="1" si="100"/>
        <v>0</v>
      </c>
      <c r="EA39" s="665">
        <f ca="1">MIN(6,CY39+Races!$F$35)*1.8 +  IF(CY39+Races!$F$35&gt;6,(CY39+Races!$F$35-6)*0.2,0) - Races!$N$19</f>
        <v>-0.45000000000000018</v>
      </c>
      <c r="EB39" s="55">
        <f t="shared" ca="1" si="101"/>
        <v>0</v>
      </c>
      <c r="EC39" s="665">
        <f ca="1">1.8 * MIN(MAX(Races!$E$27,DB39+Races!$F$27),6)  +  0.45 * MIN(MIN(Races!$E$27,DB39+Races!$F$27),6)  +  0.2 * ( MAX(Races!$E$27-6,0) + MAX(DB39+Races!$F$27-6,0) )  -  Races!$N$20</f>
        <v>3.6000000000000005</v>
      </c>
      <c r="ED39" s="55">
        <f t="shared" ca="1" si="102"/>
        <v>0</v>
      </c>
      <c r="EE39" s="665">
        <f>1.8 * MIN(MAX(DC39+Races!$E$47,DD39+Races!$F$47),6)  +  0.45 * MIN(MIN(DC39+Races!$E$47,DD39+Races!$F$47),6)  +  0.2 * ( MAX(DC39+Races!$E$47-6,0) + MAX(DD39+Races!$F$47-6,0) )  -  Races!$N$47</f>
        <v>0</v>
      </c>
      <c r="EF39" s="55">
        <f t="shared" si="103"/>
        <v>0</v>
      </c>
      <c r="EG39" s="665">
        <f ca="1">1.8 * MIN(MAX(DG39+Races!$F$71,Races!$E$71),6)  +  0.45 * MIN(MIN(DG39+Races!$F$71,Races!$E$71),6)  +  0.2 * ( MAX(DG39+Races!$F$71-6,0) + MAX(Races!$E$71-6,0) )  -  Races!$N$71</f>
        <v>1.3499999999999996</v>
      </c>
      <c r="EH39" s="665">
        <f>1.8 * MIN(MAX(DH39+Races!$E$71,Races!$F$71),6)  +  0.45 * MIN(MIN(DH39+Races!$E$71,Races!$F$71),6)  +  0.2 * ( MAX(DH39+Races!$E$71-6,0) + MAX(Races!$F$71-6,0) )  -  Races!$N$71</f>
        <v>0</v>
      </c>
      <c r="EI39" s="55">
        <f t="shared" ca="1" si="104"/>
        <v>0</v>
      </c>
      <c r="EJ39" s="55"/>
      <c r="EK39" s="55"/>
      <c r="EL39" s="55"/>
      <c r="EM39" s="55">
        <f ca="1">Overview!$L$22*E39+Overview!$L$23*F39+Overview!$L$24*G39+Overview!$L$25*H39+Overview!$L$26*I39+Overview!$L$27*J39+Overview!$L$28*K39+Construction!E39*20+Construction!B39*5 + DZ39*$DV$4+EB39*$DV$5+ED39*$DV$6+EF39*$DV$7+EI39*$DV$9</f>
        <v>20900</v>
      </c>
      <c r="EO39" s="737">
        <f>(J39+2*K39)/Construction!E39</f>
        <v>0</v>
      </c>
      <c r="EP39" s="731">
        <f ca="1">EO39*(1+race_wizard_strength+tech_magical_weaponry_wiz*Techs!AV111)</f>
        <v>0</v>
      </c>
      <c r="EQ39" s="12">
        <f>(I39+halfer*H39/3)/Construction!E39</f>
        <v>0</v>
      </c>
    </row>
    <row r="40" spans="1:147" s="16" customFormat="1" x14ac:dyDescent="0.25">
      <c r="A40" s="627">
        <f>Rezone!J40</f>
        <v>38</v>
      </c>
      <c r="B40" s="56">
        <f ca="1">SUM(E40:K40)+SUM(AF32:AG40)+SUM(AH29:AL40)+Z40+Explore!AL40</f>
        <v>5295</v>
      </c>
      <c r="C40" s="97">
        <f ca="1">Population!G40</f>
        <v>0.74159663865546221</v>
      </c>
      <c r="E40" s="52">
        <f t="shared" si="66"/>
        <v>0</v>
      </c>
      <c r="F40" s="16">
        <f t="shared" si="67"/>
        <v>0</v>
      </c>
      <c r="G40" s="16">
        <f t="shared" si="68"/>
        <v>0</v>
      </c>
      <c r="H40" s="16">
        <f t="shared" si="69"/>
        <v>0</v>
      </c>
      <c r="I40" s="16">
        <f t="shared" si="70"/>
        <v>0</v>
      </c>
      <c r="J40" s="16">
        <f t="shared" si="71"/>
        <v>0</v>
      </c>
      <c r="K40" s="53">
        <f t="shared" si="72"/>
        <v>0</v>
      </c>
      <c r="M40" s="64">
        <f ca="1">Production!G40</f>
        <v>20900</v>
      </c>
      <c r="O40" s="142">
        <f t="shared" ca="1" si="77"/>
        <v>0</v>
      </c>
      <c r="P40" s="454">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8"/>
        <v>5295</v>
      </c>
      <c r="T40" s="1047">
        <f ca="1">race_defense+Imps!AC40+ROUND(MIN(gt_bonus*Construction!BH40/Construction!$E40,gt_bonus_cap),4)+MAX(IF(Magic!AM40&gt;0,frenzy_bonus,IF(Magic!AQ40&gt;0,blizzard_bonus,IF(Magic!AP40&gt;0,howling_dp_bonus,IF(Magic!AI40&gt;0,ares_call_bonus)))),IF(Magic!AX40&gt;0,MIN(Construction!DF40/Construction!E40,0.2),0))</f>
        <v>0</v>
      </c>
      <c r="U40" s="1041">
        <f t="shared" ca="1" si="47"/>
        <v>0</v>
      </c>
      <c r="V40" s="310">
        <f t="shared" ca="1" si="48"/>
        <v>5295</v>
      </c>
      <c r="W40" s="310">
        <f>Construction!E40</f>
        <v>1000</v>
      </c>
      <c r="X40" s="367"/>
      <c r="Y40" s="146">
        <f t="shared" si="76"/>
        <v>0.4</v>
      </c>
      <c r="Z40" s="166">
        <f ca="1">Z39+Population!Z39 - IF(race="Lux",AF40,SUM(AF40:AK40)) - BE40 + SUM(BF40:BL40) - Explore!AI40</f>
        <v>5295</v>
      </c>
      <c r="AA40" s="164"/>
      <c r="AB40" s="91">
        <f>(Construction!$BA40+Construction!BY40)/(Construction!$E40-Explore!S40*20)</f>
        <v>0</v>
      </c>
      <c r="AC40" s="1516">
        <f ca="1">Imps!AE40</f>
        <v>0</v>
      </c>
      <c r="AD40" s="795">
        <f>Rezone!J40</f>
        <v>38</v>
      </c>
      <c r="AE40" s="587">
        <f>Explore!AA40</f>
        <v>43768.385416666577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9"/>
        <v>0</v>
      </c>
      <c r="AV40" s="164">
        <f t="shared" ca="1" si="80"/>
        <v>0</v>
      </c>
      <c r="AW40" s="164">
        <f t="shared" ca="1" si="50"/>
        <v>0</v>
      </c>
      <c r="AX40" s="164">
        <f t="shared" ca="1" si="51"/>
        <v>0</v>
      </c>
      <c r="AY40" s="164">
        <f t="shared" ca="1" si="52"/>
        <v>0</v>
      </c>
      <c r="AZ40" s="164">
        <f t="shared" ca="1" si="53"/>
        <v>0</v>
      </c>
      <c r="BA40" s="166">
        <f t="shared" ca="1" si="54"/>
        <v>0</v>
      </c>
      <c r="BB40" s="16">
        <v>38</v>
      </c>
      <c r="BC40" s="572">
        <f t="shared" si="73"/>
        <v>43768.385416666577</v>
      </c>
      <c r="BD40" s="148">
        <f t="shared" ca="1" si="74"/>
        <v>5295</v>
      </c>
      <c r="BE40" s="356"/>
      <c r="BF40" s="348"/>
      <c r="BG40" s="348"/>
      <c r="BH40" s="348"/>
      <c r="BI40" s="348"/>
      <c r="BJ40" s="348"/>
      <c r="BK40" s="348"/>
      <c r="BL40" s="357"/>
      <c r="BN40" s="501">
        <f>Construction!BM40/Construction!E40</f>
        <v>0</v>
      </c>
      <c r="BO40" s="171">
        <f>Construction!BD40/Construction!E40</f>
        <v>0</v>
      </c>
      <c r="BP40" s="152">
        <f ca="1">ROUNDUP((1-MIN(AB40*smithy_bonus,smithy_bonus_cap)-AC40)*(1+Techs!AO40*tech_master_of_frugality)*spec_op_plat,0)</f>
        <v>275</v>
      </c>
      <c r="BQ40" s="164">
        <f ca="1">ROUNDUP(IF(OR(race="Gnome",race="Imperial Gnome"),1-AC40,(1-MIN(AB40*smithy_bonus,smithy_bonus_cap)-AC40)*(1+Techs!AO40*tech_master_of_frugality))*spec_op_ore,0)</f>
        <v>25</v>
      </c>
      <c r="BR40" s="164">
        <f t="shared" si="6"/>
        <v>0</v>
      </c>
      <c r="BS40" s="164">
        <f t="shared" si="7"/>
        <v>0</v>
      </c>
      <c r="BT40" s="164">
        <f ca="1">ROUNDUP((1-MIN(AB40*smithy_bonus,smithy_bonus_cap)-AC40)*(1+Techs!AO40*tech_master_of_frugality)*spec_dp_plat,0)</f>
        <v>275</v>
      </c>
      <c r="BU40" s="164">
        <f ca="1">ROUNDUP(IF(OR(race="Gnome",race="Imperial Gnome"),1-AC40,(1-MIN(AB40*smithy_bonus,smithy_bonus_cap)-AC40)*(1+Techs!AO40*tech_master_of_frugality))*spec_dp_ore,0)</f>
        <v>10</v>
      </c>
      <c r="BV40" s="164">
        <f t="shared" ca="1" si="8"/>
        <v>0</v>
      </c>
      <c r="BW40" s="164">
        <f t="shared" ca="1" si="9"/>
        <v>0</v>
      </c>
      <c r="BX40" s="164">
        <f t="shared" ca="1" si="10"/>
        <v>0</v>
      </c>
      <c r="BY40" s="164">
        <f ca="1">ROUNDUP((1-MIN(AB40*smithy_bonus,smithy_bonus_cap)-AC40)*(1+Techs!AO40*tech_master_of_frugality)*elite1_plat,0)</f>
        <v>1000</v>
      </c>
      <c r="BZ40" s="164">
        <f ca="1">ROUNDUP(IF(OR(race="Gnome",race="Imperial Gnome"),1-AC40,(1-MIN(AB40*smithy_bonus,smithy_bonus_cap)-AC40)*(1+Techs!AO40*tech_master_of_frugality))*elite1_ore,0)</f>
        <v>75</v>
      </c>
      <c r="CA40" s="164">
        <f t="shared" ca="1" si="55"/>
        <v>0</v>
      </c>
      <c r="CB40" s="164">
        <f t="shared" ca="1" si="12"/>
        <v>0</v>
      </c>
      <c r="CC40" s="164">
        <f t="shared" ca="1" si="13"/>
        <v>0</v>
      </c>
      <c r="CD40" s="164">
        <f t="shared" ca="1" si="14"/>
        <v>0</v>
      </c>
      <c r="CE40" s="164">
        <f t="shared" ca="1" si="15"/>
        <v>0</v>
      </c>
      <c r="CF40" s="164">
        <f ca="1">ROUNDUP((1-MIN(AB40*smithy_bonus,smithy_bonus_cap)-AC40)*(1+Techs!AO40*tech_master_of_frugality)*elite2_plat,0)</f>
        <v>1250</v>
      </c>
      <c r="CG40" s="164">
        <f ca="1">ROUNDUP(IF(OR(race="Gnome",race="Imperial Gnome"),1-AC40,(1-MIN(AB40*smithy_bonus,smithy_bonus_cap)-AC40)*(1+Techs!AO40*tech_master_of_frugality))*elite2_ore,0)</f>
        <v>100</v>
      </c>
      <c r="CH40" s="164">
        <f t="shared" ca="1" si="56"/>
        <v>0</v>
      </c>
      <c r="CI40" s="164">
        <f t="shared" ca="1" si="17"/>
        <v>0</v>
      </c>
      <c r="CJ40" s="164">
        <f t="shared" ca="1" si="18"/>
        <v>0</v>
      </c>
      <c r="CK40" s="164">
        <f t="shared" ca="1" si="19"/>
        <v>0</v>
      </c>
      <c r="CL40" s="164">
        <f t="shared" ca="1" si="20"/>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4">
        <f ca="1">Construction!DF40/Construction!E40</f>
        <v>0.15</v>
      </c>
      <c r="CR40" s="465">
        <f t="shared" si="75"/>
        <v>0</v>
      </c>
      <c r="CS40" s="465">
        <f>Construction!BK40/Construction!E40</f>
        <v>0.05</v>
      </c>
      <c r="CT40" s="465">
        <f>Construction!BJ40/Construction!E40</f>
        <v>0</v>
      </c>
      <c r="CU40" s="465">
        <f>Construction!AY40/Construction!E40</f>
        <v>0</v>
      </c>
      <c r="CV40" s="486">
        <f t="shared" ca="1" si="81"/>
        <v>0.74999999999999989</v>
      </c>
      <c r="CW40" s="487">
        <f t="shared" ca="1" si="82"/>
        <v>0.74999999999999989</v>
      </c>
      <c r="CX40" s="487">
        <f t="shared" ca="1" si="83"/>
        <v>0.74999999999999989</v>
      </c>
      <c r="CY40" s="488">
        <f t="shared" ca="1" si="84"/>
        <v>0.74999999999999989</v>
      </c>
      <c r="CZ40" s="488">
        <f t="shared" si="85"/>
        <v>0</v>
      </c>
      <c r="DA40" s="488">
        <f t="shared" ca="1" si="86"/>
        <v>2.9999999999999996</v>
      </c>
      <c r="DB40" s="488">
        <f t="shared" ca="1" si="87"/>
        <v>0.74999999999999989</v>
      </c>
      <c r="DC40" s="487">
        <f t="shared" si="88"/>
        <v>0</v>
      </c>
      <c r="DD40" s="843">
        <f t="shared" si="89"/>
        <v>0</v>
      </c>
      <c r="DE40" s="441">
        <f t="shared" si="58"/>
        <v>0</v>
      </c>
      <c r="DF40" s="441">
        <f t="shared" si="59"/>
        <v>0</v>
      </c>
      <c r="DG40" s="486">
        <f t="shared" ca="1" si="90"/>
        <v>0.74999999999999989</v>
      </c>
      <c r="DH40" s="451">
        <f t="shared" si="91"/>
        <v>0</v>
      </c>
      <c r="DI40" s="451">
        <f>MIN(valkyrja_cap,Production!O40/valkyrja_bonus)</f>
        <v>1</v>
      </c>
      <c r="DJ40" s="843">
        <f>MIN(voodoo_magi_cap,Production!O40/voodoo_magi_bonus)</f>
        <v>0.83333333333333337</v>
      </c>
      <c r="DK40" s="843">
        <f>MIN(warlock_cap,Production!O40/warlock_bonus)</f>
        <v>1</v>
      </c>
      <c r="DL40" s="843">
        <f ca="1">MIN(nox_nightshade_cap,Construction!DF40/Construction!E40/nox_nightshade_swamp_bonus)</f>
        <v>1.4999999999999998</v>
      </c>
      <c r="DM40" s="487">
        <f t="shared" si="92"/>
        <v>0</v>
      </c>
      <c r="DN40" s="488">
        <f t="shared" ca="1" si="93"/>
        <v>1.4999999999999998</v>
      </c>
      <c r="DO40" s="488">
        <f t="shared" ca="1" si="94"/>
        <v>1.4999999999999998</v>
      </c>
      <c r="DP40" s="488">
        <f t="shared" si="95"/>
        <v>1</v>
      </c>
      <c r="DQ40" s="487">
        <f t="shared" si="96"/>
        <v>0</v>
      </c>
      <c r="DR40" s="488">
        <f t="shared" si="97"/>
        <v>0</v>
      </c>
      <c r="DS40" s="487">
        <f t="shared" si="98"/>
        <v>0</v>
      </c>
      <c r="DT40" s="488">
        <f t="shared" si="99"/>
        <v>0</v>
      </c>
      <c r="DX40" s="486">
        <f ca="1">MIN(6,CV40+Races!$F$19)*1.8 +  IF(CV40+Races!$F$19&gt;6,(CV40+Races!$F$19-6)*0.2,0) - Races!$N$19</f>
        <v>1.3500000000000005</v>
      </c>
      <c r="DY40" s="487">
        <f ca="1">1.8 * MIN(MAX(CW40+Races!$E$20,CX40+Races!$F$20),6)  +  0.45 * MIN(MIN(CW40+Races!$E$20,CX40+Races!$F$20),6)  +  0.2 * ( MAX(CW40+Races!$E$20-6,0) + MAX(CX40+Races!$F$20-6,0) )  -  Races!$N$20</f>
        <v>1.6874999999999991</v>
      </c>
      <c r="DZ40" s="57">
        <f t="shared" ca="1" si="100"/>
        <v>0</v>
      </c>
      <c r="EA40" s="663">
        <f ca="1">MIN(6,CY40+Races!$F$35)*1.8 +  IF(CY40+Races!$F$35&gt;6,(CY40+Races!$F$35-6)*0.2,0) - Races!$N$19</f>
        <v>-0.45000000000000018</v>
      </c>
      <c r="EB40" s="57">
        <f t="shared" ca="1" si="101"/>
        <v>0</v>
      </c>
      <c r="EC40" s="663">
        <f ca="1">1.8 * MIN(MAX(Races!$E$27,DB40+Races!$F$27),6)  +  0.45 * MIN(MIN(Races!$E$27,DB40+Races!$F$27),6)  +  0.2 * ( MAX(Races!$E$27-6,0) + MAX(DB40+Races!$F$27-6,0) )  -  Races!$N$20</f>
        <v>3.6000000000000005</v>
      </c>
      <c r="ED40" s="57">
        <f t="shared" ca="1" si="102"/>
        <v>0</v>
      </c>
      <c r="EE40" s="663">
        <f>1.8 * MIN(MAX(DC40+Races!$E$47,DD40+Races!$F$47),6)  +  0.45 * MIN(MIN(DC40+Races!$E$47,DD40+Races!$F$47),6)  +  0.2 * ( MAX(DC40+Races!$E$47-6,0) + MAX(DD40+Races!$F$47-6,0) )  -  Races!$N$47</f>
        <v>0</v>
      </c>
      <c r="EF40" s="57">
        <f t="shared" si="103"/>
        <v>0</v>
      </c>
      <c r="EG40" s="663">
        <f ca="1">1.8 * MIN(MAX(DG40+Races!$F$71,Races!$E$71),6)  +  0.45 * MIN(MIN(DG40+Races!$F$71,Races!$E$71),6)  +  0.2 * ( MAX(DG40+Races!$F$71-6,0) + MAX(Races!$E$71-6,0) )  -  Races!$N$71</f>
        <v>1.3499999999999996</v>
      </c>
      <c r="EH40" s="663">
        <f>1.8 * MIN(MAX(DH40+Races!$E$71,Races!$F$71),6)  +  0.45 * MIN(MIN(DH40+Races!$E$71,Races!$F$71),6)  +  0.2 * ( MAX(DH40+Races!$E$71-6,0) + MAX(Races!$F$71-6,0) )  -  Races!$N$71</f>
        <v>0</v>
      </c>
      <c r="EI40" s="57">
        <f t="shared" ca="1" si="104"/>
        <v>0</v>
      </c>
      <c r="EJ40" s="57"/>
      <c r="EK40" s="57"/>
      <c r="EL40" s="57"/>
      <c r="EM40" s="57">
        <f ca="1">Overview!$L$22*E40+Overview!$L$23*F40+Overview!$L$24*G40+Overview!$L$25*H40+Overview!$L$26*I40+Overview!$L$27*J40+Overview!$L$28*K40+Construction!E40*20+Construction!B40*5 + DZ40*$DV$4+EB40*$DV$5+ED40*$DV$6+EF40*$DV$7+EI40*$DV$9</f>
        <v>20900</v>
      </c>
      <c r="EO40" s="734">
        <f>(J40+2*K40)/Construction!E40</f>
        <v>0</v>
      </c>
      <c r="EP40" s="730">
        <f ca="1">EO40*(1+race_wizard_strength+tech_magical_weaponry_wiz*Techs!AV112)</f>
        <v>0</v>
      </c>
      <c r="EQ40" s="16">
        <f>(I40+halfer*H40/3)/Construction!E40</f>
        <v>0</v>
      </c>
    </row>
    <row r="41" spans="1:147" s="16" customFormat="1" x14ac:dyDescent="0.25">
      <c r="A41" s="627">
        <f>Rezone!J41</f>
        <v>39</v>
      </c>
      <c r="B41" s="56">
        <f ca="1">SUM(E41:K41)+SUM(AF33:AG41)+SUM(AH30:AL41)+Z41+Explore!AL41</f>
        <v>5295</v>
      </c>
      <c r="C41" s="97">
        <f ca="1">Population!G41</f>
        <v>0.74159663865546221</v>
      </c>
      <c r="E41" s="52">
        <f t="shared" si="66"/>
        <v>0</v>
      </c>
      <c r="F41" s="16">
        <f t="shared" si="67"/>
        <v>0</v>
      </c>
      <c r="G41" s="16">
        <f t="shared" si="68"/>
        <v>0</v>
      </c>
      <c r="H41" s="16">
        <f t="shared" si="69"/>
        <v>0</v>
      </c>
      <c r="I41" s="16">
        <f t="shared" si="70"/>
        <v>0</v>
      </c>
      <c r="J41" s="16">
        <f t="shared" si="71"/>
        <v>0</v>
      </c>
      <c r="K41" s="53">
        <f t="shared" si="72"/>
        <v>0</v>
      </c>
      <c r="M41" s="64">
        <f ca="1">Production!G41</f>
        <v>20900</v>
      </c>
      <c r="O41" s="142">
        <f t="shared" ca="1" si="77"/>
        <v>0</v>
      </c>
      <c r="P41" s="454">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8"/>
        <v>5295</v>
      </c>
      <c r="T41" s="1047">
        <f ca="1">race_defense+Imps!AC41+ROUND(MIN(gt_bonus*Construction!BH41/Construction!$E41,gt_bonus_cap),4)+MAX(IF(Magic!AM41&gt;0,frenzy_bonus,IF(Magic!AQ41&gt;0,blizzard_bonus,IF(Magic!AP41&gt;0,howling_dp_bonus,IF(Magic!AI41&gt;0,ares_call_bonus)))),IF(Magic!AX41&gt;0,MIN(Construction!DF41/Construction!E41,0.2),0))</f>
        <v>0</v>
      </c>
      <c r="U41" s="1041">
        <f t="shared" ca="1" si="47"/>
        <v>0</v>
      </c>
      <c r="V41" s="310">
        <f t="shared" ca="1" si="48"/>
        <v>5295</v>
      </c>
      <c r="W41" s="310">
        <f>Construction!E41</f>
        <v>1000</v>
      </c>
      <c r="X41" s="367"/>
      <c r="Y41" s="146">
        <f t="shared" si="76"/>
        <v>0.4</v>
      </c>
      <c r="Z41" s="166">
        <f ca="1">Z40+Population!Z40 - IF(race="Lux",AF41,SUM(AF41:AK41)) - BE41 + SUM(BF41:BL41) - Explore!AI41</f>
        <v>5295</v>
      </c>
      <c r="AA41" s="164"/>
      <c r="AB41" s="91">
        <f>(Construction!$BA41+Construction!BY41)/(Construction!$E41-Explore!S41*20)</f>
        <v>0</v>
      </c>
      <c r="AC41" s="1516">
        <f ca="1">Imps!AE41</f>
        <v>0</v>
      </c>
      <c r="AD41" s="795">
        <f>Rezone!J41</f>
        <v>39</v>
      </c>
      <c r="AE41" s="587">
        <f>Explore!AA41</f>
        <v>43768.395833333241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9"/>
        <v>0</v>
      </c>
      <c r="AV41" s="164">
        <f t="shared" ca="1" si="80"/>
        <v>0</v>
      </c>
      <c r="AW41" s="164">
        <f t="shared" ca="1" si="50"/>
        <v>0</v>
      </c>
      <c r="AX41" s="164">
        <f t="shared" ca="1" si="51"/>
        <v>0</v>
      </c>
      <c r="AY41" s="164">
        <f t="shared" ca="1" si="52"/>
        <v>0</v>
      </c>
      <c r="AZ41" s="164">
        <f t="shared" ca="1" si="53"/>
        <v>0</v>
      </c>
      <c r="BA41" s="166">
        <f t="shared" ca="1" si="54"/>
        <v>0</v>
      </c>
      <c r="BB41" s="16">
        <v>39</v>
      </c>
      <c r="BC41" s="572">
        <f t="shared" si="73"/>
        <v>43768.395833333241</v>
      </c>
      <c r="BD41" s="148">
        <f t="shared" ca="1" si="74"/>
        <v>5295</v>
      </c>
      <c r="BE41" s="356"/>
      <c r="BF41" s="348"/>
      <c r="BG41" s="348"/>
      <c r="BH41" s="348"/>
      <c r="BI41" s="348"/>
      <c r="BJ41" s="348"/>
      <c r="BK41" s="348"/>
      <c r="BL41" s="357"/>
      <c r="BN41" s="501">
        <f>Construction!BM41/Construction!E41</f>
        <v>0</v>
      </c>
      <c r="BO41" s="171">
        <f>Construction!BD41/Construction!E41</f>
        <v>0</v>
      </c>
      <c r="BP41" s="152">
        <f ca="1">ROUNDUP((1-MIN(AB41*smithy_bonus,smithy_bonus_cap)-AC41)*(1+Techs!AO41*tech_master_of_frugality)*spec_op_plat,0)</f>
        <v>275</v>
      </c>
      <c r="BQ41" s="164">
        <f ca="1">ROUNDUP(IF(OR(race="Gnome",race="Imperial Gnome"),1-AC41,(1-MIN(AB41*smithy_bonus,smithy_bonus_cap)-AC41)*(1+Techs!AO41*tech_master_of_frugality))*spec_op_ore,0)</f>
        <v>25</v>
      </c>
      <c r="BR41" s="164">
        <f t="shared" si="6"/>
        <v>0</v>
      </c>
      <c r="BS41" s="164">
        <f t="shared" si="7"/>
        <v>0</v>
      </c>
      <c r="BT41" s="164">
        <f ca="1">ROUNDUP((1-MIN(AB41*smithy_bonus,smithy_bonus_cap)-AC41)*(1+Techs!AO41*tech_master_of_frugality)*spec_dp_plat,0)</f>
        <v>275</v>
      </c>
      <c r="BU41" s="164">
        <f ca="1">ROUNDUP(IF(OR(race="Gnome",race="Imperial Gnome"),1-AC41,(1-MIN(AB41*smithy_bonus,smithy_bonus_cap)-AC41)*(1+Techs!AO41*tech_master_of_frugality))*spec_dp_ore,0)</f>
        <v>10</v>
      </c>
      <c r="BV41" s="164">
        <f t="shared" ca="1" si="8"/>
        <v>0</v>
      </c>
      <c r="BW41" s="164">
        <f t="shared" ca="1" si="9"/>
        <v>0</v>
      </c>
      <c r="BX41" s="164">
        <f t="shared" ca="1" si="10"/>
        <v>0</v>
      </c>
      <c r="BY41" s="164">
        <f ca="1">ROUNDUP((1-MIN(AB41*smithy_bonus,smithy_bonus_cap)-AC41)*(1+Techs!AO41*tech_master_of_frugality)*elite1_plat,0)</f>
        <v>1000</v>
      </c>
      <c r="BZ41" s="164">
        <f ca="1">ROUNDUP(IF(OR(race="Gnome",race="Imperial Gnome"),1-AC41,(1-MIN(AB41*smithy_bonus,smithy_bonus_cap)-AC41)*(1+Techs!AO41*tech_master_of_frugality))*elite1_ore,0)</f>
        <v>75</v>
      </c>
      <c r="CA41" s="164">
        <f t="shared" ca="1" si="55"/>
        <v>0</v>
      </c>
      <c r="CB41" s="164">
        <f t="shared" ca="1" si="12"/>
        <v>0</v>
      </c>
      <c r="CC41" s="164">
        <f t="shared" ca="1" si="13"/>
        <v>0</v>
      </c>
      <c r="CD41" s="164">
        <f t="shared" ca="1" si="14"/>
        <v>0</v>
      </c>
      <c r="CE41" s="164">
        <f t="shared" ca="1" si="15"/>
        <v>0</v>
      </c>
      <c r="CF41" s="164">
        <f ca="1">ROUNDUP((1-MIN(AB41*smithy_bonus,smithy_bonus_cap)-AC41)*(1+Techs!AO41*tech_master_of_frugality)*elite2_plat,0)</f>
        <v>1250</v>
      </c>
      <c r="CG41" s="164">
        <f ca="1">ROUNDUP(IF(OR(race="Gnome",race="Imperial Gnome"),1-AC41,(1-MIN(AB41*smithy_bonus,smithy_bonus_cap)-AC41)*(1+Techs!AO41*tech_master_of_frugality))*elite2_ore,0)</f>
        <v>100</v>
      </c>
      <c r="CH41" s="164">
        <f t="shared" ca="1" si="56"/>
        <v>0</v>
      </c>
      <c r="CI41" s="164">
        <f t="shared" ca="1" si="17"/>
        <v>0</v>
      </c>
      <c r="CJ41" s="164">
        <f t="shared" ca="1" si="18"/>
        <v>0</v>
      </c>
      <c r="CK41" s="164">
        <f t="shared" ca="1" si="19"/>
        <v>0</v>
      </c>
      <c r="CL41" s="164">
        <f t="shared" ca="1" si="20"/>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4">
        <f ca="1">Construction!DF41/Construction!E41</f>
        <v>0.15</v>
      </c>
      <c r="CR41" s="465">
        <f t="shared" si="75"/>
        <v>0</v>
      </c>
      <c r="CS41" s="465">
        <f>Construction!BK41/Construction!E41</f>
        <v>0.05</v>
      </c>
      <c r="CT41" s="465">
        <f>Construction!BJ41/Construction!E41</f>
        <v>0</v>
      </c>
      <c r="CU41" s="465">
        <f>Construction!AY41/Construction!E41</f>
        <v>0</v>
      </c>
      <c r="CV41" s="486">
        <f t="shared" ca="1" si="81"/>
        <v>0.74999999999999989</v>
      </c>
      <c r="CW41" s="487">
        <f t="shared" ca="1" si="82"/>
        <v>0.74999999999999989</v>
      </c>
      <c r="CX41" s="487">
        <f t="shared" ca="1" si="83"/>
        <v>0.74999999999999989</v>
      </c>
      <c r="CY41" s="488">
        <f t="shared" ca="1" si="84"/>
        <v>0.74999999999999989</v>
      </c>
      <c r="CZ41" s="488">
        <f t="shared" si="85"/>
        <v>0</v>
      </c>
      <c r="DA41" s="488">
        <f t="shared" ca="1" si="86"/>
        <v>2.9999999999999996</v>
      </c>
      <c r="DB41" s="488">
        <f t="shared" ca="1" si="87"/>
        <v>0.74999999999999989</v>
      </c>
      <c r="DC41" s="487">
        <f t="shared" si="88"/>
        <v>0</v>
      </c>
      <c r="DD41" s="843">
        <f t="shared" si="89"/>
        <v>0</v>
      </c>
      <c r="DE41" s="441">
        <f t="shared" si="58"/>
        <v>0</v>
      </c>
      <c r="DF41" s="441">
        <f t="shared" si="59"/>
        <v>0</v>
      </c>
      <c r="DG41" s="486">
        <f t="shared" ca="1" si="90"/>
        <v>0.74999999999999989</v>
      </c>
      <c r="DH41" s="451">
        <f t="shared" si="91"/>
        <v>0</v>
      </c>
      <c r="DI41" s="451">
        <f>MIN(valkyrja_cap,Production!O41/valkyrja_bonus)</f>
        <v>1</v>
      </c>
      <c r="DJ41" s="843">
        <f>MIN(voodoo_magi_cap,Production!O41/voodoo_magi_bonus)</f>
        <v>0.83333333333333337</v>
      </c>
      <c r="DK41" s="843">
        <f>MIN(warlock_cap,Production!O41/warlock_bonus)</f>
        <v>1</v>
      </c>
      <c r="DL41" s="843">
        <f ca="1">MIN(nox_nightshade_cap,Construction!DF41/Construction!E41/nox_nightshade_swamp_bonus)</f>
        <v>1.4999999999999998</v>
      </c>
      <c r="DM41" s="487">
        <f t="shared" si="92"/>
        <v>0</v>
      </c>
      <c r="DN41" s="488">
        <f t="shared" ca="1" si="93"/>
        <v>1.4999999999999998</v>
      </c>
      <c r="DO41" s="488">
        <f t="shared" ca="1" si="94"/>
        <v>1.4999999999999998</v>
      </c>
      <c r="DP41" s="488">
        <f t="shared" si="95"/>
        <v>1</v>
      </c>
      <c r="DQ41" s="487">
        <f t="shared" si="96"/>
        <v>0</v>
      </c>
      <c r="DR41" s="488">
        <f t="shared" si="97"/>
        <v>0</v>
      </c>
      <c r="DS41" s="487">
        <f t="shared" si="98"/>
        <v>0</v>
      </c>
      <c r="DT41" s="488">
        <f t="shared" si="99"/>
        <v>0</v>
      </c>
      <c r="DX41" s="486">
        <f ca="1">MIN(6,CV41+Races!$F$19)*1.8 +  IF(CV41+Races!$F$19&gt;6,(CV41+Races!$F$19-6)*0.2,0) - Races!$N$19</f>
        <v>1.3500000000000005</v>
      </c>
      <c r="DY41" s="487">
        <f ca="1">1.8 * MIN(MAX(CW41+Races!$E$20,CX41+Races!$F$20),6)  +  0.45 * MIN(MIN(CW41+Races!$E$20,CX41+Races!$F$20),6)  +  0.2 * ( MAX(CW41+Races!$E$20-6,0) + MAX(CX41+Races!$F$20-6,0) )  -  Races!$N$20</f>
        <v>1.6874999999999991</v>
      </c>
      <c r="DZ41" s="57">
        <f t="shared" ca="1" si="100"/>
        <v>0</v>
      </c>
      <c r="EA41" s="663">
        <f ca="1">MIN(6,CY41+Races!$F$35)*1.8 +  IF(CY41+Races!$F$35&gt;6,(CY41+Races!$F$35-6)*0.2,0) - Races!$N$19</f>
        <v>-0.45000000000000018</v>
      </c>
      <c r="EB41" s="57">
        <f t="shared" ca="1" si="101"/>
        <v>0</v>
      </c>
      <c r="EC41" s="663">
        <f ca="1">1.8 * MIN(MAX(Races!$E$27,DB41+Races!$F$27),6)  +  0.45 * MIN(MIN(Races!$E$27,DB41+Races!$F$27),6)  +  0.2 * ( MAX(Races!$E$27-6,0) + MAX(DB41+Races!$F$27-6,0) )  -  Races!$N$20</f>
        <v>3.6000000000000005</v>
      </c>
      <c r="ED41" s="57">
        <f t="shared" ca="1" si="102"/>
        <v>0</v>
      </c>
      <c r="EE41" s="663">
        <f>1.8 * MIN(MAX(DC41+Races!$E$47,DD41+Races!$F$47),6)  +  0.45 * MIN(MIN(DC41+Races!$E$47,DD41+Races!$F$47),6)  +  0.2 * ( MAX(DC41+Races!$E$47-6,0) + MAX(DD41+Races!$F$47-6,0) )  -  Races!$N$47</f>
        <v>0</v>
      </c>
      <c r="EF41" s="57">
        <f t="shared" si="103"/>
        <v>0</v>
      </c>
      <c r="EG41" s="663">
        <f ca="1">1.8 * MIN(MAX(DG41+Races!$F$71,Races!$E$71),6)  +  0.45 * MIN(MIN(DG41+Races!$F$71,Races!$E$71),6)  +  0.2 * ( MAX(DG41+Races!$F$71-6,0) + MAX(Races!$E$71-6,0) )  -  Races!$N$71</f>
        <v>1.3499999999999996</v>
      </c>
      <c r="EH41" s="663">
        <f>1.8 * MIN(MAX(DH41+Races!$E$71,Races!$F$71),6)  +  0.45 * MIN(MIN(DH41+Races!$E$71,Races!$F$71),6)  +  0.2 * ( MAX(DH41+Races!$E$71-6,0) + MAX(Races!$F$71-6,0) )  -  Races!$N$71</f>
        <v>0</v>
      </c>
      <c r="EI41" s="57">
        <f t="shared" ca="1" si="104"/>
        <v>0</v>
      </c>
      <c r="EJ41" s="57"/>
      <c r="EK41" s="57"/>
      <c r="EL41" s="57"/>
      <c r="EM41" s="57">
        <f ca="1">Overview!$L$22*E41+Overview!$L$23*F41+Overview!$L$24*G41+Overview!$L$25*H41+Overview!$L$26*I41+Overview!$L$27*J41+Overview!$L$28*K41+Construction!E41*20+Construction!B41*5 + DZ41*$DV$4+EB41*$DV$5+ED41*$DV$6+EF41*$DV$7+EI41*$DV$9</f>
        <v>20900</v>
      </c>
      <c r="EO41" s="734">
        <f>(J41+2*K41)/Construction!E41</f>
        <v>0</v>
      </c>
      <c r="EP41" s="730">
        <f ca="1">EO41*(1+race_wizard_strength+tech_magical_weaponry_wiz*Techs!AV113)</f>
        <v>0</v>
      </c>
      <c r="EQ41" s="16">
        <f>(I41+halfer*H41/3)/Construction!E41</f>
        <v>0</v>
      </c>
    </row>
    <row r="42" spans="1:147" s="16" customFormat="1" x14ac:dyDescent="0.25">
      <c r="A42" s="627">
        <f>Rezone!J42</f>
        <v>40</v>
      </c>
      <c r="B42" s="56">
        <f ca="1">SUM(E42:K42)+SUM(AF34:AG42)+SUM(AH31:AL42)+Z42+Explore!AL42</f>
        <v>5295</v>
      </c>
      <c r="C42" s="97">
        <f ca="1">Population!G42</f>
        <v>0.74159663865546221</v>
      </c>
      <c r="E42" s="52">
        <f t="shared" si="66"/>
        <v>0</v>
      </c>
      <c r="F42" s="16">
        <f t="shared" si="67"/>
        <v>0</v>
      </c>
      <c r="G42" s="16">
        <f t="shared" si="68"/>
        <v>0</v>
      </c>
      <c r="H42" s="16">
        <f t="shared" si="69"/>
        <v>0</v>
      </c>
      <c r="I42" s="16">
        <f t="shared" si="70"/>
        <v>0</v>
      </c>
      <c r="J42" s="16">
        <f t="shared" si="71"/>
        <v>0</v>
      </c>
      <c r="K42" s="53">
        <f t="shared" si="72"/>
        <v>0</v>
      </c>
      <c r="M42" s="64">
        <f ca="1">Production!G42</f>
        <v>20900</v>
      </c>
      <c r="O42" s="142">
        <f t="shared" ca="1" si="77"/>
        <v>0</v>
      </c>
      <c r="P42" s="454">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8"/>
        <v>5295</v>
      </c>
      <c r="T42" s="1047">
        <f ca="1">race_defense+Imps!AC42+ROUND(MIN(gt_bonus*Construction!BH42/Construction!$E42,gt_bonus_cap),4)+MAX(IF(Magic!AM42&gt;0,frenzy_bonus,IF(Magic!AQ42&gt;0,blizzard_bonus,IF(Magic!AP42&gt;0,howling_dp_bonus,IF(Magic!AI42&gt;0,ares_call_bonus)))),IF(Magic!AX42&gt;0,MIN(Construction!DF42/Construction!E42,0.2),0))</f>
        <v>0</v>
      </c>
      <c r="U42" s="1041">
        <f t="shared" ca="1" si="47"/>
        <v>0</v>
      </c>
      <c r="V42" s="310">
        <f t="shared" ca="1" si="48"/>
        <v>5295</v>
      </c>
      <c r="W42" s="310">
        <f>Construction!E42</f>
        <v>1000</v>
      </c>
      <c r="X42" s="367"/>
      <c r="Y42" s="146">
        <f t="shared" si="76"/>
        <v>0.4</v>
      </c>
      <c r="Z42" s="166">
        <f ca="1">Z41+Population!Z41 - IF(race="Lux",AF42,SUM(AF42:AK42)) - BE42 + SUM(BF42:BL42) - Explore!AI42</f>
        <v>5295</v>
      </c>
      <c r="AA42" s="164"/>
      <c r="AB42" s="91">
        <f>(Construction!$BA42+Construction!BY42)/(Construction!$E42-Explore!S42*20)</f>
        <v>0</v>
      </c>
      <c r="AC42" s="1516">
        <f ca="1">Imps!AE42</f>
        <v>0</v>
      </c>
      <c r="AD42" s="795">
        <f>Rezone!J42</f>
        <v>40</v>
      </c>
      <c r="AE42" s="587">
        <f>Explore!AA42</f>
        <v>43768.406249999905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9"/>
        <v>0</v>
      </c>
      <c r="AV42" s="164">
        <f t="shared" ca="1" si="80"/>
        <v>0</v>
      </c>
      <c r="AW42" s="164">
        <f t="shared" ca="1" si="50"/>
        <v>0</v>
      </c>
      <c r="AX42" s="164">
        <f t="shared" ca="1" si="51"/>
        <v>0</v>
      </c>
      <c r="AY42" s="164">
        <f t="shared" ca="1" si="52"/>
        <v>0</v>
      </c>
      <c r="AZ42" s="164">
        <f t="shared" ca="1" si="53"/>
        <v>0</v>
      </c>
      <c r="BA42" s="166">
        <f t="shared" ca="1" si="54"/>
        <v>0</v>
      </c>
      <c r="BB42" s="16">
        <v>40</v>
      </c>
      <c r="BC42" s="572">
        <f t="shared" si="73"/>
        <v>43768.406249999905</v>
      </c>
      <c r="BD42" s="148">
        <f t="shared" ca="1" si="74"/>
        <v>5295</v>
      </c>
      <c r="BE42" s="356"/>
      <c r="BF42" s="348"/>
      <c r="BG42" s="348"/>
      <c r="BH42" s="348"/>
      <c r="BI42" s="348"/>
      <c r="BJ42" s="348"/>
      <c r="BK42" s="348"/>
      <c r="BL42" s="357"/>
      <c r="BN42" s="501">
        <f>Construction!BM42/Construction!E42</f>
        <v>0</v>
      </c>
      <c r="BO42" s="171">
        <f>Construction!BD42/Construction!E42</f>
        <v>0</v>
      </c>
      <c r="BP42" s="152">
        <f ca="1">ROUNDUP((1-MIN(AB42*smithy_bonus,smithy_bonus_cap)-AC42)*(1+Techs!AO42*tech_master_of_frugality)*spec_op_plat,0)</f>
        <v>275</v>
      </c>
      <c r="BQ42" s="164">
        <f ca="1">ROUNDUP(IF(OR(race="Gnome",race="Imperial Gnome"),1-AC42,(1-MIN(AB42*smithy_bonus,smithy_bonus_cap)-AC42)*(1+Techs!AO42*tech_master_of_frugality))*spec_op_ore,0)</f>
        <v>25</v>
      </c>
      <c r="BR42" s="164">
        <f t="shared" si="6"/>
        <v>0</v>
      </c>
      <c r="BS42" s="164">
        <f t="shared" si="7"/>
        <v>0</v>
      </c>
      <c r="BT42" s="164">
        <f ca="1">ROUNDUP((1-MIN(AB42*smithy_bonus,smithy_bonus_cap)-AC42)*(1+Techs!AO42*tech_master_of_frugality)*spec_dp_plat,0)</f>
        <v>275</v>
      </c>
      <c r="BU42" s="164">
        <f ca="1">ROUNDUP(IF(OR(race="Gnome",race="Imperial Gnome"),1-AC42,(1-MIN(AB42*smithy_bonus,smithy_bonus_cap)-AC42)*(1+Techs!AO42*tech_master_of_frugality))*spec_dp_ore,0)</f>
        <v>10</v>
      </c>
      <c r="BV42" s="164">
        <f t="shared" ca="1" si="8"/>
        <v>0</v>
      </c>
      <c r="BW42" s="164">
        <f t="shared" ca="1" si="9"/>
        <v>0</v>
      </c>
      <c r="BX42" s="164">
        <f t="shared" ca="1" si="10"/>
        <v>0</v>
      </c>
      <c r="BY42" s="164">
        <f ca="1">ROUNDUP((1-MIN(AB42*smithy_bonus,smithy_bonus_cap)-AC42)*(1+Techs!AO42*tech_master_of_frugality)*elite1_plat,0)</f>
        <v>1000</v>
      </c>
      <c r="BZ42" s="164">
        <f ca="1">ROUNDUP(IF(OR(race="Gnome",race="Imperial Gnome"),1-AC42,(1-MIN(AB42*smithy_bonus,smithy_bonus_cap)-AC42)*(1+Techs!AO42*tech_master_of_frugality))*elite1_ore,0)</f>
        <v>75</v>
      </c>
      <c r="CA42" s="164">
        <f t="shared" ca="1" si="55"/>
        <v>0</v>
      </c>
      <c r="CB42" s="164">
        <f t="shared" ca="1" si="12"/>
        <v>0</v>
      </c>
      <c r="CC42" s="164">
        <f t="shared" ca="1" si="13"/>
        <v>0</v>
      </c>
      <c r="CD42" s="164">
        <f t="shared" ca="1" si="14"/>
        <v>0</v>
      </c>
      <c r="CE42" s="164">
        <f t="shared" ca="1" si="15"/>
        <v>0</v>
      </c>
      <c r="CF42" s="164">
        <f ca="1">ROUNDUP((1-MIN(AB42*smithy_bonus,smithy_bonus_cap)-AC42)*(1+Techs!AO42*tech_master_of_frugality)*elite2_plat,0)</f>
        <v>1250</v>
      </c>
      <c r="CG42" s="164">
        <f ca="1">ROUNDUP(IF(OR(race="Gnome",race="Imperial Gnome"),1-AC42,(1-MIN(AB42*smithy_bonus,smithy_bonus_cap)-AC42)*(1+Techs!AO42*tech_master_of_frugality))*elite2_ore,0)</f>
        <v>100</v>
      </c>
      <c r="CH42" s="164">
        <f t="shared" ca="1" si="56"/>
        <v>0</v>
      </c>
      <c r="CI42" s="164">
        <f t="shared" ca="1" si="17"/>
        <v>0</v>
      </c>
      <c r="CJ42" s="164">
        <f t="shared" ca="1" si="18"/>
        <v>0</v>
      </c>
      <c r="CK42" s="164">
        <f t="shared" ca="1" si="19"/>
        <v>0</v>
      </c>
      <c r="CL42" s="164">
        <f t="shared" ca="1" si="20"/>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4">
        <f ca="1">Construction!DF42/Construction!E42</f>
        <v>0.15</v>
      </c>
      <c r="CR42" s="465">
        <f t="shared" si="75"/>
        <v>0</v>
      </c>
      <c r="CS42" s="465">
        <f>Construction!BK42/Construction!E42</f>
        <v>0.05</v>
      </c>
      <c r="CT42" s="465">
        <f>Construction!BJ42/Construction!E42</f>
        <v>0</v>
      </c>
      <c r="CU42" s="465">
        <f>Construction!AY42/Construction!E42</f>
        <v>0</v>
      </c>
      <c r="CV42" s="486">
        <f t="shared" ca="1" si="81"/>
        <v>0.74999999999999989</v>
      </c>
      <c r="CW42" s="487">
        <f t="shared" ca="1" si="82"/>
        <v>0.74999999999999989</v>
      </c>
      <c r="CX42" s="487">
        <f t="shared" ca="1" si="83"/>
        <v>0.74999999999999989</v>
      </c>
      <c r="CY42" s="488">
        <f t="shared" ca="1" si="84"/>
        <v>0.74999999999999989</v>
      </c>
      <c r="CZ42" s="488">
        <f t="shared" si="85"/>
        <v>0</v>
      </c>
      <c r="DA42" s="488">
        <f t="shared" ca="1" si="86"/>
        <v>2.9999999999999996</v>
      </c>
      <c r="DB42" s="488">
        <f t="shared" ca="1" si="87"/>
        <v>0.74999999999999989</v>
      </c>
      <c r="DC42" s="487">
        <f t="shared" si="88"/>
        <v>0</v>
      </c>
      <c r="DD42" s="843">
        <f t="shared" si="89"/>
        <v>0</v>
      </c>
      <c r="DE42" s="441">
        <f t="shared" si="58"/>
        <v>0</v>
      </c>
      <c r="DF42" s="441">
        <f t="shared" si="59"/>
        <v>0</v>
      </c>
      <c r="DG42" s="486">
        <f t="shared" ca="1" si="90"/>
        <v>0.74999999999999989</v>
      </c>
      <c r="DH42" s="451">
        <f t="shared" si="91"/>
        <v>0</v>
      </c>
      <c r="DI42" s="451">
        <f>MIN(valkyrja_cap,Production!O42/valkyrja_bonus)</f>
        <v>1</v>
      </c>
      <c r="DJ42" s="843">
        <f>MIN(voodoo_magi_cap,Production!O42/voodoo_magi_bonus)</f>
        <v>0.83333333333333337</v>
      </c>
      <c r="DK42" s="843">
        <f>MIN(warlock_cap,Production!O42/warlock_bonus)</f>
        <v>1</v>
      </c>
      <c r="DL42" s="843">
        <f ca="1">MIN(nox_nightshade_cap,Construction!DF42/Construction!E42/nox_nightshade_swamp_bonus)</f>
        <v>1.4999999999999998</v>
      </c>
      <c r="DM42" s="487">
        <f t="shared" si="92"/>
        <v>0</v>
      </c>
      <c r="DN42" s="488">
        <f t="shared" ca="1" si="93"/>
        <v>1.4999999999999998</v>
      </c>
      <c r="DO42" s="488">
        <f t="shared" ca="1" si="94"/>
        <v>1.4999999999999998</v>
      </c>
      <c r="DP42" s="488">
        <f t="shared" si="95"/>
        <v>1</v>
      </c>
      <c r="DQ42" s="487">
        <f t="shared" si="96"/>
        <v>0</v>
      </c>
      <c r="DR42" s="488">
        <f t="shared" si="97"/>
        <v>0</v>
      </c>
      <c r="DS42" s="487">
        <f t="shared" si="98"/>
        <v>0</v>
      </c>
      <c r="DT42" s="488">
        <f t="shared" si="99"/>
        <v>0</v>
      </c>
      <c r="DX42" s="486">
        <f ca="1">MIN(6,CV42+Races!$F$19)*1.8 +  IF(CV42+Races!$F$19&gt;6,(CV42+Races!$F$19-6)*0.2,0) - Races!$N$19</f>
        <v>1.3500000000000005</v>
      </c>
      <c r="DY42" s="487">
        <f ca="1">1.8 * MIN(MAX(CW42+Races!$E$20,CX42+Races!$F$20),6)  +  0.45 * MIN(MIN(CW42+Races!$E$20,CX42+Races!$F$20),6)  +  0.2 * ( MAX(CW42+Races!$E$20-6,0) + MAX(CX42+Races!$F$20-6,0) )  -  Races!$N$20</f>
        <v>1.6874999999999991</v>
      </c>
      <c r="DZ42" s="57">
        <f t="shared" ca="1" si="100"/>
        <v>0</v>
      </c>
      <c r="EA42" s="663">
        <f ca="1">MIN(6,CY42+Races!$F$35)*1.8 +  IF(CY42+Races!$F$35&gt;6,(CY42+Races!$F$35-6)*0.2,0) - Races!$N$19</f>
        <v>-0.45000000000000018</v>
      </c>
      <c r="EB42" s="57">
        <f t="shared" ca="1" si="101"/>
        <v>0</v>
      </c>
      <c r="EC42" s="663">
        <f ca="1">1.8 * MIN(MAX(Races!$E$27,DB42+Races!$F$27),6)  +  0.45 * MIN(MIN(Races!$E$27,DB42+Races!$F$27),6)  +  0.2 * ( MAX(Races!$E$27-6,0) + MAX(DB42+Races!$F$27-6,0) )  -  Races!$N$20</f>
        <v>3.6000000000000005</v>
      </c>
      <c r="ED42" s="57">
        <f t="shared" ca="1" si="102"/>
        <v>0</v>
      </c>
      <c r="EE42" s="663">
        <f>1.8 * MIN(MAX(DC42+Races!$E$47,DD42+Races!$F$47),6)  +  0.45 * MIN(MIN(DC42+Races!$E$47,DD42+Races!$F$47),6)  +  0.2 * ( MAX(DC42+Races!$E$47-6,0) + MAX(DD42+Races!$F$47-6,0) )  -  Races!$N$47</f>
        <v>0</v>
      </c>
      <c r="EF42" s="57">
        <f t="shared" si="103"/>
        <v>0</v>
      </c>
      <c r="EG42" s="663">
        <f ca="1">1.8 * MIN(MAX(DG42+Races!$F$71,Races!$E$71),6)  +  0.45 * MIN(MIN(DG42+Races!$F$71,Races!$E$71),6)  +  0.2 * ( MAX(DG42+Races!$F$71-6,0) + MAX(Races!$E$71-6,0) )  -  Races!$N$71</f>
        <v>1.3499999999999996</v>
      </c>
      <c r="EH42" s="663">
        <f>1.8 * MIN(MAX(DH42+Races!$E$71,Races!$F$71),6)  +  0.45 * MIN(MIN(DH42+Races!$E$71,Races!$F$71),6)  +  0.2 * ( MAX(DH42+Races!$E$71-6,0) + MAX(Races!$F$71-6,0) )  -  Races!$N$71</f>
        <v>0</v>
      </c>
      <c r="EI42" s="57">
        <f t="shared" ca="1" si="104"/>
        <v>0</v>
      </c>
      <c r="EJ42" s="57"/>
      <c r="EK42" s="57"/>
      <c r="EL42" s="57"/>
      <c r="EM42" s="57">
        <f ca="1">Overview!$L$22*E42+Overview!$L$23*F42+Overview!$L$24*G42+Overview!$L$25*H42+Overview!$L$26*I42+Overview!$L$27*J42+Overview!$L$28*K42+Construction!E42*20+Construction!B42*5 + DZ42*$DV$4+EB42*$DV$5+ED42*$DV$6+EF42*$DV$7+EI42*$DV$9</f>
        <v>20900</v>
      </c>
      <c r="EO42" s="734">
        <f>(J42+2*K42)/Construction!E42</f>
        <v>0</v>
      </c>
      <c r="EP42" s="730">
        <f ca="1">EO42*(1+race_wizard_strength+tech_magical_weaponry_wiz*Techs!AV114)</f>
        <v>0</v>
      </c>
      <c r="EQ42" s="16">
        <f>(I42+halfer*H42/3)/Construction!E42</f>
        <v>0</v>
      </c>
    </row>
    <row r="43" spans="1:147" s="16" customFormat="1" x14ac:dyDescent="0.25">
      <c r="A43" s="627">
        <f>Rezone!J43</f>
        <v>41</v>
      </c>
      <c r="B43" s="56">
        <f ca="1">SUM(E43:K43)+SUM(AF35:AG43)+SUM(AH32:AL43)+Z43+Explore!AL43</f>
        <v>5295</v>
      </c>
      <c r="C43" s="97">
        <f ca="1">Population!G43</f>
        <v>0.74159663865546221</v>
      </c>
      <c r="E43" s="52">
        <f t="shared" si="66"/>
        <v>0</v>
      </c>
      <c r="F43" s="16">
        <f t="shared" si="67"/>
        <v>0</v>
      </c>
      <c r="G43" s="16">
        <f t="shared" si="68"/>
        <v>0</v>
      </c>
      <c r="H43" s="16">
        <f t="shared" si="69"/>
        <v>0</v>
      </c>
      <c r="I43" s="16">
        <f t="shared" si="70"/>
        <v>0</v>
      </c>
      <c r="J43" s="16">
        <f t="shared" si="71"/>
        <v>0</v>
      </c>
      <c r="K43" s="53">
        <f t="shared" si="72"/>
        <v>0</v>
      </c>
      <c r="M43" s="64">
        <f ca="1">Production!G43</f>
        <v>20900</v>
      </c>
      <c r="O43" s="142">
        <f t="shared" ca="1" si="77"/>
        <v>0</v>
      </c>
      <c r="P43" s="454">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8"/>
        <v>5295</v>
      </c>
      <c r="T43" s="1047">
        <f ca="1">race_defense+Imps!AC43+ROUND(MIN(gt_bonus*Construction!BH43/Construction!$E43,gt_bonus_cap),4)+MAX(IF(Magic!AM43&gt;0,frenzy_bonus,IF(Magic!AQ43&gt;0,blizzard_bonus,IF(Magic!AP43&gt;0,howling_dp_bonus,IF(Magic!AI43&gt;0,ares_call_bonus)))),IF(Magic!AX43&gt;0,MIN(Construction!DF43/Construction!E43,0.2),0))</f>
        <v>0</v>
      </c>
      <c r="U43" s="1041">
        <f t="shared" ca="1" si="47"/>
        <v>0</v>
      </c>
      <c r="V43" s="310">
        <f t="shared" ca="1" si="48"/>
        <v>5295</v>
      </c>
      <c r="W43" s="310">
        <f>Construction!E43</f>
        <v>1000</v>
      </c>
      <c r="X43" s="367"/>
      <c r="Y43" s="146">
        <f t="shared" si="76"/>
        <v>0.4</v>
      </c>
      <c r="Z43" s="166">
        <f ca="1">Z42+Population!Z42 - IF(race="Lux",AF43,SUM(AF43:AK43)) - BE43 + SUM(BF43:BL43) - Explore!AI43</f>
        <v>5295</v>
      </c>
      <c r="AA43" s="164"/>
      <c r="AB43" s="91">
        <f>(Construction!$BA43+Construction!BY43)/(Construction!$E43-Explore!S43*20)</f>
        <v>0</v>
      </c>
      <c r="AC43" s="1516">
        <f ca="1">Imps!AE43</f>
        <v>0</v>
      </c>
      <c r="AD43" s="795">
        <f>Rezone!J43</f>
        <v>41</v>
      </c>
      <c r="AE43" s="587">
        <f>Explore!AA43</f>
        <v>43768.41666666657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9"/>
        <v>0</v>
      </c>
      <c r="AV43" s="164">
        <f t="shared" ca="1" si="80"/>
        <v>0</v>
      </c>
      <c r="AW43" s="164">
        <f t="shared" ca="1" si="50"/>
        <v>0</v>
      </c>
      <c r="AX43" s="164">
        <f t="shared" ca="1" si="51"/>
        <v>0</v>
      </c>
      <c r="AY43" s="164">
        <f t="shared" ca="1" si="52"/>
        <v>0</v>
      </c>
      <c r="AZ43" s="164">
        <f t="shared" ca="1" si="53"/>
        <v>0</v>
      </c>
      <c r="BA43" s="166">
        <f t="shared" ca="1" si="54"/>
        <v>0</v>
      </c>
      <c r="BB43" s="16">
        <v>41</v>
      </c>
      <c r="BC43" s="572">
        <f t="shared" si="73"/>
        <v>43768.41666666657</v>
      </c>
      <c r="BD43" s="148">
        <f t="shared" ca="1" si="74"/>
        <v>5295</v>
      </c>
      <c r="BE43" s="356"/>
      <c r="BF43" s="348"/>
      <c r="BG43" s="348"/>
      <c r="BH43" s="348"/>
      <c r="BI43" s="348"/>
      <c r="BJ43" s="348"/>
      <c r="BK43" s="348"/>
      <c r="BL43" s="357"/>
      <c r="BN43" s="501">
        <f>Construction!BM43/Construction!E43</f>
        <v>0</v>
      </c>
      <c r="BO43" s="171">
        <f>Construction!BD43/Construction!E43</f>
        <v>0</v>
      </c>
      <c r="BP43" s="152">
        <f ca="1">ROUNDUP((1-MIN(AB43*smithy_bonus,smithy_bonus_cap)-AC43)*(1+Techs!AO43*tech_master_of_frugality)*spec_op_plat,0)</f>
        <v>275</v>
      </c>
      <c r="BQ43" s="164">
        <f ca="1">ROUNDUP(IF(OR(race="Gnome",race="Imperial Gnome"),1-AC43,(1-MIN(AB43*smithy_bonus,smithy_bonus_cap)-AC43)*(1+Techs!AO43*tech_master_of_frugality))*spec_op_ore,0)</f>
        <v>25</v>
      </c>
      <c r="BR43" s="164">
        <f t="shared" si="6"/>
        <v>0</v>
      </c>
      <c r="BS43" s="164">
        <f t="shared" si="7"/>
        <v>0</v>
      </c>
      <c r="BT43" s="164">
        <f ca="1">ROUNDUP((1-MIN(AB43*smithy_bonus,smithy_bonus_cap)-AC43)*(1+Techs!AO43*tech_master_of_frugality)*spec_dp_plat,0)</f>
        <v>275</v>
      </c>
      <c r="BU43" s="164">
        <f ca="1">ROUNDUP(IF(OR(race="Gnome",race="Imperial Gnome"),1-AC43,(1-MIN(AB43*smithy_bonus,smithy_bonus_cap)-AC43)*(1+Techs!AO43*tech_master_of_frugality))*spec_dp_ore,0)</f>
        <v>10</v>
      </c>
      <c r="BV43" s="164">
        <f t="shared" ca="1" si="8"/>
        <v>0</v>
      </c>
      <c r="BW43" s="164">
        <f t="shared" ca="1" si="9"/>
        <v>0</v>
      </c>
      <c r="BX43" s="164">
        <f t="shared" ca="1" si="10"/>
        <v>0</v>
      </c>
      <c r="BY43" s="164">
        <f ca="1">ROUNDUP((1-MIN(AB43*smithy_bonus,smithy_bonus_cap)-AC43)*(1+Techs!AO43*tech_master_of_frugality)*elite1_plat,0)</f>
        <v>1000</v>
      </c>
      <c r="BZ43" s="164">
        <f ca="1">ROUNDUP(IF(OR(race="Gnome",race="Imperial Gnome"),1-AC43,(1-MIN(AB43*smithy_bonus,smithy_bonus_cap)-AC43)*(1+Techs!AO43*tech_master_of_frugality))*elite1_ore,0)</f>
        <v>75</v>
      </c>
      <c r="CA43" s="164">
        <f t="shared" ca="1" si="55"/>
        <v>0</v>
      </c>
      <c r="CB43" s="164">
        <f t="shared" ca="1" si="12"/>
        <v>0</v>
      </c>
      <c r="CC43" s="164">
        <f t="shared" ca="1" si="13"/>
        <v>0</v>
      </c>
      <c r="CD43" s="164">
        <f t="shared" ca="1" si="14"/>
        <v>0</v>
      </c>
      <c r="CE43" s="164">
        <f t="shared" ca="1" si="15"/>
        <v>0</v>
      </c>
      <c r="CF43" s="164">
        <f ca="1">ROUNDUP((1-MIN(AB43*smithy_bonus,smithy_bonus_cap)-AC43)*(1+Techs!AO43*tech_master_of_frugality)*elite2_plat,0)</f>
        <v>1250</v>
      </c>
      <c r="CG43" s="164">
        <f ca="1">ROUNDUP(IF(OR(race="Gnome",race="Imperial Gnome"),1-AC43,(1-MIN(AB43*smithy_bonus,smithy_bonus_cap)-AC43)*(1+Techs!AO43*tech_master_of_frugality))*elite2_ore,0)</f>
        <v>100</v>
      </c>
      <c r="CH43" s="164">
        <f t="shared" ca="1" si="56"/>
        <v>0</v>
      </c>
      <c r="CI43" s="164">
        <f t="shared" ca="1" si="17"/>
        <v>0</v>
      </c>
      <c r="CJ43" s="164">
        <f t="shared" ca="1" si="18"/>
        <v>0</v>
      </c>
      <c r="CK43" s="164">
        <f t="shared" ca="1" si="19"/>
        <v>0</v>
      </c>
      <c r="CL43" s="164">
        <f t="shared" ca="1" si="20"/>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4">
        <f ca="1">Construction!DF43/Construction!E43</f>
        <v>0.15</v>
      </c>
      <c r="CR43" s="465">
        <f t="shared" si="75"/>
        <v>0</v>
      </c>
      <c r="CS43" s="465">
        <f>Construction!BK43/Construction!E43</f>
        <v>0.05</v>
      </c>
      <c r="CT43" s="465">
        <f>Construction!BJ43/Construction!E43</f>
        <v>0</v>
      </c>
      <c r="CU43" s="465">
        <f>Construction!AY43/Construction!E43</f>
        <v>0</v>
      </c>
      <c r="CV43" s="486">
        <f t="shared" ca="1" si="81"/>
        <v>0.74999999999999989</v>
      </c>
      <c r="CW43" s="487">
        <f t="shared" ca="1" si="82"/>
        <v>0.74999999999999989</v>
      </c>
      <c r="CX43" s="487">
        <f t="shared" ca="1" si="83"/>
        <v>0.74999999999999989</v>
      </c>
      <c r="CY43" s="488">
        <f t="shared" ca="1" si="84"/>
        <v>0.74999999999999989</v>
      </c>
      <c r="CZ43" s="488">
        <f t="shared" si="85"/>
        <v>0</v>
      </c>
      <c r="DA43" s="488">
        <f t="shared" ca="1" si="86"/>
        <v>2.9999999999999996</v>
      </c>
      <c r="DB43" s="488">
        <f t="shared" ca="1" si="87"/>
        <v>0.74999999999999989</v>
      </c>
      <c r="DC43" s="487">
        <f t="shared" si="88"/>
        <v>0</v>
      </c>
      <c r="DD43" s="843">
        <f t="shared" si="89"/>
        <v>0</v>
      </c>
      <c r="DE43" s="441">
        <f t="shared" si="58"/>
        <v>0</v>
      </c>
      <c r="DF43" s="441">
        <f t="shared" si="59"/>
        <v>0</v>
      </c>
      <c r="DG43" s="486">
        <f t="shared" ca="1" si="90"/>
        <v>0.74999999999999989</v>
      </c>
      <c r="DH43" s="451">
        <f t="shared" si="91"/>
        <v>0</v>
      </c>
      <c r="DI43" s="451">
        <f>MIN(valkyrja_cap,Production!O43/valkyrja_bonus)</f>
        <v>1</v>
      </c>
      <c r="DJ43" s="843">
        <f>MIN(voodoo_magi_cap,Production!O43/voodoo_magi_bonus)</f>
        <v>0.83333333333333337</v>
      </c>
      <c r="DK43" s="843">
        <f>MIN(warlock_cap,Production!O43/warlock_bonus)</f>
        <v>1</v>
      </c>
      <c r="DL43" s="843">
        <f ca="1">MIN(nox_nightshade_cap,Construction!DF43/Construction!E43/nox_nightshade_swamp_bonus)</f>
        <v>1.4999999999999998</v>
      </c>
      <c r="DM43" s="487">
        <f t="shared" si="92"/>
        <v>0</v>
      </c>
      <c r="DN43" s="488">
        <f t="shared" ca="1" si="93"/>
        <v>1.4999999999999998</v>
      </c>
      <c r="DO43" s="488">
        <f t="shared" ca="1" si="94"/>
        <v>1.4999999999999998</v>
      </c>
      <c r="DP43" s="488">
        <f t="shared" si="95"/>
        <v>1</v>
      </c>
      <c r="DQ43" s="487">
        <f t="shared" si="96"/>
        <v>0</v>
      </c>
      <c r="DR43" s="488">
        <f t="shared" si="97"/>
        <v>0</v>
      </c>
      <c r="DS43" s="487">
        <f t="shared" si="98"/>
        <v>0</v>
      </c>
      <c r="DT43" s="488">
        <f t="shared" si="99"/>
        <v>0</v>
      </c>
      <c r="DX43" s="486">
        <f ca="1">MIN(6,CV43+Races!$F$19)*1.8 +  IF(CV43+Races!$F$19&gt;6,(CV43+Races!$F$19-6)*0.2,0) - Races!$N$19</f>
        <v>1.3500000000000005</v>
      </c>
      <c r="DY43" s="487">
        <f ca="1">1.8 * MIN(MAX(CW43+Races!$E$20,CX43+Races!$F$20),6)  +  0.45 * MIN(MIN(CW43+Races!$E$20,CX43+Races!$F$20),6)  +  0.2 * ( MAX(CW43+Races!$E$20-6,0) + MAX(CX43+Races!$F$20-6,0) )  -  Races!$N$20</f>
        <v>1.6874999999999991</v>
      </c>
      <c r="DZ43" s="57">
        <f t="shared" ca="1" si="100"/>
        <v>0</v>
      </c>
      <c r="EA43" s="663">
        <f ca="1">MIN(6,CY43+Races!$F$35)*1.8 +  IF(CY43+Races!$F$35&gt;6,(CY43+Races!$F$35-6)*0.2,0) - Races!$N$19</f>
        <v>-0.45000000000000018</v>
      </c>
      <c r="EB43" s="57">
        <f t="shared" ca="1" si="101"/>
        <v>0</v>
      </c>
      <c r="EC43" s="663">
        <f ca="1">1.8 * MIN(MAX(Races!$E$27,DB43+Races!$F$27),6)  +  0.45 * MIN(MIN(Races!$E$27,DB43+Races!$F$27),6)  +  0.2 * ( MAX(Races!$E$27-6,0) + MAX(DB43+Races!$F$27-6,0) )  -  Races!$N$20</f>
        <v>3.6000000000000005</v>
      </c>
      <c r="ED43" s="57">
        <f t="shared" ca="1" si="102"/>
        <v>0</v>
      </c>
      <c r="EE43" s="663">
        <f>1.8 * MIN(MAX(DC43+Races!$E$47,DD43+Races!$F$47),6)  +  0.45 * MIN(MIN(DC43+Races!$E$47,DD43+Races!$F$47),6)  +  0.2 * ( MAX(DC43+Races!$E$47-6,0) + MAX(DD43+Races!$F$47-6,0) )  -  Races!$N$47</f>
        <v>0</v>
      </c>
      <c r="EF43" s="57">
        <f t="shared" si="103"/>
        <v>0</v>
      </c>
      <c r="EG43" s="663">
        <f ca="1">1.8 * MIN(MAX(DG43+Races!$F$71,Races!$E$71),6)  +  0.45 * MIN(MIN(DG43+Races!$F$71,Races!$E$71),6)  +  0.2 * ( MAX(DG43+Races!$F$71-6,0) + MAX(Races!$E$71-6,0) )  -  Races!$N$71</f>
        <v>1.3499999999999996</v>
      </c>
      <c r="EH43" s="663">
        <f>1.8 * MIN(MAX(DH43+Races!$E$71,Races!$F$71),6)  +  0.45 * MIN(MIN(DH43+Races!$E$71,Races!$F$71),6)  +  0.2 * ( MAX(DH43+Races!$E$71-6,0) + MAX(Races!$F$71-6,0) )  -  Races!$N$71</f>
        <v>0</v>
      </c>
      <c r="EI43" s="57">
        <f t="shared" ca="1" si="104"/>
        <v>0</v>
      </c>
      <c r="EJ43" s="57"/>
      <c r="EK43" s="57"/>
      <c r="EL43" s="57"/>
      <c r="EM43" s="57">
        <f ca="1">Overview!$L$22*E43+Overview!$L$23*F43+Overview!$L$24*G43+Overview!$L$25*H43+Overview!$L$26*I43+Overview!$L$27*J43+Overview!$L$28*K43+Construction!E43*20+Construction!B43*5 + DZ43*$DV$4+EB43*$DV$5+ED43*$DV$6+EF43*$DV$7+EI43*$DV$9</f>
        <v>20900</v>
      </c>
      <c r="EO43" s="734">
        <f>(J43+2*K43)/Construction!E43</f>
        <v>0</v>
      </c>
      <c r="EP43" s="730">
        <f ca="1">EO43*(1+race_wizard_strength+tech_magical_weaponry_wiz*Techs!AV115)</f>
        <v>0</v>
      </c>
      <c r="EQ43" s="16">
        <f>(I43+halfer*H43/3)/Construction!E43</f>
        <v>0</v>
      </c>
    </row>
    <row r="44" spans="1:147" s="16" customFormat="1" x14ac:dyDescent="0.25">
      <c r="A44" s="627">
        <f>Rezone!J44</f>
        <v>42</v>
      </c>
      <c r="B44" s="56">
        <f ca="1">SUM(E44:K44)+SUM(AF36:AG44)+SUM(AH33:AL44)+Z44+Explore!AL44</f>
        <v>5295</v>
      </c>
      <c r="C44" s="97">
        <f ca="1">Population!G44</f>
        <v>0.74159663865546221</v>
      </c>
      <c r="E44" s="52">
        <f t="shared" si="66"/>
        <v>0</v>
      </c>
      <c r="F44" s="16">
        <f t="shared" si="67"/>
        <v>0</v>
      </c>
      <c r="G44" s="16">
        <f t="shared" si="68"/>
        <v>0</v>
      </c>
      <c r="H44" s="16">
        <f t="shared" si="69"/>
        <v>0</v>
      </c>
      <c r="I44" s="16">
        <f t="shared" si="70"/>
        <v>0</v>
      </c>
      <c r="J44" s="16">
        <f t="shared" si="71"/>
        <v>0</v>
      </c>
      <c r="K44" s="53">
        <f t="shared" si="72"/>
        <v>0</v>
      </c>
      <c r="M44" s="64">
        <f ca="1">Production!G44</f>
        <v>20900</v>
      </c>
      <c r="O44" s="142">
        <f t="shared" ca="1" si="77"/>
        <v>0</v>
      </c>
      <c r="P44" s="454">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8"/>
        <v>5295</v>
      </c>
      <c r="T44" s="1047">
        <f ca="1">race_defense+Imps!AC44+ROUND(MIN(gt_bonus*Construction!BH44/Construction!$E44,gt_bonus_cap),4)+MAX(IF(Magic!AM44&gt;0,frenzy_bonus,IF(Magic!AQ44&gt;0,blizzard_bonus,IF(Magic!AP44&gt;0,howling_dp_bonus,IF(Magic!AI44&gt;0,ares_call_bonus)))),IF(Magic!AX44&gt;0,MIN(Construction!DF44/Construction!E44,0.2),0))</f>
        <v>0</v>
      </c>
      <c r="U44" s="1041">
        <f t="shared" ca="1" si="47"/>
        <v>0</v>
      </c>
      <c r="V44" s="310">
        <f t="shared" ca="1" si="48"/>
        <v>5295</v>
      </c>
      <c r="W44" s="310">
        <f>Construction!E44</f>
        <v>1000</v>
      </c>
      <c r="X44" s="367"/>
      <c r="Y44" s="146">
        <f t="shared" si="76"/>
        <v>0.4</v>
      </c>
      <c r="Z44" s="166">
        <f ca="1">Z43+Population!Z43 - IF(race="Lux",AF44,SUM(AF44:AK44)) - BE44 + SUM(BF44:BL44) - Explore!AI44</f>
        <v>5295</v>
      </c>
      <c r="AA44" s="164"/>
      <c r="AB44" s="91">
        <f>(Construction!$BA44+Construction!BY44)/(Construction!$E44-Explore!S44*20)</f>
        <v>0</v>
      </c>
      <c r="AC44" s="1516">
        <f ca="1">Imps!AE44</f>
        <v>0</v>
      </c>
      <c r="AD44" s="795">
        <f>Rezone!J44</f>
        <v>42</v>
      </c>
      <c r="AE44" s="587">
        <f>Explore!AA44</f>
        <v>43768.427083333234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9"/>
        <v>0</v>
      </c>
      <c r="AV44" s="164">
        <f t="shared" ca="1" si="80"/>
        <v>0</v>
      </c>
      <c r="AW44" s="164">
        <f t="shared" ca="1" si="50"/>
        <v>0</v>
      </c>
      <c r="AX44" s="164">
        <f t="shared" ca="1" si="51"/>
        <v>0</v>
      </c>
      <c r="AY44" s="164">
        <f t="shared" ca="1" si="52"/>
        <v>0</v>
      </c>
      <c r="AZ44" s="164">
        <f t="shared" ca="1" si="53"/>
        <v>0</v>
      </c>
      <c r="BA44" s="166">
        <f t="shared" ca="1" si="54"/>
        <v>0</v>
      </c>
      <c r="BB44" s="16">
        <v>42</v>
      </c>
      <c r="BC44" s="572">
        <f t="shared" si="73"/>
        <v>43768.427083333234</v>
      </c>
      <c r="BD44" s="148">
        <f t="shared" ca="1" si="74"/>
        <v>5295</v>
      </c>
      <c r="BE44" s="356"/>
      <c r="BF44" s="348"/>
      <c r="BG44" s="348"/>
      <c r="BH44" s="348"/>
      <c r="BI44" s="348"/>
      <c r="BJ44" s="348"/>
      <c r="BK44" s="348"/>
      <c r="BL44" s="357"/>
      <c r="BN44" s="501">
        <f>Construction!BM44/Construction!E44</f>
        <v>0</v>
      </c>
      <c r="BO44" s="171">
        <f>Construction!BD44/Construction!E44</f>
        <v>0</v>
      </c>
      <c r="BP44" s="152">
        <f ca="1">ROUNDUP((1-MIN(AB44*smithy_bonus,smithy_bonus_cap)-AC44)*(1+Techs!AO44*tech_master_of_frugality)*spec_op_plat,0)</f>
        <v>275</v>
      </c>
      <c r="BQ44" s="164">
        <f ca="1">ROUNDUP(IF(OR(race="Gnome",race="Imperial Gnome"),1-AC44,(1-MIN(AB44*smithy_bonus,smithy_bonus_cap)-AC44)*(1+Techs!AO44*tech_master_of_frugality))*spec_op_ore,0)</f>
        <v>25</v>
      </c>
      <c r="BR44" s="164">
        <f t="shared" si="6"/>
        <v>0</v>
      </c>
      <c r="BS44" s="164">
        <f t="shared" si="7"/>
        <v>0</v>
      </c>
      <c r="BT44" s="164">
        <f ca="1">ROUNDUP((1-MIN(AB44*smithy_bonus,smithy_bonus_cap)-AC44)*(1+Techs!AO44*tech_master_of_frugality)*spec_dp_plat,0)</f>
        <v>275</v>
      </c>
      <c r="BU44" s="164">
        <f ca="1">ROUNDUP(IF(OR(race="Gnome",race="Imperial Gnome"),1-AC44,(1-MIN(AB44*smithy_bonus,smithy_bonus_cap)-AC44)*(1+Techs!AO44*tech_master_of_frugality))*spec_dp_ore,0)</f>
        <v>10</v>
      </c>
      <c r="BV44" s="164">
        <f t="shared" ca="1" si="8"/>
        <v>0</v>
      </c>
      <c r="BW44" s="164">
        <f t="shared" ca="1" si="9"/>
        <v>0</v>
      </c>
      <c r="BX44" s="164">
        <f t="shared" ca="1" si="10"/>
        <v>0</v>
      </c>
      <c r="BY44" s="164">
        <f ca="1">ROUNDUP((1-MIN(AB44*smithy_bonus,smithy_bonus_cap)-AC44)*(1+Techs!AO44*tech_master_of_frugality)*elite1_plat,0)</f>
        <v>1000</v>
      </c>
      <c r="BZ44" s="164">
        <f ca="1">ROUNDUP(IF(OR(race="Gnome",race="Imperial Gnome"),1-AC44,(1-MIN(AB44*smithy_bonus,smithy_bonus_cap)-AC44)*(1+Techs!AO44*tech_master_of_frugality))*elite1_ore,0)</f>
        <v>75</v>
      </c>
      <c r="CA44" s="164">
        <f t="shared" ca="1" si="55"/>
        <v>0</v>
      </c>
      <c r="CB44" s="164">
        <f t="shared" ca="1" si="12"/>
        <v>0</v>
      </c>
      <c r="CC44" s="164">
        <f t="shared" ca="1" si="13"/>
        <v>0</v>
      </c>
      <c r="CD44" s="164">
        <f t="shared" ca="1" si="14"/>
        <v>0</v>
      </c>
      <c r="CE44" s="164">
        <f t="shared" ca="1" si="15"/>
        <v>0</v>
      </c>
      <c r="CF44" s="164">
        <f ca="1">ROUNDUP((1-MIN(AB44*smithy_bonus,smithy_bonus_cap)-AC44)*(1+Techs!AO44*tech_master_of_frugality)*elite2_plat,0)</f>
        <v>1250</v>
      </c>
      <c r="CG44" s="164">
        <f ca="1">ROUNDUP(IF(OR(race="Gnome",race="Imperial Gnome"),1-AC44,(1-MIN(AB44*smithy_bonus,smithy_bonus_cap)-AC44)*(1+Techs!AO44*tech_master_of_frugality))*elite2_ore,0)</f>
        <v>100</v>
      </c>
      <c r="CH44" s="164">
        <f t="shared" ca="1" si="56"/>
        <v>0</v>
      </c>
      <c r="CI44" s="164">
        <f t="shared" ca="1" si="17"/>
        <v>0</v>
      </c>
      <c r="CJ44" s="164">
        <f t="shared" ca="1" si="18"/>
        <v>0</v>
      </c>
      <c r="CK44" s="164">
        <f t="shared" ca="1" si="19"/>
        <v>0</v>
      </c>
      <c r="CL44" s="164">
        <f t="shared" ca="1" si="20"/>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4">
        <f ca="1">Construction!DF44/Construction!E44</f>
        <v>0.15</v>
      </c>
      <c r="CR44" s="465">
        <f t="shared" si="75"/>
        <v>0</v>
      </c>
      <c r="CS44" s="465">
        <f>Construction!BK44/Construction!E44</f>
        <v>0.05</v>
      </c>
      <c r="CT44" s="465">
        <f>Construction!BJ44/Construction!E44</f>
        <v>0</v>
      </c>
      <c r="CU44" s="465">
        <f>Construction!AY44/Construction!E44</f>
        <v>0</v>
      </c>
      <c r="CV44" s="486">
        <f t="shared" ca="1" si="81"/>
        <v>0.74999999999999989</v>
      </c>
      <c r="CW44" s="487">
        <f t="shared" ca="1" si="82"/>
        <v>0.74999999999999989</v>
      </c>
      <c r="CX44" s="487">
        <f t="shared" ca="1" si="83"/>
        <v>0.74999999999999989</v>
      </c>
      <c r="CY44" s="488">
        <f t="shared" ca="1" si="84"/>
        <v>0.74999999999999989</v>
      </c>
      <c r="CZ44" s="488">
        <f t="shared" si="85"/>
        <v>0</v>
      </c>
      <c r="DA44" s="488">
        <f t="shared" ca="1" si="86"/>
        <v>2.9999999999999996</v>
      </c>
      <c r="DB44" s="488">
        <f t="shared" ca="1" si="87"/>
        <v>0.74999999999999989</v>
      </c>
      <c r="DC44" s="487">
        <f t="shared" si="88"/>
        <v>0</v>
      </c>
      <c r="DD44" s="843">
        <f t="shared" si="89"/>
        <v>0</v>
      </c>
      <c r="DE44" s="441">
        <f t="shared" si="58"/>
        <v>0</v>
      </c>
      <c r="DF44" s="441">
        <f t="shared" si="59"/>
        <v>0</v>
      </c>
      <c r="DG44" s="486">
        <f t="shared" ca="1" si="90"/>
        <v>0.74999999999999989</v>
      </c>
      <c r="DH44" s="451">
        <f t="shared" si="91"/>
        <v>0</v>
      </c>
      <c r="DI44" s="451">
        <f>MIN(valkyrja_cap,Production!O44/valkyrja_bonus)</f>
        <v>1</v>
      </c>
      <c r="DJ44" s="843">
        <f>MIN(voodoo_magi_cap,Production!O44/voodoo_magi_bonus)</f>
        <v>0.83333333333333337</v>
      </c>
      <c r="DK44" s="843">
        <f>MIN(warlock_cap,Production!O44/warlock_bonus)</f>
        <v>1</v>
      </c>
      <c r="DL44" s="843">
        <f ca="1">MIN(nox_nightshade_cap,Construction!DF44/Construction!E44/nox_nightshade_swamp_bonus)</f>
        <v>1.4999999999999998</v>
      </c>
      <c r="DM44" s="487">
        <f t="shared" si="92"/>
        <v>0</v>
      </c>
      <c r="DN44" s="488">
        <f t="shared" ca="1" si="93"/>
        <v>1.4999999999999998</v>
      </c>
      <c r="DO44" s="488">
        <f t="shared" ca="1" si="94"/>
        <v>1.4999999999999998</v>
      </c>
      <c r="DP44" s="488">
        <f t="shared" si="95"/>
        <v>1</v>
      </c>
      <c r="DQ44" s="487">
        <f t="shared" si="96"/>
        <v>0</v>
      </c>
      <c r="DR44" s="488">
        <f t="shared" si="97"/>
        <v>0</v>
      </c>
      <c r="DS44" s="487">
        <f t="shared" si="98"/>
        <v>0</v>
      </c>
      <c r="DT44" s="488">
        <f t="shared" si="99"/>
        <v>0</v>
      </c>
      <c r="DX44" s="486">
        <f ca="1">MIN(6,CV44+Races!$F$19)*1.8 +  IF(CV44+Races!$F$19&gt;6,(CV44+Races!$F$19-6)*0.2,0) - Races!$N$19</f>
        <v>1.3500000000000005</v>
      </c>
      <c r="DY44" s="487">
        <f ca="1">1.8 * MIN(MAX(CW44+Races!$E$20,CX44+Races!$F$20),6)  +  0.45 * MIN(MIN(CW44+Races!$E$20,CX44+Races!$F$20),6)  +  0.2 * ( MAX(CW44+Races!$E$20-6,0) + MAX(CX44+Races!$F$20-6,0) )  -  Races!$N$20</f>
        <v>1.6874999999999991</v>
      </c>
      <c r="DZ44" s="57">
        <f t="shared" ca="1" si="100"/>
        <v>0</v>
      </c>
      <c r="EA44" s="663">
        <f ca="1">MIN(6,CY44+Races!$F$35)*1.8 +  IF(CY44+Races!$F$35&gt;6,(CY44+Races!$F$35-6)*0.2,0) - Races!$N$19</f>
        <v>-0.45000000000000018</v>
      </c>
      <c r="EB44" s="57">
        <f t="shared" ca="1" si="101"/>
        <v>0</v>
      </c>
      <c r="EC44" s="663">
        <f ca="1">1.8 * MIN(MAX(Races!$E$27,DB44+Races!$F$27),6)  +  0.45 * MIN(MIN(Races!$E$27,DB44+Races!$F$27),6)  +  0.2 * ( MAX(Races!$E$27-6,0) + MAX(DB44+Races!$F$27-6,0) )  -  Races!$N$20</f>
        <v>3.6000000000000005</v>
      </c>
      <c r="ED44" s="57">
        <f t="shared" ca="1" si="102"/>
        <v>0</v>
      </c>
      <c r="EE44" s="663">
        <f>1.8 * MIN(MAX(DC44+Races!$E$47,DD44+Races!$F$47),6)  +  0.45 * MIN(MIN(DC44+Races!$E$47,DD44+Races!$F$47),6)  +  0.2 * ( MAX(DC44+Races!$E$47-6,0) + MAX(DD44+Races!$F$47-6,0) )  -  Races!$N$47</f>
        <v>0</v>
      </c>
      <c r="EF44" s="57">
        <f t="shared" si="103"/>
        <v>0</v>
      </c>
      <c r="EG44" s="663">
        <f ca="1">1.8 * MIN(MAX(DG44+Races!$F$71,Races!$E$71),6)  +  0.45 * MIN(MIN(DG44+Races!$F$71,Races!$E$71),6)  +  0.2 * ( MAX(DG44+Races!$F$71-6,0) + MAX(Races!$E$71-6,0) )  -  Races!$N$71</f>
        <v>1.3499999999999996</v>
      </c>
      <c r="EH44" s="663">
        <f>1.8 * MIN(MAX(DH44+Races!$E$71,Races!$F$71),6)  +  0.45 * MIN(MIN(DH44+Races!$E$71,Races!$F$71),6)  +  0.2 * ( MAX(DH44+Races!$E$71-6,0) + MAX(Races!$F$71-6,0) )  -  Races!$N$71</f>
        <v>0</v>
      </c>
      <c r="EI44" s="57">
        <f t="shared" ca="1" si="104"/>
        <v>0</v>
      </c>
      <c r="EJ44" s="57"/>
      <c r="EK44" s="57"/>
      <c r="EL44" s="57"/>
      <c r="EM44" s="57">
        <f ca="1">Overview!$L$22*E44+Overview!$L$23*F44+Overview!$L$24*G44+Overview!$L$25*H44+Overview!$L$26*I44+Overview!$L$27*J44+Overview!$L$28*K44+Construction!E44*20+Construction!B44*5 + DZ44*$DV$4+EB44*$DV$5+ED44*$DV$6+EF44*$DV$7+EI44*$DV$9</f>
        <v>20900</v>
      </c>
      <c r="EO44" s="734">
        <f>(J44+2*K44)/Construction!E44</f>
        <v>0</v>
      </c>
      <c r="EP44" s="730">
        <f ca="1">EO44*(1+race_wizard_strength+tech_magical_weaponry_wiz*Techs!AV116)</f>
        <v>0</v>
      </c>
      <c r="EQ44" s="16">
        <f>(I44+halfer*H44/3)/Construction!E44</f>
        <v>0</v>
      </c>
    </row>
    <row r="45" spans="1:147" s="16" customFormat="1" x14ac:dyDescent="0.25">
      <c r="A45" s="627">
        <f>Rezone!J45</f>
        <v>43</v>
      </c>
      <c r="B45" s="56">
        <f ca="1">SUM(E45:K45)+SUM(AF37:AG45)+SUM(AH34:AL45)+Z45+Explore!AL45</f>
        <v>5295</v>
      </c>
      <c r="C45" s="97">
        <f ca="1">Population!G45</f>
        <v>0.74159663865546221</v>
      </c>
      <c r="E45" s="52">
        <f t="shared" si="66"/>
        <v>0</v>
      </c>
      <c r="F45" s="16">
        <f t="shared" si="67"/>
        <v>0</v>
      </c>
      <c r="G45" s="16">
        <f t="shared" si="68"/>
        <v>0</v>
      </c>
      <c r="H45" s="16">
        <f t="shared" si="69"/>
        <v>0</v>
      </c>
      <c r="I45" s="16">
        <f t="shared" si="70"/>
        <v>0</v>
      </c>
      <c r="J45" s="16">
        <f t="shared" si="71"/>
        <v>0</v>
      </c>
      <c r="K45" s="53">
        <f t="shared" si="72"/>
        <v>0</v>
      </c>
      <c r="M45" s="64">
        <f ca="1">Production!G45</f>
        <v>20900</v>
      </c>
      <c r="O45" s="142">
        <f t="shared" ca="1" si="77"/>
        <v>0</v>
      </c>
      <c r="P45" s="454">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8"/>
        <v>5295</v>
      </c>
      <c r="T45" s="1047">
        <f ca="1">race_defense+Imps!AC45+ROUND(MIN(gt_bonus*Construction!BH45/Construction!$E45,gt_bonus_cap),4)+MAX(IF(Magic!AM45&gt;0,frenzy_bonus,IF(Magic!AQ45&gt;0,blizzard_bonus,IF(Magic!AP45&gt;0,howling_dp_bonus,IF(Magic!AI45&gt;0,ares_call_bonus)))),IF(Magic!AX45&gt;0,MIN(Construction!DF45/Construction!E45,0.2),0))</f>
        <v>0</v>
      </c>
      <c r="U45" s="1041">
        <f t="shared" ca="1" si="47"/>
        <v>0</v>
      </c>
      <c r="V45" s="310">
        <f t="shared" ca="1" si="48"/>
        <v>5295</v>
      </c>
      <c r="W45" s="310">
        <f>Construction!E45</f>
        <v>1000</v>
      </c>
      <c r="X45" s="367"/>
      <c r="Y45" s="146">
        <f t="shared" si="76"/>
        <v>0.4</v>
      </c>
      <c r="Z45" s="166">
        <f ca="1">Z44+Population!Z44 - IF(race="Lux",AF45,SUM(AF45:AK45)) - BE45 + SUM(BF45:BL45) - Explore!AI45</f>
        <v>5295</v>
      </c>
      <c r="AA45" s="164"/>
      <c r="AB45" s="91">
        <f>(Construction!$BA45+Construction!BY45)/(Construction!$E45-Explore!S45*20)</f>
        <v>0</v>
      </c>
      <c r="AC45" s="1516">
        <f ca="1">Imps!AE45</f>
        <v>0</v>
      </c>
      <c r="AD45" s="795">
        <f>Rezone!J45</f>
        <v>43</v>
      </c>
      <c r="AE45" s="587">
        <f>Explore!AA45</f>
        <v>43768.437499999898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9"/>
        <v>0</v>
      </c>
      <c r="AV45" s="164">
        <f t="shared" ca="1" si="80"/>
        <v>0</v>
      </c>
      <c r="AW45" s="164">
        <f t="shared" ca="1" si="50"/>
        <v>0</v>
      </c>
      <c r="AX45" s="164">
        <f t="shared" ca="1" si="51"/>
        <v>0</v>
      </c>
      <c r="AY45" s="164">
        <f t="shared" ca="1" si="52"/>
        <v>0</v>
      </c>
      <c r="AZ45" s="164">
        <f t="shared" ca="1" si="53"/>
        <v>0</v>
      </c>
      <c r="BA45" s="166">
        <f t="shared" ca="1" si="54"/>
        <v>0</v>
      </c>
      <c r="BB45" s="16">
        <v>43</v>
      </c>
      <c r="BC45" s="572">
        <f t="shared" si="73"/>
        <v>43768.437499999898</v>
      </c>
      <c r="BD45" s="148">
        <f t="shared" ca="1" si="74"/>
        <v>5295</v>
      </c>
      <c r="BE45" s="356"/>
      <c r="BF45" s="348"/>
      <c r="BG45" s="348"/>
      <c r="BH45" s="348"/>
      <c r="BI45" s="348"/>
      <c r="BJ45" s="348"/>
      <c r="BK45" s="348"/>
      <c r="BL45" s="357"/>
      <c r="BN45" s="501">
        <f>Construction!BM45/Construction!E45</f>
        <v>0</v>
      </c>
      <c r="BO45" s="171">
        <f>Construction!BD45/Construction!E45</f>
        <v>0</v>
      </c>
      <c r="BP45" s="152">
        <f ca="1">ROUNDUP((1-MIN(AB45*smithy_bonus,smithy_bonus_cap)-AC45)*(1+Techs!AO45*tech_master_of_frugality)*spec_op_plat,0)</f>
        <v>275</v>
      </c>
      <c r="BQ45" s="164">
        <f ca="1">ROUNDUP(IF(OR(race="Gnome",race="Imperial Gnome"),1-AC45,(1-MIN(AB45*smithy_bonus,smithy_bonus_cap)-AC45)*(1+Techs!AO45*tech_master_of_frugality))*spec_op_ore,0)</f>
        <v>25</v>
      </c>
      <c r="BR45" s="164">
        <f t="shared" si="6"/>
        <v>0</v>
      </c>
      <c r="BS45" s="164">
        <f t="shared" si="7"/>
        <v>0</v>
      </c>
      <c r="BT45" s="164">
        <f ca="1">ROUNDUP((1-MIN(AB45*smithy_bonus,smithy_bonus_cap)-AC45)*(1+Techs!AO45*tech_master_of_frugality)*spec_dp_plat,0)</f>
        <v>275</v>
      </c>
      <c r="BU45" s="164">
        <f ca="1">ROUNDUP(IF(OR(race="Gnome",race="Imperial Gnome"),1-AC45,(1-MIN(AB45*smithy_bonus,smithy_bonus_cap)-AC45)*(1+Techs!AO45*tech_master_of_frugality))*spec_dp_ore,0)</f>
        <v>10</v>
      </c>
      <c r="BV45" s="164">
        <f t="shared" ca="1" si="8"/>
        <v>0</v>
      </c>
      <c r="BW45" s="164">
        <f t="shared" ca="1" si="9"/>
        <v>0</v>
      </c>
      <c r="BX45" s="164">
        <f t="shared" ca="1" si="10"/>
        <v>0</v>
      </c>
      <c r="BY45" s="164">
        <f ca="1">ROUNDUP((1-MIN(AB45*smithy_bonus,smithy_bonus_cap)-AC45)*(1+Techs!AO45*tech_master_of_frugality)*elite1_plat,0)</f>
        <v>1000</v>
      </c>
      <c r="BZ45" s="164">
        <f ca="1">ROUNDUP(IF(OR(race="Gnome",race="Imperial Gnome"),1-AC45,(1-MIN(AB45*smithy_bonus,smithy_bonus_cap)-AC45)*(1+Techs!AO45*tech_master_of_frugality))*elite1_ore,0)</f>
        <v>75</v>
      </c>
      <c r="CA45" s="164">
        <f t="shared" ca="1" si="55"/>
        <v>0</v>
      </c>
      <c r="CB45" s="164">
        <f t="shared" ca="1" si="12"/>
        <v>0</v>
      </c>
      <c r="CC45" s="164">
        <f t="shared" ca="1" si="13"/>
        <v>0</v>
      </c>
      <c r="CD45" s="164">
        <f t="shared" ca="1" si="14"/>
        <v>0</v>
      </c>
      <c r="CE45" s="164">
        <f t="shared" ca="1" si="15"/>
        <v>0</v>
      </c>
      <c r="CF45" s="164">
        <f ca="1">ROUNDUP((1-MIN(AB45*smithy_bonus,smithy_bonus_cap)-AC45)*(1+Techs!AO45*tech_master_of_frugality)*elite2_plat,0)</f>
        <v>1250</v>
      </c>
      <c r="CG45" s="164">
        <f ca="1">ROUNDUP(IF(OR(race="Gnome",race="Imperial Gnome"),1-AC45,(1-MIN(AB45*smithy_bonus,smithy_bonus_cap)-AC45)*(1+Techs!AO45*tech_master_of_frugality))*elite2_ore,0)</f>
        <v>100</v>
      </c>
      <c r="CH45" s="164">
        <f t="shared" ca="1" si="56"/>
        <v>0</v>
      </c>
      <c r="CI45" s="164">
        <f t="shared" ca="1" si="17"/>
        <v>0</v>
      </c>
      <c r="CJ45" s="164">
        <f t="shared" ca="1" si="18"/>
        <v>0</v>
      </c>
      <c r="CK45" s="164">
        <f t="shared" ca="1" si="19"/>
        <v>0</v>
      </c>
      <c r="CL45" s="164">
        <f t="shared" ca="1" si="20"/>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4">
        <f ca="1">Construction!DF45/Construction!E45</f>
        <v>0.15</v>
      </c>
      <c r="CR45" s="465">
        <f t="shared" si="75"/>
        <v>0</v>
      </c>
      <c r="CS45" s="465">
        <f>Construction!BK45/Construction!E45</f>
        <v>0.05</v>
      </c>
      <c r="CT45" s="465">
        <f>Construction!BJ45/Construction!E45</f>
        <v>0</v>
      </c>
      <c r="CU45" s="465">
        <f>Construction!AY45/Construction!E45</f>
        <v>0</v>
      </c>
      <c r="CV45" s="486">
        <f t="shared" ca="1" si="81"/>
        <v>0.74999999999999989</v>
      </c>
      <c r="CW45" s="487">
        <f t="shared" ca="1" si="82"/>
        <v>0.74999999999999989</v>
      </c>
      <c r="CX45" s="487">
        <f t="shared" ca="1" si="83"/>
        <v>0.74999999999999989</v>
      </c>
      <c r="CY45" s="488">
        <f t="shared" ca="1" si="84"/>
        <v>0.74999999999999989</v>
      </c>
      <c r="CZ45" s="488">
        <f t="shared" si="85"/>
        <v>0</v>
      </c>
      <c r="DA45" s="488">
        <f t="shared" ca="1" si="86"/>
        <v>2.9999999999999996</v>
      </c>
      <c r="DB45" s="488">
        <f t="shared" ca="1" si="87"/>
        <v>0.74999999999999989</v>
      </c>
      <c r="DC45" s="487">
        <f t="shared" si="88"/>
        <v>0</v>
      </c>
      <c r="DD45" s="843">
        <f t="shared" si="89"/>
        <v>0</v>
      </c>
      <c r="DE45" s="441">
        <f t="shared" si="58"/>
        <v>0</v>
      </c>
      <c r="DF45" s="441">
        <f t="shared" si="59"/>
        <v>0</v>
      </c>
      <c r="DG45" s="486">
        <f t="shared" ca="1" si="90"/>
        <v>0.74999999999999989</v>
      </c>
      <c r="DH45" s="451">
        <f t="shared" si="91"/>
        <v>0</v>
      </c>
      <c r="DI45" s="451">
        <f>MIN(valkyrja_cap,Production!O45/valkyrja_bonus)</f>
        <v>1</v>
      </c>
      <c r="DJ45" s="843">
        <f>MIN(voodoo_magi_cap,Production!O45/voodoo_magi_bonus)</f>
        <v>0.83333333333333337</v>
      </c>
      <c r="DK45" s="843">
        <f>MIN(warlock_cap,Production!O45/warlock_bonus)</f>
        <v>1</v>
      </c>
      <c r="DL45" s="843">
        <f ca="1">MIN(nox_nightshade_cap,Construction!DF45/Construction!E45/nox_nightshade_swamp_bonus)</f>
        <v>1.4999999999999998</v>
      </c>
      <c r="DM45" s="487">
        <f t="shared" si="92"/>
        <v>0</v>
      </c>
      <c r="DN45" s="488">
        <f t="shared" ca="1" si="93"/>
        <v>1.4999999999999998</v>
      </c>
      <c r="DO45" s="488">
        <f t="shared" ca="1" si="94"/>
        <v>1.4999999999999998</v>
      </c>
      <c r="DP45" s="488">
        <f t="shared" si="95"/>
        <v>1</v>
      </c>
      <c r="DQ45" s="487">
        <f t="shared" si="96"/>
        <v>0</v>
      </c>
      <c r="DR45" s="488">
        <f t="shared" si="97"/>
        <v>0</v>
      </c>
      <c r="DS45" s="487">
        <f t="shared" si="98"/>
        <v>0</v>
      </c>
      <c r="DT45" s="488">
        <f t="shared" si="99"/>
        <v>0</v>
      </c>
      <c r="DX45" s="486">
        <f ca="1">MIN(6,CV45+Races!$F$19)*1.8 +  IF(CV45+Races!$F$19&gt;6,(CV45+Races!$F$19-6)*0.2,0) - Races!$N$19</f>
        <v>1.3500000000000005</v>
      </c>
      <c r="DY45" s="487">
        <f ca="1">1.8 * MIN(MAX(CW45+Races!$E$20,CX45+Races!$F$20),6)  +  0.45 * MIN(MIN(CW45+Races!$E$20,CX45+Races!$F$20),6)  +  0.2 * ( MAX(CW45+Races!$E$20-6,0) + MAX(CX45+Races!$F$20-6,0) )  -  Races!$N$20</f>
        <v>1.6874999999999991</v>
      </c>
      <c r="DZ45" s="57">
        <f t="shared" ca="1" si="100"/>
        <v>0</v>
      </c>
      <c r="EA45" s="663">
        <f ca="1">MIN(6,CY45+Races!$F$35)*1.8 +  IF(CY45+Races!$F$35&gt;6,(CY45+Races!$F$35-6)*0.2,0) - Races!$N$19</f>
        <v>-0.45000000000000018</v>
      </c>
      <c r="EB45" s="57">
        <f t="shared" ca="1" si="101"/>
        <v>0</v>
      </c>
      <c r="EC45" s="663">
        <f ca="1">1.8 * MIN(MAX(Races!$E$27,DB45+Races!$F$27),6)  +  0.45 * MIN(MIN(Races!$E$27,DB45+Races!$F$27),6)  +  0.2 * ( MAX(Races!$E$27-6,0) + MAX(DB45+Races!$F$27-6,0) )  -  Races!$N$20</f>
        <v>3.6000000000000005</v>
      </c>
      <c r="ED45" s="57">
        <f t="shared" ca="1" si="102"/>
        <v>0</v>
      </c>
      <c r="EE45" s="663">
        <f>1.8 * MIN(MAX(DC45+Races!$E$47,DD45+Races!$F$47),6)  +  0.45 * MIN(MIN(DC45+Races!$E$47,DD45+Races!$F$47),6)  +  0.2 * ( MAX(DC45+Races!$E$47-6,0) + MAX(DD45+Races!$F$47-6,0) )  -  Races!$N$47</f>
        <v>0</v>
      </c>
      <c r="EF45" s="57">
        <f t="shared" si="103"/>
        <v>0</v>
      </c>
      <c r="EG45" s="663">
        <f ca="1">1.8 * MIN(MAX(DG45+Races!$F$71,Races!$E$71),6)  +  0.45 * MIN(MIN(DG45+Races!$F$71,Races!$E$71),6)  +  0.2 * ( MAX(DG45+Races!$F$71-6,0) + MAX(Races!$E$71-6,0) )  -  Races!$N$71</f>
        <v>1.3499999999999996</v>
      </c>
      <c r="EH45" s="663">
        <f>1.8 * MIN(MAX(DH45+Races!$E$71,Races!$F$71),6)  +  0.45 * MIN(MIN(DH45+Races!$E$71,Races!$F$71),6)  +  0.2 * ( MAX(DH45+Races!$E$71-6,0) + MAX(Races!$F$71-6,0) )  -  Races!$N$71</f>
        <v>0</v>
      </c>
      <c r="EI45" s="57">
        <f t="shared" ca="1" si="104"/>
        <v>0</v>
      </c>
      <c r="EJ45" s="57"/>
      <c r="EK45" s="57"/>
      <c r="EL45" s="57"/>
      <c r="EM45" s="57">
        <f ca="1">Overview!$L$22*E45+Overview!$L$23*F45+Overview!$L$24*G45+Overview!$L$25*H45+Overview!$L$26*I45+Overview!$L$27*J45+Overview!$L$28*K45+Construction!E45*20+Construction!B45*5 + DZ45*$DV$4+EB45*$DV$5+ED45*$DV$6+EF45*$DV$7+EI45*$DV$9</f>
        <v>20900</v>
      </c>
      <c r="EO45" s="734">
        <f>(J45+2*K45)/Construction!E45</f>
        <v>0</v>
      </c>
      <c r="EP45" s="730">
        <f ca="1">EO45*(1+race_wizard_strength+tech_magical_weaponry_wiz*Techs!AV117)</f>
        <v>0</v>
      </c>
      <c r="EQ45" s="16">
        <f>(I45+halfer*H45/3)/Construction!E45</f>
        <v>0</v>
      </c>
    </row>
    <row r="46" spans="1:147" s="16" customFormat="1" x14ac:dyDescent="0.25">
      <c r="A46" s="627">
        <f>Rezone!J46</f>
        <v>44</v>
      </c>
      <c r="B46" s="56">
        <f ca="1">SUM(E46:K46)+SUM(AF38:AG46)+SUM(AH35:AL46)+Z46+Explore!AL46</f>
        <v>5295</v>
      </c>
      <c r="C46" s="97">
        <f ca="1">Population!G46</f>
        <v>0.74159663865546221</v>
      </c>
      <c r="E46" s="52">
        <f t="shared" si="66"/>
        <v>0</v>
      </c>
      <c r="F46" s="16">
        <f t="shared" si="67"/>
        <v>0</v>
      </c>
      <c r="G46" s="16">
        <f t="shared" si="68"/>
        <v>0</v>
      </c>
      <c r="H46" s="16">
        <f t="shared" si="69"/>
        <v>0</v>
      </c>
      <c r="I46" s="16">
        <f t="shared" si="70"/>
        <v>0</v>
      </c>
      <c r="J46" s="16">
        <f t="shared" si="71"/>
        <v>0</v>
      </c>
      <c r="K46" s="53">
        <f t="shared" si="72"/>
        <v>0</v>
      </c>
      <c r="M46" s="64">
        <f ca="1">Production!G46</f>
        <v>20900</v>
      </c>
      <c r="O46" s="142">
        <f t="shared" ca="1" si="77"/>
        <v>0</v>
      </c>
      <c r="P46" s="454">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8"/>
        <v>5295</v>
      </c>
      <c r="T46" s="1047">
        <f ca="1">race_defense+Imps!AC46+ROUND(MIN(gt_bonus*Construction!BH46/Construction!$E46,gt_bonus_cap),4)+MAX(IF(Magic!AM46&gt;0,frenzy_bonus,IF(Magic!AQ46&gt;0,blizzard_bonus,IF(Magic!AP46&gt;0,howling_dp_bonus,IF(Magic!AI46&gt;0,ares_call_bonus)))),IF(Magic!AX46&gt;0,MIN(Construction!DF46/Construction!E46,0.2),0))</f>
        <v>0</v>
      </c>
      <c r="U46" s="1041">
        <f t="shared" ca="1" si="47"/>
        <v>0</v>
      </c>
      <c r="V46" s="310">
        <f t="shared" ca="1" si="48"/>
        <v>5295</v>
      </c>
      <c r="W46" s="310">
        <f>Construction!E46</f>
        <v>1000</v>
      </c>
      <c r="X46" s="367"/>
      <c r="Y46" s="146">
        <f t="shared" si="76"/>
        <v>0.4</v>
      </c>
      <c r="Z46" s="166">
        <f ca="1">Z45+Population!Z45 - IF(race="Lux",AF46,SUM(AF46:AK46)) - BE46 + SUM(BF46:BL46) - Explore!AI46</f>
        <v>5295</v>
      </c>
      <c r="AA46" s="164"/>
      <c r="AB46" s="91">
        <f>(Construction!$BA46+Construction!BY46)/(Construction!$E46-Explore!S46*20)</f>
        <v>0</v>
      </c>
      <c r="AC46" s="1516">
        <f ca="1">Imps!AE46</f>
        <v>0</v>
      </c>
      <c r="AD46" s="795">
        <f>Rezone!J46</f>
        <v>44</v>
      </c>
      <c r="AE46" s="587">
        <f>Explore!AA46</f>
        <v>43768.447916666562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9"/>
        <v>0</v>
      </c>
      <c r="AV46" s="164">
        <f t="shared" ca="1" si="80"/>
        <v>0</v>
      </c>
      <c r="AW46" s="164">
        <f t="shared" ca="1" si="50"/>
        <v>0</v>
      </c>
      <c r="AX46" s="164">
        <f t="shared" ca="1" si="51"/>
        <v>0</v>
      </c>
      <c r="AY46" s="164">
        <f t="shared" ca="1" si="52"/>
        <v>0</v>
      </c>
      <c r="AZ46" s="164">
        <f t="shared" ca="1" si="53"/>
        <v>0</v>
      </c>
      <c r="BA46" s="166">
        <f t="shared" ca="1" si="54"/>
        <v>0</v>
      </c>
      <c r="BB46" s="16">
        <v>44</v>
      </c>
      <c r="BC46" s="572">
        <f t="shared" si="73"/>
        <v>43768.447916666562</v>
      </c>
      <c r="BD46" s="148">
        <f t="shared" ca="1" si="74"/>
        <v>5295</v>
      </c>
      <c r="BE46" s="356"/>
      <c r="BF46" s="348"/>
      <c r="BG46" s="348"/>
      <c r="BH46" s="348"/>
      <c r="BI46" s="348"/>
      <c r="BJ46" s="348"/>
      <c r="BK46" s="348"/>
      <c r="BL46" s="357"/>
      <c r="BN46" s="501">
        <f>Construction!BM46/Construction!E46</f>
        <v>0</v>
      </c>
      <c r="BO46" s="171">
        <f>Construction!BD46/Construction!E46</f>
        <v>0</v>
      </c>
      <c r="BP46" s="152">
        <f ca="1">ROUNDUP((1-MIN(AB46*smithy_bonus,smithy_bonus_cap)-AC46)*(1+Techs!AO46*tech_master_of_frugality)*spec_op_plat,0)</f>
        <v>275</v>
      </c>
      <c r="BQ46" s="164">
        <f ca="1">ROUNDUP(IF(OR(race="Gnome",race="Imperial Gnome"),1-AC46,(1-MIN(AB46*smithy_bonus,smithy_bonus_cap)-AC46)*(1+Techs!AO46*tech_master_of_frugality))*spec_op_ore,0)</f>
        <v>25</v>
      </c>
      <c r="BR46" s="164">
        <f t="shared" si="6"/>
        <v>0</v>
      </c>
      <c r="BS46" s="164">
        <f t="shared" si="7"/>
        <v>0</v>
      </c>
      <c r="BT46" s="164">
        <f ca="1">ROUNDUP((1-MIN(AB46*smithy_bonus,smithy_bonus_cap)-AC46)*(1+Techs!AO46*tech_master_of_frugality)*spec_dp_plat,0)</f>
        <v>275</v>
      </c>
      <c r="BU46" s="164">
        <f ca="1">ROUNDUP(IF(OR(race="Gnome",race="Imperial Gnome"),1-AC46,(1-MIN(AB46*smithy_bonus,smithy_bonus_cap)-AC46)*(1+Techs!AO46*tech_master_of_frugality))*spec_dp_ore,0)</f>
        <v>10</v>
      </c>
      <c r="BV46" s="164">
        <f t="shared" ca="1" si="8"/>
        <v>0</v>
      </c>
      <c r="BW46" s="164">
        <f t="shared" ca="1" si="9"/>
        <v>0</v>
      </c>
      <c r="BX46" s="164">
        <f t="shared" ca="1" si="10"/>
        <v>0</v>
      </c>
      <c r="BY46" s="164">
        <f ca="1">ROUNDUP((1-MIN(AB46*smithy_bonus,smithy_bonus_cap)-AC46)*(1+Techs!AO46*tech_master_of_frugality)*elite1_plat,0)</f>
        <v>1000</v>
      </c>
      <c r="BZ46" s="164">
        <f ca="1">ROUNDUP(IF(OR(race="Gnome",race="Imperial Gnome"),1-AC46,(1-MIN(AB46*smithy_bonus,smithy_bonus_cap)-AC46)*(1+Techs!AO46*tech_master_of_frugality))*elite1_ore,0)</f>
        <v>75</v>
      </c>
      <c r="CA46" s="164">
        <f t="shared" ca="1" si="55"/>
        <v>0</v>
      </c>
      <c r="CB46" s="164">
        <f t="shared" ca="1" si="12"/>
        <v>0</v>
      </c>
      <c r="CC46" s="164">
        <f t="shared" ca="1" si="13"/>
        <v>0</v>
      </c>
      <c r="CD46" s="164">
        <f t="shared" ca="1" si="14"/>
        <v>0</v>
      </c>
      <c r="CE46" s="164">
        <f t="shared" ca="1" si="15"/>
        <v>0</v>
      </c>
      <c r="CF46" s="164">
        <f ca="1">ROUNDUP((1-MIN(AB46*smithy_bonus,smithy_bonus_cap)-AC46)*(1+Techs!AO46*tech_master_of_frugality)*elite2_plat,0)</f>
        <v>1250</v>
      </c>
      <c r="CG46" s="164">
        <f ca="1">ROUNDUP(IF(OR(race="Gnome",race="Imperial Gnome"),1-AC46,(1-MIN(AB46*smithy_bonus,smithy_bonus_cap)-AC46)*(1+Techs!AO46*tech_master_of_frugality))*elite2_ore,0)</f>
        <v>100</v>
      </c>
      <c r="CH46" s="164">
        <f t="shared" ca="1" si="56"/>
        <v>0</v>
      </c>
      <c r="CI46" s="164">
        <f t="shared" ca="1" si="17"/>
        <v>0</v>
      </c>
      <c r="CJ46" s="164">
        <f t="shared" ca="1" si="18"/>
        <v>0</v>
      </c>
      <c r="CK46" s="164">
        <f t="shared" ca="1" si="19"/>
        <v>0</v>
      </c>
      <c r="CL46" s="164">
        <f t="shared" ca="1" si="20"/>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4">
        <f ca="1">Construction!DF46/Construction!E46</f>
        <v>0.15</v>
      </c>
      <c r="CR46" s="465">
        <f t="shared" si="75"/>
        <v>0</v>
      </c>
      <c r="CS46" s="465">
        <f>Construction!BK46/Construction!E46</f>
        <v>0.05</v>
      </c>
      <c r="CT46" s="465">
        <f>Construction!BJ46/Construction!E46</f>
        <v>0</v>
      </c>
      <c r="CU46" s="465">
        <f>Construction!AY46/Construction!E46</f>
        <v>0</v>
      </c>
      <c r="CV46" s="486">
        <f t="shared" ca="1" si="81"/>
        <v>0.74999999999999989</v>
      </c>
      <c r="CW46" s="487">
        <f t="shared" ca="1" si="82"/>
        <v>0.74999999999999989</v>
      </c>
      <c r="CX46" s="487">
        <f t="shared" ca="1" si="83"/>
        <v>0.74999999999999989</v>
      </c>
      <c r="CY46" s="488">
        <f t="shared" ca="1" si="84"/>
        <v>0.74999999999999989</v>
      </c>
      <c r="CZ46" s="488">
        <f t="shared" si="85"/>
        <v>0</v>
      </c>
      <c r="DA46" s="488">
        <f t="shared" ca="1" si="86"/>
        <v>2.9999999999999996</v>
      </c>
      <c r="DB46" s="488">
        <f t="shared" ca="1" si="87"/>
        <v>0.74999999999999989</v>
      </c>
      <c r="DC46" s="487">
        <f t="shared" si="88"/>
        <v>0</v>
      </c>
      <c r="DD46" s="843">
        <f t="shared" si="89"/>
        <v>0</v>
      </c>
      <c r="DE46" s="441">
        <f t="shared" si="58"/>
        <v>0</v>
      </c>
      <c r="DF46" s="441">
        <f t="shared" si="59"/>
        <v>0</v>
      </c>
      <c r="DG46" s="486">
        <f t="shared" ca="1" si="90"/>
        <v>0.74999999999999989</v>
      </c>
      <c r="DH46" s="451">
        <f t="shared" si="91"/>
        <v>0</v>
      </c>
      <c r="DI46" s="451">
        <f>MIN(valkyrja_cap,Production!O46/valkyrja_bonus)</f>
        <v>1</v>
      </c>
      <c r="DJ46" s="843">
        <f>MIN(voodoo_magi_cap,Production!O46/voodoo_magi_bonus)</f>
        <v>0.83333333333333337</v>
      </c>
      <c r="DK46" s="843">
        <f>MIN(warlock_cap,Production!O46/warlock_bonus)</f>
        <v>1</v>
      </c>
      <c r="DL46" s="843">
        <f ca="1">MIN(nox_nightshade_cap,Construction!DF46/Construction!E46/nox_nightshade_swamp_bonus)</f>
        <v>1.4999999999999998</v>
      </c>
      <c r="DM46" s="487">
        <f t="shared" si="92"/>
        <v>0</v>
      </c>
      <c r="DN46" s="488">
        <f t="shared" ca="1" si="93"/>
        <v>1.4999999999999998</v>
      </c>
      <c r="DO46" s="488">
        <f t="shared" ca="1" si="94"/>
        <v>1.4999999999999998</v>
      </c>
      <c r="DP46" s="488">
        <f t="shared" si="95"/>
        <v>1</v>
      </c>
      <c r="DQ46" s="487">
        <f t="shared" si="96"/>
        <v>0</v>
      </c>
      <c r="DR46" s="488">
        <f t="shared" si="97"/>
        <v>0</v>
      </c>
      <c r="DS46" s="487">
        <f t="shared" si="98"/>
        <v>0</v>
      </c>
      <c r="DT46" s="488">
        <f t="shared" si="99"/>
        <v>0</v>
      </c>
      <c r="DX46" s="486">
        <f ca="1">MIN(6,CV46+Races!$F$19)*1.8 +  IF(CV46+Races!$F$19&gt;6,(CV46+Races!$F$19-6)*0.2,0) - Races!$N$19</f>
        <v>1.3500000000000005</v>
      </c>
      <c r="DY46" s="487">
        <f ca="1">1.8 * MIN(MAX(CW46+Races!$E$20,CX46+Races!$F$20),6)  +  0.45 * MIN(MIN(CW46+Races!$E$20,CX46+Races!$F$20),6)  +  0.2 * ( MAX(CW46+Races!$E$20-6,0) + MAX(CX46+Races!$F$20-6,0) )  -  Races!$N$20</f>
        <v>1.6874999999999991</v>
      </c>
      <c r="DZ46" s="57">
        <f t="shared" ca="1" si="100"/>
        <v>0</v>
      </c>
      <c r="EA46" s="663">
        <f ca="1">MIN(6,CY46+Races!$F$35)*1.8 +  IF(CY46+Races!$F$35&gt;6,(CY46+Races!$F$35-6)*0.2,0) - Races!$N$19</f>
        <v>-0.45000000000000018</v>
      </c>
      <c r="EB46" s="57">
        <f t="shared" ca="1" si="101"/>
        <v>0</v>
      </c>
      <c r="EC46" s="663">
        <f ca="1">1.8 * MIN(MAX(Races!$E$27,DB46+Races!$F$27),6)  +  0.45 * MIN(MIN(Races!$E$27,DB46+Races!$F$27),6)  +  0.2 * ( MAX(Races!$E$27-6,0) + MAX(DB46+Races!$F$27-6,0) )  -  Races!$N$20</f>
        <v>3.6000000000000005</v>
      </c>
      <c r="ED46" s="57">
        <f t="shared" ca="1" si="102"/>
        <v>0</v>
      </c>
      <c r="EE46" s="663">
        <f>1.8 * MIN(MAX(DC46+Races!$E$47,DD46+Races!$F$47),6)  +  0.45 * MIN(MIN(DC46+Races!$E$47,DD46+Races!$F$47),6)  +  0.2 * ( MAX(DC46+Races!$E$47-6,0) + MAX(DD46+Races!$F$47-6,0) )  -  Races!$N$47</f>
        <v>0</v>
      </c>
      <c r="EF46" s="57">
        <f t="shared" si="103"/>
        <v>0</v>
      </c>
      <c r="EG46" s="663">
        <f ca="1">1.8 * MIN(MAX(DG46+Races!$F$71,Races!$E$71),6)  +  0.45 * MIN(MIN(DG46+Races!$F$71,Races!$E$71),6)  +  0.2 * ( MAX(DG46+Races!$F$71-6,0) + MAX(Races!$E$71-6,0) )  -  Races!$N$71</f>
        <v>1.3499999999999996</v>
      </c>
      <c r="EH46" s="663">
        <f>1.8 * MIN(MAX(DH46+Races!$E$71,Races!$F$71),6)  +  0.45 * MIN(MIN(DH46+Races!$E$71,Races!$F$71),6)  +  0.2 * ( MAX(DH46+Races!$E$71-6,0) + MAX(Races!$F$71-6,0) )  -  Races!$N$71</f>
        <v>0</v>
      </c>
      <c r="EI46" s="57">
        <f t="shared" ca="1" si="104"/>
        <v>0</v>
      </c>
      <c r="EJ46" s="57"/>
      <c r="EK46" s="57"/>
      <c r="EL46" s="57"/>
      <c r="EM46" s="57">
        <f ca="1">Overview!$L$22*E46+Overview!$L$23*F46+Overview!$L$24*G46+Overview!$L$25*H46+Overview!$L$26*I46+Overview!$L$27*J46+Overview!$L$28*K46+Construction!E46*20+Construction!B46*5 + DZ46*$DV$4+EB46*$DV$5+ED46*$DV$6+EF46*$DV$7+EI46*$DV$9</f>
        <v>20900</v>
      </c>
      <c r="EO46" s="734">
        <f>(J46+2*K46)/Construction!E46</f>
        <v>0</v>
      </c>
      <c r="EP46" s="730">
        <f ca="1">EO46*(1+race_wizard_strength+tech_magical_weaponry_wiz*Techs!AV118)</f>
        <v>0</v>
      </c>
      <c r="EQ46" s="16">
        <f>(I46+halfer*H46/3)/Construction!E46</f>
        <v>0</v>
      </c>
    </row>
    <row r="47" spans="1:147" s="16" customFormat="1" x14ac:dyDescent="0.25">
      <c r="A47" s="627">
        <f>Rezone!J47</f>
        <v>45</v>
      </c>
      <c r="B47" s="56">
        <f ca="1">SUM(E47:K47)+SUM(AF39:AG47)+SUM(AH36:AL47)+Z47+Explore!AL47</f>
        <v>5295</v>
      </c>
      <c r="C47" s="97">
        <f ca="1">Population!G47</f>
        <v>0.74159663865546221</v>
      </c>
      <c r="E47" s="52">
        <f t="shared" ref="E47:E78" si="105">E46 - BF47 + AF38 - IF(race="Lux",AG47+AH47,0)</f>
        <v>0</v>
      </c>
      <c r="F47" s="16">
        <f t="shared" ref="F47:F78" si="106">F46 - BG47 + IF(race="Lux",AG35,AG38) - IF(race="Lux",AI47,0)</f>
        <v>0</v>
      </c>
      <c r="G47" s="16">
        <f t="shared" ref="G47:G78" si="107">G46 + AH35 - BH47 - IF(race="Lux",AI47,0)</f>
        <v>0</v>
      </c>
      <c r="H47" s="16">
        <f t="shared" ref="H47:H78" si="108">H46 + AI35 - BI47</f>
        <v>0</v>
      </c>
      <c r="I47" s="16">
        <f t="shared" ref="I47:I78" si="109">I46 + AJ35 - BJ47</f>
        <v>0</v>
      </c>
      <c r="J47" s="16">
        <f t="shared" ref="J47:J78" si="110">J46 + AK35 - AL47 - BK47</f>
        <v>0</v>
      </c>
      <c r="K47" s="53">
        <f t="shared" ref="K47:K78" si="111">K46 + AL35 - BL47</f>
        <v>0</v>
      </c>
      <c r="M47" s="64">
        <f ca="1">Production!G47</f>
        <v>20900</v>
      </c>
      <c r="O47" s="142">
        <f t="shared" ca="1" si="77"/>
        <v>0</v>
      </c>
      <c r="P47" s="454">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8"/>
        <v>5295</v>
      </c>
      <c r="T47" s="1047">
        <f ca="1">race_defense+Imps!AC47+ROUND(MIN(gt_bonus*Construction!BH47/Construction!$E47,gt_bonus_cap),4)+MAX(IF(Magic!AM47&gt;0,frenzy_bonus,IF(Magic!AQ47&gt;0,blizzard_bonus,IF(Magic!AP47&gt;0,howling_dp_bonus,IF(Magic!AI47&gt;0,ares_call_bonus)))),IF(Magic!AX47&gt;0,MIN(Construction!DF47/Construction!E47,0.2),0))</f>
        <v>0</v>
      </c>
      <c r="U47" s="1041">
        <f t="shared" ca="1" si="47"/>
        <v>0</v>
      </c>
      <c r="V47" s="310">
        <f t="shared" ca="1" si="48"/>
        <v>5295</v>
      </c>
      <c r="W47" s="310">
        <f>Construction!E47</f>
        <v>1000</v>
      </c>
      <c r="X47" s="367"/>
      <c r="Y47" s="146">
        <f t="shared" si="76"/>
        <v>0.4</v>
      </c>
      <c r="Z47" s="166">
        <f ca="1">Z46+Population!Z46 - IF(race="Lux",AF47,SUM(AF47:AK47)) - BE47 + SUM(BF47:BL47) - Explore!AI47</f>
        <v>5295</v>
      </c>
      <c r="AA47" s="164"/>
      <c r="AB47" s="91">
        <f>(Construction!$BA47+Construction!BY47)/(Construction!$E47-Explore!S47*20)</f>
        <v>0</v>
      </c>
      <c r="AC47" s="1516">
        <f ca="1">Imps!AE47</f>
        <v>0</v>
      </c>
      <c r="AD47" s="795">
        <f>Rezone!J47</f>
        <v>45</v>
      </c>
      <c r="AE47" s="587">
        <f>Explore!AA47</f>
        <v>43768.458333333227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9"/>
        <v>0</v>
      </c>
      <c r="AV47" s="164">
        <f t="shared" ca="1" si="80"/>
        <v>0</v>
      </c>
      <c r="AW47" s="164">
        <f t="shared" ca="1" si="50"/>
        <v>0</v>
      </c>
      <c r="AX47" s="164">
        <f t="shared" ca="1" si="51"/>
        <v>0</v>
      </c>
      <c r="AY47" s="164">
        <f t="shared" ca="1" si="52"/>
        <v>0</v>
      </c>
      <c r="AZ47" s="164">
        <f t="shared" ca="1" si="53"/>
        <v>0</v>
      </c>
      <c r="BA47" s="166">
        <f t="shared" ca="1" si="54"/>
        <v>0</v>
      </c>
      <c r="BB47" s="16">
        <v>45</v>
      </c>
      <c r="BC47" s="572">
        <f t="shared" si="73"/>
        <v>43768.458333333227</v>
      </c>
      <c r="BD47" s="148">
        <f t="shared" ca="1" si="74"/>
        <v>5295</v>
      </c>
      <c r="BE47" s="356"/>
      <c r="BF47" s="348"/>
      <c r="BG47" s="348"/>
      <c r="BH47" s="348"/>
      <c r="BI47" s="348"/>
      <c r="BJ47" s="348"/>
      <c r="BK47" s="348"/>
      <c r="BL47" s="357"/>
      <c r="BN47" s="501">
        <f>Construction!BM47/Construction!E47</f>
        <v>0</v>
      </c>
      <c r="BO47" s="171">
        <f>Construction!BD47/Construction!E47</f>
        <v>0</v>
      </c>
      <c r="BP47" s="152">
        <f ca="1">ROUNDUP((1-MIN(AB47*smithy_bonus,smithy_bonus_cap)-AC47)*(1+Techs!AO47*tech_master_of_frugality)*spec_op_plat,0)</f>
        <v>275</v>
      </c>
      <c r="BQ47" s="164">
        <f ca="1">ROUNDUP(IF(OR(race="Gnome",race="Imperial Gnome"),1-AC47,(1-MIN(AB47*smithy_bonus,smithy_bonus_cap)-AC47)*(1+Techs!AO47*tech_master_of_frugality))*spec_op_ore,0)</f>
        <v>25</v>
      </c>
      <c r="BR47" s="164">
        <f t="shared" si="6"/>
        <v>0</v>
      </c>
      <c r="BS47" s="164">
        <f t="shared" si="7"/>
        <v>0</v>
      </c>
      <c r="BT47" s="164">
        <f ca="1">ROUNDUP((1-MIN(AB47*smithy_bonus,smithy_bonus_cap)-AC47)*(1+Techs!AO47*tech_master_of_frugality)*spec_dp_plat,0)</f>
        <v>275</v>
      </c>
      <c r="BU47" s="164">
        <f ca="1">ROUNDUP(IF(OR(race="Gnome",race="Imperial Gnome"),1-AC47,(1-MIN(AB47*smithy_bonus,smithy_bonus_cap)-AC47)*(1+Techs!AO47*tech_master_of_frugality))*spec_dp_ore,0)</f>
        <v>10</v>
      </c>
      <c r="BV47" s="164">
        <f t="shared" ca="1" si="8"/>
        <v>0</v>
      </c>
      <c r="BW47" s="164">
        <f t="shared" ca="1" si="9"/>
        <v>0</v>
      </c>
      <c r="BX47" s="164">
        <f t="shared" ca="1" si="10"/>
        <v>0</v>
      </c>
      <c r="BY47" s="164">
        <f ca="1">ROUNDUP((1-MIN(AB47*smithy_bonus,smithy_bonus_cap)-AC47)*(1+Techs!AO47*tech_master_of_frugality)*elite1_plat,0)</f>
        <v>1000</v>
      </c>
      <c r="BZ47" s="164">
        <f ca="1">ROUNDUP(IF(OR(race="Gnome",race="Imperial Gnome"),1-AC47,(1-MIN(AB47*smithy_bonus,smithy_bonus_cap)-AC47)*(1+Techs!AO47*tech_master_of_frugality))*elite1_ore,0)</f>
        <v>75</v>
      </c>
      <c r="CA47" s="164">
        <f t="shared" ca="1" si="55"/>
        <v>0</v>
      </c>
      <c r="CB47" s="164">
        <f t="shared" ca="1" si="12"/>
        <v>0</v>
      </c>
      <c r="CC47" s="164">
        <f t="shared" ca="1" si="13"/>
        <v>0</v>
      </c>
      <c r="CD47" s="164">
        <f t="shared" ca="1" si="14"/>
        <v>0</v>
      </c>
      <c r="CE47" s="164">
        <f t="shared" ca="1" si="15"/>
        <v>0</v>
      </c>
      <c r="CF47" s="164">
        <f ca="1">ROUNDUP((1-MIN(AB47*smithy_bonus,smithy_bonus_cap)-AC47)*(1+Techs!AO47*tech_master_of_frugality)*elite2_plat,0)</f>
        <v>1250</v>
      </c>
      <c r="CG47" s="164">
        <f ca="1">ROUNDUP(IF(OR(race="Gnome",race="Imperial Gnome"),1-AC47,(1-MIN(AB47*smithy_bonus,smithy_bonus_cap)-AC47)*(1+Techs!AO47*tech_master_of_frugality))*elite2_ore,0)</f>
        <v>100</v>
      </c>
      <c r="CH47" s="164">
        <f t="shared" ca="1" si="56"/>
        <v>0</v>
      </c>
      <c r="CI47" s="164">
        <f t="shared" ca="1" si="17"/>
        <v>0</v>
      </c>
      <c r="CJ47" s="164">
        <f t="shared" ca="1" si="18"/>
        <v>0</v>
      </c>
      <c r="CK47" s="164">
        <f t="shared" ca="1" si="19"/>
        <v>0</v>
      </c>
      <c r="CL47" s="164">
        <f t="shared" ca="1" si="20"/>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4">
        <f ca="1">Construction!DF47/Construction!E47</f>
        <v>0.15</v>
      </c>
      <c r="CR47" s="465">
        <f t="shared" si="75"/>
        <v>0</v>
      </c>
      <c r="CS47" s="465">
        <f>Construction!BK47/Construction!E47</f>
        <v>0.05</v>
      </c>
      <c r="CT47" s="465">
        <f>Construction!BJ47/Construction!E47</f>
        <v>0</v>
      </c>
      <c r="CU47" s="465">
        <f>Construction!AY47/Construction!E47</f>
        <v>0</v>
      </c>
      <c r="CV47" s="486">
        <f t="shared" ca="1" si="81"/>
        <v>0.74999999999999989</v>
      </c>
      <c r="CW47" s="487">
        <f t="shared" ca="1" si="82"/>
        <v>0.74999999999999989</v>
      </c>
      <c r="CX47" s="487">
        <f t="shared" ca="1" si="83"/>
        <v>0.74999999999999989</v>
      </c>
      <c r="CY47" s="488">
        <f t="shared" ca="1" si="84"/>
        <v>0.74999999999999989</v>
      </c>
      <c r="CZ47" s="488">
        <f t="shared" si="85"/>
        <v>0</v>
      </c>
      <c r="DA47" s="488">
        <f t="shared" ca="1" si="86"/>
        <v>2.9999999999999996</v>
      </c>
      <c r="DB47" s="488">
        <f t="shared" ca="1" si="87"/>
        <v>0.74999999999999989</v>
      </c>
      <c r="DC47" s="487">
        <f t="shared" si="88"/>
        <v>0</v>
      </c>
      <c r="DD47" s="843">
        <f t="shared" si="89"/>
        <v>0</v>
      </c>
      <c r="DE47" s="441">
        <f t="shared" si="58"/>
        <v>0</v>
      </c>
      <c r="DF47" s="441">
        <f t="shared" si="59"/>
        <v>0</v>
      </c>
      <c r="DG47" s="486">
        <f t="shared" ca="1" si="90"/>
        <v>0.74999999999999989</v>
      </c>
      <c r="DH47" s="451">
        <f t="shared" si="91"/>
        <v>0</v>
      </c>
      <c r="DI47" s="451">
        <f>MIN(valkyrja_cap,Production!O47/valkyrja_bonus)</f>
        <v>1</v>
      </c>
      <c r="DJ47" s="843">
        <f>MIN(voodoo_magi_cap,Production!O47/voodoo_magi_bonus)</f>
        <v>0.83333333333333337</v>
      </c>
      <c r="DK47" s="843">
        <f>MIN(warlock_cap,Production!O47/warlock_bonus)</f>
        <v>1</v>
      </c>
      <c r="DL47" s="843">
        <f ca="1">MIN(nox_nightshade_cap,Construction!DF47/Construction!E47/nox_nightshade_swamp_bonus)</f>
        <v>1.4999999999999998</v>
      </c>
      <c r="DM47" s="487">
        <f t="shared" si="92"/>
        <v>0</v>
      </c>
      <c r="DN47" s="488">
        <f t="shared" ca="1" si="93"/>
        <v>1.4999999999999998</v>
      </c>
      <c r="DO47" s="488">
        <f t="shared" ca="1" si="94"/>
        <v>1.4999999999999998</v>
      </c>
      <c r="DP47" s="488">
        <f t="shared" si="95"/>
        <v>1</v>
      </c>
      <c r="DQ47" s="487">
        <f t="shared" si="96"/>
        <v>0</v>
      </c>
      <c r="DR47" s="488">
        <f t="shared" si="97"/>
        <v>0</v>
      </c>
      <c r="DS47" s="487">
        <f t="shared" si="98"/>
        <v>0</v>
      </c>
      <c r="DT47" s="488">
        <f t="shared" si="99"/>
        <v>0</v>
      </c>
      <c r="DX47" s="486">
        <f ca="1">MIN(6,CV47+Races!$F$19)*1.8 +  IF(CV47+Races!$F$19&gt;6,(CV47+Races!$F$19-6)*0.2,0) - Races!$N$19</f>
        <v>1.3500000000000005</v>
      </c>
      <c r="DY47" s="487">
        <f ca="1">1.8 * MIN(MAX(CW47+Races!$E$20,CX47+Races!$F$20),6)  +  0.45 * MIN(MIN(CW47+Races!$E$20,CX47+Races!$F$20),6)  +  0.2 * ( MAX(CW47+Races!$E$20-6,0) + MAX(CX47+Races!$F$20-6,0) )  -  Races!$N$20</f>
        <v>1.6874999999999991</v>
      </c>
      <c r="DZ47" s="57">
        <f t="shared" ca="1" si="100"/>
        <v>0</v>
      </c>
      <c r="EA47" s="663">
        <f ca="1">MIN(6,CY47+Races!$F$35)*1.8 +  IF(CY47+Races!$F$35&gt;6,(CY47+Races!$F$35-6)*0.2,0) - Races!$N$19</f>
        <v>-0.45000000000000018</v>
      </c>
      <c r="EB47" s="57">
        <f t="shared" ca="1" si="101"/>
        <v>0</v>
      </c>
      <c r="EC47" s="663">
        <f ca="1">1.8 * MIN(MAX(Races!$E$27,DB47+Races!$F$27),6)  +  0.45 * MIN(MIN(Races!$E$27,DB47+Races!$F$27),6)  +  0.2 * ( MAX(Races!$E$27-6,0) + MAX(DB47+Races!$F$27-6,0) )  -  Races!$N$20</f>
        <v>3.6000000000000005</v>
      </c>
      <c r="ED47" s="57">
        <f t="shared" ca="1" si="102"/>
        <v>0</v>
      </c>
      <c r="EE47" s="663">
        <f>1.8 * MIN(MAX(DC47+Races!$E$47,DD47+Races!$F$47),6)  +  0.45 * MIN(MIN(DC47+Races!$E$47,DD47+Races!$F$47),6)  +  0.2 * ( MAX(DC47+Races!$E$47-6,0) + MAX(DD47+Races!$F$47-6,0) )  -  Races!$N$47</f>
        <v>0</v>
      </c>
      <c r="EF47" s="57">
        <f t="shared" si="103"/>
        <v>0</v>
      </c>
      <c r="EG47" s="663">
        <f ca="1">1.8 * MIN(MAX(DG47+Races!$F$71,Races!$E$71),6)  +  0.45 * MIN(MIN(DG47+Races!$F$71,Races!$E$71),6)  +  0.2 * ( MAX(DG47+Races!$F$71-6,0) + MAX(Races!$E$71-6,0) )  -  Races!$N$71</f>
        <v>1.3499999999999996</v>
      </c>
      <c r="EH47" s="663">
        <f>1.8 * MIN(MAX(DH47+Races!$E$71,Races!$F$71),6)  +  0.45 * MIN(MIN(DH47+Races!$E$71,Races!$F$71),6)  +  0.2 * ( MAX(DH47+Races!$E$71-6,0) + MAX(Races!$F$71-6,0) )  -  Races!$N$71</f>
        <v>0</v>
      </c>
      <c r="EI47" s="57">
        <f t="shared" ca="1" si="104"/>
        <v>0</v>
      </c>
      <c r="EJ47" s="57"/>
      <c r="EK47" s="57"/>
      <c r="EL47" s="57"/>
      <c r="EM47" s="57">
        <f ca="1">Overview!$L$22*E47+Overview!$L$23*F47+Overview!$L$24*G47+Overview!$L$25*H47+Overview!$L$26*I47+Overview!$L$27*J47+Overview!$L$28*K47+Construction!E47*20+Construction!B47*5 + DZ47*$DV$4+EB47*$DV$5+ED47*$DV$6+EF47*$DV$7+EI47*$DV$9</f>
        <v>20900</v>
      </c>
      <c r="EO47" s="734">
        <f>(J47+2*K47)/Construction!E47</f>
        <v>0</v>
      </c>
      <c r="EP47" s="730">
        <f ca="1">EO47*(1+race_wizard_strength+tech_magical_weaponry_wiz*Techs!AV119)</f>
        <v>0</v>
      </c>
      <c r="EQ47" s="16">
        <f>(I47+halfer*H47/3)/Construction!E47</f>
        <v>0</v>
      </c>
    </row>
    <row r="48" spans="1:147" s="16" customFormat="1" x14ac:dyDescent="0.25">
      <c r="A48" s="627">
        <f>Rezone!J48</f>
        <v>46</v>
      </c>
      <c r="B48" s="56">
        <f ca="1">SUM(E48:K48)+SUM(AF40:AG48)+SUM(AH37:AL48)+Z48+Explore!AL48</f>
        <v>5295</v>
      </c>
      <c r="C48" s="97">
        <f ca="1">Population!G48</f>
        <v>0.74159663865546221</v>
      </c>
      <c r="E48" s="52">
        <f t="shared" si="105"/>
        <v>0</v>
      </c>
      <c r="F48" s="16">
        <f t="shared" si="106"/>
        <v>0</v>
      </c>
      <c r="G48" s="16">
        <f t="shared" si="107"/>
        <v>0</v>
      </c>
      <c r="H48" s="16">
        <f t="shared" si="108"/>
        <v>0</v>
      </c>
      <c r="I48" s="16">
        <f t="shared" si="109"/>
        <v>0</v>
      </c>
      <c r="J48" s="16">
        <f t="shared" si="110"/>
        <v>0</v>
      </c>
      <c r="K48" s="53">
        <f t="shared" si="111"/>
        <v>0</v>
      </c>
      <c r="M48" s="64">
        <f ca="1">Production!G48</f>
        <v>20900</v>
      </c>
      <c r="O48" s="142">
        <f t="shared" ca="1" si="77"/>
        <v>0</v>
      </c>
      <c r="P48" s="454">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8"/>
        <v>5295</v>
      </c>
      <c r="T48" s="1047">
        <f ca="1">race_defense+Imps!AC48+ROUND(MIN(gt_bonus*Construction!BH48/Construction!$E48,gt_bonus_cap),4)+MAX(IF(Magic!AM48&gt;0,frenzy_bonus,IF(Magic!AQ48&gt;0,blizzard_bonus,IF(Magic!AP48&gt;0,howling_dp_bonus,IF(Magic!AI48&gt;0,ares_call_bonus)))),IF(Magic!AX48&gt;0,MIN(Construction!DF48/Construction!E48,0.2),0))</f>
        <v>0</v>
      </c>
      <c r="U48" s="1041">
        <f t="shared" ca="1" si="47"/>
        <v>0</v>
      </c>
      <c r="V48" s="310">
        <f t="shared" ca="1" si="48"/>
        <v>5295</v>
      </c>
      <c r="W48" s="310">
        <f>Construction!E48</f>
        <v>1000</v>
      </c>
      <c r="X48" s="367"/>
      <c r="Y48" s="146">
        <f t="shared" si="76"/>
        <v>0.4</v>
      </c>
      <c r="Z48" s="166">
        <f ca="1">Z47+Population!Z47 - IF(race="Lux",AF48,SUM(AF48:AK48)) - BE48 + SUM(BF48:BL48) - Explore!AI48</f>
        <v>5295</v>
      </c>
      <c r="AA48" s="164"/>
      <c r="AB48" s="91">
        <f>(Construction!$BA48+Construction!BY48)/(Construction!$E48-Explore!S48*20)</f>
        <v>0</v>
      </c>
      <c r="AC48" s="1516">
        <f ca="1">Imps!AE48</f>
        <v>0</v>
      </c>
      <c r="AD48" s="795">
        <f>Rezone!J48</f>
        <v>46</v>
      </c>
      <c r="AE48" s="587">
        <f>Explore!AA48</f>
        <v>43768.468749999891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9"/>
        <v>0</v>
      </c>
      <c r="AV48" s="164">
        <f t="shared" ca="1" si="80"/>
        <v>0</v>
      </c>
      <c r="AW48" s="164">
        <f t="shared" ca="1" si="50"/>
        <v>0</v>
      </c>
      <c r="AX48" s="164">
        <f t="shared" ca="1" si="51"/>
        <v>0</v>
      </c>
      <c r="AY48" s="164">
        <f t="shared" ca="1" si="52"/>
        <v>0</v>
      </c>
      <c r="AZ48" s="164">
        <f t="shared" ca="1" si="53"/>
        <v>0</v>
      </c>
      <c r="BA48" s="166">
        <f t="shared" ca="1" si="54"/>
        <v>0</v>
      </c>
      <c r="BB48" s="16">
        <v>46</v>
      </c>
      <c r="BC48" s="572">
        <f t="shared" si="73"/>
        <v>43768.468749999891</v>
      </c>
      <c r="BD48" s="148">
        <f t="shared" ca="1" si="74"/>
        <v>5295</v>
      </c>
      <c r="BE48" s="356"/>
      <c r="BF48" s="348"/>
      <c r="BG48" s="348"/>
      <c r="BH48" s="348"/>
      <c r="BI48" s="348"/>
      <c r="BJ48" s="348"/>
      <c r="BK48" s="348"/>
      <c r="BL48" s="357"/>
      <c r="BN48" s="501">
        <f>Construction!BM48/Construction!E48</f>
        <v>0</v>
      </c>
      <c r="BO48" s="171">
        <f>Construction!BD48/Construction!E48</f>
        <v>0</v>
      </c>
      <c r="BP48" s="152">
        <f ca="1">ROUNDUP((1-MIN(AB48*smithy_bonus,smithy_bonus_cap)-AC48)*(1+Techs!AO48*tech_master_of_frugality)*spec_op_plat,0)</f>
        <v>275</v>
      </c>
      <c r="BQ48" s="164">
        <f ca="1">ROUNDUP(IF(OR(race="Gnome",race="Imperial Gnome"),1-AC48,(1-MIN(AB48*smithy_bonus,smithy_bonus_cap)-AC48)*(1+Techs!AO48*tech_master_of_frugality))*spec_op_ore,0)</f>
        <v>25</v>
      </c>
      <c r="BR48" s="164">
        <f t="shared" si="6"/>
        <v>0</v>
      </c>
      <c r="BS48" s="164">
        <f t="shared" si="7"/>
        <v>0</v>
      </c>
      <c r="BT48" s="164">
        <f ca="1">ROUNDUP((1-MIN(AB48*smithy_bonus,smithy_bonus_cap)-AC48)*(1+Techs!AO48*tech_master_of_frugality)*spec_dp_plat,0)</f>
        <v>275</v>
      </c>
      <c r="BU48" s="164">
        <f ca="1">ROUNDUP(IF(OR(race="Gnome",race="Imperial Gnome"),1-AC48,(1-MIN(AB48*smithy_bonus,smithy_bonus_cap)-AC48)*(1+Techs!AO48*tech_master_of_frugality))*spec_dp_ore,0)</f>
        <v>10</v>
      </c>
      <c r="BV48" s="164">
        <f t="shared" ca="1" si="8"/>
        <v>0</v>
      </c>
      <c r="BW48" s="164">
        <f t="shared" ca="1" si="9"/>
        <v>0</v>
      </c>
      <c r="BX48" s="164">
        <f t="shared" ca="1" si="10"/>
        <v>0</v>
      </c>
      <c r="BY48" s="164">
        <f ca="1">ROUNDUP((1-MIN(AB48*smithy_bonus,smithy_bonus_cap)-AC48)*(1+Techs!AO48*tech_master_of_frugality)*elite1_plat,0)</f>
        <v>1000</v>
      </c>
      <c r="BZ48" s="164">
        <f ca="1">ROUNDUP(IF(OR(race="Gnome",race="Imperial Gnome"),1-AC48,(1-MIN(AB48*smithy_bonus,smithy_bonus_cap)-AC48)*(1+Techs!AO48*tech_master_of_frugality))*elite1_ore,0)</f>
        <v>75</v>
      </c>
      <c r="CA48" s="164">
        <f t="shared" ca="1" si="55"/>
        <v>0</v>
      </c>
      <c r="CB48" s="164">
        <f t="shared" ca="1" si="12"/>
        <v>0</v>
      </c>
      <c r="CC48" s="164">
        <f t="shared" ca="1" si="13"/>
        <v>0</v>
      </c>
      <c r="CD48" s="164">
        <f t="shared" ca="1" si="14"/>
        <v>0</v>
      </c>
      <c r="CE48" s="164">
        <f t="shared" ca="1" si="15"/>
        <v>0</v>
      </c>
      <c r="CF48" s="164">
        <f ca="1">ROUNDUP((1-MIN(AB48*smithy_bonus,smithy_bonus_cap)-AC48)*(1+Techs!AO48*tech_master_of_frugality)*elite2_plat,0)</f>
        <v>1250</v>
      </c>
      <c r="CG48" s="164">
        <f ca="1">ROUNDUP(IF(OR(race="Gnome",race="Imperial Gnome"),1-AC48,(1-MIN(AB48*smithy_bonus,smithy_bonus_cap)-AC48)*(1+Techs!AO48*tech_master_of_frugality))*elite2_ore,0)</f>
        <v>100</v>
      </c>
      <c r="CH48" s="164">
        <f t="shared" ca="1" si="56"/>
        <v>0</v>
      </c>
      <c r="CI48" s="164">
        <f t="shared" ca="1" si="17"/>
        <v>0</v>
      </c>
      <c r="CJ48" s="164">
        <f t="shared" ca="1" si="18"/>
        <v>0</v>
      </c>
      <c r="CK48" s="164">
        <f t="shared" ca="1" si="19"/>
        <v>0</v>
      </c>
      <c r="CL48" s="164">
        <f t="shared" ca="1" si="20"/>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4">
        <f ca="1">Construction!DF48/Construction!E48</f>
        <v>0.15</v>
      </c>
      <c r="CR48" s="465">
        <f t="shared" si="75"/>
        <v>0</v>
      </c>
      <c r="CS48" s="465">
        <f>Construction!BK48/Construction!E48</f>
        <v>0.05</v>
      </c>
      <c r="CT48" s="465">
        <f>Construction!BJ48/Construction!E48</f>
        <v>0</v>
      </c>
      <c r="CU48" s="465">
        <f>Construction!AY48/Construction!E48</f>
        <v>0</v>
      </c>
      <c r="CV48" s="486">
        <f t="shared" ca="1" si="81"/>
        <v>0.74999999999999989</v>
      </c>
      <c r="CW48" s="487">
        <f t="shared" ca="1" si="82"/>
        <v>0.74999999999999989</v>
      </c>
      <c r="CX48" s="487">
        <f t="shared" ca="1" si="83"/>
        <v>0.74999999999999989</v>
      </c>
      <c r="CY48" s="488">
        <f t="shared" ca="1" si="84"/>
        <v>0.74999999999999989</v>
      </c>
      <c r="CZ48" s="488">
        <f t="shared" si="85"/>
        <v>0</v>
      </c>
      <c r="DA48" s="488">
        <f t="shared" ca="1" si="86"/>
        <v>2.9999999999999996</v>
      </c>
      <c r="DB48" s="488">
        <f t="shared" ca="1" si="87"/>
        <v>0.74999999999999989</v>
      </c>
      <c r="DC48" s="487">
        <f t="shared" si="88"/>
        <v>0</v>
      </c>
      <c r="DD48" s="843">
        <f t="shared" si="89"/>
        <v>0</v>
      </c>
      <c r="DE48" s="441">
        <f t="shared" si="58"/>
        <v>0</v>
      </c>
      <c r="DF48" s="441">
        <f t="shared" si="59"/>
        <v>0</v>
      </c>
      <c r="DG48" s="486">
        <f t="shared" ca="1" si="90"/>
        <v>0.74999999999999989</v>
      </c>
      <c r="DH48" s="451">
        <f t="shared" si="91"/>
        <v>0</v>
      </c>
      <c r="DI48" s="451">
        <f>MIN(valkyrja_cap,Production!O48/valkyrja_bonus)</f>
        <v>1</v>
      </c>
      <c r="DJ48" s="843">
        <f>MIN(voodoo_magi_cap,Production!O48/voodoo_magi_bonus)</f>
        <v>0.83333333333333337</v>
      </c>
      <c r="DK48" s="843">
        <f>MIN(warlock_cap,Production!O48/warlock_bonus)</f>
        <v>1</v>
      </c>
      <c r="DL48" s="843">
        <f ca="1">MIN(nox_nightshade_cap,Construction!DF48/Construction!E48/nox_nightshade_swamp_bonus)</f>
        <v>1.4999999999999998</v>
      </c>
      <c r="DM48" s="487">
        <f t="shared" si="92"/>
        <v>0</v>
      </c>
      <c r="DN48" s="488">
        <f t="shared" ca="1" si="93"/>
        <v>1.4999999999999998</v>
      </c>
      <c r="DO48" s="488">
        <f t="shared" ca="1" si="94"/>
        <v>1.4999999999999998</v>
      </c>
      <c r="DP48" s="488">
        <f t="shared" si="95"/>
        <v>1</v>
      </c>
      <c r="DQ48" s="487">
        <f t="shared" si="96"/>
        <v>0</v>
      </c>
      <c r="DR48" s="488">
        <f t="shared" si="97"/>
        <v>0</v>
      </c>
      <c r="DS48" s="487">
        <f t="shared" si="98"/>
        <v>0</v>
      </c>
      <c r="DT48" s="488">
        <f t="shared" si="99"/>
        <v>0</v>
      </c>
      <c r="DX48" s="486">
        <f ca="1">MIN(6,CV48+Races!$F$19)*1.8 +  IF(CV48+Races!$F$19&gt;6,(CV48+Races!$F$19-6)*0.2,0) - Races!$N$19</f>
        <v>1.3500000000000005</v>
      </c>
      <c r="DY48" s="487">
        <f ca="1">1.8 * MIN(MAX(CW48+Races!$E$20,CX48+Races!$F$20),6)  +  0.45 * MIN(MIN(CW48+Races!$E$20,CX48+Races!$F$20),6)  +  0.2 * ( MAX(CW48+Races!$E$20-6,0) + MAX(CX48+Races!$F$20-6,0) )  -  Races!$N$20</f>
        <v>1.6874999999999991</v>
      </c>
      <c r="DZ48" s="57">
        <f t="shared" ca="1" si="100"/>
        <v>0</v>
      </c>
      <c r="EA48" s="663">
        <f ca="1">MIN(6,CY48+Races!$F$35)*1.8 +  IF(CY48+Races!$F$35&gt;6,(CY48+Races!$F$35-6)*0.2,0) - Races!$N$19</f>
        <v>-0.45000000000000018</v>
      </c>
      <c r="EB48" s="57">
        <f t="shared" ca="1" si="101"/>
        <v>0</v>
      </c>
      <c r="EC48" s="663">
        <f ca="1">1.8 * MIN(MAX(Races!$E$27,DB48+Races!$F$27),6)  +  0.45 * MIN(MIN(Races!$E$27,DB48+Races!$F$27),6)  +  0.2 * ( MAX(Races!$E$27-6,0) + MAX(DB48+Races!$F$27-6,0) )  -  Races!$N$20</f>
        <v>3.6000000000000005</v>
      </c>
      <c r="ED48" s="57">
        <f t="shared" ca="1" si="102"/>
        <v>0</v>
      </c>
      <c r="EE48" s="663">
        <f>1.8 * MIN(MAX(DC48+Races!$E$47,DD48+Races!$F$47),6)  +  0.45 * MIN(MIN(DC48+Races!$E$47,DD48+Races!$F$47),6)  +  0.2 * ( MAX(DC48+Races!$E$47-6,0) + MAX(DD48+Races!$F$47-6,0) )  -  Races!$N$47</f>
        <v>0</v>
      </c>
      <c r="EF48" s="57">
        <f t="shared" si="103"/>
        <v>0</v>
      </c>
      <c r="EG48" s="663">
        <f ca="1">1.8 * MIN(MAX(DG48+Races!$F$71,Races!$E$71),6)  +  0.45 * MIN(MIN(DG48+Races!$F$71,Races!$E$71),6)  +  0.2 * ( MAX(DG48+Races!$F$71-6,0) + MAX(Races!$E$71-6,0) )  -  Races!$N$71</f>
        <v>1.3499999999999996</v>
      </c>
      <c r="EH48" s="663">
        <f>1.8 * MIN(MAX(DH48+Races!$E$71,Races!$F$71),6)  +  0.45 * MIN(MIN(DH48+Races!$E$71,Races!$F$71),6)  +  0.2 * ( MAX(DH48+Races!$E$71-6,0) + MAX(Races!$F$71-6,0) )  -  Races!$N$71</f>
        <v>0</v>
      </c>
      <c r="EI48" s="57">
        <f t="shared" ca="1" si="104"/>
        <v>0</v>
      </c>
      <c r="EJ48" s="57"/>
      <c r="EK48" s="57"/>
      <c r="EL48" s="57"/>
      <c r="EM48" s="57">
        <f ca="1">Overview!$L$22*E48+Overview!$L$23*F48+Overview!$L$24*G48+Overview!$L$25*H48+Overview!$L$26*I48+Overview!$L$27*J48+Overview!$L$28*K48+Construction!E48*20+Construction!B48*5 + DZ48*$DV$4+EB48*$DV$5+ED48*$DV$6+EF48*$DV$7+EI48*$DV$9</f>
        <v>20900</v>
      </c>
      <c r="EO48" s="734">
        <f>(J48+2*K48)/Construction!E48</f>
        <v>0</v>
      </c>
      <c r="EP48" s="730">
        <f ca="1">EO48*(1+race_wizard_strength+tech_magical_weaponry_wiz*Techs!AV120)</f>
        <v>0</v>
      </c>
      <c r="EQ48" s="16">
        <f>(I48+halfer*H48/3)/Construction!E48</f>
        <v>0</v>
      </c>
    </row>
    <row r="49" spans="1:147" s="16" customFormat="1" x14ac:dyDescent="0.25">
      <c r="A49" s="627">
        <f>Rezone!J49</f>
        <v>47</v>
      </c>
      <c r="B49" s="56">
        <f ca="1">SUM(E49:K49)+SUM(AF41:AG49)+SUM(AH38:AL49)+Z49+Explore!AL49</f>
        <v>5295</v>
      </c>
      <c r="C49" s="97">
        <f ca="1">Population!G49</f>
        <v>0.74159663865546221</v>
      </c>
      <c r="E49" s="52">
        <f t="shared" si="105"/>
        <v>0</v>
      </c>
      <c r="F49" s="16">
        <f t="shared" si="106"/>
        <v>0</v>
      </c>
      <c r="G49" s="16">
        <f t="shared" si="107"/>
        <v>0</v>
      </c>
      <c r="H49" s="16">
        <f t="shared" si="108"/>
        <v>0</v>
      </c>
      <c r="I49" s="16">
        <f t="shared" si="109"/>
        <v>0</v>
      </c>
      <c r="J49" s="16">
        <f t="shared" si="110"/>
        <v>0</v>
      </c>
      <c r="K49" s="53">
        <f t="shared" si="111"/>
        <v>0</v>
      </c>
      <c r="M49" s="64">
        <f ca="1">Production!G49</f>
        <v>20900</v>
      </c>
      <c r="O49" s="142">
        <f t="shared" ca="1" si="77"/>
        <v>0</v>
      </c>
      <c r="P49" s="454">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8"/>
        <v>5295</v>
      </c>
      <c r="T49" s="1047">
        <f ca="1">race_defense+Imps!AC49+ROUND(MIN(gt_bonus*Construction!BH49/Construction!$E49,gt_bonus_cap),4)+MAX(IF(Magic!AM49&gt;0,frenzy_bonus,IF(Magic!AQ49&gt;0,blizzard_bonus,IF(Magic!AP49&gt;0,howling_dp_bonus,IF(Magic!AI49&gt;0,ares_call_bonus)))),IF(Magic!AX49&gt;0,MIN(Construction!DF49/Construction!E49,0.2),0))</f>
        <v>0</v>
      </c>
      <c r="U49" s="1041">
        <f t="shared" ca="1" si="47"/>
        <v>0</v>
      </c>
      <c r="V49" s="310">
        <f t="shared" ca="1" si="48"/>
        <v>5295</v>
      </c>
      <c r="W49" s="310">
        <f>Construction!E49</f>
        <v>1000</v>
      </c>
      <c r="X49" s="367"/>
      <c r="Y49" s="146">
        <f t="shared" si="76"/>
        <v>0.4</v>
      </c>
      <c r="Z49" s="166">
        <f ca="1">Z48+Population!Z48 - IF(race="Lux",AF49,SUM(AF49:AK49)) - BE49 + SUM(BF49:BL49) - Explore!AI49</f>
        <v>5295</v>
      </c>
      <c r="AA49" s="164"/>
      <c r="AB49" s="91">
        <f>(Construction!$BA49+Construction!BY49)/(Construction!$E49-Explore!S49*20)</f>
        <v>0</v>
      </c>
      <c r="AC49" s="1516">
        <f ca="1">Imps!AE49</f>
        <v>0</v>
      </c>
      <c r="AD49" s="795">
        <f>Rezone!J49</f>
        <v>47</v>
      </c>
      <c r="AE49" s="587">
        <f>Explore!AA49</f>
        <v>43768.479166666555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9"/>
        <v>0</v>
      </c>
      <c r="AV49" s="164">
        <f t="shared" ca="1" si="80"/>
        <v>0</v>
      </c>
      <c r="AW49" s="164">
        <f t="shared" ca="1" si="50"/>
        <v>0</v>
      </c>
      <c r="AX49" s="164">
        <f t="shared" ca="1" si="51"/>
        <v>0</v>
      </c>
      <c r="AY49" s="164">
        <f t="shared" ca="1" si="52"/>
        <v>0</v>
      </c>
      <c r="AZ49" s="164">
        <f t="shared" ca="1" si="53"/>
        <v>0</v>
      </c>
      <c r="BA49" s="166">
        <f t="shared" ca="1" si="54"/>
        <v>0</v>
      </c>
      <c r="BB49" s="16">
        <v>47</v>
      </c>
      <c r="BC49" s="572">
        <f t="shared" si="73"/>
        <v>43768.479166666555</v>
      </c>
      <c r="BD49" s="148">
        <f t="shared" ca="1" si="74"/>
        <v>5295</v>
      </c>
      <c r="BE49" s="356"/>
      <c r="BF49" s="348"/>
      <c r="BG49" s="348"/>
      <c r="BH49" s="348"/>
      <c r="BI49" s="348"/>
      <c r="BJ49" s="348"/>
      <c r="BK49" s="348"/>
      <c r="BL49" s="357"/>
      <c r="BN49" s="501">
        <f>Construction!BM49/Construction!E49</f>
        <v>0</v>
      </c>
      <c r="BO49" s="171">
        <f>Construction!BD49/Construction!E49</f>
        <v>0</v>
      </c>
      <c r="BP49" s="152">
        <f ca="1">ROUNDUP((1-MIN(AB49*smithy_bonus,smithy_bonus_cap)-AC49)*(1+Techs!AO49*tech_master_of_frugality)*spec_op_plat,0)</f>
        <v>275</v>
      </c>
      <c r="BQ49" s="164">
        <f ca="1">ROUNDUP(IF(OR(race="Gnome",race="Imperial Gnome"),1-AC49,(1-MIN(AB49*smithy_bonus,smithy_bonus_cap)-AC49)*(1+Techs!AO49*tech_master_of_frugality))*spec_op_ore,0)</f>
        <v>25</v>
      </c>
      <c r="BR49" s="164">
        <f t="shared" si="6"/>
        <v>0</v>
      </c>
      <c r="BS49" s="164">
        <f t="shared" si="7"/>
        <v>0</v>
      </c>
      <c r="BT49" s="164">
        <f ca="1">ROUNDUP((1-MIN(AB49*smithy_bonus,smithy_bonus_cap)-AC49)*(1+Techs!AO49*tech_master_of_frugality)*spec_dp_plat,0)</f>
        <v>275</v>
      </c>
      <c r="BU49" s="164">
        <f ca="1">ROUNDUP(IF(OR(race="Gnome",race="Imperial Gnome"),1-AC49,(1-MIN(AB49*smithy_bonus,smithy_bonus_cap)-AC49)*(1+Techs!AO49*tech_master_of_frugality))*spec_dp_ore,0)</f>
        <v>10</v>
      </c>
      <c r="BV49" s="164">
        <f t="shared" ca="1" si="8"/>
        <v>0</v>
      </c>
      <c r="BW49" s="164">
        <f t="shared" ca="1" si="9"/>
        <v>0</v>
      </c>
      <c r="BX49" s="164">
        <f t="shared" ca="1" si="10"/>
        <v>0</v>
      </c>
      <c r="BY49" s="164">
        <f ca="1">ROUNDUP((1-MIN(AB49*smithy_bonus,smithy_bonus_cap)-AC49)*(1+Techs!AO49*tech_master_of_frugality)*elite1_plat,0)</f>
        <v>1000</v>
      </c>
      <c r="BZ49" s="164">
        <f ca="1">ROUNDUP(IF(OR(race="Gnome",race="Imperial Gnome"),1-AC49,(1-MIN(AB49*smithy_bonus,smithy_bonus_cap)-AC49)*(1+Techs!AO49*tech_master_of_frugality))*elite1_ore,0)</f>
        <v>75</v>
      </c>
      <c r="CA49" s="164">
        <f t="shared" ca="1" si="55"/>
        <v>0</v>
      </c>
      <c r="CB49" s="164">
        <f t="shared" ca="1" si="12"/>
        <v>0</v>
      </c>
      <c r="CC49" s="164">
        <f t="shared" ca="1" si="13"/>
        <v>0</v>
      </c>
      <c r="CD49" s="164">
        <f t="shared" ca="1" si="14"/>
        <v>0</v>
      </c>
      <c r="CE49" s="164">
        <f t="shared" ca="1" si="15"/>
        <v>0</v>
      </c>
      <c r="CF49" s="164">
        <f ca="1">ROUNDUP((1-MIN(AB49*smithy_bonus,smithy_bonus_cap)-AC49)*(1+Techs!AO49*tech_master_of_frugality)*elite2_plat,0)</f>
        <v>1250</v>
      </c>
      <c r="CG49" s="164">
        <f ca="1">ROUNDUP(IF(OR(race="Gnome",race="Imperial Gnome"),1-AC49,(1-MIN(AB49*smithy_bonus,smithy_bonus_cap)-AC49)*(1+Techs!AO49*tech_master_of_frugality))*elite2_ore,0)</f>
        <v>100</v>
      </c>
      <c r="CH49" s="164">
        <f t="shared" ca="1" si="56"/>
        <v>0</v>
      </c>
      <c r="CI49" s="164">
        <f t="shared" ca="1" si="17"/>
        <v>0</v>
      </c>
      <c r="CJ49" s="164">
        <f t="shared" ca="1" si="18"/>
        <v>0</v>
      </c>
      <c r="CK49" s="164">
        <f t="shared" ca="1" si="19"/>
        <v>0</v>
      </c>
      <c r="CL49" s="164">
        <f t="shared" ca="1" si="20"/>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4">
        <f ca="1">Construction!DF49/Construction!E49</f>
        <v>0.15</v>
      </c>
      <c r="CR49" s="465">
        <f t="shared" si="75"/>
        <v>0</v>
      </c>
      <c r="CS49" s="465">
        <f>Construction!BK49/Construction!E49</f>
        <v>0.05</v>
      </c>
      <c r="CT49" s="465">
        <f>Construction!BJ49/Construction!E49</f>
        <v>0</v>
      </c>
      <c r="CU49" s="465">
        <f>Construction!AY49/Construction!E49</f>
        <v>0</v>
      </c>
      <c r="CV49" s="486">
        <f t="shared" ca="1" si="81"/>
        <v>0.74999999999999989</v>
      </c>
      <c r="CW49" s="487">
        <f t="shared" ca="1" si="82"/>
        <v>0.74999999999999989</v>
      </c>
      <c r="CX49" s="487">
        <f t="shared" ca="1" si="83"/>
        <v>0.74999999999999989</v>
      </c>
      <c r="CY49" s="488">
        <f t="shared" ca="1" si="84"/>
        <v>0.74999999999999989</v>
      </c>
      <c r="CZ49" s="488">
        <f t="shared" si="85"/>
        <v>0</v>
      </c>
      <c r="DA49" s="488">
        <f t="shared" ca="1" si="86"/>
        <v>2.9999999999999996</v>
      </c>
      <c r="DB49" s="488">
        <f t="shared" ca="1" si="87"/>
        <v>0.74999999999999989</v>
      </c>
      <c r="DC49" s="487">
        <f t="shared" si="88"/>
        <v>0</v>
      </c>
      <c r="DD49" s="843">
        <f t="shared" si="89"/>
        <v>0</v>
      </c>
      <c r="DE49" s="441">
        <f t="shared" si="58"/>
        <v>0</v>
      </c>
      <c r="DF49" s="441">
        <f t="shared" si="59"/>
        <v>0</v>
      </c>
      <c r="DG49" s="486">
        <f t="shared" ca="1" si="90"/>
        <v>0.74999999999999989</v>
      </c>
      <c r="DH49" s="451">
        <f t="shared" si="91"/>
        <v>0</v>
      </c>
      <c r="DI49" s="451">
        <f>MIN(valkyrja_cap,Production!O49/valkyrja_bonus)</f>
        <v>1</v>
      </c>
      <c r="DJ49" s="843">
        <f>MIN(voodoo_magi_cap,Production!O49/voodoo_magi_bonus)</f>
        <v>0.83333333333333337</v>
      </c>
      <c r="DK49" s="843">
        <f>MIN(warlock_cap,Production!O49/warlock_bonus)</f>
        <v>1</v>
      </c>
      <c r="DL49" s="843">
        <f ca="1">MIN(nox_nightshade_cap,Construction!DF49/Construction!E49/nox_nightshade_swamp_bonus)</f>
        <v>1.4999999999999998</v>
      </c>
      <c r="DM49" s="487">
        <f t="shared" si="92"/>
        <v>0</v>
      </c>
      <c r="DN49" s="488">
        <f t="shared" ca="1" si="93"/>
        <v>1.4999999999999998</v>
      </c>
      <c r="DO49" s="488">
        <f t="shared" ca="1" si="94"/>
        <v>1.4999999999999998</v>
      </c>
      <c r="DP49" s="488">
        <f t="shared" si="95"/>
        <v>1</v>
      </c>
      <c r="DQ49" s="487">
        <f t="shared" si="96"/>
        <v>0</v>
      </c>
      <c r="DR49" s="488">
        <f t="shared" si="97"/>
        <v>0</v>
      </c>
      <c r="DS49" s="487">
        <f t="shared" si="98"/>
        <v>0</v>
      </c>
      <c r="DT49" s="488">
        <f t="shared" si="99"/>
        <v>0</v>
      </c>
      <c r="DX49" s="486">
        <f ca="1">MIN(6,CV49+Races!$F$19)*1.8 +  IF(CV49+Races!$F$19&gt;6,(CV49+Races!$F$19-6)*0.2,0) - Races!$N$19</f>
        <v>1.3500000000000005</v>
      </c>
      <c r="DY49" s="487">
        <f ca="1">1.8 * MIN(MAX(CW49+Races!$E$20,CX49+Races!$F$20),6)  +  0.45 * MIN(MIN(CW49+Races!$E$20,CX49+Races!$F$20),6)  +  0.2 * ( MAX(CW49+Races!$E$20-6,0) + MAX(CX49+Races!$F$20-6,0) )  -  Races!$N$20</f>
        <v>1.6874999999999991</v>
      </c>
      <c r="DZ49" s="57">
        <f t="shared" ca="1" si="100"/>
        <v>0</v>
      </c>
      <c r="EA49" s="663">
        <f ca="1">MIN(6,CY49+Races!$F$35)*1.8 +  IF(CY49+Races!$F$35&gt;6,(CY49+Races!$F$35-6)*0.2,0) - Races!$N$19</f>
        <v>-0.45000000000000018</v>
      </c>
      <c r="EB49" s="57">
        <f t="shared" ca="1" si="101"/>
        <v>0</v>
      </c>
      <c r="EC49" s="663">
        <f ca="1">1.8 * MIN(MAX(Races!$E$27,DB49+Races!$F$27),6)  +  0.45 * MIN(MIN(Races!$E$27,DB49+Races!$F$27),6)  +  0.2 * ( MAX(Races!$E$27-6,0) + MAX(DB49+Races!$F$27-6,0) )  -  Races!$N$20</f>
        <v>3.6000000000000005</v>
      </c>
      <c r="ED49" s="57">
        <f t="shared" ca="1" si="102"/>
        <v>0</v>
      </c>
      <c r="EE49" s="663">
        <f>1.8 * MIN(MAX(DC49+Races!$E$47,DD49+Races!$F$47),6)  +  0.45 * MIN(MIN(DC49+Races!$E$47,DD49+Races!$F$47),6)  +  0.2 * ( MAX(DC49+Races!$E$47-6,0) + MAX(DD49+Races!$F$47-6,0) )  -  Races!$N$47</f>
        <v>0</v>
      </c>
      <c r="EF49" s="57">
        <f t="shared" si="103"/>
        <v>0</v>
      </c>
      <c r="EG49" s="663">
        <f ca="1">1.8 * MIN(MAX(DG49+Races!$F$71,Races!$E$71),6)  +  0.45 * MIN(MIN(DG49+Races!$F$71,Races!$E$71),6)  +  0.2 * ( MAX(DG49+Races!$F$71-6,0) + MAX(Races!$E$71-6,0) )  -  Races!$N$71</f>
        <v>1.3499999999999996</v>
      </c>
      <c r="EH49" s="663">
        <f>1.8 * MIN(MAX(DH49+Races!$E$71,Races!$F$71),6)  +  0.45 * MIN(MIN(DH49+Races!$E$71,Races!$F$71),6)  +  0.2 * ( MAX(DH49+Races!$E$71-6,0) + MAX(Races!$F$71-6,0) )  -  Races!$N$71</f>
        <v>0</v>
      </c>
      <c r="EI49" s="57">
        <f t="shared" ca="1" si="104"/>
        <v>0</v>
      </c>
      <c r="EJ49" s="57"/>
      <c r="EK49" s="57"/>
      <c r="EL49" s="57"/>
      <c r="EM49" s="57">
        <f ca="1">Overview!$L$22*E49+Overview!$L$23*F49+Overview!$L$24*G49+Overview!$L$25*H49+Overview!$L$26*I49+Overview!$L$27*J49+Overview!$L$28*K49+Construction!E49*20+Construction!B49*5 + DZ49*$DV$4+EB49*$DV$5+ED49*$DV$6+EF49*$DV$7+EI49*$DV$9</f>
        <v>20900</v>
      </c>
      <c r="EO49" s="734">
        <f>(J49+2*K49)/Construction!E49</f>
        <v>0</v>
      </c>
      <c r="EP49" s="730">
        <f ca="1">EO49*(1+race_wizard_strength+tech_magical_weaponry_wiz*Techs!AV121)</f>
        <v>0</v>
      </c>
      <c r="EQ49" s="16">
        <f>(I49+halfer*H49/3)/Construction!E49</f>
        <v>0</v>
      </c>
    </row>
    <row r="50" spans="1:147" s="16" customFormat="1" ht="13.8" thickBot="1" x14ac:dyDescent="0.3">
      <c r="A50" s="627">
        <f>Rezone!J50</f>
        <v>48</v>
      </c>
      <c r="B50" s="56">
        <f ca="1">SUM(E50:K50)+SUM(AF42:AG50)+SUM(AH39:AL50)+Z50+Explore!AL50</f>
        <v>5295</v>
      </c>
      <c r="C50" s="97">
        <f ca="1">Population!G50</f>
        <v>0.74159663865546221</v>
      </c>
      <c r="E50" s="52">
        <f t="shared" si="105"/>
        <v>0</v>
      </c>
      <c r="F50" s="16">
        <f t="shared" si="106"/>
        <v>0</v>
      </c>
      <c r="G50" s="16">
        <f t="shared" si="107"/>
        <v>0</v>
      </c>
      <c r="H50" s="16">
        <f t="shared" si="108"/>
        <v>0</v>
      </c>
      <c r="I50" s="16">
        <f t="shared" si="109"/>
        <v>0</v>
      </c>
      <c r="J50" s="16">
        <f t="shared" si="110"/>
        <v>0</v>
      </c>
      <c r="K50" s="53">
        <f t="shared" si="111"/>
        <v>0</v>
      </c>
      <c r="M50" s="64">
        <f ca="1">Production!G50</f>
        <v>20900</v>
      </c>
      <c r="O50" s="142">
        <f t="shared" ca="1" si="77"/>
        <v>0</v>
      </c>
      <c r="P50" s="454">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8"/>
        <v>5295</v>
      </c>
      <c r="T50" s="1047">
        <f ca="1">race_defense+Imps!AC50+ROUND(MIN(gt_bonus*Construction!BH50/Construction!$E50,gt_bonus_cap),4)+MAX(IF(Magic!AM50&gt;0,frenzy_bonus,IF(Magic!AQ50&gt;0,blizzard_bonus,IF(Magic!AP50&gt;0,howling_dp_bonus,IF(Magic!AI50&gt;0,ares_call_bonus)))),IF(Magic!AX50&gt;0,MIN(Construction!DF50/Construction!E50,0.2),0))</f>
        <v>0</v>
      </c>
      <c r="U50" s="1041">
        <f t="shared" ca="1" si="47"/>
        <v>0</v>
      </c>
      <c r="V50" s="310">
        <f t="shared" ca="1" si="48"/>
        <v>5295</v>
      </c>
      <c r="W50" s="310">
        <f>Construction!E50</f>
        <v>1000</v>
      </c>
      <c r="X50" s="367"/>
      <c r="Y50" s="146">
        <f t="shared" si="76"/>
        <v>0.4</v>
      </c>
      <c r="Z50" s="166">
        <f ca="1">Z49+Population!Z49 - IF(race="Lux",AF50,SUM(AF50:AK50)) - BE50 + SUM(BF50:BL50) - Explore!AI50</f>
        <v>5295</v>
      </c>
      <c r="AA50" s="164"/>
      <c r="AB50" s="91">
        <f>(Construction!$BA50+Construction!BY50)/(Construction!$E50-Explore!S50*20)</f>
        <v>0</v>
      </c>
      <c r="AC50" s="1516">
        <f ca="1">Imps!AE50</f>
        <v>0</v>
      </c>
      <c r="AD50" s="795">
        <f>Rezone!J50</f>
        <v>48</v>
      </c>
      <c r="AE50" s="587">
        <f>Explore!AA50</f>
        <v>43768.489583333219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9"/>
        <v>0</v>
      </c>
      <c r="AV50" s="164">
        <f t="shared" ca="1" si="80"/>
        <v>0</v>
      </c>
      <c r="AW50" s="164">
        <f t="shared" ca="1" si="50"/>
        <v>0</v>
      </c>
      <c r="AX50" s="164">
        <f t="shared" ca="1" si="51"/>
        <v>0</v>
      </c>
      <c r="AY50" s="164">
        <f t="shared" ca="1" si="52"/>
        <v>0</v>
      </c>
      <c r="AZ50" s="164">
        <f t="shared" ca="1" si="53"/>
        <v>0</v>
      </c>
      <c r="BA50" s="166">
        <f t="shared" ca="1" si="54"/>
        <v>0</v>
      </c>
      <c r="BB50" s="16">
        <v>48</v>
      </c>
      <c r="BC50" s="572">
        <f t="shared" si="73"/>
        <v>43768.489583333219</v>
      </c>
      <c r="BD50" s="148">
        <f t="shared" ca="1" si="74"/>
        <v>5295</v>
      </c>
      <c r="BE50" s="356"/>
      <c r="BF50" s="348"/>
      <c r="BG50" s="348"/>
      <c r="BH50" s="348"/>
      <c r="BI50" s="348"/>
      <c r="BJ50" s="348"/>
      <c r="BK50" s="348"/>
      <c r="BL50" s="357"/>
      <c r="BN50" s="501">
        <f>Construction!BM50/Construction!E50</f>
        <v>0</v>
      </c>
      <c r="BO50" s="171">
        <f>Construction!BD50/Construction!E50</f>
        <v>0</v>
      </c>
      <c r="BP50" s="152">
        <f ca="1">ROUNDUP((1-MIN(AB50*smithy_bonus,smithy_bonus_cap)-AC50)*(1+Techs!AO50*tech_master_of_frugality)*spec_op_plat,0)</f>
        <v>275</v>
      </c>
      <c r="BQ50" s="164">
        <f ca="1">ROUNDUP(IF(OR(race="Gnome",race="Imperial Gnome"),1-AC50,(1-MIN(AB50*smithy_bonus,smithy_bonus_cap)-AC50)*(1+Techs!AO50*tech_master_of_frugality))*spec_op_ore,0)</f>
        <v>25</v>
      </c>
      <c r="BR50" s="164">
        <f t="shared" si="6"/>
        <v>0</v>
      </c>
      <c r="BS50" s="164">
        <f t="shared" si="7"/>
        <v>0</v>
      </c>
      <c r="BT50" s="164">
        <f ca="1">ROUNDUP((1-MIN(AB50*smithy_bonus,smithy_bonus_cap)-AC50)*(1+Techs!AO50*tech_master_of_frugality)*spec_dp_plat,0)</f>
        <v>275</v>
      </c>
      <c r="BU50" s="164">
        <f ca="1">ROUNDUP(IF(OR(race="Gnome",race="Imperial Gnome"),1-AC50,(1-MIN(AB50*smithy_bonus,smithy_bonus_cap)-AC50)*(1+Techs!AO50*tech_master_of_frugality))*spec_dp_ore,0)</f>
        <v>10</v>
      </c>
      <c r="BV50" s="164">
        <f t="shared" ca="1" si="8"/>
        <v>0</v>
      </c>
      <c r="BW50" s="164">
        <f t="shared" ca="1" si="9"/>
        <v>0</v>
      </c>
      <c r="BX50" s="164">
        <f t="shared" ca="1" si="10"/>
        <v>0</v>
      </c>
      <c r="BY50" s="164">
        <f ca="1">ROUNDUP((1-MIN(AB50*smithy_bonus,smithy_bonus_cap)-AC50)*(1+Techs!AO50*tech_master_of_frugality)*elite1_plat,0)</f>
        <v>1000</v>
      </c>
      <c r="BZ50" s="164">
        <f ca="1">ROUNDUP(IF(OR(race="Gnome",race="Imperial Gnome"),1-AC50,(1-MIN(AB50*smithy_bonus,smithy_bonus_cap)-AC50)*(1+Techs!AO50*tech_master_of_frugality))*elite1_ore,0)</f>
        <v>75</v>
      </c>
      <c r="CA50" s="164">
        <f t="shared" ca="1" si="55"/>
        <v>0</v>
      </c>
      <c r="CB50" s="164">
        <f t="shared" ca="1" si="12"/>
        <v>0</v>
      </c>
      <c r="CC50" s="164">
        <f t="shared" ca="1" si="13"/>
        <v>0</v>
      </c>
      <c r="CD50" s="164">
        <f t="shared" ca="1" si="14"/>
        <v>0</v>
      </c>
      <c r="CE50" s="164">
        <f t="shared" ca="1" si="15"/>
        <v>0</v>
      </c>
      <c r="CF50" s="164">
        <f ca="1">ROUNDUP((1-MIN(AB50*smithy_bonus,smithy_bonus_cap)-AC50)*(1+Techs!AO50*tech_master_of_frugality)*elite2_plat,0)</f>
        <v>1250</v>
      </c>
      <c r="CG50" s="164">
        <f ca="1">ROUNDUP(IF(OR(race="Gnome",race="Imperial Gnome"),1-AC50,(1-MIN(AB50*smithy_bonus,smithy_bonus_cap)-AC50)*(1+Techs!AO50*tech_master_of_frugality))*elite2_ore,0)</f>
        <v>100</v>
      </c>
      <c r="CH50" s="164">
        <f t="shared" ca="1" si="56"/>
        <v>0</v>
      </c>
      <c r="CI50" s="164">
        <f t="shared" ca="1" si="17"/>
        <v>0</v>
      </c>
      <c r="CJ50" s="164">
        <f t="shared" ca="1" si="18"/>
        <v>0</v>
      </c>
      <c r="CK50" s="164">
        <f t="shared" ca="1" si="19"/>
        <v>0</v>
      </c>
      <c r="CL50" s="164">
        <f t="shared" ca="1" si="20"/>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4">
        <f ca="1">Construction!DF50/Construction!E50</f>
        <v>0.15</v>
      </c>
      <c r="CR50" s="465">
        <f t="shared" si="75"/>
        <v>0</v>
      </c>
      <c r="CS50" s="465">
        <f>Construction!BK50/Construction!E50</f>
        <v>0.05</v>
      </c>
      <c r="CT50" s="465">
        <f>Construction!BJ50/Construction!E50</f>
        <v>0</v>
      </c>
      <c r="CU50" s="465">
        <f>Construction!AY50/Construction!E50</f>
        <v>0</v>
      </c>
      <c r="CV50" s="486">
        <f t="shared" ca="1" si="81"/>
        <v>0.74999999999999989</v>
      </c>
      <c r="CW50" s="487">
        <f t="shared" ca="1" si="82"/>
        <v>0.74999999999999989</v>
      </c>
      <c r="CX50" s="487">
        <f t="shared" ca="1" si="83"/>
        <v>0.74999999999999989</v>
      </c>
      <c r="CY50" s="488">
        <f t="shared" ca="1" si="84"/>
        <v>0.74999999999999989</v>
      </c>
      <c r="CZ50" s="488">
        <f t="shared" si="85"/>
        <v>0</v>
      </c>
      <c r="DA50" s="488">
        <f t="shared" ca="1" si="86"/>
        <v>2.9999999999999996</v>
      </c>
      <c r="DB50" s="488">
        <f t="shared" ca="1" si="87"/>
        <v>0.74999999999999989</v>
      </c>
      <c r="DC50" s="487">
        <f t="shared" si="88"/>
        <v>0</v>
      </c>
      <c r="DD50" s="843">
        <f t="shared" si="89"/>
        <v>0</v>
      </c>
      <c r="DE50" s="441">
        <f t="shared" si="58"/>
        <v>0</v>
      </c>
      <c r="DF50" s="441">
        <f t="shared" si="59"/>
        <v>0</v>
      </c>
      <c r="DG50" s="486">
        <f t="shared" ca="1" si="90"/>
        <v>0.74999999999999989</v>
      </c>
      <c r="DH50" s="451">
        <f t="shared" si="91"/>
        <v>0</v>
      </c>
      <c r="DI50" s="451">
        <f>MIN(valkyrja_cap,Production!O50/valkyrja_bonus)</f>
        <v>1</v>
      </c>
      <c r="DJ50" s="843">
        <f>MIN(voodoo_magi_cap,Production!O50/voodoo_magi_bonus)</f>
        <v>0.83333333333333337</v>
      </c>
      <c r="DK50" s="843">
        <f>MIN(warlock_cap,Production!O50/warlock_bonus)</f>
        <v>1</v>
      </c>
      <c r="DL50" s="843">
        <f ca="1">MIN(nox_nightshade_cap,Construction!DF50/Construction!E50/nox_nightshade_swamp_bonus)</f>
        <v>1.4999999999999998</v>
      </c>
      <c r="DM50" s="487">
        <f t="shared" si="92"/>
        <v>0</v>
      </c>
      <c r="DN50" s="488">
        <f t="shared" ca="1" si="93"/>
        <v>1.4999999999999998</v>
      </c>
      <c r="DO50" s="488">
        <f t="shared" ca="1" si="94"/>
        <v>1.4999999999999998</v>
      </c>
      <c r="DP50" s="488">
        <f t="shared" si="95"/>
        <v>1</v>
      </c>
      <c r="DQ50" s="487">
        <f t="shared" si="96"/>
        <v>0</v>
      </c>
      <c r="DR50" s="488">
        <f t="shared" si="97"/>
        <v>0</v>
      </c>
      <c r="DS50" s="487">
        <f t="shared" si="98"/>
        <v>0</v>
      </c>
      <c r="DT50" s="488">
        <f t="shared" si="99"/>
        <v>0</v>
      </c>
      <c r="DX50" s="486">
        <f ca="1">MIN(6,CV50+Races!$F$19)*1.8 +  IF(CV50+Races!$F$19&gt;6,(CV50+Races!$F$19-6)*0.2,0) - Races!$N$19</f>
        <v>1.3500000000000005</v>
      </c>
      <c r="DY50" s="487">
        <f ca="1">1.8 * MIN(MAX(CW50+Races!$E$20,CX50+Races!$F$20),6)  +  0.45 * MIN(MIN(CW50+Races!$E$20,CX50+Races!$F$20),6)  +  0.2 * ( MAX(CW50+Races!$E$20-6,0) + MAX(CX50+Races!$F$20-6,0) )  -  Races!$N$20</f>
        <v>1.6874999999999991</v>
      </c>
      <c r="DZ50" s="57">
        <f t="shared" ca="1" si="100"/>
        <v>0</v>
      </c>
      <c r="EA50" s="663">
        <f ca="1">MIN(6,CY50+Races!$F$35)*1.8 +  IF(CY50+Races!$F$35&gt;6,(CY50+Races!$F$35-6)*0.2,0) - Races!$N$19</f>
        <v>-0.45000000000000018</v>
      </c>
      <c r="EB50" s="57">
        <f t="shared" ca="1" si="101"/>
        <v>0</v>
      </c>
      <c r="EC50" s="663">
        <f ca="1">1.8 * MIN(MAX(Races!$E$27,DB50+Races!$F$27),6)  +  0.45 * MIN(MIN(Races!$E$27,DB50+Races!$F$27),6)  +  0.2 * ( MAX(Races!$E$27-6,0) + MAX(DB50+Races!$F$27-6,0) )  -  Races!$N$20</f>
        <v>3.6000000000000005</v>
      </c>
      <c r="ED50" s="57">
        <f t="shared" ca="1" si="102"/>
        <v>0</v>
      </c>
      <c r="EE50" s="663">
        <f>1.8 * MIN(MAX(DC50+Races!$E$47,DD50+Races!$F$47),6)  +  0.45 * MIN(MIN(DC50+Races!$E$47,DD50+Races!$F$47),6)  +  0.2 * ( MAX(DC50+Races!$E$47-6,0) + MAX(DD50+Races!$F$47-6,0) )  -  Races!$N$47</f>
        <v>0</v>
      </c>
      <c r="EF50" s="57">
        <f t="shared" si="103"/>
        <v>0</v>
      </c>
      <c r="EG50" s="663">
        <f ca="1">1.8 * MIN(MAX(DG50+Races!$F$71,Races!$E$71),6)  +  0.45 * MIN(MIN(DG50+Races!$F$71,Races!$E$71),6)  +  0.2 * ( MAX(DG50+Races!$F$71-6,0) + MAX(Races!$E$71-6,0) )  -  Races!$N$71</f>
        <v>1.3499999999999996</v>
      </c>
      <c r="EH50" s="663">
        <f>1.8 * MIN(MAX(DH50+Races!$E$71,Races!$F$71),6)  +  0.45 * MIN(MIN(DH50+Races!$E$71,Races!$F$71),6)  +  0.2 * ( MAX(DH50+Races!$E$71-6,0) + MAX(Races!$F$71-6,0) )  -  Races!$N$71</f>
        <v>0</v>
      </c>
      <c r="EI50" s="57">
        <f t="shared" ca="1" si="104"/>
        <v>0</v>
      </c>
      <c r="EJ50" s="57"/>
      <c r="EK50" s="57"/>
      <c r="EL50" s="57"/>
      <c r="EM50" s="57">
        <f ca="1">Overview!$L$22*E50+Overview!$L$23*F50+Overview!$L$24*G50+Overview!$L$25*H50+Overview!$L$26*I50+Overview!$L$27*J50+Overview!$L$28*K50+Construction!E50*20+Construction!B50*5 + DZ50*$DV$4+EB50*$DV$5+ED50*$DV$6+EF50*$DV$7+EI50*$DV$9</f>
        <v>20900</v>
      </c>
      <c r="EO50" s="734">
        <f>(J50+2*K50)/Construction!E50</f>
        <v>0</v>
      </c>
      <c r="EP50" s="730">
        <f ca="1">EO50*(1+race_wizard_strength+tech_magical_weaponry_wiz*Techs!AV122)</f>
        <v>0</v>
      </c>
      <c r="EQ50" s="16">
        <f>(I50+halfer*H50/3)/Construction!E50</f>
        <v>0</v>
      </c>
    </row>
    <row r="51" spans="1:147" s="111" customFormat="1" ht="14.4" thickTop="1" thickBot="1" x14ac:dyDescent="0.3">
      <c r="A51" s="1054">
        <f>Rezone!J51</f>
        <v>49</v>
      </c>
      <c r="B51" s="110">
        <f ca="1">SUM(E51:K51)+SUM(AF43:AG51)+SUM(AH40:AL51)+Z51+Explore!AL51</f>
        <v>5295</v>
      </c>
      <c r="C51" s="135">
        <f ca="1">Population!G51</f>
        <v>0.74159663865546221</v>
      </c>
      <c r="E51" s="113">
        <f t="shared" si="105"/>
        <v>0</v>
      </c>
      <c r="F51" s="111">
        <f t="shared" si="106"/>
        <v>0</v>
      </c>
      <c r="G51" s="111">
        <f t="shared" si="107"/>
        <v>0</v>
      </c>
      <c r="H51" s="111">
        <f t="shared" si="108"/>
        <v>0</v>
      </c>
      <c r="I51" s="111">
        <f t="shared" si="109"/>
        <v>0</v>
      </c>
      <c r="J51" s="111">
        <f t="shared" si="110"/>
        <v>0</v>
      </c>
      <c r="K51" s="115">
        <f t="shared" si="111"/>
        <v>0</v>
      </c>
      <c r="M51" s="117">
        <f ca="1">Production!G51</f>
        <v>20900</v>
      </c>
      <c r="O51" s="144">
        <f t="shared" ca="1" si="77"/>
        <v>0</v>
      </c>
      <c r="P51" s="1158">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3">
        <f t="shared" ca="1" si="46"/>
        <v>0</v>
      </c>
      <c r="R51" s="1048">
        <f ca="1">F51*(spec_dp+spirit*DR51)+G51*(elite1_dp+woodie*CV51+sylvan*CY51+gnome*DB51+dark_elf*DD51+icekin*DG51+orc*DJ51+nox*DL51+beast*DN51+sacred*DP51+spirit*DS51+blackorc*DK51)+H51*(elite2_dp+woodie*CX51+beast*DO51+sacred*DQ51) + fh_peas_dp*MIN(Population!C51,20*Construction!BD51)+kobold*DE51</f>
        <v>0</v>
      </c>
      <c r="S51" s="1053">
        <f t="shared" ca="1" si="78"/>
        <v>5295</v>
      </c>
      <c r="T51" s="1173">
        <f ca="1">race_defense+Imps!AC51+ROUND(MIN(gt_bonus*Construction!BH51/Construction!$E51,gt_bonus_cap),4)+MAX(IF(Magic!AM51&gt;0,frenzy_bonus,IF(Magic!AQ51&gt;0,blizzard_bonus,IF(Magic!AP51&gt;0,howling_dp_bonus,IF(Magic!AI51&gt;0,ares_call_bonus)))),IF(Magic!AX51&gt;0,MIN(Construction!DF51/Construction!E51,0.2),0))</f>
        <v>0</v>
      </c>
      <c r="U51" s="1049">
        <f t="shared" ca="1" si="47"/>
        <v>0</v>
      </c>
      <c r="V51" s="312">
        <f t="shared" ca="1" si="48"/>
        <v>5295</v>
      </c>
      <c r="W51" s="312">
        <f>Construction!E51</f>
        <v>1000</v>
      </c>
      <c r="X51" s="369"/>
      <c r="Y51" s="147">
        <f t="shared" si="76"/>
        <v>0.4</v>
      </c>
      <c r="Z51" s="274">
        <f ca="1">Z50+Population!Z50 - IF(race="Lux",AF51,SUM(AF51:AK51)) - BE51 + SUM(BF51:BL51) - Explore!AI51</f>
        <v>5295</v>
      </c>
      <c r="AA51" s="277"/>
      <c r="AB51" s="133">
        <f>(Construction!$BA51+Construction!BY51)/(Construction!$E51-Explore!S51*20)</f>
        <v>0</v>
      </c>
      <c r="AC51" s="1520">
        <f ca="1">Imps!AE51</f>
        <v>0</v>
      </c>
      <c r="AD51" s="798">
        <f>Rezone!J51</f>
        <v>49</v>
      </c>
      <c r="AE51" s="589">
        <f>Explore!AA51</f>
        <v>43768.499999999884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9"/>
        <v>0</v>
      </c>
      <c r="AV51" s="277">
        <f t="shared" ca="1" si="80"/>
        <v>0</v>
      </c>
      <c r="AW51" s="277">
        <f t="shared" ca="1" si="50"/>
        <v>0</v>
      </c>
      <c r="AX51" s="277">
        <f t="shared" ca="1" si="51"/>
        <v>0</v>
      </c>
      <c r="AY51" s="277">
        <f t="shared" ca="1" si="52"/>
        <v>0</v>
      </c>
      <c r="AZ51" s="277">
        <f t="shared" ca="1" si="53"/>
        <v>0</v>
      </c>
      <c r="BA51" s="274">
        <f t="shared" ca="1" si="54"/>
        <v>0</v>
      </c>
      <c r="BB51" s="111">
        <v>49</v>
      </c>
      <c r="BC51" s="573">
        <f t="shared" si="73"/>
        <v>43768.499999999884</v>
      </c>
      <c r="BD51" s="150">
        <f t="shared" ca="1" si="74"/>
        <v>5295</v>
      </c>
      <c r="BE51" s="358"/>
      <c r="BF51" s="350"/>
      <c r="BG51" s="350"/>
      <c r="BH51" s="350"/>
      <c r="BI51" s="350"/>
      <c r="BJ51" s="350"/>
      <c r="BK51" s="350"/>
      <c r="BL51" s="359"/>
      <c r="BN51" s="764">
        <f>Construction!BM51/Construction!E51</f>
        <v>0</v>
      </c>
      <c r="BO51" s="503">
        <f>Construction!BD51/Construction!E51</f>
        <v>0</v>
      </c>
      <c r="BP51" s="273">
        <f ca="1">ROUNDUP((1-MIN(AB51*smithy_bonus,smithy_bonus_cap)-AC51)*(1+Techs!AO51*tech_master_of_frugality)*spec_op_plat,0)</f>
        <v>275</v>
      </c>
      <c r="BQ51" s="277">
        <f ca="1">ROUNDUP(IF(OR(race="Gnome",race="Imperial Gnome"),1-AC51,(1-MIN(AB51*smithy_bonus,smithy_bonus_cap)-AC51)*(1+Techs!AO51*tech_master_of_frugality))*spec_op_ore,0)</f>
        <v>25</v>
      </c>
      <c r="BR51" s="277">
        <f t="shared" si="6"/>
        <v>0</v>
      </c>
      <c r="BS51" s="277">
        <f t="shared" si="7"/>
        <v>0</v>
      </c>
      <c r="BT51" s="277">
        <f ca="1">ROUNDUP((1-MIN(AB51*smithy_bonus,smithy_bonus_cap)-AC51)*(1+Techs!AO51*tech_master_of_frugality)*spec_dp_plat,0)</f>
        <v>275</v>
      </c>
      <c r="BU51" s="277">
        <f ca="1">ROUNDUP(IF(OR(race="Gnome",race="Imperial Gnome"),1-AC51,(1-MIN(AB51*smithy_bonus,smithy_bonus_cap)-AC51)*(1+Techs!AO51*tech_master_of_frugality))*spec_dp_ore,0)</f>
        <v>10</v>
      </c>
      <c r="BV51" s="277">
        <f t="shared" ca="1" si="8"/>
        <v>0</v>
      </c>
      <c r="BW51" s="277">
        <f t="shared" ca="1" si="9"/>
        <v>0</v>
      </c>
      <c r="BX51" s="277">
        <f t="shared" ca="1" si="10"/>
        <v>0</v>
      </c>
      <c r="BY51" s="277">
        <f ca="1">ROUNDUP((1-MIN(AB51*smithy_bonus,smithy_bonus_cap)-AC51)*(1+Techs!AO51*tech_master_of_frugality)*elite1_plat,0)</f>
        <v>1000</v>
      </c>
      <c r="BZ51" s="277">
        <f ca="1">ROUNDUP(IF(OR(race="Gnome",race="Imperial Gnome"),1-AC51,(1-MIN(AB51*smithy_bonus,smithy_bonus_cap)-AC51)*(1+Techs!AO51*tech_master_of_frugality))*elite1_ore,0)</f>
        <v>75</v>
      </c>
      <c r="CA51" s="277">
        <f t="shared" ca="1" si="55"/>
        <v>0</v>
      </c>
      <c r="CB51" s="277">
        <f t="shared" ca="1" si="12"/>
        <v>0</v>
      </c>
      <c r="CC51" s="277">
        <f t="shared" ca="1" si="13"/>
        <v>0</v>
      </c>
      <c r="CD51" s="277">
        <f t="shared" ca="1" si="14"/>
        <v>0</v>
      </c>
      <c r="CE51" s="277">
        <f t="shared" ca="1" si="15"/>
        <v>0</v>
      </c>
      <c r="CF51" s="277">
        <f ca="1">ROUNDUP((1-MIN(AB51*smithy_bonus,smithy_bonus_cap)-AC51)*(1+Techs!AO51*tech_master_of_frugality)*elite2_plat,0)</f>
        <v>1250</v>
      </c>
      <c r="CG51" s="277">
        <f ca="1">ROUNDUP(IF(OR(race="Gnome",race="Imperial Gnome"),1-AC51,(1-MIN(AB51*smithy_bonus,smithy_bonus_cap)-AC51)*(1+Techs!AO51*tech_master_of_frugality))*elite2_ore,0)</f>
        <v>100</v>
      </c>
      <c r="CH51" s="277">
        <f t="shared" ca="1" si="56"/>
        <v>0</v>
      </c>
      <c r="CI51" s="277">
        <f t="shared" ca="1" si="17"/>
        <v>0</v>
      </c>
      <c r="CJ51" s="277">
        <f t="shared" ca="1" si="18"/>
        <v>0</v>
      </c>
      <c r="CK51" s="277">
        <f t="shared" ca="1" si="19"/>
        <v>0</v>
      </c>
      <c r="CL51" s="277">
        <f t="shared" ca="1" si="20"/>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8">
        <f ca="1">Construction!DF51/Construction!E51</f>
        <v>0.15</v>
      </c>
      <c r="CR51" s="469">
        <f t="shared" si="75"/>
        <v>0</v>
      </c>
      <c r="CS51" s="469">
        <f>Construction!BK51/Construction!E51</f>
        <v>0.05</v>
      </c>
      <c r="CT51" s="469">
        <f>Construction!BJ51/Construction!E51</f>
        <v>0</v>
      </c>
      <c r="CU51" s="469">
        <f>Construction!AY51/Construction!E51</f>
        <v>0</v>
      </c>
      <c r="CV51" s="492">
        <f t="shared" ca="1" si="81"/>
        <v>0.74999999999999989</v>
      </c>
      <c r="CW51" s="493">
        <f t="shared" ca="1" si="82"/>
        <v>0.74999999999999989</v>
      </c>
      <c r="CX51" s="493">
        <f t="shared" ca="1" si="83"/>
        <v>0.74999999999999989</v>
      </c>
      <c r="CY51" s="494">
        <f t="shared" ca="1" si="84"/>
        <v>0.74999999999999989</v>
      </c>
      <c r="CZ51" s="494">
        <f t="shared" si="85"/>
        <v>0</v>
      </c>
      <c r="DA51" s="494">
        <f t="shared" ca="1" si="86"/>
        <v>2.9999999999999996</v>
      </c>
      <c r="DB51" s="494">
        <f t="shared" ca="1" si="87"/>
        <v>0.74999999999999989</v>
      </c>
      <c r="DC51" s="493">
        <f t="shared" si="88"/>
        <v>0</v>
      </c>
      <c r="DD51" s="847">
        <f t="shared" si="89"/>
        <v>0</v>
      </c>
      <c r="DE51" s="442">
        <f t="shared" si="58"/>
        <v>0</v>
      </c>
      <c r="DF51" s="442">
        <f t="shared" si="59"/>
        <v>0</v>
      </c>
      <c r="DG51" s="492">
        <f t="shared" ca="1" si="90"/>
        <v>0.74999999999999989</v>
      </c>
      <c r="DH51" s="453">
        <f t="shared" si="91"/>
        <v>0</v>
      </c>
      <c r="DI51" s="453">
        <f>MIN(valkyrja_cap,Production!O51/valkyrja_bonus)</f>
        <v>1</v>
      </c>
      <c r="DJ51" s="847">
        <f>MIN(voodoo_magi_cap,Production!O51/voodoo_magi_bonus)</f>
        <v>0.83333333333333337</v>
      </c>
      <c r="DK51" s="847">
        <f>MIN(warlock_cap,Production!O51/warlock_bonus)</f>
        <v>1</v>
      </c>
      <c r="DL51" s="847">
        <f ca="1">MIN(nox_nightshade_cap,Construction!DF51/Construction!E51/nox_nightshade_swamp_bonus)</f>
        <v>1.4999999999999998</v>
      </c>
      <c r="DM51" s="493">
        <f t="shared" si="92"/>
        <v>0</v>
      </c>
      <c r="DN51" s="494">
        <f t="shared" ca="1" si="93"/>
        <v>1.4999999999999998</v>
      </c>
      <c r="DO51" s="494">
        <f t="shared" ca="1" si="94"/>
        <v>1.4999999999999998</v>
      </c>
      <c r="DP51" s="494">
        <f t="shared" si="95"/>
        <v>1</v>
      </c>
      <c r="DQ51" s="493">
        <f t="shared" si="96"/>
        <v>0</v>
      </c>
      <c r="DR51" s="494">
        <f t="shared" si="97"/>
        <v>0</v>
      </c>
      <c r="DS51" s="493">
        <f t="shared" si="98"/>
        <v>0</v>
      </c>
      <c r="DT51" s="494">
        <f t="shared" si="99"/>
        <v>0</v>
      </c>
      <c r="DX51" s="492">
        <f ca="1">MIN(6,CV51+Races!$F$19)*1.8 +  IF(CV51+Races!$F$19&gt;6,(CV51+Races!$F$19-6)*0.2,0) - Races!$N$19</f>
        <v>1.3500000000000005</v>
      </c>
      <c r="DY51" s="493">
        <f ca="1">1.8 * MIN(MAX(CW51+Races!$E$20,CX51+Races!$F$20),6)  +  0.45 * MIN(MIN(CW51+Races!$E$20,CX51+Races!$F$20),6)  +  0.2 * ( MAX(CW51+Races!$E$20-6,0) + MAX(CX51+Races!$F$20-6,0) )  -  Races!$N$20</f>
        <v>1.6874999999999991</v>
      </c>
      <c r="DZ51" s="109">
        <f t="shared" ca="1" si="100"/>
        <v>0</v>
      </c>
      <c r="EA51" s="666">
        <f ca="1">MIN(6,CY51+Races!$F$35)*1.8 +  IF(CY51+Races!$F$35&gt;6,(CY51+Races!$F$35-6)*0.2,0) - Races!$N$19</f>
        <v>-0.45000000000000018</v>
      </c>
      <c r="EB51" s="109">
        <f t="shared" ca="1" si="101"/>
        <v>0</v>
      </c>
      <c r="EC51" s="666">
        <f ca="1">1.8 * MIN(MAX(Races!$E$27,DB51+Races!$F$27),6)  +  0.45 * MIN(MIN(Races!$E$27,DB51+Races!$F$27),6)  +  0.2 * ( MAX(Races!$E$27-6,0) + MAX(DB51+Races!$F$27-6,0) )  -  Races!$N$20</f>
        <v>3.6000000000000005</v>
      </c>
      <c r="ED51" s="109">
        <f t="shared" ca="1" si="102"/>
        <v>0</v>
      </c>
      <c r="EE51" s="666">
        <f>1.8 * MIN(MAX(DC51+Races!$E$47,DD51+Races!$F$47),6)  +  0.45 * MIN(MIN(DC51+Races!$E$47,DD51+Races!$F$47),6)  +  0.2 * ( MAX(DC51+Races!$E$47-6,0) + MAX(DD51+Races!$F$47-6,0) )  -  Races!$N$47</f>
        <v>0</v>
      </c>
      <c r="EF51" s="109">
        <f t="shared" si="103"/>
        <v>0</v>
      </c>
      <c r="EG51" s="666">
        <f ca="1">1.8 * MIN(MAX(DG51+Races!$F$71,Races!$E$71),6)  +  0.45 * MIN(MIN(DG51+Races!$F$71,Races!$E$71),6)  +  0.2 * ( MAX(DG51+Races!$F$71-6,0) + MAX(Races!$E$71-6,0) )  -  Races!$N$71</f>
        <v>1.3499999999999996</v>
      </c>
      <c r="EH51" s="666">
        <f>1.8 * MIN(MAX(DH51+Races!$E$71,Races!$F$71),6)  +  0.45 * MIN(MIN(DH51+Races!$E$71,Races!$F$71),6)  +  0.2 * ( MAX(DH51+Races!$E$71-6,0) + MAX(Races!$F$71-6,0) )  -  Races!$N$71</f>
        <v>0</v>
      </c>
      <c r="EI51" s="109">
        <f t="shared" ca="1" si="104"/>
        <v>0</v>
      </c>
      <c r="EJ51" s="109"/>
      <c r="EK51" s="109"/>
      <c r="EL51" s="109"/>
      <c r="EM51" s="109">
        <f ca="1">Overview!$L$22*E51+Overview!$L$23*F51+Overview!$L$24*G51+Overview!$L$25*H51+Overview!$L$26*I51+Overview!$L$27*J51+Overview!$L$28*K51+Construction!E51*20+Construction!B51*5 + DZ51*$DV$4+EB51*$DV$5+ED51*$DV$6+EF51*$DV$7+EI51*$DV$9</f>
        <v>20900</v>
      </c>
      <c r="EO51" s="738">
        <f>(J51+2*K51)/Construction!E51</f>
        <v>0</v>
      </c>
      <c r="EP51" s="1055">
        <f ca="1">EO51*(1+race_wizard_strength+tech_magical_weaponry_wiz*Techs!AV123)</f>
        <v>0</v>
      </c>
      <c r="EQ51" s="111">
        <f>(I51+halfer*H51/3)/Construction!E51</f>
        <v>0</v>
      </c>
    </row>
    <row r="52" spans="1:147" s="16" customFormat="1" ht="13.8" thickTop="1" x14ac:dyDescent="0.25">
      <c r="A52" s="627">
        <f>Rezone!J52</f>
        <v>50</v>
      </c>
      <c r="B52" s="56">
        <f ca="1">SUM(E52:K52)+SUM(AF44:AG52)+SUM(AH41:AL52)+Z52+Explore!AL52</f>
        <v>5295</v>
      </c>
      <c r="C52" s="97">
        <f ca="1">Population!G52</f>
        <v>0.74159663865546221</v>
      </c>
      <c r="E52" s="52">
        <f t="shared" si="105"/>
        <v>0</v>
      </c>
      <c r="F52" s="16">
        <f t="shared" si="106"/>
        <v>0</v>
      </c>
      <c r="G52" s="16">
        <f t="shared" si="107"/>
        <v>0</v>
      </c>
      <c r="H52" s="16">
        <f t="shared" si="108"/>
        <v>0</v>
      </c>
      <c r="I52" s="16">
        <f t="shared" si="109"/>
        <v>0</v>
      </c>
      <c r="J52" s="16">
        <f t="shared" si="110"/>
        <v>0</v>
      </c>
      <c r="K52" s="53">
        <f t="shared" si="111"/>
        <v>0</v>
      </c>
      <c r="M52" s="64">
        <f ca="1">Production!G52</f>
        <v>20900</v>
      </c>
      <c r="O52" s="142">
        <f t="shared" ca="1" si="77"/>
        <v>0</v>
      </c>
      <c r="P52" s="454">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8"/>
        <v>5295</v>
      </c>
      <c r="T52" s="1047">
        <f ca="1">race_defense+Imps!AC52+ROUND(MIN(gt_bonus*Construction!BH52/Construction!$E52,gt_bonus_cap),4)+MAX(IF(Magic!AM52&gt;0,frenzy_bonus,IF(Magic!AQ52&gt;0,blizzard_bonus,IF(Magic!AP52&gt;0,howling_dp_bonus,IF(Magic!AI52&gt;0,ares_call_bonus)))),IF(Magic!AX52&gt;0,MIN(Construction!DF52/Construction!E52,0.2),0))</f>
        <v>0</v>
      </c>
      <c r="U52" s="1041">
        <f t="shared" ca="1" si="47"/>
        <v>0</v>
      </c>
      <c r="V52" s="310">
        <f t="shared" ca="1" si="48"/>
        <v>5295</v>
      </c>
      <c r="W52" s="310">
        <f>Construction!E52</f>
        <v>1000</v>
      </c>
      <c r="X52" s="367"/>
      <c r="Y52" s="146">
        <f t="shared" si="76"/>
        <v>0.4</v>
      </c>
      <c r="Z52" s="166">
        <f ca="1">Z51+Population!Z51 - IF(race="Lux",AF52,SUM(AF52:AK52)) - BE52 + SUM(BF52:BL52) - Explore!AI52</f>
        <v>5295</v>
      </c>
      <c r="AA52" s="164"/>
      <c r="AB52" s="91">
        <f>(Construction!$BA52+Construction!BY52)/(Construction!$E52-Explore!S52*20)</f>
        <v>0</v>
      </c>
      <c r="AC52" s="1516">
        <f ca="1">Imps!AE52</f>
        <v>0</v>
      </c>
      <c r="AD52" s="795">
        <f>Rezone!J52</f>
        <v>50</v>
      </c>
      <c r="AE52" s="587">
        <f>Explore!AA52</f>
        <v>43768.510416666548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9"/>
        <v>0</v>
      </c>
      <c r="AV52" s="164">
        <f t="shared" ca="1" si="80"/>
        <v>0</v>
      </c>
      <c r="AW52" s="164">
        <f t="shared" ca="1" si="50"/>
        <v>0</v>
      </c>
      <c r="AX52" s="164">
        <f t="shared" ca="1" si="51"/>
        <v>0</v>
      </c>
      <c r="AY52" s="164">
        <f t="shared" ca="1" si="52"/>
        <v>0</v>
      </c>
      <c r="AZ52" s="164">
        <f t="shared" ca="1" si="53"/>
        <v>0</v>
      </c>
      <c r="BA52" s="166">
        <f t="shared" ca="1" si="54"/>
        <v>0</v>
      </c>
      <c r="BB52" s="16">
        <v>50</v>
      </c>
      <c r="BC52" s="572">
        <f t="shared" si="73"/>
        <v>43768.510416666548</v>
      </c>
      <c r="BD52" s="148">
        <f t="shared" ca="1" si="74"/>
        <v>5295</v>
      </c>
      <c r="BE52" s="356"/>
      <c r="BF52" s="348"/>
      <c r="BG52" s="348"/>
      <c r="BH52" s="348"/>
      <c r="BI52" s="348"/>
      <c r="BJ52" s="348"/>
      <c r="BK52" s="348"/>
      <c r="BL52" s="357"/>
      <c r="BN52" s="501">
        <f>Construction!BM52/Construction!E52</f>
        <v>0</v>
      </c>
      <c r="BO52" s="171">
        <f>Construction!BD52/Construction!E52</f>
        <v>0</v>
      </c>
      <c r="BP52" s="152">
        <f ca="1">ROUNDUP((1-MIN(AB52*smithy_bonus,smithy_bonus_cap)-AC52)*(1+Techs!AO52*tech_master_of_frugality)*spec_op_plat,0)</f>
        <v>275</v>
      </c>
      <c r="BQ52" s="164">
        <f ca="1">ROUNDUP(IF(OR(race="Gnome",race="Imperial Gnome"),1-AC52,(1-MIN(AB52*smithy_bonus,smithy_bonus_cap)-AC52)*(1+Techs!AO52*tech_master_of_frugality))*spec_op_ore,0)</f>
        <v>25</v>
      </c>
      <c r="BR52" s="164">
        <f t="shared" si="6"/>
        <v>0</v>
      </c>
      <c r="BS52" s="164">
        <f t="shared" si="7"/>
        <v>0</v>
      </c>
      <c r="BT52" s="164">
        <f ca="1">ROUNDUP((1-MIN(AB52*smithy_bonus,smithy_bonus_cap)-AC52)*(1+Techs!AO52*tech_master_of_frugality)*spec_dp_plat,0)</f>
        <v>275</v>
      </c>
      <c r="BU52" s="164">
        <f ca="1">ROUNDUP(IF(OR(race="Gnome",race="Imperial Gnome"),1-AC52,(1-MIN(AB52*smithy_bonus,smithy_bonus_cap)-AC52)*(1+Techs!AO52*tech_master_of_frugality))*spec_dp_ore,0)</f>
        <v>10</v>
      </c>
      <c r="BV52" s="164">
        <f t="shared" ca="1" si="8"/>
        <v>0</v>
      </c>
      <c r="BW52" s="164">
        <f t="shared" ca="1" si="9"/>
        <v>0</v>
      </c>
      <c r="BX52" s="164">
        <f t="shared" ca="1" si="10"/>
        <v>0</v>
      </c>
      <c r="BY52" s="164">
        <f ca="1">ROUNDUP((1-MIN(AB52*smithy_bonus,smithy_bonus_cap)-AC52)*(1+Techs!AO52*tech_master_of_frugality)*elite1_plat,0)</f>
        <v>1000</v>
      </c>
      <c r="BZ52" s="164">
        <f ca="1">ROUNDUP(IF(OR(race="Gnome",race="Imperial Gnome"),1-AC52,(1-MIN(AB52*smithy_bonus,smithy_bonus_cap)-AC52)*(1+Techs!AO52*tech_master_of_frugality))*elite1_ore,0)</f>
        <v>75</v>
      </c>
      <c r="CA52" s="164">
        <f t="shared" ca="1" si="55"/>
        <v>0</v>
      </c>
      <c r="CB52" s="164">
        <f t="shared" ca="1" si="12"/>
        <v>0</v>
      </c>
      <c r="CC52" s="164">
        <f t="shared" ca="1" si="13"/>
        <v>0</v>
      </c>
      <c r="CD52" s="164">
        <f t="shared" ca="1" si="14"/>
        <v>0</v>
      </c>
      <c r="CE52" s="164">
        <f t="shared" ca="1" si="15"/>
        <v>0</v>
      </c>
      <c r="CF52" s="164">
        <f ca="1">ROUNDUP((1-MIN(AB52*smithy_bonus,smithy_bonus_cap)-AC52)*(1+Techs!AO52*tech_master_of_frugality)*elite2_plat,0)</f>
        <v>1250</v>
      </c>
      <c r="CG52" s="164">
        <f ca="1">ROUNDUP(IF(OR(race="Gnome",race="Imperial Gnome"),1-AC52,(1-MIN(AB52*smithy_bonus,smithy_bonus_cap)-AC52)*(1+Techs!AO52*tech_master_of_frugality))*elite2_ore,0)</f>
        <v>100</v>
      </c>
      <c r="CH52" s="164">
        <f t="shared" ca="1" si="56"/>
        <v>0</v>
      </c>
      <c r="CI52" s="164">
        <f t="shared" ca="1" si="17"/>
        <v>0</v>
      </c>
      <c r="CJ52" s="164">
        <f t="shared" ca="1" si="18"/>
        <v>0</v>
      </c>
      <c r="CK52" s="164">
        <f t="shared" ca="1" si="19"/>
        <v>0</v>
      </c>
      <c r="CL52" s="164">
        <f t="shared" ca="1" si="20"/>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4">
        <f ca="1">Construction!DF52/Construction!E52</f>
        <v>0.15</v>
      </c>
      <c r="CR52" s="465">
        <f t="shared" si="75"/>
        <v>0</v>
      </c>
      <c r="CS52" s="465">
        <f>Construction!BK52/Construction!E52</f>
        <v>0.05</v>
      </c>
      <c r="CT52" s="465">
        <f>Construction!BJ52/Construction!E52</f>
        <v>0</v>
      </c>
      <c r="CU52" s="465">
        <f>Construction!AY52/Construction!E52</f>
        <v>0</v>
      </c>
      <c r="CV52" s="486">
        <f t="shared" ca="1" si="81"/>
        <v>0.74999999999999989</v>
      </c>
      <c r="CW52" s="487">
        <f t="shared" ca="1" si="82"/>
        <v>0.74999999999999989</v>
      </c>
      <c r="CX52" s="487">
        <f t="shared" ca="1" si="83"/>
        <v>0.74999999999999989</v>
      </c>
      <c r="CY52" s="488">
        <f t="shared" ca="1" si="84"/>
        <v>0.74999999999999989</v>
      </c>
      <c r="CZ52" s="488">
        <f t="shared" si="85"/>
        <v>0</v>
      </c>
      <c r="DA52" s="488">
        <f t="shared" ca="1" si="86"/>
        <v>2.9999999999999996</v>
      </c>
      <c r="DB52" s="488">
        <f t="shared" ca="1" si="87"/>
        <v>0.74999999999999989</v>
      </c>
      <c r="DC52" s="487">
        <f t="shared" si="88"/>
        <v>0</v>
      </c>
      <c r="DD52" s="843">
        <f t="shared" si="89"/>
        <v>0</v>
      </c>
      <c r="DE52" s="441">
        <f t="shared" si="58"/>
        <v>0</v>
      </c>
      <c r="DF52" s="441">
        <f t="shared" si="59"/>
        <v>0</v>
      </c>
      <c r="DG52" s="486">
        <f t="shared" ca="1" si="90"/>
        <v>0.74999999999999989</v>
      </c>
      <c r="DH52" s="451">
        <f t="shared" si="91"/>
        <v>0</v>
      </c>
      <c r="DI52" s="451">
        <f>MIN(valkyrja_cap,Production!O52/valkyrja_bonus)</f>
        <v>1</v>
      </c>
      <c r="DJ52" s="843">
        <f>MIN(voodoo_magi_cap,Production!O52/voodoo_magi_bonus)</f>
        <v>0.83333333333333337</v>
      </c>
      <c r="DK52" s="843">
        <f>MIN(warlock_cap,Production!O52/warlock_bonus)</f>
        <v>1</v>
      </c>
      <c r="DL52" s="843">
        <f ca="1">MIN(nox_nightshade_cap,Construction!DF52/Construction!E52/nox_nightshade_swamp_bonus)</f>
        <v>1.4999999999999998</v>
      </c>
      <c r="DM52" s="487">
        <f t="shared" si="92"/>
        <v>0</v>
      </c>
      <c r="DN52" s="488">
        <f t="shared" ca="1" si="93"/>
        <v>1.4999999999999998</v>
      </c>
      <c r="DO52" s="488">
        <f t="shared" ca="1" si="94"/>
        <v>1.4999999999999998</v>
      </c>
      <c r="DP52" s="488">
        <f t="shared" si="95"/>
        <v>1</v>
      </c>
      <c r="DQ52" s="487">
        <f t="shared" si="96"/>
        <v>0</v>
      </c>
      <c r="DR52" s="488">
        <f t="shared" si="97"/>
        <v>0</v>
      </c>
      <c r="DS52" s="487">
        <f t="shared" si="98"/>
        <v>0</v>
      </c>
      <c r="DT52" s="488">
        <f t="shared" si="99"/>
        <v>0</v>
      </c>
      <c r="DX52" s="486">
        <f ca="1">MIN(6,CV52+Races!$F$19)*1.8 +  IF(CV52+Races!$F$19&gt;6,(CV52+Races!$F$19-6)*0.2,0) - Races!$N$19</f>
        <v>1.3500000000000005</v>
      </c>
      <c r="DY52" s="487">
        <f ca="1">1.8 * MIN(MAX(CW52+Races!$E$20,CX52+Races!$F$20),6)  +  0.45 * MIN(MIN(CW52+Races!$E$20,CX52+Races!$F$20),6)  +  0.2 * ( MAX(CW52+Races!$E$20-6,0) + MAX(CX52+Races!$F$20-6,0) )  -  Races!$N$20</f>
        <v>1.6874999999999991</v>
      </c>
      <c r="DZ52" s="57">
        <f t="shared" ca="1" si="100"/>
        <v>0</v>
      </c>
      <c r="EA52" s="663">
        <f ca="1">MIN(6,CY52+Races!$F$35)*1.8 +  IF(CY52+Races!$F$35&gt;6,(CY52+Races!$F$35-6)*0.2,0) - Races!$N$19</f>
        <v>-0.45000000000000018</v>
      </c>
      <c r="EB52" s="57">
        <f t="shared" ca="1" si="101"/>
        <v>0</v>
      </c>
      <c r="EC52" s="663">
        <f ca="1">1.8 * MIN(MAX(Races!$E$27,DB52+Races!$F$27),6)  +  0.45 * MIN(MIN(Races!$E$27,DB52+Races!$F$27),6)  +  0.2 * ( MAX(Races!$E$27-6,0) + MAX(DB52+Races!$F$27-6,0) )  -  Races!$N$20</f>
        <v>3.6000000000000005</v>
      </c>
      <c r="ED52" s="57">
        <f t="shared" ca="1" si="102"/>
        <v>0</v>
      </c>
      <c r="EE52" s="663">
        <f>1.8 * MIN(MAX(DC52+Races!$E$47,DD52+Races!$F$47),6)  +  0.45 * MIN(MIN(DC52+Races!$E$47,DD52+Races!$F$47),6)  +  0.2 * ( MAX(DC52+Races!$E$47-6,0) + MAX(DD52+Races!$F$47-6,0) )  -  Races!$N$47</f>
        <v>0</v>
      </c>
      <c r="EF52" s="57">
        <f t="shared" si="103"/>
        <v>0</v>
      </c>
      <c r="EG52" s="663">
        <f ca="1">1.8 * MIN(MAX(DG52+Races!$F$71,Races!$E$71),6)  +  0.45 * MIN(MIN(DG52+Races!$F$71,Races!$E$71),6)  +  0.2 * ( MAX(DG52+Races!$F$71-6,0) + MAX(Races!$E$71-6,0) )  -  Races!$N$71</f>
        <v>1.3499999999999996</v>
      </c>
      <c r="EH52" s="663">
        <f>1.8 * MIN(MAX(DH52+Races!$E$71,Races!$F$71),6)  +  0.45 * MIN(MIN(DH52+Races!$E$71,Races!$F$71),6)  +  0.2 * ( MAX(DH52+Races!$E$71-6,0) + MAX(Races!$F$71-6,0) )  -  Races!$N$71</f>
        <v>0</v>
      </c>
      <c r="EI52" s="57">
        <f t="shared" ca="1" si="104"/>
        <v>0</v>
      </c>
      <c r="EJ52" s="57"/>
      <c r="EK52" s="57"/>
      <c r="EL52" s="57"/>
      <c r="EM52" s="57">
        <f ca="1">Overview!$L$22*E52+Overview!$L$23*F52+Overview!$L$24*G52+Overview!$L$25*H52+Overview!$L$26*I52+Overview!$L$27*J52+Overview!$L$28*K52+Construction!E52*20+Construction!B52*5 + DZ52*$DV$4+EB52*$DV$5+ED52*$DV$6+EF52*$DV$7+EI52*$DV$9</f>
        <v>20900</v>
      </c>
      <c r="EO52" s="734">
        <f>(J52+2*K52)/Construction!E52</f>
        <v>0</v>
      </c>
      <c r="EP52" s="730">
        <f ca="1">EO52*(1+race_wizard_strength+tech_magical_weaponry_wiz*Techs!AV124)</f>
        <v>0</v>
      </c>
      <c r="EQ52" s="16">
        <f>(I52+halfer*H52/3)/Construction!E52</f>
        <v>0</v>
      </c>
    </row>
    <row r="53" spans="1:147" s="16" customFormat="1" x14ac:dyDescent="0.25">
      <c r="A53" s="627">
        <f>Rezone!J53</f>
        <v>51</v>
      </c>
      <c r="B53" s="56">
        <f ca="1">SUM(E53:K53)+SUM(AF45:AG53)+SUM(AH42:AL53)+Z53+Explore!AL53</f>
        <v>5295</v>
      </c>
      <c r="C53" s="97">
        <f ca="1">Population!G53</f>
        <v>0.74159663865546221</v>
      </c>
      <c r="E53" s="52">
        <f t="shared" si="105"/>
        <v>0</v>
      </c>
      <c r="F53" s="16">
        <f t="shared" si="106"/>
        <v>0</v>
      </c>
      <c r="G53" s="16">
        <f t="shared" si="107"/>
        <v>0</v>
      </c>
      <c r="H53" s="16">
        <f t="shared" si="108"/>
        <v>0</v>
      </c>
      <c r="I53" s="16">
        <f t="shared" si="109"/>
        <v>0</v>
      </c>
      <c r="J53" s="16">
        <f t="shared" si="110"/>
        <v>0</v>
      </c>
      <c r="K53" s="53">
        <f t="shared" si="111"/>
        <v>0</v>
      </c>
      <c r="M53" s="64">
        <f ca="1">Production!G53</f>
        <v>20900</v>
      </c>
      <c r="O53" s="142">
        <f t="shared" ca="1" si="77"/>
        <v>0</v>
      </c>
      <c r="P53" s="454">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8"/>
        <v>5295</v>
      </c>
      <c r="T53" s="1047">
        <f ca="1">race_defense+Imps!AC53+ROUND(MIN(gt_bonus*Construction!BH53/Construction!$E53,gt_bonus_cap),4)+MAX(IF(Magic!AM53&gt;0,frenzy_bonus,IF(Magic!AQ53&gt;0,blizzard_bonus,IF(Magic!AP53&gt;0,howling_dp_bonus,IF(Magic!AI53&gt;0,ares_call_bonus)))),IF(Magic!AX53&gt;0,MIN(Construction!DF53/Construction!E53,0.2),0))</f>
        <v>0</v>
      </c>
      <c r="U53" s="1041">
        <f t="shared" ca="1" si="47"/>
        <v>0</v>
      </c>
      <c r="V53" s="310">
        <f t="shared" ca="1" si="48"/>
        <v>5295</v>
      </c>
      <c r="W53" s="310">
        <f>Construction!E53</f>
        <v>1000</v>
      </c>
      <c r="X53" s="367"/>
      <c r="Y53" s="146">
        <f t="shared" si="76"/>
        <v>0.4</v>
      </c>
      <c r="Z53" s="166">
        <f ca="1">Z52+Population!Z52 - IF(race="Lux",AF53,SUM(AF53:AK53)) - BE53 + SUM(BF53:BL53) - Explore!AI53</f>
        <v>5295</v>
      </c>
      <c r="AA53" s="164"/>
      <c r="AB53" s="91">
        <f>(Construction!$BA53+Construction!BY53)/(Construction!$E53-Explore!S53*20)</f>
        <v>0</v>
      </c>
      <c r="AC53" s="1516">
        <f ca="1">Imps!AE53</f>
        <v>0</v>
      </c>
      <c r="AD53" s="795">
        <f>Rezone!J53</f>
        <v>51</v>
      </c>
      <c r="AE53" s="587">
        <f>Explore!AA53</f>
        <v>43768.520833333212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9"/>
        <v>0</v>
      </c>
      <c r="AV53" s="164">
        <f t="shared" ca="1" si="80"/>
        <v>0</v>
      </c>
      <c r="AW53" s="164">
        <f t="shared" ca="1" si="50"/>
        <v>0</v>
      </c>
      <c r="AX53" s="164">
        <f t="shared" ca="1" si="51"/>
        <v>0</v>
      </c>
      <c r="AY53" s="164">
        <f t="shared" ca="1" si="52"/>
        <v>0</v>
      </c>
      <c r="AZ53" s="164">
        <f t="shared" ca="1" si="53"/>
        <v>0</v>
      </c>
      <c r="BA53" s="166">
        <f t="shared" ca="1" si="54"/>
        <v>0</v>
      </c>
      <c r="BB53" s="16">
        <v>51</v>
      </c>
      <c r="BC53" s="572">
        <f t="shared" si="73"/>
        <v>43768.520833333212</v>
      </c>
      <c r="BD53" s="148">
        <f t="shared" ca="1" si="74"/>
        <v>5295</v>
      </c>
      <c r="BE53" s="356"/>
      <c r="BF53" s="348"/>
      <c r="BG53" s="348"/>
      <c r="BH53" s="348"/>
      <c r="BI53" s="348"/>
      <c r="BJ53" s="348"/>
      <c r="BK53" s="348"/>
      <c r="BL53" s="357"/>
      <c r="BN53" s="501">
        <f>Construction!BM53/Construction!E53</f>
        <v>0</v>
      </c>
      <c r="BO53" s="171">
        <f>Construction!BD53/Construction!E53</f>
        <v>0</v>
      </c>
      <c r="BP53" s="152">
        <f ca="1">ROUNDUP((1-MIN(AB53*smithy_bonus,smithy_bonus_cap)-AC53)*(1+Techs!AO53*tech_master_of_frugality)*spec_op_plat,0)</f>
        <v>275</v>
      </c>
      <c r="BQ53" s="164">
        <f ca="1">ROUNDUP(IF(OR(race="Gnome",race="Imperial Gnome"),1-AC53,(1-MIN(AB53*smithy_bonus,smithy_bonus_cap)-AC53)*(1+Techs!AO53*tech_master_of_frugality))*spec_op_ore,0)</f>
        <v>25</v>
      </c>
      <c r="BR53" s="164">
        <f t="shared" si="6"/>
        <v>0</v>
      </c>
      <c r="BS53" s="164">
        <f t="shared" si="7"/>
        <v>0</v>
      </c>
      <c r="BT53" s="164">
        <f ca="1">ROUNDUP((1-MIN(AB53*smithy_bonus,smithy_bonus_cap)-AC53)*(1+Techs!AO53*tech_master_of_frugality)*spec_dp_plat,0)</f>
        <v>275</v>
      </c>
      <c r="BU53" s="164">
        <f ca="1">ROUNDUP(IF(OR(race="Gnome",race="Imperial Gnome"),1-AC53,(1-MIN(AB53*smithy_bonus,smithy_bonus_cap)-AC53)*(1+Techs!AO53*tech_master_of_frugality))*spec_dp_ore,0)</f>
        <v>10</v>
      </c>
      <c r="BV53" s="164">
        <f t="shared" ca="1" si="8"/>
        <v>0</v>
      </c>
      <c r="BW53" s="164">
        <f t="shared" ca="1" si="9"/>
        <v>0</v>
      </c>
      <c r="BX53" s="164">
        <f t="shared" ca="1" si="10"/>
        <v>0</v>
      </c>
      <c r="BY53" s="164">
        <f ca="1">ROUNDUP((1-MIN(AB53*smithy_bonus,smithy_bonus_cap)-AC53)*(1+Techs!AO53*tech_master_of_frugality)*elite1_plat,0)</f>
        <v>1000</v>
      </c>
      <c r="BZ53" s="164">
        <f ca="1">ROUNDUP(IF(OR(race="Gnome",race="Imperial Gnome"),1-AC53,(1-MIN(AB53*smithy_bonus,smithy_bonus_cap)-AC53)*(1+Techs!AO53*tech_master_of_frugality))*elite1_ore,0)</f>
        <v>75</v>
      </c>
      <c r="CA53" s="164">
        <f t="shared" ca="1" si="55"/>
        <v>0</v>
      </c>
      <c r="CB53" s="164">
        <f t="shared" ca="1" si="12"/>
        <v>0</v>
      </c>
      <c r="CC53" s="164">
        <f t="shared" ca="1" si="13"/>
        <v>0</v>
      </c>
      <c r="CD53" s="164">
        <f t="shared" ca="1" si="14"/>
        <v>0</v>
      </c>
      <c r="CE53" s="164">
        <f t="shared" ca="1" si="15"/>
        <v>0</v>
      </c>
      <c r="CF53" s="164">
        <f ca="1">ROUNDUP((1-MIN(AB53*smithy_bonus,smithy_bonus_cap)-AC53)*(1+Techs!AO53*tech_master_of_frugality)*elite2_plat,0)</f>
        <v>1250</v>
      </c>
      <c r="CG53" s="164">
        <f ca="1">ROUNDUP(IF(OR(race="Gnome",race="Imperial Gnome"),1-AC53,(1-MIN(AB53*smithy_bonus,smithy_bonus_cap)-AC53)*(1+Techs!AO53*tech_master_of_frugality))*elite2_ore,0)</f>
        <v>100</v>
      </c>
      <c r="CH53" s="164">
        <f t="shared" ca="1" si="56"/>
        <v>0</v>
      </c>
      <c r="CI53" s="164">
        <f t="shared" ca="1" si="17"/>
        <v>0</v>
      </c>
      <c r="CJ53" s="164">
        <f t="shared" ca="1" si="18"/>
        <v>0</v>
      </c>
      <c r="CK53" s="164">
        <f t="shared" ca="1" si="19"/>
        <v>0</v>
      </c>
      <c r="CL53" s="164">
        <f t="shared" ca="1" si="20"/>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4">
        <f ca="1">Construction!DF53/Construction!E53</f>
        <v>0.15</v>
      </c>
      <c r="CR53" s="465">
        <f t="shared" si="75"/>
        <v>0</v>
      </c>
      <c r="CS53" s="465">
        <f>Construction!BK53/Construction!E53</f>
        <v>0.05</v>
      </c>
      <c r="CT53" s="465">
        <f>Construction!BJ53/Construction!E53</f>
        <v>0</v>
      </c>
      <c r="CU53" s="465">
        <f>Construction!AY53/Construction!E53</f>
        <v>0</v>
      </c>
      <c r="CV53" s="486">
        <f t="shared" ca="1" si="81"/>
        <v>0.74999999999999989</v>
      </c>
      <c r="CW53" s="487">
        <f t="shared" ca="1" si="82"/>
        <v>0.74999999999999989</v>
      </c>
      <c r="CX53" s="487">
        <f t="shared" ca="1" si="83"/>
        <v>0.74999999999999989</v>
      </c>
      <c r="CY53" s="488">
        <f t="shared" ca="1" si="84"/>
        <v>0.74999999999999989</v>
      </c>
      <c r="CZ53" s="488">
        <f t="shared" si="85"/>
        <v>0</v>
      </c>
      <c r="DA53" s="488">
        <f t="shared" ca="1" si="86"/>
        <v>2.9999999999999996</v>
      </c>
      <c r="DB53" s="488">
        <f t="shared" ca="1" si="87"/>
        <v>0.74999999999999989</v>
      </c>
      <c r="DC53" s="487">
        <f t="shared" si="88"/>
        <v>0</v>
      </c>
      <c r="DD53" s="843">
        <f t="shared" si="89"/>
        <v>0</v>
      </c>
      <c r="DE53" s="441">
        <f t="shared" si="58"/>
        <v>0</v>
      </c>
      <c r="DF53" s="441">
        <f t="shared" si="59"/>
        <v>0</v>
      </c>
      <c r="DG53" s="486">
        <f t="shared" ca="1" si="90"/>
        <v>0.74999999999999989</v>
      </c>
      <c r="DH53" s="451">
        <f t="shared" si="91"/>
        <v>0</v>
      </c>
      <c r="DI53" s="451">
        <f>MIN(valkyrja_cap,Production!O53/valkyrja_bonus)</f>
        <v>1</v>
      </c>
      <c r="DJ53" s="843">
        <f>MIN(voodoo_magi_cap,Production!O53/voodoo_magi_bonus)</f>
        <v>0.83333333333333337</v>
      </c>
      <c r="DK53" s="843">
        <f>MIN(warlock_cap,Production!O53/warlock_bonus)</f>
        <v>1</v>
      </c>
      <c r="DL53" s="843">
        <f ca="1">MIN(nox_nightshade_cap,Construction!DF53/Construction!E53/nox_nightshade_swamp_bonus)</f>
        <v>1.4999999999999998</v>
      </c>
      <c r="DM53" s="487">
        <f t="shared" si="92"/>
        <v>0</v>
      </c>
      <c r="DN53" s="488">
        <f t="shared" ca="1" si="93"/>
        <v>1.4999999999999998</v>
      </c>
      <c r="DO53" s="488">
        <f t="shared" ca="1" si="94"/>
        <v>1.4999999999999998</v>
      </c>
      <c r="DP53" s="488">
        <f t="shared" si="95"/>
        <v>1</v>
      </c>
      <c r="DQ53" s="487">
        <f t="shared" si="96"/>
        <v>0</v>
      </c>
      <c r="DR53" s="488">
        <f t="shared" si="97"/>
        <v>0</v>
      </c>
      <c r="DS53" s="487">
        <f t="shared" si="98"/>
        <v>0</v>
      </c>
      <c r="DT53" s="488">
        <f t="shared" si="99"/>
        <v>0</v>
      </c>
      <c r="DX53" s="486">
        <f ca="1">MIN(6,CV53+Races!$F$19)*1.8 +  IF(CV53+Races!$F$19&gt;6,(CV53+Races!$F$19-6)*0.2,0) - Races!$N$19</f>
        <v>1.3500000000000005</v>
      </c>
      <c r="DY53" s="487">
        <f ca="1">1.8 * MIN(MAX(CW53+Races!$E$20,CX53+Races!$F$20),6)  +  0.45 * MIN(MIN(CW53+Races!$E$20,CX53+Races!$F$20),6)  +  0.2 * ( MAX(CW53+Races!$E$20-6,0) + MAX(CX53+Races!$F$20-6,0) )  -  Races!$N$20</f>
        <v>1.6874999999999991</v>
      </c>
      <c r="DZ53" s="57">
        <f t="shared" ca="1" si="100"/>
        <v>0</v>
      </c>
      <c r="EA53" s="663">
        <f ca="1">MIN(6,CY53+Races!$F$35)*1.8 +  IF(CY53+Races!$F$35&gt;6,(CY53+Races!$F$35-6)*0.2,0) - Races!$N$19</f>
        <v>-0.45000000000000018</v>
      </c>
      <c r="EB53" s="57">
        <f t="shared" ca="1" si="101"/>
        <v>0</v>
      </c>
      <c r="EC53" s="663">
        <f ca="1">1.8 * MIN(MAX(Races!$E$27,DB53+Races!$F$27),6)  +  0.45 * MIN(MIN(Races!$E$27,DB53+Races!$F$27),6)  +  0.2 * ( MAX(Races!$E$27-6,0) + MAX(DB53+Races!$F$27-6,0) )  -  Races!$N$20</f>
        <v>3.6000000000000005</v>
      </c>
      <c r="ED53" s="57">
        <f t="shared" ca="1" si="102"/>
        <v>0</v>
      </c>
      <c r="EE53" s="663">
        <f>1.8 * MIN(MAX(DC53+Races!$E$47,DD53+Races!$F$47),6)  +  0.45 * MIN(MIN(DC53+Races!$E$47,DD53+Races!$F$47),6)  +  0.2 * ( MAX(DC53+Races!$E$47-6,0) + MAX(DD53+Races!$F$47-6,0) )  -  Races!$N$47</f>
        <v>0</v>
      </c>
      <c r="EF53" s="57">
        <f t="shared" si="103"/>
        <v>0</v>
      </c>
      <c r="EG53" s="663">
        <f ca="1">1.8 * MIN(MAX(DG53+Races!$F$71,Races!$E$71),6)  +  0.45 * MIN(MIN(DG53+Races!$F$71,Races!$E$71),6)  +  0.2 * ( MAX(DG53+Races!$F$71-6,0) + MAX(Races!$E$71-6,0) )  -  Races!$N$71</f>
        <v>1.3499999999999996</v>
      </c>
      <c r="EH53" s="663">
        <f>1.8 * MIN(MAX(DH53+Races!$E$71,Races!$F$71),6)  +  0.45 * MIN(MIN(DH53+Races!$E$71,Races!$F$71),6)  +  0.2 * ( MAX(DH53+Races!$E$71-6,0) + MAX(Races!$F$71-6,0) )  -  Races!$N$71</f>
        <v>0</v>
      </c>
      <c r="EI53" s="57">
        <f t="shared" ca="1" si="104"/>
        <v>0</v>
      </c>
      <c r="EJ53" s="57"/>
      <c r="EK53" s="57"/>
      <c r="EL53" s="57"/>
      <c r="EM53" s="57">
        <f ca="1">Overview!$L$22*E53+Overview!$L$23*F53+Overview!$L$24*G53+Overview!$L$25*H53+Overview!$L$26*I53+Overview!$L$27*J53+Overview!$L$28*K53+Construction!E53*20+Construction!B53*5 + DZ53*$DV$4+EB53*$DV$5+ED53*$DV$6+EF53*$DV$7+EI53*$DV$9</f>
        <v>20900</v>
      </c>
      <c r="EO53" s="734">
        <f>(J53+2*K53)/Construction!E53</f>
        <v>0</v>
      </c>
      <c r="EP53" s="730">
        <f ca="1">EO53*(1+race_wizard_strength+tech_magical_weaponry_wiz*Techs!AV125)</f>
        <v>0</v>
      </c>
      <c r="EQ53" s="16">
        <f>(I53+halfer*H53/3)/Construction!E53</f>
        <v>0</v>
      </c>
    </row>
    <row r="54" spans="1:147" s="16" customFormat="1" x14ac:dyDescent="0.25">
      <c r="A54" s="627">
        <f>Rezone!J54</f>
        <v>52</v>
      </c>
      <c r="B54" s="56">
        <f ca="1">SUM(E54:K54)+SUM(AF46:AG54)+SUM(AH43:AL54)+Z54+Explore!AL54</f>
        <v>5295</v>
      </c>
      <c r="C54" s="97">
        <f ca="1">Population!G54</f>
        <v>0.74159663865546221</v>
      </c>
      <c r="E54" s="52">
        <f t="shared" si="105"/>
        <v>0</v>
      </c>
      <c r="F54" s="16">
        <f t="shared" si="106"/>
        <v>0</v>
      </c>
      <c r="G54" s="16">
        <f t="shared" si="107"/>
        <v>0</v>
      </c>
      <c r="H54" s="16">
        <f t="shared" si="108"/>
        <v>0</v>
      </c>
      <c r="I54" s="16">
        <f t="shared" si="109"/>
        <v>0</v>
      </c>
      <c r="J54" s="16">
        <f t="shared" si="110"/>
        <v>0</v>
      </c>
      <c r="K54" s="53">
        <f t="shared" si="111"/>
        <v>0</v>
      </c>
      <c r="M54" s="64">
        <f ca="1">Production!G54</f>
        <v>20900</v>
      </c>
      <c r="O54" s="142">
        <f t="shared" ca="1" si="77"/>
        <v>0</v>
      </c>
      <c r="P54" s="454">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8"/>
        <v>5295</v>
      </c>
      <c r="T54" s="1047">
        <f ca="1">race_defense+Imps!AC54+ROUND(MIN(gt_bonus*Construction!BH54/Construction!$E54,gt_bonus_cap),4)+MAX(IF(Magic!AM54&gt;0,frenzy_bonus,IF(Magic!AQ54&gt;0,blizzard_bonus,IF(Magic!AP54&gt;0,howling_dp_bonus,IF(Magic!AI54&gt;0,ares_call_bonus)))),IF(Magic!AX54&gt;0,MIN(Construction!DF54/Construction!E54,0.2),0))</f>
        <v>0</v>
      </c>
      <c r="U54" s="1041">
        <f t="shared" ca="1" si="47"/>
        <v>0</v>
      </c>
      <c r="V54" s="310">
        <f t="shared" ca="1" si="48"/>
        <v>5295</v>
      </c>
      <c r="W54" s="310">
        <f>Construction!E54</f>
        <v>1000</v>
      </c>
      <c r="X54" s="367"/>
      <c r="Y54" s="146">
        <f t="shared" si="76"/>
        <v>0.4</v>
      </c>
      <c r="Z54" s="166">
        <f ca="1">Z53+Population!Z53 - IF(race="Lux",AF54,SUM(AF54:AK54)) - BE54 + SUM(BF54:BL54) - Explore!AI54</f>
        <v>5295</v>
      </c>
      <c r="AA54" s="164"/>
      <c r="AB54" s="91">
        <f>(Construction!$BA54+Construction!BY54)/(Construction!$E54-Explore!S54*20)</f>
        <v>0</v>
      </c>
      <c r="AC54" s="1516">
        <f ca="1">Imps!AE54</f>
        <v>0</v>
      </c>
      <c r="AD54" s="795">
        <f>Rezone!J54</f>
        <v>52</v>
      </c>
      <c r="AE54" s="587">
        <f>Explore!AA54</f>
        <v>43768.531249999876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9"/>
        <v>0</v>
      </c>
      <c r="AV54" s="164">
        <f t="shared" ca="1" si="80"/>
        <v>0</v>
      </c>
      <c r="AW54" s="164">
        <f t="shared" ca="1" si="50"/>
        <v>0</v>
      </c>
      <c r="AX54" s="164">
        <f t="shared" ca="1" si="51"/>
        <v>0</v>
      </c>
      <c r="AY54" s="164">
        <f t="shared" ca="1" si="52"/>
        <v>0</v>
      </c>
      <c r="AZ54" s="164">
        <f t="shared" ca="1" si="53"/>
        <v>0</v>
      </c>
      <c r="BA54" s="166">
        <f t="shared" ca="1" si="54"/>
        <v>0</v>
      </c>
      <c r="BB54" s="16">
        <v>52</v>
      </c>
      <c r="BC54" s="572">
        <f t="shared" si="73"/>
        <v>43768.531249999876</v>
      </c>
      <c r="BD54" s="148">
        <f t="shared" ca="1" si="74"/>
        <v>5295</v>
      </c>
      <c r="BE54" s="356"/>
      <c r="BF54" s="348"/>
      <c r="BG54" s="348"/>
      <c r="BH54" s="348"/>
      <c r="BI54" s="348"/>
      <c r="BJ54" s="348"/>
      <c r="BK54" s="348"/>
      <c r="BL54" s="357"/>
      <c r="BN54" s="501">
        <f>Construction!BM54/Construction!E54</f>
        <v>0</v>
      </c>
      <c r="BO54" s="171">
        <f>Construction!BD54/Construction!E54</f>
        <v>0</v>
      </c>
      <c r="BP54" s="152">
        <f ca="1">ROUNDUP((1-MIN(AB54*smithy_bonus,smithy_bonus_cap)-AC54)*(1+Techs!AO54*tech_master_of_frugality)*spec_op_plat,0)</f>
        <v>275</v>
      </c>
      <c r="BQ54" s="164">
        <f ca="1">ROUNDUP(IF(OR(race="Gnome",race="Imperial Gnome"),1-AC54,(1-MIN(AB54*smithy_bonus,smithy_bonus_cap)-AC54)*(1+Techs!AO54*tech_master_of_frugality))*spec_op_ore,0)</f>
        <v>25</v>
      </c>
      <c r="BR54" s="164">
        <f t="shared" si="6"/>
        <v>0</v>
      </c>
      <c r="BS54" s="164">
        <f t="shared" si="7"/>
        <v>0</v>
      </c>
      <c r="BT54" s="164">
        <f ca="1">ROUNDUP((1-MIN(AB54*smithy_bonus,smithy_bonus_cap)-AC54)*(1+Techs!AO54*tech_master_of_frugality)*spec_dp_plat,0)</f>
        <v>275</v>
      </c>
      <c r="BU54" s="164">
        <f ca="1">ROUNDUP(IF(OR(race="Gnome",race="Imperial Gnome"),1-AC54,(1-MIN(AB54*smithy_bonus,smithy_bonus_cap)-AC54)*(1+Techs!AO54*tech_master_of_frugality))*spec_dp_ore,0)</f>
        <v>10</v>
      </c>
      <c r="BV54" s="164">
        <f t="shared" ca="1" si="8"/>
        <v>0</v>
      </c>
      <c r="BW54" s="164">
        <f t="shared" ca="1" si="9"/>
        <v>0</v>
      </c>
      <c r="BX54" s="164">
        <f t="shared" ca="1" si="10"/>
        <v>0</v>
      </c>
      <c r="BY54" s="164">
        <f ca="1">ROUNDUP((1-MIN(AB54*smithy_bonus,smithy_bonus_cap)-AC54)*(1+Techs!AO54*tech_master_of_frugality)*elite1_plat,0)</f>
        <v>1000</v>
      </c>
      <c r="BZ54" s="164">
        <f ca="1">ROUNDUP(IF(OR(race="Gnome",race="Imperial Gnome"),1-AC54,(1-MIN(AB54*smithy_bonus,smithy_bonus_cap)-AC54)*(1+Techs!AO54*tech_master_of_frugality))*elite1_ore,0)</f>
        <v>75</v>
      </c>
      <c r="CA54" s="164">
        <f t="shared" ca="1" si="55"/>
        <v>0</v>
      </c>
      <c r="CB54" s="164">
        <f t="shared" ca="1" si="12"/>
        <v>0</v>
      </c>
      <c r="CC54" s="164">
        <f t="shared" ca="1" si="13"/>
        <v>0</v>
      </c>
      <c r="CD54" s="164">
        <f t="shared" ca="1" si="14"/>
        <v>0</v>
      </c>
      <c r="CE54" s="164">
        <f t="shared" ca="1" si="15"/>
        <v>0</v>
      </c>
      <c r="CF54" s="164">
        <f ca="1">ROUNDUP((1-MIN(AB54*smithy_bonus,smithy_bonus_cap)-AC54)*(1+Techs!AO54*tech_master_of_frugality)*elite2_plat,0)</f>
        <v>1250</v>
      </c>
      <c r="CG54" s="164">
        <f ca="1">ROUNDUP(IF(OR(race="Gnome",race="Imperial Gnome"),1-AC54,(1-MIN(AB54*smithy_bonus,smithy_bonus_cap)-AC54)*(1+Techs!AO54*tech_master_of_frugality))*elite2_ore,0)</f>
        <v>100</v>
      </c>
      <c r="CH54" s="164">
        <f t="shared" ca="1" si="56"/>
        <v>0</v>
      </c>
      <c r="CI54" s="164">
        <f t="shared" ca="1" si="17"/>
        <v>0</v>
      </c>
      <c r="CJ54" s="164">
        <f t="shared" ca="1" si="18"/>
        <v>0</v>
      </c>
      <c r="CK54" s="164">
        <f t="shared" ca="1" si="19"/>
        <v>0</v>
      </c>
      <c r="CL54" s="164">
        <f t="shared" ca="1" si="20"/>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4">
        <f ca="1">Construction!DF54/Construction!E54</f>
        <v>0.15</v>
      </c>
      <c r="CR54" s="465">
        <f t="shared" si="75"/>
        <v>0</v>
      </c>
      <c r="CS54" s="465">
        <f>Construction!BK54/Construction!E54</f>
        <v>0.05</v>
      </c>
      <c r="CT54" s="465">
        <f>Construction!BJ54/Construction!E54</f>
        <v>0</v>
      </c>
      <c r="CU54" s="465">
        <f>Construction!AY54/Construction!E54</f>
        <v>0</v>
      </c>
      <c r="CV54" s="486">
        <f t="shared" ca="1" si="81"/>
        <v>0.74999999999999989</v>
      </c>
      <c r="CW54" s="487">
        <f t="shared" ca="1" si="82"/>
        <v>0.74999999999999989</v>
      </c>
      <c r="CX54" s="487">
        <f t="shared" ca="1" si="83"/>
        <v>0.74999999999999989</v>
      </c>
      <c r="CY54" s="488">
        <f t="shared" ca="1" si="84"/>
        <v>0.74999999999999989</v>
      </c>
      <c r="CZ54" s="488">
        <f t="shared" si="85"/>
        <v>0</v>
      </c>
      <c r="DA54" s="488">
        <f t="shared" ca="1" si="86"/>
        <v>2.9999999999999996</v>
      </c>
      <c r="DB54" s="488">
        <f t="shared" ca="1" si="87"/>
        <v>0.74999999999999989</v>
      </c>
      <c r="DC54" s="487">
        <f t="shared" si="88"/>
        <v>0</v>
      </c>
      <c r="DD54" s="843">
        <f t="shared" si="89"/>
        <v>0</v>
      </c>
      <c r="DE54" s="441">
        <f t="shared" si="58"/>
        <v>0</v>
      </c>
      <c r="DF54" s="441">
        <f t="shared" si="59"/>
        <v>0</v>
      </c>
      <c r="DG54" s="486">
        <f t="shared" ca="1" si="90"/>
        <v>0.74999999999999989</v>
      </c>
      <c r="DH54" s="451">
        <f t="shared" si="91"/>
        <v>0</v>
      </c>
      <c r="DI54" s="451">
        <f>MIN(valkyrja_cap,Production!O54/valkyrja_bonus)</f>
        <v>1</v>
      </c>
      <c r="DJ54" s="843">
        <f>MIN(voodoo_magi_cap,Production!O54/voodoo_magi_bonus)</f>
        <v>0.83333333333333337</v>
      </c>
      <c r="DK54" s="843">
        <f>MIN(warlock_cap,Production!O54/warlock_bonus)</f>
        <v>1</v>
      </c>
      <c r="DL54" s="843">
        <f ca="1">MIN(nox_nightshade_cap,Construction!DF54/Construction!E54/nox_nightshade_swamp_bonus)</f>
        <v>1.4999999999999998</v>
      </c>
      <c r="DM54" s="487">
        <f t="shared" si="92"/>
        <v>0</v>
      </c>
      <c r="DN54" s="488">
        <f t="shared" ca="1" si="93"/>
        <v>1.4999999999999998</v>
      </c>
      <c r="DO54" s="488">
        <f t="shared" ca="1" si="94"/>
        <v>1.4999999999999998</v>
      </c>
      <c r="DP54" s="488">
        <f t="shared" si="95"/>
        <v>1</v>
      </c>
      <c r="DQ54" s="487">
        <f t="shared" si="96"/>
        <v>0</v>
      </c>
      <c r="DR54" s="488">
        <f t="shared" si="97"/>
        <v>0</v>
      </c>
      <c r="DS54" s="487">
        <f t="shared" si="98"/>
        <v>0</v>
      </c>
      <c r="DT54" s="488">
        <f t="shared" si="99"/>
        <v>0</v>
      </c>
      <c r="DX54" s="486">
        <f ca="1">MIN(6,CV54+Races!$F$19)*1.8 +  IF(CV54+Races!$F$19&gt;6,(CV54+Races!$F$19-6)*0.2,0) - Races!$N$19</f>
        <v>1.3500000000000005</v>
      </c>
      <c r="DY54" s="487">
        <f ca="1">1.8 * MIN(MAX(CW54+Races!$E$20,CX54+Races!$F$20),6)  +  0.45 * MIN(MIN(CW54+Races!$E$20,CX54+Races!$F$20),6)  +  0.2 * ( MAX(CW54+Races!$E$20-6,0) + MAX(CX54+Races!$F$20-6,0) )  -  Races!$N$20</f>
        <v>1.6874999999999991</v>
      </c>
      <c r="DZ54" s="57">
        <f t="shared" ca="1" si="100"/>
        <v>0</v>
      </c>
      <c r="EA54" s="663">
        <f ca="1">MIN(6,CY54+Races!$F$35)*1.8 +  IF(CY54+Races!$F$35&gt;6,(CY54+Races!$F$35-6)*0.2,0) - Races!$N$19</f>
        <v>-0.45000000000000018</v>
      </c>
      <c r="EB54" s="57">
        <f t="shared" ca="1" si="101"/>
        <v>0</v>
      </c>
      <c r="EC54" s="663">
        <f ca="1">1.8 * MIN(MAX(Races!$E$27,DB54+Races!$F$27),6)  +  0.45 * MIN(MIN(Races!$E$27,DB54+Races!$F$27),6)  +  0.2 * ( MAX(Races!$E$27-6,0) + MAX(DB54+Races!$F$27-6,0) )  -  Races!$N$20</f>
        <v>3.6000000000000005</v>
      </c>
      <c r="ED54" s="57">
        <f t="shared" ca="1" si="102"/>
        <v>0</v>
      </c>
      <c r="EE54" s="663">
        <f>1.8 * MIN(MAX(DC54+Races!$E$47,DD54+Races!$F$47),6)  +  0.45 * MIN(MIN(DC54+Races!$E$47,DD54+Races!$F$47),6)  +  0.2 * ( MAX(DC54+Races!$E$47-6,0) + MAX(DD54+Races!$F$47-6,0) )  -  Races!$N$47</f>
        <v>0</v>
      </c>
      <c r="EF54" s="57">
        <f t="shared" si="103"/>
        <v>0</v>
      </c>
      <c r="EG54" s="663">
        <f ca="1">1.8 * MIN(MAX(DG54+Races!$F$71,Races!$E$71),6)  +  0.45 * MIN(MIN(DG54+Races!$F$71,Races!$E$71),6)  +  0.2 * ( MAX(DG54+Races!$F$71-6,0) + MAX(Races!$E$71-6,0) )  -  Races!$N$71</f>
        <v>1.3499999999999996</v>
      </c>
      <c r="EH54" s="663">
        <f>1.8 * MIN(MAX(DH54+Races!$E$71,Races!$F$71),6)  +  0.45 * MIN(MIN(DH54+Races!$E$71,Races!$F$71),6)  +  0.2 * ( MAX(DH54+Races!$E$71-6,0) + MAX(Races!$F$71-6,0) )  -  Races!$N$71</f>
        <v>0</v>
      </c>
      <c r="EI54" s="57">
        <f t="shared" ca="1" si="104"/>
        <v>0</v>
      </c>
      <c r="EJ54" s="57"/>
      <c r="EK54" s="57"/>
      <c r="EL54" s="57"/>
      <c r="EM54" s="57">
        <f ca="1">Overview!$L$22*E54+Overview!$L$23*F54+Overview!$L$24*G54+Overview!$L$25*H54+Overview!$L$26*I54+Overview!$L$27*J54+Overview!$L$28*K54+Construction!E54*20+Construction!B54*5 + DZ54*$DV$4+EB54*$DV$5+ED54*$DV$6+EF54*$DV$7+EI54*$DV$9</f>
        <v>20900</v>
      </c>
      <c r="EO54" s="734">
        <f>(J54+2*K54)/Construction!E54</f>
        <v>0</v>
      </c>
      <c r="EP54" s="730">
        <f ca="1">EO54*(1+race_wizard_strength+tech_magical_weaponry_wiz*Techs!AV126)</f>
        <v>0</v>
      </c>
      <c r="EQ54" s="16">
        <f>(I54+halfer*H54/3)/Construction!E54</f>
        <v>0</v>
      </c>
    </row>
    <row r="55" spans="1:147" s="16" customFormat="1" x14ac:dyDescent="0.25">
      <c r="A55" s="627">
        <f>Rezone!J55</f>
        <v>53</v>
      </c>
      <c r="B55" s="56">
        <f ca="1">SUM(E55:K55)+SUM(AF47:AG55)+SUM(AH44:AL55)+Z55+Explore!AL55</f>
        <v>5295</v>
      </c>
      <c r="C55" s="97">
        <f ca="1">Population!G55</f>
        <v>0.74159663865546221</v>
      </c>
      <c r="E55" s="52">
        <f t="shared" si="105"/>
        <v>0</v>
      </c>
      <c r="F55" s="16">
        <f t="shared" si="106"/>
        <v>0</v>
      </c>
      <c r="G55" s="16">
        <f t="shared" si="107"/>
        <v>0</v>
      </c>
      <c r="H55" s="16">
        <f t="shared" si="108"/>
        <v>0</v>
      </c>
      <c r="I55" s="16">
        <f t="shared" si="109"/>
        <v>0</v>
      </c>
      <c r="J55" s="16">
        <f t="shared" si="110"/>
        <v>0</v>
      </c>
      <c r="K55" s="53">
        <f t="shared" si="111"/>
        <v>0</v>
      </c>
      <c r="M55" s="64">
        <f ca="1">Production!G55</f>
        <v>20900</v>
      </c>
      <c r="O55" s="142">
        <f t="shared" ca="1" si="77"/>
        <v>0</v>
      </c>
      <c r="P55" s="454">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8"/>
        <v>5295</v>
      </c>
      <c r="T55" s="1047">
        <f ca="1">race_defense+Imps!AC55+ROUND(MIN(gt_bonus*Construction!BH55/Construction!$E55,gt_bonus_cap),4)+MAX(IF(Magic!AM55&gt;0,frenzy_bonus,IF(Magic!AQ55&gt;0,blizzard_bonus,IF(Magic!AP55&gt;0,howling_dp_bonus,IF(Magic!AI55&gt;0,ares_call_bonus)))),IF(Magic!AX55&gt;0,MIN(Construction!DF55/Construction!E55,0.2),0))</f>
        <v>0</v>
      </c>
      <c r="U55" s="1041">
        <f t="shared" ca="1" si="47"/>
        <v>0</v>
      </c>
      <c r="V55" s="310">
        <f t="shared" ca="1" si="48"/>
        <v>5295</v>
      </c>
      <c r="W55" s="310">
        <f>Construction!E55</f>
        <v>1000</v>
      </c>
      <c r="X55" s="367"/>
      <c r="Y55" s="146">
        <f t="shared" si="76"/>
        <v>0.4</v>
      </c>
      <c r="Z55" s="166">
        <f ca="1">Z54+Population!Z54 - IF(race="Lux",AF55,SUM(AF55:AK55)) - BE55 + SUM(BF55:BL55) - Explore!AI55</f>
        <v>5295</v>
      </c>
      <c r="AA55" s="164"/>
      <c r="AB55" s="91">
        <f>(Construction!$BA55+Construction!BY55)/(Construction!$E55-Explore!S55*20)</f>
        <v>0</v>
      </c>
      <c r="AC55" s="1516">
        <f ca="1">Imps!AE55</f>
        <v>0</v>
      </c>
      <c r="AD55" s="795">
        <f>Rezone!J55</f>
        <v>53</v>
      </c>
      <c r="AE55" s="587">
        <f>Explore!AA55</f>
        <v>43768.541666666541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9"/>
        <v>0</v>
      </c>
      <c r="AV55" s="164">
        <f t="shared" ca="1" si="80"/>
        <v>0</v>
      </c>
      <c r="AW55" s="164">
        <f t="shared" ca="1" si="50"/>
        <v>0</v>
      </c>
      <c r="AX55" s="164">
        <f t="shared" ca="1" si="51"/>
        <v>0</v>
      </c>
      <c r="AY55" s="164">
        <f t="shared" ca="1" si="52"/>
        <v>0</v>
      </c>
      <c r="AZ55" s="164">
        <f t="shared" ca="1" si="53"/>
        <v>0</v>
      </c>
      <c r="BA55" s="166">
        <f t="shared" ca="1" si="54"/>
        <v>0</v>
      </c>
      <c r="BB55" s="16">
        <v>53</v>
      </c>
      <c r="BC55" s="572">
        <f t="shared" si="73"/>
        <v>43768.541666666541</v>
      </c>
      <c r="BD55" s="148">
        <f t="shared" ca="1" si="74"/>
        <v>5295</v>
      </c>
      <c r="BE55" s="356"/>
      <c r="BF55" s="348"/>
      <c r="BG55" s="348"/>
      <c r="BH55" s="348"/>
      <c r="BI55" s="348"/>
      <c r="BJ55" s="348"/>
      <c r="BK55" s="348"/>
      <c r="BL55" s="357"/>
      <c r="BN55" s="501">
        <f>Construction!BM55/Construction!E55</f>
        <v>0</v>
      </c>
      <c r="BO55" s="171">
        <f>Construction!BD55/Construction!E55</f>
        <v>0</v>
      </c>
      <c r="BP55" s="152">
        <f ca="1">ROUNDUP((1-MIN(AB55*smithy_bonus,smithy_bonus_cap)-AC55)*(1+Techs!AO55*tech_master_of_frugality)*spec_op_plat,0)</f>
        <v>275</v>
      </c>
      <c r="BQ55" s="164">
        <f ca="1">ROUNDUP(IF(OR(race="Gnome",race="Imperial Gnome"),1-AC55,(1-MIN(AB55*smithy_bonus,smithy_bonus_cap)-AC55)*(1+Techs!AO55*tech_master_of_frugality))*spec_op_ore,0)</f>
        <v>25</v>
      </c>
      <c r="BR55" s="164">
        <f t="shared" si="6"/>
        <v>0</v>
      </c>
      <c r="BS55" s="164">
        <f t="shared" si="7"/>
        <v>0</v>
      </c>
      <c r="BT55" s="164">
        <f ca="1">ROUNDUP((1-MIN(AB55*smithy_bonus,smithy_bonus_cap)-AC55)*(1+Techs!AO55*tech_master_of_frugality)*spec_dp_plat,0)</f>
        <v>275</v>
      </c>
      <c r="BU55" s="164">
        <f ca="1">ROUNDUP(IF(OR(race="Gnome",race="Imperial Gnome"),1-AC55,(1-MIN(AB55*smithy_bonus,smithy_bonus_cap)-AC55)*(1+Techs!AO55*tech_master_of_frugality))*spec_dp_ore,0)</f>
        <v>10</v>
      </c>
      <c r="BV55" s="164">
        <f t="shared" ca="1" si="8"/>
        <v>0</v>
      </c>
      <c r="BW55" s="164">
        <f t="shared" ca="1" si="9"/>
        <v>0</v>
      </c>
      <c r="BX55" s="164">
        <f t="shared" ca="1" si="10"/>
        <v>0</v>
      </c>
      <c r="BY55" s="164">
        <f ca="1">ROUNDUP((1-MIN(AB55*smithy_bonus,smithy_bonus_cap)-AC55)*(1+Techs!AO55*tech_master_of_frugality)*elite1_plat,0)</f>
        <v>1000</v>
      </c>
      <c r="BZ55" s="164">
        <f ca="1">ROUNDUP(IF(OR(race="Gnome",race="Imperial Gnome"),1-AC55,(1-MIN(AB55*smithy_bonus,smithy_bonus_cap)-AC55)*(1+Techs!AO55*tech_master_of_frugality))*elite1_ore,0)</f>
        <v>75</v>
      </c>
      <c r="CA55" s="164">
        <f t="shared" ca="1" si="55"/>
        <v>0</v>
      </c>
      <c r="CB55" s="164">
        <f t="shared" ca="1" si="12"/>
        <v>0</v>
      </c>
      <c r="CC55" s="164">
        <f t="shared" ca="1" si="13"/>
        <v>0</v>
      </c>
      <c r="CD55" s="164">
        <f t="shared" ca="1" si="14"/>
        <v>0</v>
      </c>
      <c r="CE55" s="164">
        <f t="shared" ca="1" si="15"/>
        <v>0</v>
      </c>
      <c r="CF55" s="164">
        <f ca="1">ROUNDUP((1-MIN(AB55*smithy_bonus,smithy_bonus_cap)-AC55)*(1+Techs!AO55*tech_master_of_frugality)*elite2_plat,0)</f>
        <v>1250</v>
      </c>
      <c r="CG55" s="164">
        <f ca="1">ROUNDUP(IF(OR(race="Gnome",race="Imperial Gnome"),1-AC55,(1-MIN(AB55*smithy_bonus,smithy_bonus_cap)-AC55)*(1+Techs!AO55*tech_master_of_frugality))*elite2_ore,0)</f>
        <v>100</v>
      </c>
      <c r="CH55" s="164">
        <f t="shared" ca="1" si="56"/>
        <v>0</v>
      </c>
      <c r="CI55" s="164">
        <f t="shared" ca="1" si="17"/>
        <v>0</v>
      </c>
      <c r="CJ55" s="164">
        <f t="shared" ca="1" si="18"/>
        <v>0</v>
      </c>
      <c r="CK55" s="164">
        <f t="shared" ca="1" si="19"/>
        <v>0</v>
      </c>
      <c r="CL55" s="164">
        <f t="shared" ca="1" si="20"/>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4">
        <f ca="1">Construction!DF55/Construction!E55</f>
        <v>0.15</v>
      </c>
      <c r="CR55" s="465">
        <f t="shared" si="75"/>
        <v>0</v>
      </c>
      <c r="CS55" s="465">
        <f>Construction!BK55/Construction!E55</f>
        <v>0.05</v>
      </c>
      <c r="CT55" s="465">
        <f>Construction!BJ55/Construction!E55</f>
        <v>0</v>
      </c>
      <c r="CU55" s="465">
        <f>Construction!AY55/Construction!E55</f>
        <v>0</v>
      </c>
      <c r="CV55" s="486">
        <f t="shared" ca="1" si="81"/>
        <v>0.74999999999999989</v>
      </c>
      <c r="CW55" s="487">
        <f t="shared" ca="1" si="82"/>
        <v>0.74999999999999989</v>
      </c>
      <c r="CX55" s="487">
        <f t="shared" ca="1" si="83"/>
        <v>0.74999999999999989</v>
      </c>
      <c r="CY55" s="488">
        <f t="shared" ca="1" si="84"/>
        <v>0.74999999999999989</v>
      </c>
      <c r="CZ55" s="488">
        <f t="shared" si="85"/>
        <v>0</v>
      </c>
      <c r="DA55" s="488">
        <f t="shared" ca="1" si="86"/>
        <v>2.9999999999999996</v>
      </c>
      <c r="DB55" s="488">
        <f t="shared" ca="1" si="87"/>
        <v>0.74999999999999989</v>
      </c>
      <c r="DC55" s="487">
        <f t="shared" si="88"/>
        <v>0</v>
      </c>
      <c r="DD55" s="843">
        <f t="shared" si="89"/>
        <v>0</v>
      </c>
      <c r="DE55" s="441">
        <f t="shared" si="58"/>
        <v>0</v>
      </c>
      <c r="DF55" s="441">
        <f t="shared" si="59"/>
        <v>0</v>
      </c>
      <c r="DG55" s="486">
        <f t="shared" ca="1" si="90"/>
        <v>0.74999999999999989</v>
      </c>
      <c r="DH55" s="451">
        <f t="shared" si="91"/>
        <v>0</v>
      </c>
      <c r="DI55" s="451">
        <f>MIN(valkyrja_cap,Production!O55/valkyrja_bonus)</f>
        <v>1</v>
      </c>
      <c r="DJ55" s="843">
        <f>MIN(voodoo_magi_cap,Production!O55/voodoo_magi_bonus)</f>
        <v>0.83333333333333337</v>
      </c>
      <c r="DK55" s="843">
        <f>MIN(warlock_cap,Production!O55/warlock_bonus)</f>
        <v>1</v>
      </c>
      <c r="DL55" s="843">
        <f ca="1">MIN(nox_nightshade_cap,Construction!DF55/Construction!E55/nox_nightshade_swamp_bonus)</f>
        <v>1.4999999999999998</v>
      </c>
      <c r="DM55" s="487">
        <f t="shared" si="92"/>
        <v>0</v>
      </c>
      <c r="DN55" s="488">
        <f t="shared" ca="1" si="93"/>
        <v>1.4999999999999998</v>
      </c>
      <c r="DO55" s="488">
        <f t="shared" ca="1" si="94"/>
        <v>1.4999999999999998</v>
      </c>
      <c r="DP55" s="488">
        <f t="shared" si="95"/>
        <v>1</v>
      </c>
      <c r="DQ55" s="487">
        <f t="shared" si="96"/>
        <v>0</v>
      </c>
      <c r="DR55" s="488">
        <f t="shared" si="97"/>
        <v>0</v>
      </c>
      <c r="DS55" s="487">
        <f t="shared" si="98"/>
        <v>0</v>
      </c>
      <c r="DT55" s="488">
        <f t="shared" si="99"/>
        <v>0</v>
      </c>
      <c r="DX55" s="486">
        <f ca="1">MIN(6,CV55+Races!$F$19)*1.8 +  IF(CV55+Races!$F$19&gt;6,(CV55+Races!$F$19-6)*0.2,0) - Races!$N$19</f>
        <v>1.3500000000000005</v>
      </c>
      <c r="DY55" s="487">
        <f ca="1">1.8 * MIN(MAX(CW55+Races!$E$20,CX55+Races!$F$20),6)  +  0.45 * MIN(MIN(CW55+Races!$E$20,CX55+Races!$F$20),6)  +  0.2 * ( MAX(CW55+Races!$E$20-6,0) + MAX(CX55+Races!$F$20-6,0) )  -  Races!$N$20</f>
        <v>1.6874999999999991</v>
      </c>
      <c r="DZ55" s="57">
        <f t="shared" ca="1" si="100"/>
        <v>0</v>
      </c>
      <c r="EA55" s="663">
        <f ca="1">MIN(6,CY55+Races!$F$35)*1.8 +  IF(CY55+Races!$F$35&gt;6,(CY55+Races!$F$35-6)*0.2,0) - Races!$N$19</f>
        <v>-0.45000000000000018</v>
      </c>
      <c r="EB55" s="57">
        <f t="shared" ca="1" si="101"/>
        <v>0</v>
      </c>
      <c r="EC55" s="663">
        <f ca="1">1.8 * MIN(MAX(Races!$E$27,DB55+Races!$F$27),6)  +  0.45 * MIN(MIN(Races!$E$27,DB55+Races!$F$27),6)  +  0.2 * ( MAX(Races!$E$27-6,0) + MAX(DB55+Races!$F$27-6,0) )  -  Races!$N$20</f>
        <v>3.6000000000000005</v>
      </c>
      <c r="ED55" s="57">
        <f t="shared" ca="1" si="102"/>
        <v>0</v>
      </c>
      <c r="EE55" s="663">
        <f>1.8 * MIN(MAX(DC55+Races!$E$47,DD55+Races!$F$47),6)  +  0.45 * MIN(MIN(DC55+Races!$E$47,DD55+Races!$F$47),6)  +  0.2 * ( MAX(DC55+Races!$E$47-6,0) + MAX(DD55+Races!$F$47-6,0) )  -  Races!$N$47</f>
        <v>0</v>
      </c>
      <c r="EF55" s="57">
        <f t="shared" si="103"/>
        <v>0</v>
      </c>
      <c r="EG55" s="663">
        <f ca="1">1.8 * MIN(MAX(DG55+Races!$F$71,Races!$E$71),6)  +  0.45 * MIN(MIN(DG55+Races!$F$71,Races!$E$71),6)  +  0.2 * ( MAX(DG55+Races!$F$71-6,0) + MAX(Races!$E$71-6,0) )  -  Races!$N$71</f>
        <v>1.3499999999999996</v>
      </c>
      <c r="EH55" s="663">
        <f>1.8 * MIN(MAX(DH55+Races!$E$71,Races!$F$71),6)  +  0.45 * MIN(MIN(DH55+Races!$E$71,Races!$F$71),6)  +  0.2 * ( MAX(DH55+Races!$E$71-6,0) + MAX(Races!$F$71-6,0) )  -  Races!$N$71</f>
        <v>0</v>
      </c>
      <c r="EI55" s="57">
        <f t="shared" ca="1" si="104"/>
        <v>0</v>
      </c>
      <c r="EJ55" s="57"/>
      <c r="EK55" s="57"/>
      <c r="EL55" s="57"/>
      <c r="EM55" s="57">
        <f ca="1">Overview!$L$22*E55+Overview!$L$23*F55+Overview!$L$24*G55+Overview!$L$25*H55+Overview!$L$26*I55+Overview!$L$27*J55+Overview!$L$28*K55+Construction!E55*20+Construction!B55*5 + DZ55*$DV$4+EB55*$DV$5+ED55*$DV$6+EF55*$DV$7+EI55*$DV$9</f>
        <v>20900</v>
      </c>
      <c r="EO55" s="734">
        <f>(J55+2*K55)/Construction!E55</f>
        <v>0</v>
      </c>
      <c r="EP55" s="730">
        <f ca="1">EO55*(1+race_wizard_strength+tech_magical_weaponry_wiz*Techs!AV127)</f>
        <v>0</v>
      </c>
      <c r="EQ55" s="16">
        <f>(I55+halfer*H55/3)/Construction!E55</f>
        <v>0</v>
      </c>
    </row>
    <row r="56" spans="1:147" s="16" customFormat="1" x14ac:dyDescent="0.25">
      <c r="A56" s="627">
        <f>Rezone!J56</f>
        <v>54</v>
      </c>
      <c r="B56" s="56">
        <f ca="1">SUM(E56:K56)+SUM(AF48:AG56)+SUM(AH45:AL56)+Z56+Explore!AL56</f>
        <v>5295</v>
      </c>
      <c r="C56" s="97">
        <f ca="1">Population!G56</f>
        <v>0.74159663865546221</v>
      </c>
      <c r="E56" s="52">
        <f t="shared" si="105"/>
        <v>0</v>
      </c>
      <c r="F56" s="16">
        <f t="shared" si="106"/>
        <v>0</v>
      </c>
      <c r="G56" s="16">
        <f t="shared" si="107"/>
        <v>0</v>
      </c>
      <c r="H56" s="16">
        <f t="shared" si="108"/>
        <v>0</v>
      </c>
      <c r="I56" s="16">
        <f t="shared" si="109"/>
        <v>0</v>
      </c>
      <c r="J56" s="16">
        <f t="shared" si="110"/>
        <v>0</v>
      </c>
      <c r="K56" s="53">
        <f t="shared" si="111"/>
        <v>0</v>
      </c>
      <c r="M56" s="64">
        <f ca="1">Production!G56</f>
        <v>20900</v>
      </c>
      <c r="O56" s="142">
        <f t="shared" ca="1" si="77"/>
        <v>0</v>
      </c>
      <c r="P56" s="454">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8"/>
        <v>5295</v>
      </c>
      <c r="T56" s="1047">
        <f ca="1">race_defense+Imps!AC56+ROUND(MIN(gt_bonus*Construction!BH56/Construction!$E56,gt_bonus_cap),4)+MAX(IF(Magic!AM56&gt;0,frenzy_bonus,IF(Magic!AQ56&gt;0,blizzard_bonus,IF(Magic!AP56&gt;0,howling_dp_bonus,IF(Magic!AI56&gt;0,ares_call_bonus)))),IF(Magic!AX56&gt;0,MIN(Construction!DF56/Construction!E56,0.2),0))</f>
        <v>0</v>
      </c>
      <c r="U56" s="1041">
        <f t="shared" ca="1" si="47"/>
        <v>0</v>
      </c>
      <c r="V56" s="310">
        <f t="shared" ca="1" si="48"/>
        <v>5295</v>
      </c>
      <c r="W56" s="310">
        <f>Construction!E56</f>
        <v>1000</v>
      </c>
      <c r="X56" s="367"/>
      <c r="Y56" s="146">
        <f t="shared" si="76"/>
        <v>0.4</v>
      </c>
      <c r="Z56" s="166">
        <f ca="1">Z55+Population!Z55 - IF(race="Lux",AF56,SUM(AF56:AK56)) - BE56 + SUM(BF56:BL56) - Explore!AI56</f>
        <v>5295</v>
      </c>
      <c r="AA56" s="164"/>
      <c r="AB56" s="91">
        <f>(Construction!$BA56+Construction!BY56)/(Construction!$E56-Explore!S56*20)</f>
        <v>0</v>
      </c>
      <c r="AC56" s="1516">
        <f ca="1">Imps!AE56</f>
        <v>0</v>
      </c>
      <c r="AD56" s="795">
        <f>Rezone!J56</f>
        <v>54</v>
      </c>
      <c r="AE56" s="587">
        <f>Explore!AA56</f>
        <v>43768.552083333205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9"/>
        <v>0</v>
      </c>
      <c r="AV56" s="164">
        <f t="shared" ca="1" si="80"/>
        <v>0</v>
      </c>
      <c r="AW56" s="164">
        <f t="shared" ca="1" si="50"/>
        <v>0</v>
      </c>
      <c r="AX56" s="164">
        <f t="shared" ca="1" si="51"/>
        <v>0</v>
      </c>
      <c r="AY56" s="164">
        <f t="shared" ca="1" si="52"/>
        <v>0</v>
      </c>
      <c r="AZ56" s="164">
        <f t="shared" ca="1" si="53"/>
        <v>0</v>
      </c>
      <c r="BA56" s="166">
        <f t="shared" ca="1" si="54"/>
        <v>0</v>
      </c>
      <c r="BB56" s="16">
        <v>54</v>
      </c>
      <c r="BC56" s="572">
        <f t="shared" si="73"/>
        <v>43768.552083333205</v>
      </c>
      <c r="BD56" s="148">
        <f t="shared" ca="1" si="74"/>
        <v>5295</v>
      </c>
      <c r="BE56" s="356"/>
      <c r="BF56" s="348"/>
      <c r="BG56" s="348"/>
      <c r="BH56" s="348"/>
      <c r="BI56" s="348"/>
      <c r="BJ56" s="348"/>
      <c r="BK56" s="348"/>
      <c r="BL56" s="357"/>
      <c r="BN56" s="501">
        <f>Construction!BM56/Construction!E56</f>
        <v>0</v>
      </c>
      <c r="BO56" s="171">
        <f>Construction!BD56/Construction!E56</f>
        <v>0</v>
      </c>
      <c r="BP56" s="152">
        <f ca="1">ROUNDUP((1-MIN(AB56*smithy_bonus,smithy_bonus_cap)-AC56)*(1+Techs!AO56*tech_master_of_frugality)*spec_op_plat,0)</f>
        <v>275</v>
      </c>
      <c r="BQ56" s="164">
        <f ca="1">ROUNDUP(IF(OR(race="Gnome",race="Imperial Gnome"),1-AC56,(1-MIN(AB56*smithy_bonus,smithy_bonus_cap)-AC56)*(1+Techs!AO56*tech_master_of_frugality))*spec_op_ore,0)</f>
        <v>25</v>
      </c>
      <c r="BR56" s="164">
        <f t="shared" si="6"/>
        <v>0</v>
      </c>
      <c r="BS56" s="164">
        <f t="shared" si="7"/>
        <v>0</v>
      </c>
      <c r="BT56" s="164">
        <f ca="1">ROUNDUP((1-MIN(AB56*smithy_bonus,smithy_bonus_cap)-AC56)*(1+Techs!AO56*tech_master_of_frugality)*spec_dp_plat,0)</f>
        <v>275</v>
      </c>
      <c r="BU56" s="164">
        <f ca="1">ROUNDUP(IF(OR(race="Gnome",race="Imperial Gnome"),1-AC56,(1-MIN(AB56*smithy_bonus,smithy_bonus_cap)-AC56)*(1+Techs!AO56*tech_master_of_frugality))*spec_dp_ore,0)</f>
        <v>10</v>
      </c>
      <c r="BV56" s="164">
        <f t="shared" ca="1" si="8"/>
        <v>0</v>
      </c>
      <c r="BW56" s="164">
        <f t="shared" ca="1" si="9"/>
        <v>0</v>
      </c>
      <c r="BX56" s="164">
        <f t="shared" ca="1" si="10"/>
        <v>0</v>
      </c>
      <c r="BY56" s="164">
        <f ca="1">ROUNDUP((1-MIN(AB56*smithy_bonus,smithy_bonus_cap)-AC56)*(1+Techs!AO56*tech_master_of_frugality)*elite1_plat,0)</f>
        <v>1000</v>
      </c>
      <c r="BZ56" s="164">
        <f ca="1">ROUNDUP(IF(OR(race="Gnome",race="Imperial Gnome"),1-AC56,(1-MIN(AB56*smithy_bonus,smithy_bonus_cap)-AC56)*(1+Techs!AO56*tech_master_of_frugality))*elite1_ore,0)</f>
        <v>75</v>
      </c>
      <c r="CA56" s="164">
        <f t="shared" ca="1" si="55"/>
        <v>0</v>
      </c>
      <c r="CB56" s="164">
        <f t="shared" ca="1" si="12"/>
        <v>0</v>
      </c>
      <c r="CC56" s="164">
        <f t="shared" ca="1" si="13"/>
        <v>0</v>
      </c>
      <c r="CD56" s="164">
        <f t="shared" ca="1" si="14"/>
        <v>0</v>
      </c>
      <c r="CE56" s="164">
        <f t="shared" ca="1" si="15"/>
        <v>0</v>
      </c>
      <c r="CF56" s="164">
        <f ca="1">ROUNDUP((1-MIN(AB56*smithy_bonus,smithy_bonus_cap)-AC56)*(1+Techs!AO56*tech_master_of_frugality)*elite2_plat,0)</f>
        <v>1250</v>
      </c>
      <c r="CG56" s="164">
        <f ca="1">ROUNDUP(IF(OR(race="Gnome",race="Imperial Gnome"),1-AC56,(1-MIN(AB56*smithy_bonus,smithy_bonus_cap)-AC56)*(1+Techs!AO56*tech_master_of_frugality))*elite2_ore,0)</f>
        <v>100</v>
      </c>
      <c r="CH56" s="164">
        <f t="shared" ca="1" si="56"/>
        <v>0</v>
      </c>
      <c r="CI56" s="164">
        <f t="shared" ca="1" si="17"/>
        <v>0</v>
      </c>
      <c r="CJ56" s="164">
        <f t="shared" ca="1" si="18"/>
        <v>0</v>
      </c>
      <c r="CK56" s="164">
        <f t="shared" ca="1" si="19"/>
        <v>0</v>
      </c>
      <c r="CL56" s="164">
        <f t="shared" ca="1" si="20"/>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4">
        <f ca="1">Construction!DF56/Construction!E56</f>
        <v>0.15</v>
      </c>
      <c r="CR56" s="465">
        <f t="shared" si="75"/>
        <v>0</v>
      </c>
      <c r="CS56" s="465">
        <f>Construction!BK56/Construction!E56</f>
        <v>0.05</v>
      </c>
      <c r="CT56" s="465">
        <f>Construction!BJ56/Construction!E56</f>
        <v>0</v>
      </c>
      <c r="CU56" s="465">
        <f>Construction!AY56/Construction!E56</f>
        <v>0</v>
      </c>
      <c r="CV56" s="486">
        <f t="shared" ca="1" si="81"/>
        <v>0.74999999999999989</v>
      </c>
      <c r="CW56" s="487">
        <f t="shared" ca="1" si="82"/>
        <v>0.74999999999999989</v>
      </c>
      <c r="CX56" s="487">
        <f t="shared" ca="1" si="83"/>
        <v>0.74999999999999989</v>
      </c>
      <c r="CY56" s="488">
        <f t="shared" ca="1" si="84"/>
        <v>0.74999999999999989</v>
      </c>
      <c r="CZ56" s="488">
        <f t="shared" si="85"/>
        <v>0</v>
      </c>
      <c r="DA56" s="488">
        <f t="shared" ca="1" si="86"/>
        <v>2.9999999999999996</v>
      </c>
      <c r="DB56" s="488">
        <f t="shared" ca="1" si="87"/>
        <v>0.74999999999999989</v>
      </c>
      <c r="DC56" s="487">
        <f t="shared" si="88"/>
        <v>0</v>
      </c>
      <c r="DD56" s="843">
        <f t="shared" si="89"/>
        <v>0</v>
      </c>
      <c r="DE56" s="441">
        <f t="shared" si="58"/>
        <v>0</v>
      </c>
      <c r="DF56" s="441">
        <f t="shared" si="59"/>
        <v>0</v>
      </c>
      <c r="DG56" s="486">
        <f t="shared" ca="1" si="90"/>
        <v>0.74999999999999989</v>
      </c>
      <c r="DH56" s="451">
        <f t="shared" si="91"/>
        <v>0</v>
      </c>
      <c r="DI56" s="451">
        <f>MIN(valkyrja_cap,Production!O56/valkyrja_bonus)</f>
        <v>1</v>
      </c>
      <c r="DJ56" s="843">
        <f>MIN(voodoo_magi_cap,Production!O56/voodoo_magi_bonus)</f>
        <v>0.83333333333333337</v>
      </c>
      <c r="DK56" s="843">
        <f>MIN(warlock_cap,Production!O56/warlock_bonus)</f>
        <v>1</v>
      </c>
      <c r="DL56" s="843">
        <f ca="1">MIN(nox_nightshade_cap,Construction!DF56/Construction!E56/nox_nightshade_swamp_bonus)</f>
        <v>1.4999999999999998</v>
      </c>
      <c r="DM56" s="487">
        <f t="shared" si="92"/>
        <v>0</v>
      </c>
      <c r="DN56" s="488">
        <f t="shared" ca="1" si="93"/>
        <v>1.4999999999999998</v>
      </c>
      <c r="DO56" s="488">
        <f t="shared" ca="1" si="94"/>
        <v>1.4999999999999998</v>
      </c>
      <c r="DP56" s="488">
        <f t="shared" si="95"/>
        <v>1</v>
      </c>
      <c r="DQ56" s="487">
        <f t="shared" si="96"/>
        <v>0</v>
      </c>
      <c r="DR56" s="488">
        <f t="shared" si="97"/>
        <v>0</v>
      </c>
      <c r="DS56" s="487">
        <f t="shared" si="98"/>
        <v>0</v>
      </c>
      <c r="DT56" s="488">
        <f t="shared" si="99"/>
        <v>0</v>
      </c>
      <c r="DX56" s="486">
        <f ca="1">MIN(6,CV56+Races!$F$19)*1.8 +  IF(CV56+Races!$F$19&gt;6,(CV56+Races!$F$19-6)*0.2,0) - Races!$N$19</f>
        <v>1.3500000000000005</v>
      </c>
      <c r="DY56" s="487">
        <f ca="1">1.8 * MIN(MAX(CW56+Races!$E$20,CX56+Races!$F$20),6)  +  0.45 * MIN(MIN(CW56+Races!$E$20,CX56+Races!$F$20),6)  +  0.2 * ( MAX(CW56+Races!$E$20-6,0) + MAX(CX56+Races!$F$20-6,0) )  -  Races!$N$20</f>
        <v>1.6874999999999991</v>
      </c>
      <c r="DZ56" s="57">
        <f t="shared" ca="1" si="100"/>
        <v>0</v>
      </c>
      <c r="EA56" s="663">
        <f ca="1">MIN(6,CY56+Races!$F$35)*1.8 +  IF(CY56+Races!$F$35&gt;6,(CY56+Races!$F$35-6)*0.2,0) - Races!$N$19</f>
        <v>-0.45000000000000018</v>
      </c>
      <c r="EB56" s="57">
        <f t="shared" ca="1" si="101"/>
        <v>0</v>
      </c>
      <c r="EC56" s="663">
        <f ca="1">1.8 * MIN(MAX(Races!$E$27,DB56+Races!$F$27),6)  +  0.45 * MIN(MIN(Races!$E$27,DB56+Races!$F$27),6)  +  0.2 * ( MAX(Races!$E$27-6,0) + MAX(DB56+Races!$F$27-6,0) )  -  Races!$N$20</f>
        <v>3.6000000000000005</v>
      </c>
      <c r="ED56" s="57">
        <f t="shared" ca="1" si="102"/>
        <v>0</v>
      </c>
      <c r="EE56" s="663">
        <f>1.8 * MIN(MAX(DC56+Races!$E$47,DD56+Races!$F$47),6)  +  0.45 * MIN(MIN(DC56+Races!$E$47,DD56+Races!$F$47),6)  +  0.2 * ( MAX(DC56+Races!$E$47-6,0) + MAX(DD56+Races!$F$47-6,0) )  -  Races!$N$47</f>
        <v>0</v>
      </c>
      <c r="EF56" s="57">
        <f t="shared" si="103"/>
        <v>0</v>
      </c>
      <c r="EG56" s="663">
        <f ca="1">1.8 * MIN(MAX(DG56+Races!$F$71,Races!$E$71),6)  +  0.45 * MIN(MIN(DG56+Races!$F$71,Races!$E$71),6)  +  0.2 * ( MAX(DG56+Races!$F$71-6,0) + MAX(Races!$E$71-6,0) )  -  Races!$N$71</f>
        <v>1.3499999999999996</v>
      </c>
      <c r="EH56" s="663">
        <f>1.8 * MIN(MAX(DH56+Races!$E$71,Races!$F$71),6)  +  0.45 * MIN(MIN(DH56+Races!$E$71,Races!$F$71),6)  +  0.2 * ( MAX(DH56+Races!$E$71-6,0) + MAX(Races!$F$71-6,0) )  -  Races!$N$71</f>
        <v>0</v>
      </c>
      <c r="EI56" s="57">
        <f t="shared" ca="1" si="104"/>
        <v>0</v>
      </c>
      <c r="EJ56" s="57"/>
      <c r="EK56" s="57"/>
      <c r="EL56" s="57"/>
      <c r="EM56" s="57">
        <f ca="1">Overview!$L$22*E56+Overview!$L$23*F56+Overview!$L$24*G56+Overview!$L$25*H56+Overview!$L$26*I56+Overview!$L$27*J56+Overview!$L$28*K56+Construction!E56*20+Construction!B56*5 + DZ56*$DV$4+EB56*$DV$5+ED56*$DV$6+EF56*$DV$7+EI56*$DV$9</f>
        <v>20900</v>
      </c>
      <c r="EO56" s="734">
        <f>(J56+2*K56)/Construction!E56</f>
        <v>0</v>
      </c>
      <c r="EP56" s="730">
        <f ca="1">EO56*(1+race_wizard_strength+tech_magical_weaponry_wiz*Techs!AV128)</f>
        <v>0</v>
      </c>
      <c r="EQ56" s="16">
        <f>(I56+halfer*H56/3)/Construction!E56</f>
        <v>0</v>
      </c>
    </row>
    <row r="57" spans="1:147" s="16" customFormat="1" x14ac:dyDescent="0.25">
      <c r="A57" s="627">
        <f>Rezone!J57</f>
        <v>55</v>
      </c>
      <c r="B57" s="56">
        <f ca="1">SUM(E57:K57)+SUM(AF49:AG57)+SUM(AH46:AL57)+Z57+Explore!AL57</f>
        <v>5295</v>
      </c>
      <c r="C57" s="97">
        <f ca="1">Population!G57</f>
        <v>0.74159663865546221</v>
      </c>
      <c r="E57" s="52">
        <f t="shared" si="105"/>
        <v>0</v>
      </c>
      <c r="F57" s="16">
        <f t="shared" si="106"/>
        <v>0</v>
      </c>
      <c r="G57" s="16">
        <f t="shared" si="107"/>
        <v>0</v>
      </c>
      <c r="H57" s="16">
        <f t="shared" si="108"/>
        <v>0</v>
      </c>
      <c r="I57" s="16">
        <f t="shared" si="109"/>
        <v>0</v>
      </c>
      <c r="J57" s="16">
        <f t="shared" si="110"/>
        <v>0</v>
      </c>
      <c r="K57" s="53">
        <f t="shared" si="111"/>
        <v>0</v>
      </c>
      <c r="M57" s="64">
        <f ca="1">Production!G57</f>
        <v>20900</v>
      </c>
      <c r="O57" s="142">
        <f t="shared" ca="1" si="77"/>
        <v>0</v>
      </c>
      <c r="P57" s="454">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8"/>
        <v>5295</v>
      </c>
      <c r="T57" s="1047">
        <f ca="1">race_defense+Imps!AC57+ROUND(MIN(gt_bonus*Construction!BH57/Construction!$E57,gt_bonus_cap),4)+MAX(IF(Magic!AM57&gt;0,frenzy_bonus,IF(Magic!AQ57&gt;0,blizzard_bonus,IF(Magic!AP57&gt;0,howling_dp_bonus,IF(Magic!AI57&gt;0,ares_call_bonus)))),IF(Magic!AX57&gt;0,MIN(Construction!DF57/Construction!E57,0.2),0))</f>
        <v>0</v>
      </c>
      <c r="U57" s="1041">
        <f t="shared" ca="1" si="47"/>
        <v>0</v>
      </c>
      <c r="V57" s="310">
        <f t="shared" ca="1" si="48"/>
        <v>5295</v>
      </c>
      <c r="W57" s="310">
        <f>Construction!E57</f>
        <v>1000</v>
      </c>
      <c r="X57" s="367"/>
      <c r="Y57" s="146">
        <f t="shared" si="76"/>
        <v>0.4</v>
      </c>
      <c r="Z57" s="166">
        <f ca="1">Z56+Population!Z56 - IF(race="Lux",AF57,SUM(AF57:AK57)) - BE57 + SUM(BF57:BL57) - Explore!AI57</f>
        <v>5295</v>
      </c>
      <c r="AA57" s="164"/>
      <c r="AB57" s="91">
        <f>(Construction!$BA57+Construction!BY57)/(Construction!$E57-Explore!S57*20)</f>
        <v>0</v>
      </c>
      <c r="AC57" s="1516">
        <f ca="1">Imps!AE57</f>
        <v>0</v>
      </c>
      <c r="AD57" s="795">
        <f>Rezone!J57</f>
        <v>55</v>
      </c>
      <c r="AE57" s="587">
        <f>Explore!AA57</f>
        <v>43768.562499999869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9"/>
        <v>0</v>
      </c>
      <c r="AV57" s="164">
        <f t="shared" ca="1" si="80"/>
        <v>0</v>
      </c>
      <c r="AW57" s="164">
        <f t="shared" ca="1" si="50"/>
        <v>0</v>
      </c>
      <c r="AX57" s="164">
        <f t="shared" ca="1" si="51"/>
        <v>0</v>
      </c>
      <c r="AY57" s="164">
        <f t="shared" ca="1" si="52"/>
        <v>0</v>
      </c>
      <c r="AZ57" s="164">
        <f t="shared" ca="1" si="53"/>
        <v>0</v>
      </c>
      <c r="BA57" s="166">
        <f t="shared" ca="1" si="54"/>
        <v>0</v>
      </c>
      <c r="BB57" s="16">
        <v>55</v>
      </c>
      <c r="BC57" s="572">
        <f t="shared" si="73"/>
        <v>43768.562499999869</v>
      </c>
      <c r="BD57" s="148">
        <f t="shared" ca="1" si="74"/>
        <v>5295</v>
      </c>
      <c r="BE57" s="356"/>
      <c r="BF57" s="348"/>
      <c r="BG57" s="348"/>
      <c r="BH57" s="348"/>
      <c r="BI57" s="348"/>
      <c r="BJ57" s="348"/>
      <c r="BK57" s="348"/>
      <c r="BL57" s="357"/>
      <c r="BN57" s="501">
        <f>Construction!BM57/Construction!E57</f>
        <v>0</v>
      </c>
      <c r="BO57" s="171">
        <f>Construction!BD57/Construction!E57</f>
        <v>0</v>
      </c>
      <c r="BP57" s="152">
        <f ca="1">ROUNDUP((1-MIN(AB57*smithy_bonus,smithy_bonus_cap)-AC57)*(1+Techs!AO57*tech_master_of_frugality)*spec_op_plat,0)</f>
        <v>275</v>
      </c>
      <c r="BQ57" s="164">
        <f ca="1">ROUNDUP(IF(OR(race="Gnome",race="Imperial Gnome"),1-AC57,(1-MIN(AB57*smithy_bonus,smithy_bonus_cap)-AC57)*(1+Techs!AO57*tech_master_of_frugality))*spec_op_ore,0)</f>
        <v>25</v>
      </c>
      <c r="BR57" s="164">
        <f t="shared" si="6"/>
        <v>0</v>
      </c>
      <c r="BS57" s="164">
        <f t="shared" si="7"/>
        <v>0</v>
      </c>
      <c r="BT57" s="164">
        <f ca="1">ROUNDUP((1-MIN(AB57*smithy_bonus,smithy_bonus_cap)-AC57)*(1+Techs!AO57*tech_master_of_frugality)*spec_dp_plat,0)</f>
        <v>275</v>
      </c>
      <c r="BU57" s="164">
        <f ca="1">ROUNDUP(IF(OR(race="Gnome",race="Imperial Gnome"),1-AC57,(1-MIN(AB57*smithy_bonus,smithy_bonus_cap)-AC57)*(1+Techs!AO57*tech_master_of_frugality))*spec_dp_ore,0)</f>
        <v>10</v>
      </c>
      <c r="BV57" s="164">
        <f t="shared" ca="1" si="8"/>
        <v>0</v>
      </c>
      <c r="BW57" s="164">
        <f t="shared" ca="1" si="9"/>
        <v>0</v>
      </c>
      <c r="BX57" s="164">
        <f t="shared" ca="1" si="10"/>
        <v>0</v>
      </c>
      <c r="BY57" s="164">
        <f ca="1">ROUNDUP((1-MIN(AB57*smithy_bonus,smithy_bonus_cap)-AC57)*(1+Techs!AO57*tech_master_of_frugality)*elite1_plat,0)</f>
        <v>1000</v>
      </c>
      <c r="BZ57" s="164">
        <f ca="1">ROUNDUP(IF(OR(race="Gnome",race="Imperial Gnome"),1-AC57,(1-MIN(AB57*smithy_bonus,smithy_bonus_cap)-AC57)*(1+Techs!AO57*tech_master_of_frugality))*elite1_ore,0)</f>
        <v>75</v>
      </c>
      <c r="CA57" s="164">
        <f t="shared" ca="1" si="55"/>
        <v>0</v>
      </c>
      <c r="CB57" s="164">
        <f t="shared" ca="1" si="12"/>
        <v>0</v>
      </c>
      <c r="CC57" s="164">
        <f t="shared" ca="1" si="13"/>
        <v>0</v>
      </c>
      <c r="CD57" s="164">
        <f t="shared" ca="1" si="14"/>
        <v>0</v>
      </c>
      <c r="CE57" s="164">
        <f t="shared" ca="1" si="15"/>
        <v>0</v>
      </c>
      <c r="CF57" s="164">
        <f ca="1">ROUNDUP((1-MIN(AB57*smithy_bonus,smithy_bonus_cap)-AC57)*(1+Techs!AO57*tech_master_of_frugality)*elite2_plat,0)</f>
        <v>1250</v>
      </c>
      <c r="CG57" s="164">
        <f ca="1">ROUNDUP(IF(OR(race="Gnome",race="Imperial Gnome"),1-AC57,(1-MIN(AB57*smithy_bonus,smithy_bonus_cap)-AC57)*(1+Techs!AO57*tech_master_of_frugality))*elite2_ore,0)</f>
        <v>100</v>
      </c>
      <c r="CH57" s="164">
        <f t="shared" ca="1" si="56"/>
        <v>0</v>
      </c>
      <c r="CI57" s="164">
        <f t="shared" ca="1" si="17"/>
        <v>0</v>
      </c>
      <c r="CJ57" s="164">
        <f t="shared" ca="1" si="18"/>
        <v>0</v>
      </c>
      <c r="CK57" s="164">
        <f t="shared" ca="1" si="19"/>
        <v>0</v>
      </c>
      <c r="CL57" s="164">
        <f t="shared" ca="1" si="20"/>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4">
        <f ca="1">Construction!DF57/Construction!E57</f>
        <v>0.15</v>
      </c>
      <c r="CR57" s="465">
        <f t="shared" si="75"/>
        <v>0</v>
      </c>
      <c r="CS57" s="465">
        <f>Construction!BK57/Construction!E57</f>
        <v>0.05</v>
      </c>
      <c r="CT57" s="465">
        <f>Construction!BJ57/Construction!E57</f>
        <v>0</v>
      </c>
      <c r="CU57" s="465">
        <f>Construction!AY57/Construction!E57</f>
        <v>0</v>
      </c>
      <c r="CV57" s="486">
        <f t="shared" ca="1" si="81"/>
        <v>0.74999999999999989</v>
      </c>
      <c r="CW57" s="487">
        <f t="shared" ca="1" si="82"/>
        <v>0.74999999999999989</v>
      </c>
      <c r="CX57" s="487">
        <f t="shared" ca="1" si="83"/>
        <v>0.74999999999999989</v>
      </c>
      <c r="CY57" s="488">
        <f t="shared" ca="1" si="84"/>
        <v>0.74999999999999989</v>
      </c>
      <c r="CZ57" s="488">
        <f t="shared" si="85"/>
        <v>0</v>
      </c>
      <c r="DA57" s="488">
        <f t="shared" ca="1" si="86"/>
        <v>2.9999999999999996</v>
      </c>
      <c r="DB57" s="488">
        <f t="shared" ca="1" si="87"/>
        <v>0.74999999999999989</v>
      </c>
      <c r="DC57" s="487">
        <f t="shared" si="88"/>
        <v>0</v>
      </c>
      <c r="DD57" s="843">
        <f t="shared" si="89"/>
        <v>0</v>
      </c>
      <c r="DE57" s="441">
        <f t="shared" si="58"/>
        <v>0</v>
      </c>
      <c r="DF57" s="441">
        <f t="shared" si="59"/>
        <v>0</v>
      </c>
      <c r="DG57" s="486">
        <f t="shared" ca="1" si="90"/>
        <v>0.74999999999999989</v>
      </c>
      <c r="DH57" s="451">
        <f t="shared" si="91"/>
        <v>0</v>
      </c>
      <c r="DI57" s="451">
        <f>MIN(valkyrja_cap,Production!O57/valkyrja_bonus)</f>
        <v>1</v>
      </c>
      <c r="DJ57" s="843">
        <f>MIN(voodoo_magi_cap,Production!O57/voodoo_magi_bonus)</f>
        <v>0.83333333333333337</v>
      </c>
      <c r="DK57" s="843">
        <f>MIN(warlock_cap,Production!O57/warlock_bonus)</f>
        <v>1</v>
      </c>
      <c r="DL57" s="843">
        <f ca="1">MIN(nox_nightshade_cap,Construction!DF57/Construction!E57/nox_nightshade_swamp_bonus)</f>
        <v>1.4999999999999998</v>
      </c>
      <c r="DM57" s="487">
        <f t="shared" si="92"/>
        <v>0</v>
      </c>
      <c r="DN57" s="488">
        <f t="shared" ca="1" si="93"/>
        <v>1.4999999999999998</v>
      </c>
      <c r="DO57" s="488">
        <f t="shared" ca="1" si="94"/>
        <v>1.4999999999999998</v>
      </c>
      <c r="DP57" s="488">
        <f t="shared" si="95"/>
        <v>1</v>
      </c>
      <c r="DQ57" s="487">
        <f t="shared" si="96"/>
        <v>0</v>
      </c>
      <c r="DR57" s="488">
        <f t="shared" si="97"/>
        <v>0</v>
      </c>
      <c r="DS57" s="487">
        <f t="shared" si="98"/>
        <v>0</v>
      </c>
      <c r="DT57" s="488">
        <f t="shared" si="99"/>
        <v>0</v>
      </c>
      <c r="DX57" s="486">
        <f ca="1">MIN(6,CV57+Races!$F$19)*1.8 +  IF(CV57+Races!$F$19&gt;6,(CV57+Races!$F$19-6)*0.2,0) - Races!$N$19</f>
        <v>1.3500000000000005</v>
      </c>
      <c r="DY57" s="487">
        <f ca="1">1.8 * MIN(MAX(CW57+Races!$E$20,CX57+Races!$F$20),6)  +  0.45 * MIN(MIN(CW57+Races!$E$20,CX57+Races!$F$20),6)  +  0.2 * ( MAX(CW57+Races!$E$20-6,0) + MAX(CX57+Races!$F$20-6,0) )  -  Races!$N$20</f>
        <v>1.6874999999999991</v>
      </c>
      <c r="DZ57" s="57">
        <f t="shared" ca="1" si="100"/>
        <v>0</v>
      </c>
      <c r="EA57" s="663">
        <f ca="1">MIN(6,CY57+Races!$F$35)*1.8 +  IF(CY57+Races!$F$35&gt;6,(CY57+Races!$F$35-6)*0.2,0) - Races!$N$19</f>
        <v>-0.45000000000000018</v>
      </c>
      <c r="EB57" s="57">
        <f t="shared" ca="1" si="101"/>
        <v>0</v>
      </c>
      <c r="EC57" s="663">
        <f ca="1">1.8 * MIN(MAX(Races!$E$27,DB57+Races!$F$27),6)  +  0.45 * MIN(MIN(Races!$E$27,DB57+Races!$F$27),6)  +  0.2 * ( MAX(Races!$E$27-6,0) + MAX(DB57+Races!$F$27-6,0) )  -  Races!$N$20</f>
        <v>3.6000000000000005</v>
      </c>
      <c r="ED57" s="57">
        <f t="shared" ca="1" si="102"/>
        <v>0</v>
      </c>
      <c r="EE57" s="663">
        <f>1.8 * MIN(MAX(DC57+Races!$E$47,DD57+Races!$F$47),6)  +  0.45 * MIN(MIN(DC57+Races!$E$47,DD57+Races!$F$47),6)  +  0.2 * ( MAX(DC57+Races!$E$47-6,0) + MAX(DD57+Races!$F$47-6,0) )  -  Races!$N$47</f>
        <v>0</v>
      </c>
      <c r="EF57" s="57">
        <f t="shared" si="103"/>
        <v>0</v>
      </c>
      <c r="EG57" s="663">
        <f ca="1">1.8 * MIN(MAX(DG57+Races!$F$71,Races!$E$71),6)  +  0.45 * MIN(MIN(DG57+Races!$F$71,Races!$E$71),6)  +  0.2 * ( MAX(DG57+Races!$F$71-6,0) + MAX(Races!$E$71-6,0) )  -  Races!$N$71</f>
        <v>1.3499999999999996</v>
      </c>
      <c r="EH57" s="663">
        <f>1.8 * MIN(MAX(DH57+Races!$E$71,Races!$F$71),6)  +  0.45 * MIN(MIN(DH57+Races!$E$71,Races!$F$71),6)  +  0.2 * ( MAX(DH57+Races!$E$71-6,0) + MAX(Races!$F$71-6,0) )  -  Races!$N$71</f>
        <v>0</v>
      </c>
      <c r="EI57" s="57">
        <f t="shared" ca="1" si="104"/>
        <v>0</v>
      </c>
      <c r="EJ57" s="57"/>
      <c r="EK57" s="57"/>
      <c r="EL57" s="57"/>
      <c r="EM57" s="57">
        <f ca="1">Overview!$L$22*E57+Overview!$L$23*F57+Overview!$L$24*G57+Overview!$L$25*H57+Overview!$L$26*I57+Overview!$L$27*J57+Overview!$L$28*K57+Construction!E57*20+Construction!B57*5 + DZ57*$DV$4+EB57*$DV$5+ED57*$DV$6+EF57*$DV$7+EI57*$DV$9</f>
        <v>20900</v>
      </c>
      <c r="EO57" s="734">
        <f>(J57+2*K57)/Construction!E57</f>
        <v>0</v>
      </c>
      <c r="EP57" s="730">
        <f ca="1">EO57*(1+race_wizard_strength+tech_magical_weaponry_wiz*Techs!AV129)</f>
        <v>0</v>
      </c>
      <c r="EQ57" s="16">
        <f>(I57+halfer*H57/3)/Construction!E57</f>
        <v>0</v>
      </c>
    </row>
    <row r="58" spans="1:147" s="16" customFormat="1" x14ac:dyDescent="0.25">
      <c r="A58" s="627">
        <f>Rezone!J58</f>
        <v>56</v>
      </c>
      <c r="B58" s="56">
        <f ca="1">SUM(E58:K58)+SUM(AF50:AG58)+SUM(AH47:AL58)+Z58+Explore!AL58</f>
        <v>5295</v>
      </c>
      <c r="C58" s="97">
        <f ca="1">Population!G58</f>
        <v>0.74159663865546221</v>
      </c>
      <c r="E58" s="52">
        <f t="shared" si="105"/>
        <v>0</v>
      </c>
      <c r="F58" s="16">
        <f t="shared" si="106"/>
        <v>0</v>
      </c>
      <c r="G58" s="16">
        <f t="shared" si="107"/>
        <v>0</v>
      </c>
      <c r="H58" s="16">
        <f t="shared" si="108"/>
        <v>0</v>
      </c>
      <c r="I58" s="16">
        <f t="shared" si="109"/>
        <v>0</v>
      </c>
      <c r="J58" s="16">
        <f t="shared" si="110"/>
        <v>0</v>
      </c>
      <c r="K58" s="53">
        <f t="shared" si="111"/>
        <v>0</v>
      </c>
      <c r="M58" s="64">
        <f ca="1">Production!G58</f>
        <v>20900</v>
      </c>
      <c r="O58" s="142">
        <f t="shared" ca="1" si="77"/>
        <v>0</v>
      </c>
      <c r="P58" s="454">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8"/>
        <v>5295</v>
      </c>
      <c r="T58" s="1047">
        <f ca="1">race_defense+Imps!AC58+ROUND(MIN(gt_bonus*Construction!BH58/Construction!$E58,gt_bonus_cap),4)+MAX(IF(Magic!AM58&gt;0,frenzy_bonus,IF(Magic!AQ58&gt;0,blizzard_bonus,IF(Magic!AP58&gt;0,howling_dp_bonus,IF(Magic!AI58&gt;0,ares_call_bonus)))),IF(Magic!AX58&gt;0,MIN(Construction!DF58/Construction!E58,0.2),0))</f>
        <v>0</v>
      </c>
      <c r="U58" s="1041">
        <f t="shared" ca="1" si="47"/>
        <v>0</v>
      </c>
      <c r="V58" s="310">
        <f t="shared" ca="1" si="48"/>
        <v>5295</v>
      </c>
      <c r="W58" s="310">
        <f>Construction!E58</f>
        <v>1000</v>
      </c>
      <c r="X58" s="367"/>
      <c r="Y58" s="146">
        <f t="shared" si="76"/>
        <v>0.4</v>
      </c>
      <c r="Z58" s="166">
        <f ca="1">Z57+Population!Z57 - IF(race="Lux",AF58,SUM(AF58:AK58)) - BE58 + SUM(BF58:BL58) - Explore!AI58</f>
        <v>5295</v>
      </c>
      <c r="AA58" s="164"/>
      <c r="AB58" s="91">
        <f>(Construction!$BA58+Construction!BY58)/(Construction!$E58-Explore!S58*20)</f>
        <v>0</v>
      </c>
      <c r="AC58" s="1516">
        <f ca="1">Imps!AE58</f>
        <v>0</v>
      </c>
      <c r="AD58" s="795">
        <f>Rezone!J58</f>
        <v>56</v>
      </c>
      <c r="AE58" s="587">
        <f>Explore!AA58</f>
        <v>43768.572916666533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9"/>
        <v>0</v>
      </c>
      <c r="AV58" s="164">
        <f t="shared" ca="1" si="80"/>
        <v>0</v>
      </c>
      <c r="AW58" s="164">
        <f t="shared" ca="1" si="50"/>
        <v>0</v>
      </c>
      <c r="AX58" s="164">
        <f t="shared" ca="1" si="51"/>
        <v>0</v>
      </c>
      <c r="AY58" s="164">
        <f t="shared" ca="1" si="52"/>
        <v>0</v>
      </c>
      <c r="AZ58" s="164">
        <f t="shared" ca="1" si="53"/>
        <v>0</v>
      </c>
      <c r="BA58" s="166">
        <f t="shared" ca="1" si="54"/>
        <v>0</v>
      </c>
      <c r="BB58" s="16">
        <v>56</v>
      </c>
      <c r="BC58" s="572">
        <f t="shared" si="73"/>
        <v>43768.572916666533</v>
      </c>
      <c r="BD58" s="148">
        <f t="shared" ca="1" si="74"/>
        <v>5295</v>
      </c>
      <c r="BE58" s="356"/>
      <c r="BF58" s="348"/>
      <c r="BG58" s="348"/>
      <c r="BH58" s="348"/>
      <c r="BI58" s="348"/>
      <c r="BJ58" s="348"/>
      <c r="BK58" s="348"/>
      <c r="BL58" s="357"/>
      <c r="BN58" s="501">
        <f>Construction!BM58/Construction!E58</f>
        <v>0</v>
      </c>
      <c r="BO58" s="171">
        <f>Construction!BD58/Construction!E58</f>
        <v>0</v>
      </c>
      <c r="BP58" s="152">
        <f ca="1">ROUNDUP((1-MIN(AB58*smithy_bonus,smithy_bonus_cap)-AC58)*(1+Techs!AO58*tech_master_of_frugality)*spec_op_plat,0)</f>
        <v>275</v>
      </c>
      <c r="BQ58" s="164">
        <f ca="1">ROUNDUP(IF(OR(race="Gnome",race="Imperial Gnome"),1-AC58,(1-MIN(AB58*smithy_bonus,smithy_bonus_cap)-AC58)*(1+Techs!AO58*tech_master_of_frugality))*spec_op_ore,0)</f>
        <v>25</v>
      </c>
      <c r="BR58" s="164">
        <f t="shared" si="6"/>
        <v>0</v>
      </c>
      <c r="BS58" s="164">
        <f t="shared" si="7"/>
        <v>0</v>
      </c>
      <c r="BT58" s="164">
        <f ca="1">ROUNDUP((1-MIN(AB58*smithy_bonus,smithy_bonus_cap)-AC58)*(1+Techs!AO58*tech_master_of_frugality)*spec_dp_plat,0)</f>
        <v>275</v>
      </c>
      <c r="BU58" s="164">
        <f ca="1">ROUNDUP(IF(OR(race="Gnome",race="Imperial Gnome"),1-AC58,(1-MIN(AB58*smithy_bonus,smithy_bonus_cap)-AC58)*(1+Techs!AO58*tech_master_of_frugality))*spec_dp_ore,0)</f>
        <v>10</v>
      </c>
      <c r="BV58" s="164">
        <f t="shared" ca="1" si="8"/>
        <v>0</v>
      </c>
      <c r="BW58" s="164">
        <f t="shared" ca="1" si="9"/>
        <v>0</v>
      </c>
      <c r="BX58" s="164">
        <f t="shared" ca="1" si="10"/>
        <v>0</v>
      </c>
      <c r="BY58" s="164">
        <f ca="1">ROUNDUP((1-MIN(AB58*smithy_bonus,smithy_bonus_cap)-AC58)*(1+Techs!AO58*tech_master_of_frugality)*elite1_plat,0)</f>
        <v>1000</v>
      </c>
      <c r="BZ58" s="164">
        <f ca="1">ROUNDUP(IF(OR(race="Gnome",race="Imperial Gnome"),1-AC58,(1-MIN(AB58*smithy_bonus,smithy_bonus_cap)-AC58)*(1+Techs!AO58*tech_master_of_frugality))*elite1_ore,0)</f>
        <v>75</v>
      </c>
      <c r="CA58" s="164">
        <f t="shared" ca="1" si="55"/>
        <v>0</v>
      </c>
      <c r="CB58" s="164">
        <f t="shared" ca="1" si="12"/>
        <v>0</v>
      </c>
      <c r="CC58" s="164">
        <f t="shared" ca="1" si="13"/>
        <v>0</v>
      </c>
      <c r="CD58" s="164">
        <f t="shared" ca="1" si="14"/>
        <v>0</v>
      </c>
      <c r="CE58" s="164">
        <f t="shared" ca="1" si="15"/>
        <v>0</v>
      </c>
      <c r="CF58" s="164">
        <f ca="1">ROUNDUP((1-MIN(AB58*smithy_bonus,smithy_bonus_cap)-AC58)*(1+Techs!AO58*tech_master_of_frugality)*elite2_plat,0)</f>
        <v>1250</v>
      </c>
      <c r="CG58" s="164">
        <f ca="1">ROUNDUP(IF(OR(race="Gnome",race="Imperial Gnome"),1-AC58,(1-MIN(AB58*smithy_bonus,smithy_bonus_cap)-AC58)*(1+Techs!AO58*tech_master_of_frugality))*elite2_ore,0)</f>
        <v>100</v>
      </c>
      <c r="CH58" s="164">
        <f t="shared" ca="1" si="56"/>
        <v>0</v>
      </c>
      <c r="CI58" s="164">
        <f t="shared" ca="1" si="17"/>
        <v>0</v>
      </c>
      <c r="CJ58" s="164">
        <f t="shared" ca="1" si="18"/>
        <v>0</v>
      </c>
      <c r="CK58" s="164">
        <f t="shared" ca="1" si="19"/>
        <v>0</v>
      </c>
      <c r="CL58" s="164">
        <f t="shared" ca="1" si="20"/>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4">
        <f ca="1">Construction!DF58/Construction!E58</f>
        <v>0.15</v>
      </c>
      <c r="CR58" s="465">
        <f t="shared" si="75"/>
        <v>0</v>
      </c>
      <c r="CS58" s="465">
        <f>Construction!BK58/Construction!E58</f>
        <v>0.05</v>
      </c>
      <c r="CT58" s="465">
        <f>Construction!BJ58/Construction!E58</f>
        <v>0</v>
      </c>
      <c r="CU58" s="465">
        <f>Construction!AY58/Construction!E58</f>
        <v>0</v>
      </c>
      <c r="CV58" s="486">
        <f t="shared" ca="1" si="81"/>
        <v>0.74999999999999989</v>
      </c>
      <c r="CW58" s="487">
        <f t="shared" ca="1" si="82"/>
        <v>0.74999999999999989</v>
      </c>
      <c r="CX58" s="487">
        <f t="shared" ca="1" si="83"/>
        <v>0.74999999999999989</v>
      </c>
      <c r="CY58" s="488">
        <f t="shared" ca="1" si="84"/>
        <v>0.74999999999999989</v>
      </c>
      <c r="CZ58" s="488">
        <f t="shared" si="85"/>
        <v>0</v>
      </c>
      <c r="DA58" s="488">
        <f t="shared" ca="1" si="86"/>
        <v>2.9999999999999996</v>
      </c>
      <c r="DB58" s="488">
        <f t="shared" ca="1" si="87"/>
        <v>0.74999999999999989</v>
      </c>
      <c r="DC58" s="487">
        <f t="shared" si="88"/>
        <v>0</v>
      </c>
      <c r="DD58" s="843">
        <f t="shared" si="89"/>
        <v>0</v>
      </c>
      <c r="DE58" s="441">
        <f t="shared" si="58"/>
        <v>0</v>
      </c>
      <c r="DF58" s="441">
        <f t="shared" si="59"/>
        <v>0</v>
      </c>
      <c r="DG58" s="486">
        <f t="shared" ca="1" si="90"/>
        <v>0.74999999999999989</v>
      </c>
      <c r="DH58" s="451">
        <f t="shared" si="91"/>
        <v>0</v>
      </c>
      <c r="DI58" s="451">
        <f>MIN(valkyrja_cap,Production!O58/valkyrja_bonus)</f>
        <v>1</v>
      </c>
      <c r="DJ58" s="843">
        <f>MIN(voodoo_magi_cap,Production!O58/voodoo_magi_bonus)</f>
        <v>0.83333333333333337</v>
      </c>
      <c r="DK58" s="843">
        <f>MIN(warlock_cap,Production!O58/warlock_bonus)</f>
        <v>1</v>
      </c>
      <c r="DL58" s="843">
        <f ca="1">MIN(nox_nightshade_cap,Construction!DF58/Construction!E58/nox_nightshade_swamp_bonus)</f>
        <v>1.4999999999999998</v>
      </c>
      <c r="DM58" s="487">
        <f t="shared" si="92"/>
        <v>0</v>
      </c>
      <c r="DN58" s="488">
        <f t="shared" ca="1" si="93"/>
        <v>1.4999999999999998</v>
      </c>
      <c r="DO58" s="488">
        <f t="shared" ca="1" si="94"/>
        <v>1.4999999999999998</v>
      </c>
      <c r="DP58" s="488">
        <f t="shared" si="95"/>
        <v>1</v>
      </c>
      <c r="DQ58" s="487">
        <f t="shared" si="96"/>
        <v>0</v>
      </c>
      <c r="DR58" s="488">
        <f t="shared" si="97"/>
        <v>0</v>
      </c>
      <c r="DS58" s="487">
        <f t="shared" si="98"/>
        <v>0</v>
      </c>
      <c r="DT58" s="488">
        <f t="shared" si="99"/>
        <v>0</v>
      </c>
      <c r="DX58" s="486">
        <f ca="1">MIN(6,CV58+Races!$F$19)*1.8 +  IF(CV58+Races!$F$19&gt;6,(CV58+Races!$F$19-6)*0.2,0) - Races!$N$19</f>
        <v>1.3500000000000005</v>
      </c>
      <c r="DY58" s="487">
        <f ca="1">1.8 * MIN(MAX(CW58+Races!$E$20,CX58+Races!$F$20),6)  +  0.45 * MIN(MIN(CW58+Races!$E$20,CX58+Races!$F$20),6)  +  0.2 * ( MAX(CW58+Races!$E$20-6,0) + MAX(CX58+Races!$F$20-6,0) )  -  Races!$N$20</f>
        <v>1.6874999999999991</v>
      </c>
      <c r="DZ58" s="57">
        <f t="shared" ca="1" si="100"/>
        <v>0</v>
      </c>
      <c r="EA58" s="663">
        <f ca="1">MIN(6,CY58+Races!$F$35)*1.8 +  IF(CY58+Races!$F$35&gt;6,(CY58+Races!$F$35-6)*0.2,0) - Races!$N$19</f>
        <v>-0.45000000000000018</v>
      </c>
      <c r="EB58" s="57">
        <f t="shared" ca="1" si="101"/>
        <v>0</v>
      </c>
      <c r="EC58" s="663">
        <f ca="1">1.8 * MIN(MAX(Races!$E$27,DB58+Races!$F$27),6)  +  0.45 * MIN(MIN(Races!$E$27,DB58+Races!$F$27),6)  +  0.2 * ( MAX(Races!$E$27-6,0) + MAX(DB58+Races!$F$27-6,0) )  -  Races!$N$20</f>
        <v>3.6000000000000005</v>
      </c>
      <c r="ED58" s="57">
        <f t="shared" ca="1" si="102"/>
        <v>0</v>
      </c>
      <c r="EE58" s="663">
        <f>1.8 * MIN(MAX(DC58+Races!$E$47,DD58+Races!$F$47),6)  +  0.45 * MIN(MIN(DC58+Races!$E$47,DD58+Races!$F$47),6)  +  0.2 * ( MAX(DC58+Races!$E$47-6,0) + MAX(DD58+Races!$F$47-6,0) )  -  Races!$N$47</f>
        <v>0</v>
      </c>
      <c r="EF58" s="57">
        <f t="shared" si="103"/>
        <v>0</v>
      </c>
      <c r="EG58" s="663">
        <f ca="1">1.8 * MIN(MAX(DG58+Races!$F$71,Races!$E$71),6)  +  0.45 * MIN(MIN(DG58+Races!$F$71,Races!$E$71),6)  +  0.2 * ( MAX(DG58+Races!$F$71-6,0) + MAX(Races!$E$71-6,0) )  -  Races!$N$71</f>
        <v>1.3499999999999996</v>
      </c>
      <c r="EH58" s="663">
        <f>1.8 * MIN(MAX(DH58+Races!$E$71,Races!$F$71),6)  +  0.45 * MIN(MIN(DH58+Races!$E$71,Races!$F$71),6)  +  0.2 * ( MAX(DH58+Races!$E$71-6,0) + MAX(Races!$F$71-6,0) )  -  Races!$N$71</f>
        <v>0</v>
      </c>
      <c r="EI58" s="57">
        <f t="shared" ca="1" si="104"/>
        <v>0</v>
      </c>
      <c r="EJ58" s="57"/>
      <c r="EK58" s="57"/>
      <c r="EL58" s="57"/>
      <c r="EM58" s="57">
        <f ca="1">Overview!$L$22*E58+Overview!$L$23*F58+Overview!$L$24*G58+Overview!$L$25*H58+Overview!$L$26*I58+Overview!$L$27*J58+Overview!$L$28*K58+Construction!E58*20+Construction!B58*5 + DZ58*$DV$4+EB58*$DV$5+ED58*$DV$6+EF58*$DV$7+EI58*$DV$9</f>
        <v>20900</v>
      </c>
      <c r="EO58" s="734">
        <f>(J58+2*K58)/Construction!E58</f>
        <v>0</v>
      </c>
      <c r="EP58" s="730">
        <f ca="1">EO58*(1+race_wizard_strength+tech_magical_weaponry_wiz*Techs!AV130)</f>
        <v>0</v>
      </c>
      <c r="EQ58" s="16">
        <f>(I58+halfer*H58/3)/Construction!E58</f>
        <v>0</v>
      </c>
    </row>
    <row r="59" spans="1:147" s="16" customFormat="1" x14ac:dyDescent="0.25">
      <c r="A59" s="627">
        <f>Rezone!J59</f>
        <v>57</v>
      </c>
      <c r="B59" s="56">
        <f ca="1">SUM(E59:K59)+SUM(AF51:AG59)+SUM(AH48:AL59)+Z59+Explore!AL59</f>
        <v>5295</v>
      </c>
      <c r="C59" s="97">
        <f ca="1">Population!G59</f>
        <v>0.74159663865546221</v>
      </c>
      <c r="E59" s="52">
        <f t="shared" si="105"/>
        <v>0</v>
      </c>
      <c r="F59" s="16">
        <f t="shared" si="106"/>
        <v>0</v>
      </c>
      <c r="G59" s="16">
        <f t="shared" si="107"/>
        <v>0</v>
      </c>
      <c r="H59" s="16">
        <f t="shared" si="108"/>
        <v>0</v>
      </c>
      <c r="I59" s="16">
        <f t="shared" si="109"/>
        <v>0</v>
      </c>
      <c r="J59" s="16">
        <f t="shared" si="110"/>
        <v>0</v>
      </c>
      <c r="K59" s="53">
        <f t="shared" si="111"/>
        <v>0</v>
      </c>
      <c r="M59" s="64">
        <f ca="1">Production!G59</f>
        <v>20900</v>
      </c>
      <c r="O59" s="142">
        <f t="shared" ca="1" si="77"/>
        <v>0</v>
      </c>
      <c r="P59" s="454">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8"/>
        <v>5295</v>
      </c>
      <c r="T59" s="1047">
        <f ca="1">race_defense+Imps!AC59+ROUND(MIN(gt_bonus*Construction!BH59/Construction!$E59,gt_bonus_cap),4)+MAX(IF(Magic!AM59&gt;0,frenzy_bonus,IF(Magic!AQ59&gt;0,blizzard_bonus,IF(Magic!AP59&gt;0,howling_dp_bonus,IF(Magic!AI59&gt;0,ares_call_bonus)))),IF(Magic!AX59&gt;0,MIN(Construction!DF59/Construction!E59,0.2),0))</f>
        <v>0</v>
      </c>
      <c r="U59" s="1041">
        <f t="shared" ca="1" si="47"/>
        <v>0</v>
      </c>
      <c r="V59" s="310">
        <f t="shared" ca="1" si="48"/>
        <v>5295</v>
      </c>
      <c r="W59" s="310">
        <f>Construction!E59</f>
        <v>1000</v>
      </c>
      <c r="X59" s="367"/>
      <c r="Y59" s="146">
        <f t="shared" si="76"/>
        <v>0.4</v>
      </c>
      <c r="Z59" s="166">
        <f ca="1">Z58+Population!Z58 - IF(race="Lux",AF59,SUM(AF59:AK59)) - BE59 + SUM(BF59:BL59) - Explore!AI59</f>
        <v>5295</v>
      </c>
      <c r="AA59" s="164"/>
      <c r="AB59" s="91">
        <f>(Construction!$BA59+Construction!BY59)/(Construction!$E59-Explore!S59*20)</f>
        <v>0</v>
      </c>
      <c r="AC59" s="1516">
        <f ca="1">Imps!AE59</f>
        <v>0</v>
      </c>
      <c r="AD59" s="795">
        <f>Rezone!J59</f>
        <v>57</v>
      </c>
      <c r="AE59" s="587">
        <f>Explore!AA59</f>
        <v>43768.583333333198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9"/>
        <v>0</v>
      </c>
      <c r="AV59" s="164">
        <f t="shared" ca="1" si="80"/>
        <v>0</v>
      </c>
      <c r="AW59" s="164">
        <f t="shared" ca="1" si="50"/>
        <v>0</v>
      </c>
      <c r="AX59" s="164">
        <f t="shared" ca="1" si="51"/>
        <v>0</v>
      </c>
      <c r="AY59" s="164">
        <f t="shared" ca="1" si="52"/>
        <v>0</v>
      </c>
      <c r="AZ59" s="164">
        <f t="shared" ca="1" si="53"/>
        <v>0</v>
      </c>
      <c r="BA59" s="166">
        <f t="shared" ca="1" si="54"/>
        <v>0</v>
      </c>
      <c r="BB59" s="16">
        <v>57</v>
      </c>
      <c r="BC59" s="572">
        <f t="shared" si="73"/>
        <v>43768.583333333198</v>
      </c>
      <c r="BD59" s="148">
        <f t="shared" ca="1" si="74"/>
        <v>5295</v>
      </c>
      <c r="BE59" s="356"/>
      <c r="BF59" s="348"/>
      <c r="BG59" s="348"/>
      <c r="BH59" s="348"/>
      <c r="BI59" s="348"/>
      <c r="BJ59" s="348"/>
      <c r="BK59" s="348"/>
      <c r="BL59" s="357"/>
      <c r="BN59" s="501">
        <f>Construction!BM59/Construction!E59</f>
        <v>0</v>
      </c>
      <c r="BO59" s="171">
        <f>Construction!BD59/Construction!E59</f>
        <v>0</v>
      </c>
      <c r="BP59" s="152">
        <f ca="1">ROUNDUP((1-MIN(AB59*smithy_bonus,smithy_bonus_cap)-AC59)*(1+Techs!AO59*tech_master_of_frugality)*spec_op_plat,0)</f>
        <v>275</v>
      </c>
      <c r="BQ59" s="164">
        <f ca="1">ROUNDUP(IF(OR(race="Gnome",race="Imperial Gnome"),1-AC59,(1-MIN(AB59*smithy_bonus,smithy_bonus_cap)-AC59)*(1+Techs!AO59*tech_master_of_frugality))*spec_op_ore,0)</f>
        <v>25</v>
      </c>
      <c r="BR59" s="164">
        <f t="shared" si="6"/>
        <v>0</v>
      </c>
      <c r="BS59" s="164">
        <f t="shared" si="7"/>
        <v>0</v>
      </c>
      <c r="BT59" s="164">
        <f ca="1">ROUNDUP((1-MIN(AB59*smithy_bonus,smithy_bonus_cap)-AC59)*(1+Techs!AO59*tech_master_of_frugality)*spec_dp_plat,0)</f>
        <v>275</v>
      </c>
      <c r="BU59" s="164">
        <f ca="1">ROUNDUP(IF(OR(race="Gnome",race="Imperial Gnome"),1-AC59,(1-MIN(AB59*smithy_bonus,smithy_bonus_cap)-AC59)*(1+Techs!AO59*tech_master_of_frugality))*spec_dp_ore,0)</f>
        <v>10</v>
      </c>
      <c r="BV59" s="164">
        <f t="shared" ca="1" si="8"/>
        <v>0</v>
      </c>
      <c r="BW59" s="164">
        <f t="shared" ca="1" si="9"/>
        <v>0</v>
      </c>
      <c r="BX59" s="164">
        <f t="shared" ca="1" si="10"/>
        <v>0</v>
      </c>
      <c r="BY59" s="164">
        <f ca="1">ROUNDUP((1-MIN(AB59*smithy_bonus,smithy_bonus_cap)-AC59)*(1+Techs!AO59*tech_master_of_frugality)*elite1_plat,0)</f>
        <v>1000</v>
      </c>
      <c r="BZ59" s="164">
        <f ca="1">ROUNDUP(IF(OR(race="Gnome",race="Imperial Gnome"),1-AC59,(1-MIN(AB59*smithy_bonus,smithy_bonus_cap)-AC59)*(1+Techs!AO59*tech_master_of_frugality))*elite1_ore,0)</f>
        <v>75</v>
      </c>
      <c r="CA59" s="164">
        <f t="shared" ca="1" si="55"/>
        <v>0</v>
      </c>
      <c r="CB59" s="164">
        <f t="shared" ca="1" si="12"/>
        <v>0</v>
      </c>
      <c r="CC59" s="164">
        <f t="shared" ca="1" si="13"/>
        <v>0</v>
      </c>
      <c r="CD59" s="164">
        <f t="shared" ca="1" si="14"/>
        <v>0</v>
      </c>
      <c r="CE59" s="164">
        <f t="shared" ca="1" si="15"/>
        <v>0</v>
      </c>
      <c r="CF59" s="164">
        <f ca="1">ROUNDUP((1-MIN(AB59*smithy_bonus,smithy_bonus_cap)-AC59)*(1+Techs!AO59*tech_master_of_frugality)*elite2_plat,0)</f>
        <v>1250</v>
      </c>
      <c r="CG59" s="164">
        <f ca="1">ROUNDUP(IF(OR(race="Gnome",race="Imperial Gnome"),1-AC59,(1-MIN(AB59*smithy_bonus,smithy_bonus_cap)-AC59)*(1+Techs!AO59*tech_master_of_frugality))*elite2_ore,0)</f>
        <v>100</v>
      </c>
      <c r="CH59" s="164">
        <f t="shared" ca="1" si="56"/>
        <v>0</v>
      </c>
      <c r="CI59" s="164">
        <f t="shared" ca="1" si="17"/>
        <v>0</v>
      </c>
      <c r="CJ59" s="164">
        <f t="shared" ca="1" si="18"/>
        <v>0</v>
      </c>
      <c r="CK59" s="164">
        <f t="shared" ca="1" si="19"/>
        <v>0</v>
      </c>
      <c r="CL59" s="164">
        <f t="shared" ca="1" si="20"/>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4">
        <f ca="1">Construction!DF59/Construction!E59</f>
        <v>0.15</v>
      </c>
      <c r="CR59" s="465">
        <f t="shared" si="75"/>
        <v>0</v>
      </c>
      <c r="CS59" s="465">
        <f>Construction!BK59/Construction!E59</f>
        <v>0.05</v>
      </c>
      <c r="CT59" s="465">
        <f>Construction!BJ59/Construction!E59</f>
        <v>0</v>
      </c>
      <c r="CU59" s="465">
        <f>Construction!AY59/Construction!E59</f>
        <v>0</v>
      </c>
      <c r="CV59" s="486">
        <f t="shared" ca="1" si="81"/>
        <v>0.74999999999999989</v>
      </c>
      <c r="CW59" s="487">
        <f t="shared" ca="1" si="82"/>
        <v>0.74999999999999989</v>
      </c>
      <c r="CX59" s="487">
        <f t="shared" ca="1" si="83"/>
        <v>0.74999999999999989</v>
      </c>
      <c r="CY59" s="488">
        <f t="shared" ca="1" si="84"/>
        <v>0.74999999999999989</v>
      </c>
      <c r="CZ59" s="488">
        <f t="shared" si="85"/>
        <v>0</v>
      </c>
      <c r="DA59" s="488">
        <f t="shared" ca="1" si="86"/>
        <v>2.9999999999999996</v>
      </c>
      <c r="DB59" s="488">
        <f t="shared" ca="1" si="87"/>
        <v>0.74999999999999989</v>
      </c>
      <c r="DC59" s="487">
        <f t="shared" si="88"/>
        <v>0</v>
      </c>
      <c r="DD59" s="843">
        <f t="shared" si="89"/>
        <v>0</v>
      </c>
      <c r="DE59" s="441">
        <f t="shared" si="58"/>
        <v>0</v>
      </c>
      <c r="DF59" s="441">
        <f t="shared" si="59"/>
        <v>0</v>
      </c>
      <c r="DG59" s="486">
        <f t="shared" ca="1" si="90"/>
        <v>0.74999999999999989</v>
      </c>
      <c r="DH59" s="451">
        <f t="shared" si="91"/>
        <v>0</v>
      </c>
      <c r="DI59" s="451">
        <f>MIN(valkyrja_cap,Production!O59/valkyrja_bonus)</f>
        <v>1</v>
      </c>
      <c r="DJ59" s="843">
        <f>MIN(voodoo_magi_cap,Production!O59/voodoo_magi_bonus)</f>
        <v>0.83333333333333337</v>
      </c>
      <c r="DK59" s="843">
        <f>MIN(warlock_cap,Production!O59/warlock_bonus)</f>
        <v>1</v>
      </c>
      <c r="DL59" s="843">
        <f ca="1">MIN(nox_nightshade_cap,Construction!DF59/Construction!E59/nox_nightshade_swamp_bonus)</f>
        <v>1.4999999999999998</v>
      </c>
      <c r="DM59" s="487">
        <f t="shared" si="92"/>
        <v>0</v>
      </c>
      <c r="DN59" s="488">
        <f t="shared" ca="1" si="93"/>
        <v>1.4999999999999998</v>
      </c>
      <c r="DO59" s="488">
        <f t="shared" ca="1" si="94"/>
        <v>1.4999999999999998</v>
      </c>
      <c r="DP59" s="488">
        <f t="shared" si="95"/>
        <v>1</v>
      </c>
      <c r="DQ59" s="487">
        <f t="shared" si="96"/>
        <v>0</v>
      </c>
      <c r="DR59" s="488">
        <f t="shared" si="97"/>
        <v>0</v>
      </c>
      <c r="DS59" s="487">
        <f t="shared" si="98"/>
        <v>0</v>
      </c>
      <c r="DT59" s="488">
        <f t="shared" si="99"/>
        <v>0</v>
      </c>
      <c r="DX59" s="486">
        <f ca="1">MIN(6,CV59+Races!$F$19)*1.8 +  IF(CV59+Races!$F$19&gt;6,(CV59+Races!$F$19-6)*0.2,0) - Races!$N$19</f>
        <v>1.3500000000000005</v>
      </c>
      <c r="DY59" s="487">
        <f ca="1">1.8 * MIN(MAX(CW59+Races!$E$20,CX59+Races!$F$20),6)  +  0.45 * MIN(MIN(CW59+Races!$E$20,CX59+Races!$F$20),6)  +  0.2 * ( MAX(CW59+Races!$E$20-6,0) + MAX(CX59+Races!$F$20-6,0) )  -  Races!$N$20</f>
        <v>1.6874999999999991</v>
      </c>
      <c r="DZ59" s="57">
        <f t="shared" ca="1" si="100"/>
        <v>0</v>
      </c>
      <c r="EA59" s="663">
        <f ca="1">MIN(6,CY59+Races!$F$35)*1.8 +  IF(CY59+Races!$F$35&gt;6,(CY59+Races!$F$35-6)*0.2,0) - Races!$N$19</f>
        <v>-0.45000000000000018</v>
      </c>
      <c r="EB59" s="57">
        <f t="shared" ca="1" si="101"/>
        <v>0</v>
      </c>
      <c r="EC59" s="663">
        <f ca="1">1.8 * MIN(MAX(Races!$E$27,DB59+Races!$F$27),6)  +  0.45 * MIN(MIN(Races!$E$27,DB59+Races!$F$27),6)  +  0.2 * ( MAX(Races!$E$27-6,0) + MAX(DB59+Races!$F$27-6,0) )  -  Races!$N$20</f>
        <v>3.6000000000000005</v>
      </c>
      <c r="ED59" s="57">
        <f t="shared" ca="1" si="102"/>
        <v>0</v>
      </c>
      <c r="EE59" s="663">
        <f>1.8 * MIN(MAX(DC59+Races!$E$47,DD59+Races!$F$47),6)  +  0.45 * MIN(MIN(DC59+Races!$E$47,DD59+Races!$F$47),6)  +  0.2 * ( MAX(DC59+Races!$E$47-6,0) + MAX(DD59+Races!$F$47-6,0) )  -  Races!$N$47</f>
        <v>0</v>
      </c>
      <c r="EF59" s="57">
        <f t="shared" si="103"/>
        <v>0</v>
      </c>
      <c r="EG59" s="663">
        <f ca="1">1.8 * MIN(MAX(DG59+Races!$F$71,Races!$E$71),6)  +  0.45 * MIN(MIN(DG59+Races!$F$71,Races!$E$71),6)  +  0.2 * ( MAX(DG59+Races!$F$71-6,0) + MAX(Races!$E$71-6,0) )  -  Races!$N$71</f>
        <v>1.3499999999999996</v>
      </c>
      <c r="EH59" s="663">
        <f>1.8 * MIN(MAX(DH59+Races!$E$71,Races!$F$71),6)  +  0.45 * MIN(MIN(DH59+Races!$E$71,Races!$F$71),6)  +  0.2 * ( MAX(DH59+Races!$E$71-6,0) + MAX(Races!$F$71-6,0) )  -  Races!$N$71</f>
        <v>0</v>
      </c>
      <c r="EI59" s="57">
        <f t="shared" ca="1" si="104"/>
        <v>0</v>
      </c>
      <c r="EJ59" s="57"/>
      <c r="EK59" s="57"/>
      <c r="EL59" s="57"/>
      <c r="EM59" s="57">
        <f ca="1">Overview!$L$22*E59+Overview!$L$23*F59+Overview!$L$24*G59+Overview!$L$25*H59+Overview!$L$26*I59+Overview!$L$27*J59+Overview!$L$28*K59+Construction!E59*20+Construction!B59*5 + DZ59*$DV$4+EB59*$DV$5+ED59*$DV$6+EF59*$DV$7+EI59*$DV$9</f>
        <v>20900</v>
      </c>
      <c r="EO59" s="734">
        <f>(J59+2*K59)/Construction!E59</f>
        <v>0</v>
      </c>
      <c r="EP59" s="730">
        <f ca="1">EO59*(1+race_wizard_strength+tech_magical_weaponry_wiz*Techs!AV131)</f>
        <v>0</v>
      </c>
      <c r="EQ59" s="16">
        <f>(I59+halfer*H59/3)/Construction!E59</f>
        <v>0</v>
      </c>
    </row>
    <row r="60" spans="1:147" s="16" customFormat="1" x14ac:dyDescent="0.25">
      <c r="A60" s="627">
        <f>Rezone!J60</f>
        <v>58</v>
      </c>
      <c r="B60" s="56">
        <f ca="1">SUM(E60:K60)+SUM(AF52:AG60)+SUM(AH49:AL60)+Z60+Explore!AL60</f>
        <v>5295</v>
      </c>
      <c r="C60" s="97">
        <f ca="1">Population!G60</f>
        <v>0.74159663865546221</v>
      </c>
      <c r="E60" s="52">
        <f t="shared" si="105"/>
        <v>0</v>
      </c>
      <c r="F60" s="16">
        <f t="shared" si="106"/>
        <v>0</v>
      </c>
      <c r="G60" s="16">
        <f t="shared" si="107"/>
        <v>0</v>
      </c>
      <c r="H60" s="16">
        <f t="shared" si="108"/>
        <v>0</v>
      </c>
      <c r="I60" s="16">
        <f t="shared" si="109"/>
        <v>0</v>
      </c>
      <c r="J60" s="16">
        <f t="shared" si="110"/>
        <v>0</v>
      </c>
      <c r="K60" s="53">
        <f t="shared" si="111"/>
        <v>0</v>
      </c>
      <c r="M60" s="64">
        <f ca="1">Production!G60</f>
        <v>20900</v>
      </c>
      <c r="O60" s="142">
        <f t="shared" ca="1" si="77"/>
        <v>0</v>
      </c>
      <c r="P60" s="454">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8"/>
        <v>5295</v>
      </c>
      <c r="T60" s="1047">
        <f ca="1">race_defense+Imps!AC60+ROUND(MIN(gt_bonus*Construction!BH60/Construction!$E60,gt_bonus_cap),4)+MAX(IF(Magic!AM60&gt;0,frenzy_bonus,IF(Magic!AQ60&gt;0,blizzard_bonus,IF(Magic!AP60&gt;0,howling_dp_bonus,IF(Magic!AI60&gt;0,ares_call_bonus)))),IF(Magic!AX60&gt;0,MIN(Construction!DF60/Construction!E60,0.2),0))</f>
        <v>0</v>
      </c>
      <c r="U60" s="1041">
        <f t="shared" ca="1" si="47"/>
        <v>0</v>
      </c>
      <c r="V60" s="310">
        <f t="shared" ca="1" si="48"/>
        <v>5295</v>
      </c>
      <c r="W60" s="310">
        <f>Construction!E60</f>
        <v>1000</v>
      </c>
      <c r="X60" s="367"/>
      <c r="Y60" s="146">
        <f t="shared" si="76"/>
        <v>0.4</v>
      </c>
      <c r="Z60" s="166">
        <f ca="1">Z59+Population!Z59 - IF(race="Lux",AF60,SUM(AF60:AK60)) - BE60 + SUM(BF60:BL60) - Explore!AI60</f>
        <v>5295</v>
      </c>
      <c r="AA60" s="164"/>
      <c r="AB60" s="91">
        <f>(Construction!$BA60+Construction!BY60)/(Construction!$E60-Explore!S60*20)</f>
        <v>0</v>
      </c>
      <c r="AC60" s="1516">
        <f ca="1">Imps!AE60</f>
        <v>0</v>
      </c>
      <c r="AD60" s="795">
        <f>Rezone!J60</f>
        <v>58</v>
      </c>
      <c r="AE60" s="587">
        <f>Explore!AA60</f>
        <v>43768.593749999862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9"/>
        <v>0</v>
      </c>
      <c r="AV60" s="164">
        <f t="shared" ca="1" si="80"/>
        <v>0</v>
      </c>
      <c r="AW60" s="164">
        <f t="shared" ca="1" si="50"/>
        <v>0</v>
      </c>
      <c r="AX60" s="164">
        <f t="shared" ca="1" si="51"/>
        <v>0</v>
      </c>
      <c r="AY60" s="164">
        <f t="shared" ca="1" si="52"/>
        <v>0</v>
      </c>
      <c r="AZ60" s="164">
        <f t="shared" ca="1" si="53"/>
        <v>0</v>
      </c>
      <c r="BA60" s="166">
        <f t="shared" ca="1" si="54"/>
        <v>0</v>
      </c>
      <c r="BB60" s="16">
        <v>58</v>
      </c>
      <c r="BC60" s="572">
        <f t="shared" si="73"/>
        <v>43768.593749999862</v>
      </c>
      <c r="BD60" s="148">
        <f t="shared" ca="1" si="74"/>
        <v>5295</v>
      </c>
      <c r="BE60" s="356"/>
      <c r="BF60" s="348"/>
      <c r="BG60" s="348"/>
      <c r="BH60" s="348"/>
      <c r="BI60" s="348"/>
      <c r="BJ60" s="348"/>
      <c r="BK60" s="348"/>
      <c r="BL60" s="357"/>
      <c r="BN60" s="501">
        <f>Construction!BM60/Construction!E60</f>
        <v>0</v>
      </c>
      <c r="BO60" s="171">
        <f>Construction!BD60/Construction!E60</f>
        <v>0</v>
      </c>
      <c r="BP60" s="152">
        <f ca="1">ROUNDUP((1-MIN(AB60*smithy_bonus,smithy_bonus_cap)-AC60)*(1+Techs!AO60*tech_master_of_frugality)*spec_op_plat,0)</f>
        <v>275</v>
      </c>
      <c r="BQ60" s="164">
        <f ca="1">ROUNDUP(IF(OR(race="Gnome",race="Imperial Gnome"),1-AC60,(1-MIN(AB60*smithy_bonus,smithy_bonus_cap)-AC60)*(1+Techs!AO60*tech_master_of_frugality))*spec_op_ore,0)</f>
        <v>25</v>
      </c>
      <c r="BR60" s="164">
        <f t="shared" si="6"/>
        <v>0</v>
      </c>
      <c r="BS60" s="164">
        <f t="shared" si="7"/>
        <v>0</v>
      </c>
      <c r="BT60" s="164">
        <f ca="1">ROUNDUP((1-MIN(AB60*smithy_bonus,smithy_bonus_cap)-AC60)*(1+Techs!AO60*tech_master_of_frugality)*spec_dp_plat,0)</f>
        <v>275</v>
      </c>
      <c r="BU60" s="164">
        <f ca="1">ROUNDUP(IF(OR(race="Gnome",race="Imperial Gnome"),1-AC60,(1-MIN(AB60*smithy_bonus,smithy_bonus_cap)-AC60)*(1+Techs!AO60*tech_master_of_frugality))*spec_dp_ore,0)</f>
        <v>10</v>
      </c>
      <c r="BV60" s="164">
        <f t="shared" ca="1" si="8"/>
        <v>0</v>
      </c>
      <c r="BW60" s="164">
        <f t="shared" ca="1" si="9"/>
        <v>0</v>
      </c>
      <c r="BX60" s="164">
        <f t="shared" ca="1" si="10"/>
        <v>0</v>
      </c>
      <c r="BY60" s="164">
        <f ca="1">ROUNDUP((1-MIN(AB60*smithy_bonus,smithy_bonus_cap)-AC60)*(1+Techs!AO60*tech_master_of_frugality)*elite1_plat,0)</f>
        <v>1000</v>
      </c>
      <c r="BZ60" s="164">
        <f ca="1">ROUNDUP(IF(OR(race="Gnome",race="Imperial Gnome"),1-AC60,(1-MIN(AB60*smithy_bonus,smithy_bonus_cap)-AC60)*(1+Techs!AO60*tech_master_of_frugality))*elite1_ore,0)</f>
        <v>75</v>
      </c>
      <c r="CA60" s="164">
        <f t="shared" ca="1" si="55"/>
        <v>0</v>
      </c>
      <c r="CB60" s="164">
        <f t="shared" ca="1" si="12"/>
        <v>0</v>
      </c>
      <c r="CC60" s="164">
        <f t="shared" ca="1" si="13"/>
        <v>0</v>
      </c>
      <c r="CD60" s="164">
        <f t="shared" ca="1" si="14"/>
        <v>0</v>
      </c>
      <c r="CE60" s="164">
        <f t="shared" ca="1" si="15"/>
        <v>0</v>
      </c>
      <c r="CF60" s="164">
        <f ca="1">ROUNDUP((1-MIN(AB60*smithy_bonus,smithy_bonus_cap)-AC60)*(1+Techs!AO60*tech_master_of_frugality)*elite2_plat,0)</f>
        <v>1250</v>
      </c>
      <c r="CG60" s="164">
        <f ca="1">ROUNDUP(IF(OR(race="Gnome",race="Imperial Gnome"),1-AC60,(1-MIN(AB60*smithy_bonus,smithy_bonus_cap)-AC60)*(1+Techs!AO60*tech_master_of_frugality))*elite2_ore,0)</f>
        <v>100</v>
      </c>
      <c r="CH60" s="164">
        <f t="shared" ca="1" si="56"/>
        <v>0</v>
      </c>
      <c r="CI60" s="164">
        <f t="shared" ca="1" si="17"/>
        <v>0</v>
      </c>
      <c r="CJ60" s="164">
        <f t="shared" ca="1" si="18"/>
        <v>0</v>
      </c>
      <c r="CK60" s="164">
        <f t="shared" ca="1" si="19"/>
        <v>0</v>
      </c>
      <c r="CL60" s="164">
        <f t="shared" ca="1" si="20"/>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4">
        <f ca="1">Construction!DF60/Construction!E60</f>
        <v>0.15</v>
      </c>
      <c r="CR60" s="465">
        <f t="shared" si="75"/>
        <v>0</v>
      </c>
      <c r="CS60" s="465">
        <f>Construction!BK60/Construction!E60</f>
        <v>0.05</v>
      </c>
      <c r="CT60" s="465">
        <f>Construction!BJ60/Construction!E60</f>
        <v>0</v>
      </c>
      <c r="CU60" s="465">
        <f>Construction!AY60/Construction!E60</f>
        <v>0</v>
      </c>
      <c r="CV60" s="486">
        <f t="shared" ca="1" si="81"/>
        <v>0.74999999999999989</v>
      </c>
      <c r="CW60" s="487">
        <f t="shared" ca="1" si="82"/>
        <v>0.74999999999999989</v>
      </c>
      <c r="CX60" s="487">
        <f t="shared" ca="1" si="83"/>
        <v>0.74999999999999989</v>
      </c>
      <c r="CY60" s="488">
        <f t="shared" ca="1" si="84"/>
        <v>0.74999999999999989</v>
      </c>
      <c r="CZ60" s="488">
        <f t="shared" si="85"/>
        <v>0</v>
      </c>
      <c r="DA60" s="488">
        <f t="shared" ca="1" si="86"/>
        <v>2.9999999999999996</v>
      </c>
      <c r="DB60" s="488">
        <f t="shared" ca="1" si="87"/>
        <v>0.74999999999999989</v>
      </c>
      <c r="DC60" s="487">
        <f t="shared" si="88"/>
        <v>0</v>
      </c>
      <c r="DD60" s="843">
        <f t="shared" si="89"/>
        <v>0</v>
      </c>
      <c r="DE60" s="441">
        <f t="shared" si="58"/>
        <v>0</v>
      </c>
      <c r="DF60" s="441">
        <f t="shared" si="59"/>
        <v>0</v>
      </c>
      <c r="DG60" s="486">
        <f t="shared" ca="1" si="90"/>
        <v>0.74999999999999989</v>
      </c>
      <c r="DH60" s="451">
        <f t="shared" si="91"/>
        <v>0</v>
      </c>
      <c r="DI60" s="451">
        <f>MIN(valkyrja_cap,Production!O60/valkyrja_bonus)</f>
        <v>1</v>
      </c>
      <c r="DJ60" s="843">
        <f>MIN(voodoo_magi_cap,Production!O60/voodoo_magi_bonus)</f>
        <v>0.83333333333333337</v>
      </c>
      <c r="DK60" s="843">
        <f>MIN(warlock_cap,Production!O60/warlock_bonus)</f>
        <v>1</v>
      </c>
      <c r="DL60" s="843">
        <f ca="1">MIN(nox_nightshade_cap,Construction!DF60/Construction!E60/nox_nightshade_swamp_bonus)</f>
        <v>1.4999999999999998</v>
      </c>
      <c r="DM60" s="487">
        <f t="shared" si="92"/>
        <v>0</v>
      </c>
      <c r="DN60" s="488">
        <f t="shared" ca="1" si="93"/>
        <v>1.4999999999999998</v>
      </c>
      <c r="DO60" s="488">
        <f t="shared" ca="1" si="94"/>
        <v>1.4999999999999998</v>
      </c>
      <c r="DP60" s="488">
        <f t="shared" si="95"/>
        <v>1</v>
      </c>
      <c r="DQ60" s="487">
        <f t="shared" si="96"/>
        <v>0</v>
      </c>
      <c r="DR60" s="488">
        <f t="shared" si="97"/>
        <v>0</v>
      </c>
      <c r="DS60" s="487">
        <f t="shared" si="98"/>
        <v>0</v>
      </c>
      <c r="DT60" s="488">
        <f t="shared" si="99"/>
        <v>0</v>
      </c>
      <c r="DX60" s="486">
        <f ca="1">MIN(6,CV60+Races!$F$19)*1.8 +  IF(CV60+Races!$F$19&gt;6,(CV60+Races!$F$19-6)*0.2,0) - Races!$N$19</f>
        <v>1.3500000000000005</v>
      </c>
      <c r="DY60" s="487">
        <f ca="1">1.8 * MIN(MAX(CW60+Races!$E$20,CX60+Races!$F$20),6)  +  0.45 * MIN(MIN(CW60+Races!$E$20,CX60+Races!$F$20),6)  +  0.2 * ( MAX(CW60+Races!$E$20-6,0) + MAX(CX60+Races!$F$20-6,0) )  -  Races!$N$20</f>
        <v>1.6874999999999991</v>
      </c>
      <c r="DZ60" s="57">
        <f t="shared" ca="1" si="100"/>
        <v>0</v>
      </c>
      <c r="EA60" s="663">
        <f ca="1">MIN(6,CY60+Races!$F$35)*1.8 +  IF(CY60+Races!$F$35&gt;6,(CY60+Races!$F$35-6)*0.2,0) - Races!$N$19</f>
        <v>-0.45000000000000018</v>
      </c>
      <c r="EB60" s="57">
        <f t="shared" ca="1" si="101"/>
        <v>0</v>
      </c>
      <c r="EC60" s="663">
        <f ca="1">1.8 * MIN(MAX(Races!$E$27,DB60+Races!$F$27),6)  +  0.45 * MIN(MIN(Races!$E$27,DB60+Races!$F$27),6)  +  0.2 * ( MAX(Races!$E$27-6,0) + MAX(DB60+Races!$F$27-6,0) )  -  Races!$N$20</f>
        <v>3.6000000000000005</v>
      </c>
      <c r="ED60" s="57">
        <f t="shared" ca="1" si="102"/>
        <v>0</v>
      </c>
      <c r="EE60" s="663">
        <f>1.8 * MIN(MAX(DC60+Races!$E$47,DD60+Races!$F$47),6)  +  0.45 * MIN(MIN(DC60+Races!$E$47,DD60+Races!$F$47),6)  +  0.2 * ( MAX(DC60+Races!$E$47-6,0) + MAX(DD60+Races!$F$47-6,0) )  -  Races!$N$47</f>
        <v>0</v>
      </c>
      <c r="EF60" s="57">
        <f t="shared" si="103"/>
        <v>0</v>
      </c>
      <c r="EG60" s="663">
        <f ca="1">1.8 * MIN(MAX(DG60+Races!$F$71,Races!$E$71),6)  +  0.45 * MIN(MIN(DG60+Races!$F$71,Races!$E$71),6)  +  0.2 * ( MAX(DG60+Races!$F$71-6,0) + MAX(Races!$E$71-6,0) )  -  Races!$N$71</f>
        <v>1.3499999999999996</v>
      </c>
      <c r="EH60" s="663">
        <f>1.8 * MIN(MAX(DH60+Races!$E$71,Races!$F$71),6)  +  0.45 * MIN(MIN(DH60+Races!$E$71,Races!$F$71),6)  +  0.2 * ( MAX(DH60+Races!$E$71-6,0) + MAX(Races!$F$71-6,0) )  -  Races!$N$71</f>
        <v>0</v>
      </c>
      <c r="EI60" s="57">
        <f t="shared" ca="1" si="104"/>
        <v>0</v>
      </c>
      <c r="EJ60" s="57"/>
      <c r="EK60" s="57"/>
      <c r="EL60" s="57"/>
      <c r="EM60" s="57">
        <f ca="1">Overview!$L$22*E60+Overview!$L$23*F60+Overview!$L$24*G60+Overview!$L$25*H60+Overview!$L$26*I60+Overview!$L$27*J60+Overview!$L$28*K60+Construction!E60*20+Construction!B60*5 + DZ60*$DV$4+EB60*$DV$5+ED60*$DV$6+EF60*$DV$7+EI60*$DV$9</f>
        <v>20900</v>
      </c>
      <c r="EO60" s="734">
        <f>(J60+2*K60)/Construction!E60</f>
        <v>0</v>
      </c>
      <c r="EP60" s="730">
        <f ca="1">EO60*(1+race_wizard_strength+tech_magical_weaponry_wiz*Techs!AV132)</f>
        <v>0</v>
      </c>
      <c r="EQ60" s="16">
        <f>(I60+halfer*H60/3)/Construction!E60</f>
        <v>0</v>
      </c>
    </row>
    <row r="61" spans="1:147" s="16" customFormat="1" x14ac:dyDescent="0.25">
      <c r="A61" s="627">
        <f>Rezone!J61</f>
        <v>59</v>
      </c>
      <c r="B61" s="56">
        <f ca="1">SUM(E61:K61)+SUM(AF53:AG61)+SUM(AH50:AL61)+Z61+Explore!AL61</f>
        <v>5295</v>
      </c>
      <c r="C61" s="97">
        <f ca="1">Population!G61</f>
        <v>0.74159663865546221</v>
      </c>
      <c r="E61" s="52">
        <f t="shared" si="105"/>
        <v>0</v>
      </c>
      <c r="F61" s="16">
        <f t="shared" si="106"/>
        <v>0</v>
      </c>
      <c r="G61" s="16">
        <f t="shared" si="107"/>
        <v>0</v>
      </c>
      <c r="H61" s="16">
        <f t="shared" si="108"/>
        <v>0</v>
      </c>
      <c r="I61" s="16">
        <f t="shared" si="109"/>
        <v>0</v>
      </c>
      <c r="J61" s="16">
        <f t="shared" si="110"/>
        <v>0</v>
      </c>
      <c r="K61" s="53">
        <f t="shared" si="111"/>
        <v>0</v>
      </c>
      <c r="M61" s="64">
        <f ca="1">Production!G61</f>
        <v>20900</v>
      </c>
      <c r="O61" s="142">
        <f t="shared" ca="1" si="77"/>
        <v>0</v>
      </c>
      <c r="P61" s="454">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8"/>
        <v>5295</v>
      </c>
      <c r="T61" s="1047">
        <f ca="1">race_defense+Imps!AC61+ROUND(MIN(gt_bonus*Construction!BH61/Construction!$E61,gt_bonus_cap),4)+MAX(IF(Magic!AM61&gt;0,frenzy_bonus,IF(Magic!AQ61&gt;0,blizzard_bonus,IF(Magic!AP61&gt;0,howling_dp_bonus,IF(Magic!AI61&gt;0,ares_call_bonus)))),IF(Magic!AX61&gt;0,MIN(Construction!DF61/Construction!E61,0.2),0))</f>
        <v>0</v>
      </c>
      <c r="U61" s="1041">
        <f t="shared" ca="1" si="47"/>
        <v>0</v>
      </c>
      <c r="V61" s="310">
        <f t="shared" ca="1" si="48"/>
        <v>5295</v>
      </c>
      <c r="W61" s="310">
        <f>Construction!E61</f>
        <v>1000</v>
      </c>
      <c r="X61" s="367"/>
      <c r="Y61" s="146">
        <f t="shared" si="76"/>
        <v>0.4</v>
      </c>
      <c r="Z61" s="166">
        <f ca="1">Z60+Population!Z60 - IF(race="Lux",AF61,SUM(AF61:AK61)) - BE61 + SUM(BF61:BL61) - Explore!AI61</f>
        <v>5295</v>
      </c>
      <c r="AA61" s="164"/>
      <c r="AB61" s="91">
        <f>(Construction!$BA61+Construction!BY61)/(Construction!$E61-Explore!S61*20)</f>
        <v>0</v>
      </c>
      <c r="AC61" s="1516">
        <f ca="1">Imps!AE61</f>
        <v>0</v>
      </c>
      <c r="AD61" s="795">
        <f>Rezone!J61</f>
        <v>59</v>
      </c>
      <c r="AE61" s="587">
        <f>Explore!AA61</f>
        <v>43768.604166666526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9"/>
        <v>0</v>
      </c>
      <c r="AV61" s="164">
        <f t="shared" ca="1" si="80"/>
        <v>0</v>
      </c>
      <c r="AW61" s="164">
        <f t="shared" ca="1" si="50"/>
        <v>0</v>
      </c>
      <c r="AX61" s="164">
        <f t="shared" ca="1" si="51"/>
        <v>0</v>
      </c>
      <c r="AY61" s="164">
        <f t="shared" ca="1" si="52"/>
        <v>0</v>
      </c>
      <c r="AZ61" s="164">
        <f t="shared" ca="1" si="53"/>
        <v>0</v>
      </c>
      <c r="BA61" s="166">
        <f t="shared" ca="1" si="54"/>
        <v>0</v>
      </c>
      <c r="BB61" s="16">
        <v>59</v>
      </c>
      <c r="BC61" s="572">
        <f t="shared" si="73"/>
        <v>43768.604166666526</v>
      </c>
      <c r="BD61" s="148">
        <f t="shared" ca="1" si="74"/>
        <v>5295</v>
      </c>
      <c r="BE61" s="356"/>
      <c r="BF61" s="348"/>
      <c r="BG61" s="348"/>
      <c r="BH61" s="348"/>
      <c r="BI61" s="348"/>
      <c r="BJ61" s="348"/>
      <c r="BK61" s="348"/>
      <c r="BL61" s="357"/>
      <c r="BN61" s="501">
        <f>Construction!BM61/Construction!E61</f>
        <v>0</v>
      </c>
      <c r="BO61" s="171">
        <f>Construction!BD61/Construction!E61</f>
        <v>0</v>
      </c>
      <c r="BP61" s="152">
        <f ca="1">ROUNDUP((1-MIN(AB61*smithy_bonus,smithy_bonus_cap)-AC61)*(1+Techs!AO61*tech_master_of_frugality)*spec_op_plat,0)</f>
        <v>275</v>
      </c>
      <c r="BQ61" s="164">
        <f ca="1">ROUNDUP(IF(OR(race="Gnome",race="Imperial Gnome"),1-AC61,(1-MIN(AB61*smithy_bonus,smithy_bonus_cap)-AC61)*(1+Techs!AO61*tech_master_of_frugality))*spec_op_ore,0)</f>
        <v>25</v>
      </c>
      <c r="BR61" s="164">
        <f t="shared" si="6"/>
        <v>0</v>
      </c>
      <c r="BS61" s="164">
        <f t="shared" si="7"/>
        <v>0</v>
      </c>
      <c r="BT61" s="164">
        <f ca="1">ROUNDUP((1-MIN(AB61*smithy_bonus,smithy_bonus_cap)-AC61)*(1+Techs!AO61*tech_master_of_frugality)*spec_dp_plat,0)</f>
        <v>275</v>
      </c>
      <c r="BU61" s="164">
        <f ca="1">ROUNDUP(IF(OR(race="Gnome",race="Imperial Gnome"),1-AC61,(1-MIN(AB61*smithy_bonus,smithy_bonus_cap)-AC61)*(1+Techs!AO61*tech_master_of_frugality))*spec_dp_ore,0)</f>
        <v>10</v>
      </c>
      <c r="BV61" s="164">
        <f t="shared" ca="1" si="8"/>
        <v>0</v>
      </c>
      <c r="BW61" s="164">
        <f t="shared" ca="1" si="9"/>
        <v>0</v>
      </c>
      <c r="BX61" s="164">
        <f t="shared" ca="1" si="10"/>
        <v>0</v>
      </c>
      <c r="BY61" s="164">
        <f ca="1">ROUNDUP((1-MIN(AB61*smithy_bonus,smithy_bonus_cap)-AC61)*(1+Techs!AO61*tech_master_of_frugality)*elite1_plat,0)</f>
        <v>1000</v>
      </c>
      <c r="BZ61" s="164">
        <f ca="1">ROUNDUP(IF(OR(race="Gnome",race="Imperial Gnome"),1-AC61,(1-MIN(AB61*smithy_bonus,smithy_bonus_cap)-AC61)*(1+Techs!AO61*tech_master_of_frugality))*elite1_ore,0)</f>
        <v>75</v>
      </c>
      <c r="CA61" s="164">
        <f t="shared" ca="1" si="55"/>
        <v>0</v>
      </c>
      <c r="CB61" s="164">
        <f t="shared" ca="1" si="12"/>
        <v>0</v>
      </c>
      <c r="CC61" s="164">
        <f t="shared" ca="1" si="13"/>
        <v>0</v>
      </c>
      <c r="CD61" s="164">
        <f t="shared" ca="1" si="14"/>
        <v>0</v>
      </c>
      <c r="CE61" s="164">
        <f t="shared" ca="1" si="15"/>
        <v>0</v>
      </c>
      <c r="CF61" s="164">
        <f ca="1">ROUNDUP((1-MIN(AB61*smithy_bonus,smithy_bonus_cap)-AC61)*(1+Techs!AO61*tech_master_of_frugality)*elite2_plat,0)</f>
        <v>1250</v>
      </c>
      <c r="CG61" s="164">
        <f ca="1">ROUNDUP(IF(OR(race="Gnome",race="Imperial Gnome"),1-AC61,(1-MIN(AB61*smithy_bonus,smithy_bonus_cap)-AC61)*(1+Techs!AO61*tech_master_of_frugality))*elite2_ore,0)</f>
        <v>100</v>
      </c>
      <c r="CH61" s="164">
        <f t="shared" ca="1" si="56"/>
        <v>0</v>
      </c>
      <c r="CI61" s="164">
        <f t="shared" ca="1" si="17"/>
        <v>0</v>
      </c>
      <c r="CJ61" s="164">
        <f t="shared" ca="1" si="18"/>
        <v>0</v>
      </c>
      <c r="CK61" s="164">
        <f t="shared" ca="1" si="19"/>
        <v>0</v>
      </c>
      <c r="CL61" s="164">
        <f t="shared" ca="1" si="20"/>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4">
        <f ca="1">Construction!DF61/Construction!E61</f>
        <v>0.15</v>
      </c>
      <c r="CR61" s="465">
        <f t="shared" si="75"/>
        <v>0</v>
      </c>
      <c r="CS61" s="465">
        <f>Construction!BK61/Construction!E61</f>
        <v>0.05</v>
      </c>
      <c r="CT61" s="465">
        <f>Construction!BJ61/Construction!E61</f>
        <v>0</v>
      </c>
      <c r="CU61" s="465">
        <f>Construction!AY61/Construction!E61</f>
        <v>0</v>
      </c>
      <c r="CV61" s="486">
        <f t="shared" ca="1" si="81"/>
        <v>0.74999999999999989</v>
      </c>
      <c r="CW61" s="487">
        <f t="shared" ca="1" si="82"/>
        <v>0.74999999999999989</v>
      </c>
      <c r="CX61" s="487">
        <f t="shared" ca="1" si="83"/>
        <v>0.74999999999999989</v>
      </c>
      <c r="CY61" s="488">
        <f t="shared" ca="1" si="84"/>
        <v>0.74999999999999989</v>
      </c>
      <c r="CZ61" s="488">
        <f t="shared" si="85"/>
        <v>0</v>
      </c>
      <c r="DA61" s="488">
        <f t="shared" ca="1" si="86"/>
        <v>2.9999999999999996</v>
      </c>
      <c r="DB61" s="488">
        <f t="shared" ca="1" si="87"/>
        <v>0.74999999999999989</v>
      </c>
      <c r="DC61" s="487">
        <f t="shared" si="88"/>
        <v>0</v>
      </c>
      <c r="DD61" s="843">
        <f t="shared" si="89"/>
        <v>0</v>
      </c>
      <c r="DE61" s="441">
        <f t="shared" si="58"/>
        <v>0</v>
      </c>
      <c r="DF61" s="441">
        <f t="shared" si="59"/>
        <v>0</v>
      </c>
      <c r="DG61" s="486">
        <f t="shared" ca="1" si="90"/>
        <v>0.74999999999999989</v>
      </c>
      <c r="DH61" s="451">
        <f t="shared" si="91"/>
        <v>0</v>
      </c>
      <c r="DI61" s="451">
        <f>MIN(valkyrja_cap,Production!O61/valkyrja_bonus)</f>
        <v>1</v>
      </c>
      <c r="DJ61" s="843">
        <f>MIN(voodoo_magi_cap,Production!O61/voodoo_magi_bonus)</f>
        <v>0.83333333333333337</v>
      </c>
      <c r="DK61" s="843">
        <f>MIN(warlock_cap,Production!O61/warlock_bonus)</f>
        <v>1</v>
      </c>
      <c r="DL61" s="843">
        <f ca="1">MIN(nox_nightshade_cap,Construction!DF61/Construction!E61/nox_nightshade_swamp_bonus)</f>
        <v>1.4999999999999998</v>
      </c>
      <c r="DM61" s="487">
        <f t="shared" si="92"/>
        <v>0</v>
      </c>
      <c r="DN61" s="488">
        <f t="shared" ca="1" si="93"/>
        <v>1.4999999999999998</v>
      </c>
      <c r="DO61" s="488">
        <f t="shared" ca="1" si="94"/>
        <v>1.4999999999999998</v>
      </c>
      <c r="DP61" s="488">
        <f t="shared" si="95"/>
        <v>1</v>
      </c>
      <c r="DQ61" s="487">
        <f t="shared" si="96"/>
        <v>0</v>
      </c>
      <c r="DR61" s="488">
        <f t="shared" si="97"/>
        <v>0</v>
      </c>
      <c r="DS61" s="487">
        <f t="shared" si="98"/>
        <v>0</v>
      </c>
      <c r="DT61" s="488">
        <f t="shared" si="99"/>
        <v>0</v>
      </c>
      <c r="DX61" s="486">
        <f ca="1">MIN(6,CV61+Races!$F$19)*1.8 +  IF(CV61+Races!$F$19&gt;6,(CV61+Races!$F$19-6)*0.2,0) - Races!$N$19</f>
        <v>1.3500000000000005</v>
      </c>
      <c r="DY61" s="487">
        <f ca="1">1.8 * MIN(MAX(CW61+Races!$E$20,CX61+Races!$F$20),6)  +  0.45 * MIN(MIN(CW61+Races!$E$20,CX61+Races!$F$20),6)  +  0.2 * ( MAX(CW61+Races!$E$20-6,0) + MAX(CX61+Races!$F$20-6,0) )  -  Races!$N$20</f>
        <v>1.6874999999999991</v>
      </c>
      <c r="DZ61" s="57">
        <f t="shared" ca="1" si="100"/>
        <v>0</v>
      </c>
      <c r="EA61" s="663">
        <f ca="1">MIN(6,CY61+Races!$F$35)*1.8 +  IF(CY61+Races!$F$35&gt;6,(CY61+Races!$F$35-6)*0.2,0) - Races!$N$19</f>
        <v>-0.45000000000000018</v>
      </c>
      <c r="EB61" s="57">
        <f t="shared" ca="1" si="101"/>
        <v>0</v>
      </c>
      <c r="EC61" s="663">
        <f ca="1">1.8 * MIN(MAX(Races!$E$27,DB61+Races!$F$27),6)  +  0.45 * MIN(MIN(Races!$E$27,DB61+Races!$F$27),6)  +  0.2 * ( MAX(Races!$E$27-6,0) + MAX(DB61+Races!$F$27-6,0) )  -  Races!$N$20</f>
        <v>3.6000000000000005</v>
      </c>
      <c r="ED61" s="57">
        <f t="shared" ca="1" si="102"/>
        <v>0</v>
      </c>
      <c r="EE61" s="663">
        <f>1.8 * MIN(MAX(DC61+Races!$E$47,DD61+Races!$F$47),6)  +  0.45 * MIN(MIN(DC61+Races!$E$47,DD61+Races!$F$47),6)  +  0.2 * ( MAX(DC61+Races!$E$47-6,0) + MAX(DD61+Races!$F$47-6,0) )  -  Races!$N$47</f>
        <v>0</v>
      </c>
      <c r="EF61" s="57">
        <f t="shared" si="103"/>
        <v>0</v>
      </c>
      <c r="EG61" s="663">
        <f ca="1">1.8 * MIN(MAX(DG61+Races!$F$71,Races!$E$71),6)  +  0.45 * MIN(MIN(DG61+Races!$F$71,Races!$E$71),6)  +  0.2 * ( MAX(DG61+Races!$F$71-6,0) + MAX(Races!$E$71-6,0) )  -  Races!$N$71</f>
        <v>1.3499999999999996</v>
      </c>
      <c r="EH61" s="663">
        <f>1.8 * MIN(MAX(DH61+Races!$E$71,Races!$F$71),6)  +  0.45 * MIN(MIN(DH61+Races!$E$71,Races!$F$71),6)  +  0.2 * ( MAX(DH61+Races!$E$71-6,0) + MAX(Races!$F$71-6,0) )  -  Races!$N$71</f>
        <v>0</v>
      </c>
      <c r="EI61" s="57">
        <f t="shared" ca="1" si="104"/>
        <v>0</v>
      </c>
      <c r="EJ61" s="57"/>
      <c r="EK61" s="57"/>
      <c r="EL61" s="57"/>
      <c r="EM61" s="57">
        <f ca="1">Overview!$L$22*E61+Overview!$L$23*F61+Overview!$L$24*G61+Overview!$L$25*H61+Overview!$L$26*I61+Overview!$L$27*J61+Overview!$L$28*K61+Construction!E61*20+Construction!B61*5 + DZ61*$DV$4+EB61*$DV$5+ED61*$DV$6+EF61*$DV$7+EI61*$DV$9</f>
        <v>20900</v>
      </c>
      <c r="EO61" s="734">
        <f>(J61+2*K61)/Construction!E61</f>
        <v>0</v>
      </c>
      <c r="EP61" s="730">
        <f ca="1">EO61*(1+race_wizard_strength+tech_magical_weaponry_wiz*Techs!AV133)</f>
        <v>0</v>
      </c>
      <c r="EQ61" s="16">
        <f>(I61+halfer*H61/3)/Construction!E61</f>
        <v>0</v>
      </c>
    </row>
    <row r="62" spans="1:147" s="16" customFormat="1" x14ac:dyDescent="0.25">
      <c r="A62" s="627">
        <f>Rezone!J62</f>
        <v>60</v>
      </c>
      <c r="B62" s="56">
        <f ca="1">SUM(E62:K62)+SUM(AF54:AG62)+SUM(AH51:AL62)+Z62+Explore!AL62</f>
        <v>5295</v>
      </c>
      <c r="C62" s="97">
        <f ca="1">Population!G62</f>
        <v>0.74159663865546221</v>
      </c>
      <c r="E62" s="52">
        <f t="shared" si="105"/>
        <v>0</v>
      </c>
      <c r="F62" s="16">
        <f t="shared" si="106"/>
        <v>0</v>
      </c>
      <c r="G62" s="16">
        <f t="shared" si="107"/>
        <v>0</v>
      </c>
      <c r="H62" s="16">
        <f t="shared" si="108"/>
        <v>0</v>
      </c>
      <c r="I62" s="16">
        <f t="shared" si="109"/>
        <v>0</v>
      </c>
      <c r="J62" s="16">
        <f t="shared" si="110"/>
        <v>0</v>
      </c>
      <c r="K62" s="53">
        <f t="shared" si="111"/>
        <v>0</v>
      </c>
      <c r="M62" s="64">
        <f ca="1">Production!G62</f>
        <v>20900</v>
      </c>
      <c r="O62" s="142">
        <f t="shared" ca="1" si="77"/>
        <v>0</v>
      </c>
      <c r="P62" s="454">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8"/>
        <v>5295</v>
      </c>
      <c r="T62" s="1047">
        <f ca="1">race_defense+Imps!AC62+ROUND(MIN(gt_bonus*Construction!BH62/Construction!$E62,gt_bonus_cap),4)+MAX(IF(Magic!AM62&gt;0,frenzy_bonus,IF(Magic!AQ62&gt;0,blizzard_bonus,IF(Magic!AP62&gt;0,howling_dp_bonus,IF(Magic!AI62&gt;0,ares_call_bonus)))),IF(Magic!AX62&gt;0,MIN(Construction!DF62/Construction!E62,0.2),0))</f>
        <v>0</v>
      </c>
      <c r="U62" s="1041">
        <f t="shared" ca="1" si="47"/>
        <v>0</v>
      </c>
      <c r="V62" s="310">
        <f t="shared" ca="1" si="48"/>
        <v>5295</v>
      </c>
      <c r="W62" s="310">
        <f>Construction!E62</f>
        <v>1000</v>
      </c>
      <c r="X62" s="367"/>
      <c r="Y62" s="146">
        <f t="shared" si="76"/>
        <v>0.4</v>
      </c>
      <c r="Z62" s="166">
        <f ca="1">Z61+Population!Z61 - IF(race="Lux",AF62,SUM(AF62:AK62)) - BE62 + SUM(BF62:BL62) - Explore!AI62</f>
        <v>5295</v>
      </c>
      <c r="AA62" s="164"/>
      <c r="AB62" s="91">
        <f>(Construction!$BA62+Construction!BY62)/(Construction!$E62-Explore!S62*20)</f>
        <v>0</v>
      </c>
      <c r="AC62" s="1516">
        <f ca="1">Imps!AE62</f>
        <v>0</v>
      </c>
      <c r="AD62" s="795">
        <f>Rezone!J62</f>
        <v>60</v>
      </c>
      <c r="AE62" s="587">
        <f>Explore!AA62</f>
        <v>43768.61458333319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9"/>
        <v>0</v>
      </c>
      <c r="AV62" s="164">
        <f t="shared" ca="1" si="80"/>
        <v>0</v>
      </c>
      <c r="AW62" s="164">
        <f t="shared" ca="1" si="50"/>
        <v>0</v>
      </c>
      <c r="AX62" s="164">
        <f t="shared" ca="1" si="51"/>
        <v>0</v>
      </c>
      <c r="AY62" s="164">
        <f t="shared" ca="1" si="52"/>
        <v>0</v>
      </c>
      <c r="AZ62" s="164">
        <f t="shared" ca="1" si="53"/>
        <v>0</v>
      </c>
      <c r="BA62" s="166">
        <f t="shared" ca="1" si="54"/>
        <v>0</v>
      </c>
      <c r="BB62" s="16">
        <v>60</v>
      </c>
      <c r="BC62" s="572">
        <f t="shared" si="73"/>
        <v>43768.61458333319</v>
      </c>
      <c r="BD62" s="148">
        <f t="shared" ca="1" si="74"/>
        <v>5295</v>
      </c>
      <c r="BE62" s="356"/>
      <c r="BF62" s="348"/>
      <c r="BG62" s="348"/>
      <c r="BH62" s="348"/>
      <c r="BI62" s="348"/>
      <c r="BJ62" s="348"/>
      <c r="BK62" s="348"/>
      <c r="BL62" s="357"/>
      <c r="BN62" s="501">
        <f>Construction!BM62/Construction!E62</f>
        <v>0</v>
      </c>
      <c r="BO62" s="171">
        <f>Construction!BD62/Construction!E62</f>
        <v>0</v>
      </c>
      <c r="BP62" s="152">
        <f ca="1">ROUNDUP((1-MIN(AB62*smithy_bonus,smithy_bonus_cap)-AC62)*(1+Techs!AO62*tech_master_of_frugality)*spec_op_plat,0)</f>
        <v>275</v>
      </c>
      <c r="BQ62" s="164">
        <f ca="1">ROUNDUP(IF(OR(race="Gnome",race="Imperial Gnome"),1-AC62,(1-MIN(AB62*smithy_bonus,smithy_bonus_cap)-AC62)*(1+Techs!AO62*tech_master_of_frugality))*spec_op_ore,0)</f>
        <v>25</v>
      </c>
      <c r="BR62" s="164">
        <f t="shared" si="6"/>
        <v>0</v>
      </c>
      <c r="BS62" s="164">
        <f t="shared" si="7"/>
        <v>0</v>
      </c>
      <c r="BT62" s="164">
        <f ca="1">ROUNDUP((1-MIN(AB62*smithy_bonus,smithy_bonus_cap)-AC62)*(1+Techs!AO62*tech_master_of_frugality)*spec_dp_plat,0)</f>
        <v>275</v>
      </c>
      <c r="BU62" s="164">
        <f ca="1">ROUNDUP(IF(OR(race="Gnome",race="Imperial Gnome"),1-AC62,(1-MIN(AB62*smithy_bonus,smithy_bonus_cap)-AC62)*(1+Techs!AO62*tech_master_of_frugality))*spec_dp_ore,0)</f>
        <v>10</v>
      </c>
      <c r="BV62" s="164">
        <f t="shared" ca="1" si="8"/>
        <v>0</v>
      </c>
      <c r="BW62" s="164">
        <f t="shared" ca="1" si="9"/>
        <v>0</v>
      </c>
      <c r="BX62" s="164">
        <f t="shared" ca="1" si="10"/>
        <v>0</v>
      </c>
      <c r="BY62" s="164">
        <f ca="1">ROUNDUP((1-MIN(AB62*smithy_bonus,smithy_bonus_cap)-AC62)*(1+Techs!AO62*tech_master_of_frugality)*elite1_plat,0)</f>
        <v>1000</v>
      </c>
      <c r="BZ62" s="164">
        <f ca="1">ROUNDUP(IF(OR(race="Gnome",race="Imperial Gnome"),1-AC62,(1-MIN(AB62*smithy_bonus,smithy_bonus_cap)-AC62)*(1+Techs!AO62*tech_master_of_frugality))*elite1_ore,0)</f>
        <v>75</v>
      </c>
      <c r="CA62" s="164">
        <f t="shared" ca="1" si="55"/>
        <v>0</v>
      </c>
      <c r="CB62" s="164">
        <f t="shared" ca="1" si="12"/>
        <v>0</v>
      </c>
      <c r="CC62" s="164">
        <f t="shared" ca="1" si="13"/>
        <v>0</v>
      </c>
      <c r="CD62" s="164">
        <f t="shared" ca="1" si="14"/>
        <v>0</v>
      </c>
      <c r="CE62" s="164">
        <f t="shared" ca="1" si="15"/>
        <v>0</v>
      </c>
      <c r="CF62" s="164">
        <f ca="1">ROUNDUP((1-MIN(AB62*smithy_bonus,smithy_bonus_cap)-AC62)*(1+Techs!AO62*tech_master_of_frugality)*elite2_plat,0)</f>
        <v>1250</v>
      </c>
      <c r="CG62" s="164">
        <f ca="1">ROUNDUP(IF(OR(race="Gnome",race="Imperial Gnome"),1-AC62,(1-MIN(AB62*smithy_bonus,smithy_bonus_cap)-AC62)*(1+Techs!AO62*tech_master_of_frugality))*elite2_ore,0)</f>
        <v>100</v>
      </c>
      <c r="CH62" s="164">
        <f t="shared" ca="1" si="56"/>
        <v>0</v>
      </c>
      <c r="CI62" s="164">
        <f t="shared" ca="1" si="17"/>
        <v>0</v>
      </c>
      <c r="CJ62" s="164">
        <f t="shared" ca="1" si="18"/>
        <v>0</v>
      </c>
      <c r="CK62" s="164">
        <f t="shared" ca="1" si="19"/>
        <v>0</v>
      </c>
      <c r="CL62" s="164">
        <f t="shared" ca="1" si="20"/>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4">
        <f ca="1">Construction!DF62/Construction!E62</f>
        <v>0.15</v>
      </c>
      <c r="CR62" s="465">
        <f t="shared" si="75"/>
        <v>0</v>
      </c>
      <c r="CS62" s="465">
        <f>Construction!BK62/Construction!E62</f>
        <v>0.05</v>
      </c>
      <c r="CT62" s="465">
        <f>Construction!BJ62/Construction!E62</f>
        <v>0</v>
      </c>
      <c r="CU62" s="465">
        <f>Construction!AY62/Construction!E62</f>
        <v>0</v>
      </c>
      <c r="CV62" s="486">
        <f t="shared" ca="1" si="81"/>
        <v>0.74999999999999989</v>
      </c>
      <c r="CW62" s="487">
        <f t="shared" ca="1" si="82"/>
        <v>0.74999999999999989</v>
      </c>
      <c r="CX62" s="487">
        <f t="shared" ca="1" si="83"/>
        <v>0.74999999999999989</v>
      </c>
      <c r="CY62" s="488">
        <f t="shared" ca="1" si="84"/>
        <v>0.74999999999999989</v>
      </c>
      <c r="CZ62" s="488">
        <f t="shared" si="85"/>
        <v>0</v>
      </c>
      <c r="DA62" s="488">
        <f t="shared" ca="1" si="86"/>
        <v>2.9999999999999996</v>
      </c>
      <c r="DB62" s="488">
        <f t="shared" ca="1" si="87"/>
        <v>0.74999999999999989</v>
      </c>
      <c r="DC62" s="487">
        <f t="shared" si="88"/>
        <v>0</v>
      </c>
      <c r="DD62" s="843">
        <f t="shared" si="89"/>
        <v>0</v>
      </c>
      <c r="DE62" s="441">
        <f t="shared" si="58"/>
        <v>0</v>
      </c>
      <c r="DF62" s="441">
        <f t="shared" si="59"/>
        <v>0</v>
      </c>
      <c r="DG62" s="486">
        <f t="shared" ca="1" si="90"/>
        <v>0.74999999999999989</v>
      </c>
      <c r="DH62" s="451">
        <f t="shared" si="91"/>
        <v>0</v>
      </c>
      <c r="DI62" s="451">
        <f>MIN(valkyrja_cap,Production!O62/valkyrja_bonus)</f>
        <v>1</v>
      </c>
      <c r="DJ62" s="843">
        <f>MIN(voodoo_magi_cap,Production!O62/voodoo_magi_bonus)</f>
        <v>0.83333333333333337</v>
      </c>
      <c r="DK62" s="843">
        <f>MIN(warlock_cap,Production!O62/warlock_bonus)</f>
        <v>1</v>
      </c>
      <c r="DL62" s="843">
        <f ca="1">MIN(nox_nightshade_cap,Construction!DF62/Construction!E62/nox_nightshade_swamp_bonus)</f>
        <v>1.4999999999999998</v>
      </c>
      <c r="DM62" s="487">
        <f t="shared" si="92"/>
        <v>0</v>
      </c>
      <c r="DN62" s="488">
        <f t="shared" ca="1" si="93"/>
        <v>1.4999999999999998</v>
      </c>
      <c r="DO62" s="488">
        <f t="shared" ca="1" si="94"/>
        <v>1.4999999999999998</v>
      </c>
      <c r="DP62" s="488">
        <f t="shared" si="95"/>
        <v>1</v>
      </c>
      <c r="DQ62" s="487">
        <f t="shared" si="96"/>
        <v>0</v>
      </c>
      <c r="DR62" s="488">
        <f t="shared" si="97"/>
        <v>0</v>
      </c>
      <c r="DS62" s="487">
        <f t="shared" si="98"/>
        <v>0</v>
      </c>
      <c r="DT62" s="488">
        <f t="shared" si="99"/>
        <v>0</v>
      </c>
      <c r="DX62" s="486">
        <f ca="1">MIN(6,CV62+Races!$F$19)*1.8 +  IF(CV62+Races!$F$19&gt;6,(CV62+Races!$F$19-6)*0.2,0) - Races!$N$19</f>
        <v>1.3500000000000005</v>
      </c>
      <c r="DY62" s="487">
        <f ca="1">1.8 * MIN(MAX(CW62+Races!$E$20,CX62+Races!$F$20),6)  +  0.45 * MIN(MIN(CW62+Races!$E$20,CX62+Races!$F$20),6)  +  0.2 * ( MAX(CW62+Races!$E$20-6,0) + MAX(CX62+Races!$F$20-6,0) )  -  Races!$N$20</f>
        <v>1.6874999999999991</v>
      </c>
      <c r="DZ62" s="57">
        <f t="shared" ca="1" si="100"/>
        <v>0</v>
      </c>
      <c r="EA62" s="663">
        <f ca="1">MIN(6,CY62+Races!$F$35)*1.8 +  IF(CY62+Races!$F$35&gt;6,(CY62+Races!$F$35-6)*0.2,0) - Races!$N$19</f>
        <v>-0.45000000000000018</v>
      </c>
      <c r="EB62" s="57">
        <f t="shared" ca="1" si="101"/>
        <v>0</v>
      </c>
      <c r="EC62" s="663">
        <f ca="1">1.8 * MIN(MAX(Races!$E$27,DB62+Races!$F$27),6)  +  0.45 * MIN(MIN(Races!$E$27,DB62+Races!$F$27),6)  +  0.2 * ( MAX(Races!$E$27-6,0) + MAX(DB62+Races!$F$27-6,0) )  -  Races!$N$20</f>
        <v>3.6000000000000005</v>
      </c>
      <c r="ED62" s="57">
        <f t="shared" ca="1" si="102"/>
        <v>0</v>
      </c>
      <c r="EE62" s="663">
        <f>1.8 * MIN(MAX(DC62+Races!$E$47,DD62+Races!$F$47),6)  +  0.45 * MIN(MIN(DC62+Races!$E$47,DD62+Races!$F$47),6)  +  0.2 * ( MAX(DC62+Races!$E$47-6,0) + MAX(DD62+Races!$F$47-6,0) )  -  Races!$N$47</f>
        <v>0</v>
      </c>
      <c r="EF62" s="57">
        <f t="shared" si="103"/>
        <v>0</v>
      </c>
      <c r="EG62" s="663">
        <f ca="1">1.8 * MIN(MAX(DG62+Races!$F$71,Races!$E$71),6)  +  0.45 * MIN(MIN(DG62+Races!$F$71,Races!$E$71),6)  +  0.2 * ( MAX(DG62+Races!$F$71-6,0) + MAX(Races!$E$71-6,0) )  -  Races!$N$71</f>
        <v>1.3499999999999996</v>
      </c>
      <c r="EH62" s="663">
        <f>1.8 * MIN(MAX(DH62+Races!$E$71,Races!$F$71),6)  +  0.45 * MIN(MIN(DH62+Races!$E$71,Races!$F$71),6)  +  0.2 * ( MAX(DH62+Races!$E$71-6,0) + MAX(Races!$F$71-6,0) )  -  Races!$N$71</f>
        <v>0</v>
      </c>
      <c r="EI62" s="57">
        <f t="shared" ca="1" si="104"/>
        <v>0</v>
      </c>
      <c r="EJ62" s="57"/>
      <c r="EK62" s="57"/>
      <c r="EL62" s="57"/>
      <c r="EM62" s="57">
        <f ca="1">Overview!$L$22*E62+Overview!$L$23*F62+Overview!$L$24*G62+Overview!$L$25*H62+Overview!$L$26*I62+Overview!$L$27*J62+Overview!$L$28*K62+Construction!E62*20+Construction!B62*5 + DZ62*$DV$4+EB62*$DV$5+ED62*$DV$6+EF62*$DV$7+EI62*$DV$9</f>
        <v>20900</v>
      </c>
      <c r="EO62" s="734">
        <f>(J62+2*K62)/Construction!E62</f>
        <v>0</v>
      </c>
      <c r="EP62" s="730">
        <f ca="1">EO62*(1+race_wizard_strength+tech_magical_weaponry_wiz*Techs!AV134)</f>
        <v>0</v>
      </c>
      <c r="EQ62" s="16">
        <f>(I62+halfer*H62/3)/Construction!E62</f>
        <v>0</v>
      </c>
    </row>
    <row r="63" spans="1:147" s="12" customFormat="1" x14ac:dyDescent="0.25">
      <c r="A63" s="319">
        <f>Rezone!J63</f>
        <v>61</v>
      </c>
      <c r="B63" s="54">
        <f ca="1">SUM(E63:K63)+SUM(AF55:AG63)+SUM(AH52:AL63)+Z63+Explore!AL63</f>
        <v>5295</v>
      </c>
      <c r="C63" s="96">
        <f ca="1">Population!G63</f>
        <v>0.74159663865546221</v>
      </c>
      <c r="D63" s="286"/>
      <c r="E63" s="50">
        <f t="shared" si="105"/>
        <v>0</v>
      </c>
      <c r="F63" s="12">
        <f t="shared" si="106"/>
        <v>0</v>
      </c>
      <c r="G63" s="12">
        <f t="shared" si="107"/>
        <v>0</v>
      </c>
      <c r="H63" s="12">
        <f t="shared" si="108"/>
        <v>0</v>
      </c>
      <c r="I63" s="12">
        <f t="shared" si="109"/>
        <v>0</v>
      </c>
      <c r="J63" s="12">
        <f t="shared" si="110"/>
        <v>0</v>
      </c>
      <c r="K63" s="51">
        <f t="shared" si="111"/>
        <v>0</v>
      </c>
      <c r="L63" s="286"/>
      <c r="M63" s="93">
        <f ca="1">Production!G63</f>
        <v>20900</v>
      </c>
      <c r="N63" s="286"/>
      <c r="O63" s="141">
        <f t="shared" ca="1" si="77"/>
        <v>0</v>
      </c>
      <c r="P63" s="446">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8"/>
        <v>5295</v>
      </c>
      <c r="T63" s="1171">
        <f ca="1">race_defense+Imps!AC63+ROUND(MIN(gt_bonus*Construction!BH63/Construction!$E63,gt_bonus_cap),4)+MAX(IF(Magic!AM63&gt;0,frenzy_bonus,IF(Magic!AQ63&gt;0,blizzard_bonus,IF(Magic!AP63&gt;0,howling_dp_bonus,IF(Magic!AI63&gt;0,ares_call_bonus)))),IF(Magic!AX63&gt;0,MIN(Construction!DF63/Construction!E63,0.2),0))</f>
        <v>0</v>
      </c>
      <c r="U63" s="1042">
        <f t="shared" ca="1" si="47"/>
        <v>0</v>
      </c>
      <c r="V63" s="311">
        <f t="shared" ca="1" si="48"/>
        <v>5295</v>
      </c>
      <c r="W63" s="311">
        <f>Construction!E63</f>
        <v>1000</v>
      </c>
      <c r="X63" s="368"/>
      <c r="Y63" s="145">
        <f t="shared" si="76"/>
        <v>0.4</v>
      </c>
      <c r="Z63" s="158">
        <f ca="1">Z62+Population!Z62 - IF(race="Lux",AF63,SUM(AF63:AK63)) - BE63 + SUM(BF63:BL63) - Explore!AI63</f>
        <v>5295</v>
      </c>
      <c r="AA63" s="153"/>
      <c r="AB63" s="306">
        <f>(Construction!$BA63+Construction!BY63)/(Construction!$E63-Explore!S63*20)</f>
        <v>0</v>
      </c>
      <c r="AC63" s="1519">
        <f ca="1">Imps!AE63</f>
        <v>0</v>
      </c>
      <c r="AD63" s="1059">
        <f>Rezone!J63</f>
        <v>61</v>
      </c>
      <c r="AE63" s="586">
        <f>Explore!AA63</f>
        <v>43768.624999999854</v>
      </c>
      <c r="AF63" s="373"/>
      <c r="AG63" s="517"/>
      <c r="AH63" s="349"/>
      <c r="AI63" s="517"/>
      <c r="AJ63" s="517"/>
      <c r="AK63" s="517"/>
      <c r="AL63" s="374"/>
      <c r="AM63" s="1058"/>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9"/>
        <v>0</v>
      </c>
      <c r="AV63" s="153">
        <f t="shared" ca="1" si="80"/>
        <v>0</v>
      </c>
      <c r="AW63" s="153">
        <f t="shared" ca="1" si="50"/>
        <v>0</v>
      </c>
      <c r="AX63" s="153">
        <f t="shared" ca="1" si="51"/>
        <v>0</v>
      </c>
      <c r="AY63" s="153">
        <f t="shared" ca="1" si="52"/>
        <v>0</v>
      </c>
      <c r="AZ63" s="153">
        <f t="shared" ca="1" si="53"/>
        <v>0</v>
      </c>
      <c r="BA63" s="158">
        <f t="shared" ca="1" si="54"/>
        <v>0</v>
      </c>
      <c r="BB63" s="12">
        <v>61</v>
      </c>
      <c r="BC63" s="676">
        <f t="shared" si="73"/>
        <v>43768.624999999854</v>
      </c>
      <c r="BD63" s="149">
        <f t="shared" ca="1" si="74"/>
        <v>5295</v>
      </c>
      <c r="BE63" s="373"/>
      <c r="BF63" s="349"/>
      <c r="BG63" s="349"/>
      <c r="BH63" s="349"/>
      <c r="BI63" s="349"/>
      <c r="BJ63" s="349"/>
      <c r="BK63" s="349"/>
      <c r="BL63" s="374"/>
      <c r="BN63" s="500">
        <f>Construction!BM63/Construction!E63</f>
        <v>0</v>
      </c>
      <c r="BO63" s="162">
        <f>Construction!BD63/Construction!E63</f>
        <v>0</v>
      </c>
      <c r="BP63" s="151">
        <f ca="1">ROUNDUP((1-MIN(AB63*smithy_bonus,smithy_bonus_cap)-AC63)*(1+Techs!AO63*tech_master_of_frugality)*spec_op_plat,0)</f>
        <v>275</v>
      </c>
      <c r="BQ63" s="153">
        <f ca="1">ROUNDUP(IF(OR(race="Gnome",race="Imperial Gnome"),1-AC63,(1-MIN(AB63*smithy_bonus,smithy_bonus_cap)-AC63)*(1+Techs!AO63*tech_master_of_frugality))*spec_op_ore,0)</f>
        <v>25</v>
      </c>
      <c r="BR63" s="153">
        <f t="shared" si="6"/>
        <v>0</v>
      </c>
      <c r="BS63" s="153">
        <f t="shared" si="7"/>
        <v>0</v>
      </c>
      <c r="BT63" s="153">
        <f ca="1">ROUNDUP((1-MIN(AB63*smithy_bonus,smithy_bonus_cap)-AC63)*(1+Techs!AO63*tech_master_of_frugality)*spec_dp_plat,0)</f>
        <v>275</v>
      </c>
      <c r="BU63" s="153">
        <f ca="1">ROUNDUP(IF(OR(race="Gnome",race="Imperial Gnome"),1-AC63,(1-MIN(AB63*smithy_bonus,smithy_bonus_cap)-AC63)*(1+Techs!AO63*tech_master_of_frugality))*spec_dp_ore,0)</f>
        <v>10</v>
      </c>
      <c r="BV63" s="153">
        <f t="shared" ca="1" si="8"/>
        <v>0</v>
      </c>
      <c r="BW63" s="153">
        <f t="shared" ca="1" si="9"/>
        <v>0</v>
      </c>
      <c r="BX63" s="153">
        <f t="shared" ca="1" si="10"/>
        <v>0</v>
      </c>
      <c r="BY63" s="153">
        <f ca="1">ROUNDUP((1-MIN(AB63*smithy_bonus,smithy_bonus_cap)-AC63)*(1+Techs!AO63*tech_master_of_frugality)*elite1_plat,0)</f>
        <v>1000</v>
      </c>
      <c r="BZ63" s="153">
        <f ca="1">ROUNDUP(IF(OR(race="Gnome",race="Imperial Gnome"),1-AC63,(1-MIN(AB63*smithy_bonus,smithy_bonus_cap)-AC63)*(1+Techs!AO63*tech_master_of_frugality))*elite1_ore,0)</f>
        <v>75</v>
      </c>
      <c r="CA63" s="153">
        <f t="shared" ca="1" si="55"/>
        <v>0</v>
      </c>
      <c r="CB63" s="153">
        <f t="shared" ca="1" si="12"/>
        <v>0</v>
      </c>
      <c r="CC63" s="153">
        <f t="shared" ca="1" si="13"/>
        <v>0</v>
      </c>
      <c r="CD63" s="153">
        <f t="shared" ca="1" si="14"/>
        <v>0</v>
      </c>
      <c r="CE63" s="153">
        <f t="shared" ca="1" si="15"/>
        <v>0</v>
      </c>
      <c r="CF63" s="153">
        <f ca="1">ROUNDUP((1-MIN(AB63*smithy_bonus,smithy_bonus_cap)-AC63)*(1+Techs!AO63*tech_master_of_frugality)*elite2_plat,0)</f>
        <v>1250</v>
      </c>
      <c r="CG63" s="153">
        <f ca="1">ROUNDUP(IF(OR(race="Gnome",race="Imperial Gnome"),1-AC63,(1-MIN(AB63*smithy_bonus,smithy_bonus_cap)-AC63)*(1+Techs!AO63*tech_master_of_frugality))*elite2_ore,0)</f>
        <v>100</v>
      </c>
      <c r="CH63" s="153">
        <f t="shared" ca="1" si="56"/>
        <v>0</v>
      </c>
      <c r="CI63" s="153">
        <f t="shared" ca="1" si="17"/>
        <v>0</v>
      </c>
      <c r="CJ63" s="153">
        <f t="shared" ca="1" si="18"/>
        <v>0</v>
      </c>
      <c r="CK63" s="153">
        <f t="shared" ca="1" si="19"/>
        <v>0</v>
      </c>
      <c r="CL63" s="153">
        <f t="shared" ca="1" si="20"/>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6">
        <f ca="1">Construction!DF63/Construction!E63</f>
        <v>0.15</v>
      </c>
      <c r="CR63" s="467">
        <f t="shared" si="75"/>
        <v>0</v>
      </c>
      <c r="CS63" s="467">
        <f>Construction!BK63/Construction!E63</f>
        <v>0.05</v>
      </c>
      <c r="CT63" s="467">
        <f>Construction!BJ63/Construction!E63</f>
        <v>0</v>
      </c>
      <c r="CU63" s="467">
        <f>Construction!AY63/Construction!E63</f>
        <v>0</v>
      </c>
      <c r="CV63" s="489">
        <f t="shared" ca="1" si="81"/>
        <v>0.74999999999999989</v>
      </c>
      <c r="CW63" s="490">
        <f t="shared" ca="1" si="82"/>
        <v>0.74999999999999989</v>
      </c>
      <c r="CX63" s="490">
        <f t="shared" ca="1" si="83"/>
        <v>0.74999999999999989</v>
      </c>
      <c r="CY63" s="491">
        <f t="shared" ca="1" si="84"/>
        <v>0.74999999999999989</v>
      </c>
      <c r="CZ63" s="491">
        <f t="shared" si="85"/>
        <v>0</v>
      </c>
      <c r="DA63" s="491">
        <f t="shared" ca="1" si="86"/>
        <v>2.9999999999999996</v>
      </c>
      <c r="DB63" s="491">
        <f t="shared" ca="1" si="87"/>
        <v>0.74999999999999989</v>
      </c>
      <c r="DC63" s="490">
        <f t="shared" si="88"/>
        <v>0</v>
      </c>
      <c r="DD63" s="846">
        <f t="shared" si="89"/>
        <v>0</v>
      </c>
      <c r="DE63" s="728">
        <f t="shared" si="58"/>
        <v>0</v>
      </c>
      <c r="DF63" s="728">
        <f t="shared" si="59"/>
        <v>0</v>
      </c>
      <c r="DG63" s="489">
        <f t="shared" ca="1" si="90"/>
        <v>0.74999999999999989</v>
      </c>
      <c r="DH63" s="452">
        <f t="shared" si="91"/>
        <v>0</v>
      </c>
      <c r="DI63" s="452">
        <f>MIN(valkyrja_cap,Production!O63/valkyrja_bonus)</f>
        <v>1</v>
      </c>
      <c r="DJ63" s="846">
        <f>MIN(voodoo_magi_cap,Production!O63/voodoo_magi_bonus)</f>
        <v>0.83333333333333337</v>
      </c>
      <c r="DK63" s="846">
        <f>MIN(warlock_cap,Production!O63/warlock_bonus)</f>
        <v>1</v>
      </c>
      <c r="DL63" s="846">
        <f ca="1">MIN(nox_nightshade_cap,Construction!DF63/Construction!E63/nox_nightshade_swamp_bonus)</f>
        <v>1.4999999999999998</v>
      </c>
      <c r="DM63" s="490">
        <f t="shared" si="92"/>
        <v>0</v>
      </c>
      <c r="DN63" s="491">
        <f t="shared" ca="1" si="93"/>
        <v>1.4999999999999998</v>
      </c>
      <c r="DO63" s="491">
        <f t="shared" ca="1" si="94"/>
        <v>1.4999999999999998</v>
      </c>
      <c r="DP63" s="491">
        <f t="shared" si="95"/>
        <v>1</v>
      </c>
      <c r="DQ63" s="490">
        <f t="shared" si="96"/>
        <v>0</v>
      </c>
      <c r="DR63" s="491">
        <f t="shared" si="97"/>
        <v>0</v>
      </c>
      <c r="DS63" s="490">
        <f t="shared" si="98"/>
        <v>0</v>
      </c>
      <c r="DT63" s="491">
        <f t="shared" si="99"/>
        <v>0</v>
      </c>
      <c r="DX63" s="489">
        <f ca="1">MIN(6,CV63+Races!$F$19)*1.8 +  IF(CV63+Races!$F$19&gt;6,(CV63+Races!$F$19-6)*0.2,0) - Races!$N$19</f>
        <v>1.3500000000000005</v>
      </c>
      <c r="DY63" s="490">
        <f ca="1">1.8 * MIN(MAX(CW63+Races!$E$20,CX63+Races!$F$20),6)  +  0.45 * MIN(MIN(CW63+Races!$E$20,CX63+Races!$F$20),6)  +  0.2 * ( MAX(CW63+Races!$E$20-6,0) + MAX(CX63+Races!$F$20-6,0) )  -  Races!$N$20</f>
        <v>1.6874999999999991</v>
      </c>
      <c r="DZ63" s="55">
        <f t="shared" ca="1" si="100"/>
        <v>0</v>
      </c>
      <c r="EA63" s="665">
        <f ca="1">MIN(6,CY63+Races!$F$35)*1.8 +  IF(CY63+Races!$F$35&gt;6,(CY63+Races!$F$35-6)*0.2,0) - Races!$N$19</f>
        <v>-0.45000000000000018</v>
      </c>
      <c r="EB63" s="55">
        <f t="shared" ca="1" si="101"/>
        <v>0</v>
      </c>
      <c r="EC63" s="665">
        <f ca="1">1.8 * MIN(MAX(Races!$E$27,DB63+Races!$F$27),6)  +  0.45 * MIN(MIN(Races!$E$27,DB63+Races!$F$27),6)  +  0.2 * ( MAX(Races!$E$27-6,0) + MAX(DB63+Races!$F$27-6,0) )  -  Races!$N$20</f>
        <v>3.6000000000000005</v>
      </c>
      <c r="ED63" s="55">
        <f t="shared" ca="1" si="102"/>
        <v>0</v>
      </c>
      <c r="EE63" s="665">
        <f>1.8 * MIN(MAX(DC63+Races!$E$47,DD63+Races!$F$47),6)  +  0.45 * MIN(MIN(DC63+Races!$E$47,DD63+Races!$F$47),6)  +  0.2 * ( MAX(DC63+Races!$E$47-6,0) + MAX(DD63+Races!$F$47-6,0) )  -  Races!$N$47</f>
        <v>0</v>
      </c>
      <c r="EF63" s="55">
        <f t="shared" si="103"/>
        <v>0</v>
      </c>
      <c r="EG63" s="665">
        <f ca="1">1.8 * MIN(MAX(DG63+Races!$F$71,Races!$E$71),6)  +  0.45 * MIN(MIN(DG63+Races!$F$71,Races!$E$71),6)  +  0.2 * ( MAX(DG63+Races!$F$71-6,0) + MAX(Races!$E$71-6,0) )  -  Races!$N$71</f>
        <v>1.3499999999999996</v>
      </c>
      <c r="EH63" s="665">
        <f>1.8 * MIN(MAX(DH63+Races!$E$71,Races!$F$71),6)  +  0.45 * MIN(MIN(DH63+Races!$E$71,Races!$F$71),6)  +  0.2 * ( MAX(DH63+Races!$E$71-6,0) + MAX(Races!$F$71-6,0) )  -  Races!$N$71</f>
        <v>0</v>
      </c>
      <c r="EI63" s="55">
        <f t="shared" ca="1" si="104"/>
        <v>0</v>
      </c>
      <c r="EJ63" s="55"/>
      <c r="EK63" s="55"/>
      <c r="EL63" s="55"/>
      <c r="EM63" s="55">
        <f ca="1">Overview!$L$22*E63+Overview!$L$23*F63+Overview!$L$24*G63+Overview!$L$25*H63+Overview!$L$26*I63+Overview!$L$27*J63+Overview!$L$28*K63+Construction!E63*20+Construction!B63*5 + DZ63*$DV$4+EB63*$DV$5+ED63*$DV$6+EF63*$DV$7+EI63*$DV$9</f>
        <v>20900</v>
      </c>
      <c r="EO63" s="737">
        <f>(J63+2*K63)/Construction!E63</f>
        <v>0</v>
      </c>
      <c r="EP63" s="731">
        <f ca="1">EO63*(1+race_wizard_strength+tech_magical_weaponry_wiz*Techs!AV135)</f>
        <v>0</v>
      </c>
      <c r="EQ63" s="12">
        <f>(I63+halfer*H63/3)/Construction!E63</f>
        <v>0</v>
      </c>
    </row>
    <row r="64" spans="1:147" s="16" customFormat="1" x14ac:dyDescent="0.25">
      <c r="A64" s="627">
        <f>Rezone!J64</f>
        <v>62</v>
      </c>
      <c r="B64" s="56">
        <f ca="1">SUM(E64:K64)+SUM(AF56:AG64)+SUM(AH53:AL64)+Z64+Explore!AL64</f>
        <v>5295</v>
      </c>
      <c r="C64" s="97">
        <f ca="1">Population!G64</f>
        <v>0.74159663865546221</v>
      </c>
      <c r="E64" s="52">
        <f t="shared" si="105"/>
        <v>0</v>
      </c>
      <c r="F64" s="16">
        <f t="shared" si="106"/>
        <v>0</v>
      </c>
      <c r="G64" s="16">
        <f t="shared" si="107"/>
        <v>0</v>
      </c>
      <c r="H64" s="16">
        <f t="shared" si="108"/>
        <v>0</v>
      </c>
      <c r="I64" s="16">
        <f t="shared" si="109"/>
        <v>0</v>
      </c>
      <c r="J64" s="16">
        <f t="shared" si="110"/>
        <v>0</v>
      </c>
      <c r="K64" s="53">
        <f t="shared" si="111"/>
        <v>0</v>
      </c>
      <c r="M64" s="64">
        <f ca="1">Production!G64</f>
        <v>20900</v>
      </c>
      <c r="O64" s="142">
        <f t="shared" ca="1" si="77"/>
        <v>0</v>
      </c>
      <c r="P64" s="454">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8"/>
        <v>5295</v>
      </c>
      <c r="T64" s="1047">
        <f ca="1">race_defense+Imps!AC64+ROUND(MIN(gt_bonus*Construction!BH64/Construction!$E64,gt_bonus_cap),4)+MAX(IF(Magic!AM64&gt;0,frenzy_bonus,IF(Magic!AQ64&gt;0,blizzard_bonus,IF(Magic!AP64&gt;0,howling_dp_bonus,IF(Magic!AI64&gt;0,ares_call_bonus)))),IF(Magic!AX64&gt;0,MIN(Construction!DF64/Construction!E64,0.2),0))</f>
        <v>0</v>
      </c>
      <c r="U64" s="1041">
        <f t="shared" ca="1" si="47"/>
        <v>0</v>
      </c>
      <c r="V64" s="310">
        <f t="shared" ca="1" si="48"/>
        <v>5295</v>
      </c>
      <c r="W64" s="310">
        <f>Construction!E64</f>
        <v>1000</v>
      </c>
      <c r="X64" s="367"/>
      <c r="Y64" s="146">
        <f t="shared" si="76"/>
        <v>0.4</v>
      </c>
      <c r="Z64" s="166">
        <f ca="1">Z63+Population!Z63 - IF(race="Lux",AF64,SUM(AF64:AK64)) - BE64 + SUM(BF64:BL64) - Explore!AI64</f>
        <v>5295</v>
      </c>
      <c r="AA64" s="164"/>
      <c r="AB64" s="91">
        <f>(Construction!$BA64+Construction!BY64)/(Construction!$E64-Explore!S64*20)</f>
        <v>0</v>
      </c>
      <c r="AC64" s="1516">
        <f ca="1">Imps!AE64</f>
        <v>0</v>
      </c>
      <c r="AD64" s="795">
        <f>Rezone!J64</f>
        <v>62</v>
      </c>
      <c r="AE64" s="587">
        <f>Explore!AA64</f>
        <v>43768.635416666519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9"/>
        <v>0</v>
      </c>
      <c r="AV64" s="164">
        <f t="shared" ca="1" si="80"/>
        <v>0</v>
      </c>
      <c r="AW64" s="164">
        <f t="shared" ca="1" si="50"/>
        <v>0</v>
      </c>
      <c r="AX64" s="164">
        <f t="shared" ca="1" si="51"/>
        <v>0</v>
      </c>
      <c r="AY64" s="164">
        <f t="shared" ca="1" si="52"/>
        <v>0</v>
      </c>
      <c r="AZ64" s="164">
        <f t="shared" ca="1" si="53"/>
        <v>0</v>
      </c>
      <c r="BA64" s="166">
        <f t="shared" ca="1" si="54"/>
        <v>0</v>
      </c>
      <c r="BB64" s="16">
        <v>62</v>
      </c>
      <c r="BC64" s="572">
        <f t="shared" si="73"/>
        <v>43768.635416666519</v>
      </c>
      <c r="BD64" s="148">
        <f t="shared" ca="1" si="74"/>
        <v>5295</v>
      </c>
      <c r="BE64" s="375"/>
      <c r="BF64" s="348"/>
      <c r="BG64" s="348"/>
      <c r="BH64" s="348"/>
      <c r="BI64" s="348"/>
      <c r="BJ64" s="348"/>
      <c r="BK64" s="348"/>
      <c r="BL64" s="357"/>
      <c r="BN64" s="501">
        <f>Construction!BM64/Construction!E64</f>
        <v>0</v>
      </c>
      <c r="BO64" s="171">
        <f>Construction!BD64/Construction!E64</f>
        <v>0</v>
      </c>
      <c r="BP64" s="152">
        <f ca="1">ROUNDUP((1-MIN(AB64*smithy_bonus,smithy_bonus_cap)-AC64)*(1+Techs!AO64*tech_master_of_frugality)*spec_op_plat,0)</f>
        <v>275</v>
      </c>
      <c r="BQ64" s="164">
        <f ca="1">ROUNDUP(IF(OR(race="Gnome",race="Imperial Gnome"),1-AC64,(1-MIN(AB64*smithy_bonus,smithy_bonus_cap)-AC64)*(1+Techs!AO64*tech_master_of_frugality))*spec_op_ore,0)</f>
        <v>25</v>
      </c>
      <c r="BR64" s="164">
        <f t="shared" si="6"/>
        <v>0</v>
      </c>
      <c r="BS64" s="164">
        <f t="shared" si="7"/>
        <v>0</v>
      </c>
      <c r="BT64" s="164">
        <f ca="1">ROUNDUP((1-MIN(AB64*smithy_bonus,smithy_bonus_cap)-AC64)*(1+Techs!AO64*tech_master_of_frugality)*spec_dp_plat,0)</f>
        <v>275</v>
      </c>
      <c r="BU64" s="164">
        <f ca="1">ROUNDUP(IF(OR(race="Gnome",race="Imperial Gnome"),1-AC64,(1-MIN(AB64*smithy_bonus,smithy_bonus_cap)-AC64)*(1+Techs!AO64*tech_master_of_frugality))*spec_dp_ore,0)</f>
        <v>10</v>
      </c>
      <c r="BV64" s="164">
        <f t="shared" ca="1" si="8"/>
        <v>0</v>
      </c>
      <c r="BW64" s="164">
        <f t="shared" ca="1" si="9"/>
        <v>0</v>
      </c>
      <c r="BX64" s="164">
        <f t="shared" ca="1" si="10"/>
        <v>0</v>
      </c>
      <c r="BY64" s="164">
        <f ca="1">ROUNDUP((1-MIN(AB64*smithy_bonus,smithy_bonus_cap)-AC64)*(1+Techs!AO64*tech_master_of_frugality)*elite1_plat,0)</f>
        <v>1000</v>
      </c>
      <c r="BZ64" s="164">
        <f ca="1">ROUNDUP(IF(OR(race="Gnome",race="Imperial Gnome"),1-AC64,(1-MIN(AB64*smithy_bonus,smithy_bonus_cap)-AC64)*(1+Techs!AO64*tech_master_of_frugality))*elite1_ore,0)</f>
        <v>75</v>
      </c>
      <c r="CA64" s="164">
        <f t="shared" ca="1" si="55"/>
        <v>0</v>
      </c>
      <c r="CB64" s="164">
        <f t="shared" ca="1" si="12"/>
        <v>0</v>
      </c>
      <c r="CC64" s="164">
        <f t="shared" ca="1" si="13"/>
        <v>0</v>
      </c>
      <c r="CD64" s="164">
        <f t="shared" ca="1" si="14"/>
        <v>0</v>
      </c>
      <c r="CE64" s="164">
        <f t="shared" ca="1" si="15"/>
        <v>0</v>
      </c>
      <c r="CF64" s="164">
        <f ca="1">ROUNDUP((1-MIN(AB64*smithy_bonus,smithy_bonus_cap)-AC64)*(1+Techs!AO64*tech_master_of_frugality)*elite2_plat,0)</f>
        <v>1250</v>
      </c>
      <c r="CG64" s="164">
        <f ca="1">ROUNDUP(IF(OR(race="Gnome",race="Imperial Gnome"),1-AC64,(1-MIN(AB64*smithy_bonus,smithy_bonus_cap)-AC64)*(1+Techs!AO64*tech_master_of_frugality))*elite2_ore,0)</f>
        <v>100</v>
      </c>
      <c r="CH64" s="164">
        <f t="shared" ca="1" si="56"/>
        <v>0</v>
      </c>
      <c r="CI64" s="164">
        <f t="shared" ca="1" si="17"/>
        <v>0</v>
      </c>
      <c r="CJ64" s="164">
        <f t="shared" ca="1" si="18"/>
        <v>0</v>
      </c>
      <c r="CK64" s="164">
        <f t="shared" ca="1" si="19"/>
        <v>0</v>
      </c>
      <c r="CL64" s="164">
        <f t="shared" ca="1" si="20"/>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4">
        <f ca="1">Construction!DF64/Construction!E64</f>
        <v>0.15</v>
      </c>
      <c r="CR64" s="465">
        <f t="shared" si="75"/>
        <v>0</v>
      </c>
      <c r="CS64" s="465">
        <f>Construction!BK64/Construction!E64</f>
        <v>0.05</v>
      </c>
      <c r="CT64" s="465">
        <f>Construction!BJ64/Construction!E64</f>
        <v>0</v>
      </c>
      <c r="CU64" s="465">
        <f>Construction!AY64/Construction!E64</f>
        <v>0</v>
      </c>
      <c r="CV64" s="486">
        <f t="shared" ca="1" si="81"/>
        <v>0.74999999999999989</v>
      </c>
      <c r="CW64" s="487">
        <f t="shared" ca="1" si="82"/>
        <v>0.74999999999999989</v>
      </c>
      <c r="CX64" s="487">
        <f t="shared" ca="1" si="83"/>
        <v>0.74999999999999989</v>
      </c>
      <c r="CY64" s="488">
        <f t="shared" ca="1" si="84"/>
        <v>0.74999999999999989</v>
      </c>
      <c r="CZ64" s="488">
        <f t="shared" si="85"/>
        <v>0</v>
      </c>
      <c r="DA64" s="488">
        <f t="shared" ca="1" si="86"/>
        <v>2.9999999999999996</v>
      </c>
      <c r="DB64" s="488">
        <f t="shared" ca="1" si="87"/>
        <v>0.74999999999999989</v>
      </c>
      <c r="DC64" s="487">
        <f t="shared" si="88"/>
        <v>0</v>
      </c>
      <c r="DD64" s="843">
        <f t="shared" si="89"/>
        <v>0</v>
      </c>
      <c r="DE64" s="441">
        <f t="shared" si="58"/>
        <v>0</v>
      </c>
      <c r="DF64" s="441">
        <f t="shared" si="59"/>
        <v>0</v>
      </c>
      <c r="DG64" s="486">
        <f t="shared" ca="1" si="90"/>
        <v>0.74999999999999989</v>
      </c>
      <c r="DH64" s="451">
        <f t="shared" si="91"/>
        <v>0</v>
      </c>
      <c r="DI64" s="451">
        <f>MIN(valkyrja_cap,Production!O64/valkyrja_bonus)</f>
        <v>1</v>
      </c>
      <c r="DJ64" s="843">
        <f>MIN(voodoo_magi_cap,Production!O64/voodoo_magi_bonus)</f>
        <v>0.83333333333333337</v>
      </c>
      <c r="DK64" s="843">
        <f>MIN(warlock_cap,Production!O64/warlock_bonus)</f>
        <v>1</v>
      </c>
      <c r="DL64" s="843">
        <f ca="1">MIN(nox_nightshade_cap,Construction!DF64/Construction!E64/nox_nightshade_swamp_bonus)</f>
        <v>1.4999999999999998</v>
      </c>
      <c r="DM64" s="487">
        <f t="shared" si="92"/>
        <v>0</v>
      </c>
      <c r="DN64" s="488">
        <f t="shared" ca="1" si="93"/>
        <v>1.4999999999999998</v>
      </c>
      <c r="DO64" s="488">
        <f t="shared" ca="1" si="94"/>
        <v>1.4999999999999998</v>
      </c>
      <c r="DP64" s="488">
        <f t="shared" si="95"/>
        <v>1</v>
      </c>
      <c r="DQ64" s="487">
        <f t="shared" si="96"/>
        <v>0</v>
      </c>
      <c r="DR64" s="488">
        <f t="shared" si="97"/>
        <v>0</v>
      </c>
      <c r="DS64" s="487">
        <f t="shared" si="98"/>
        <v>0</v>
      </c>
      <c r="DT64" s="488">
        <f t="shared" si="99"/>
        <v>0</v>
      </c>
      <c r="DX64" s="486">
        <f ca="1">MIN(6,CV64+Races!$F$19)*1.8 +  IF(CV64+Races!$F$19&gt;6,(CV64+Races!$F$19-6)*0.2,0) - Races!$N$19</f>
        <v>1.3500000000000005</v>
      </c>
      <c r="DY64" s="487">
        <f ca="1">1.8 * MIN(MAX(CW64+Races!$E$20,CX64+Races!$F$20),6)  +  0.45 * MIN(MIN(CW64+Races!$E$20,CX64+Races!$F$20),6)  +  0.2 * ( MAX(CW64+Races!$E$20-6,0) + MAX(CX64+Races!$F$20-6,0) )  -  Races!$N$20</f>
        <v>1.6874999999999991</v>
      </c>
      <c r="DZ64" s="57">
        <f t="shared" ca="1" si="100"/>
        <v>0</v>
      </c>
      <c r="EA64" s="663">
        <f ca="1">MIN(6,CY64+Races!$F$35)*1.8 +  IF(CY64+Races!$F$35&gt;6,(CY64+Races!$F$35-6)*0.2,0) - Races!$N$19</f>
        <v>-0.45000000000000018</v>
      </c>
      <c r="EB64" s="57">
        <f t="shared" ca="1" si="101"/>
        <v>0</v>
      </c>
      <c r="EC64" s="663">
        <f ca="1">1.8 * MIN(MAX(Races!$E$27,DB64+Races!$F$27),6)  +  0.45 * MIN(MIN(Races!$E$27,DB64+Races!$F$27),6)  +  0.2 * ( MAX(Races!$E$27-6,0) + MAX(DB64+Races!$F$27-6,0) )  -  Races!$N$20</f>
        <v>3.6000000000000005</v>
      </c>
      <c r="ED64" s="57">
        <f t="shared" ca="1" si="102"/>
        <v>0</v>
      </c>
      <c r="EE64" s="663">
        <f>1.8 * MIN(MAX(DC64+Races!$E$47,DD64+Races!$F$47),6)  +  0.45 * MIN(MIN(DC64+Races!$E$47,DD64+Races!$F$47),6)  +  0.2 * ( MAX(DC64+Races!$E$47-6,0) + MAX(DD64+Races!$F$47-6,0) )  -  Races!$N$47</f>
        <v>0</v>
      </c>
      <c r="EF64" s="57">
        <f t="shared" si="103"/>
        <v>0</v>
      </c>
      <c r="EG64" s="663">
        <f ca="1">1.8 * MIN(MAX(DG64+Races!$F$71,Races!$E$71),6)  +  0.45 * MIN(MIN(DG64+Races!$F$71,Races!$E$71),6)  +  0.2 * ( MAX(DG64+Races!$F$71-6,0) + MAX(Races!$E$71-6,0) )  -  Races!$N$71</f>
        <v>1.3499999999999996</v>
      </c>
      <c r="EH64" s="663">
        <f>1.8 * MIN(MAX(DH64+Races!$E$71,Races!$F$71),6)  +  0.45 * MIN(MIN(DH64+Races!$E$71,Races!$F$71),6)  +  0.2 * ( MAX(DH64+Races!$E$71-6,0) + MAX(Races!$F$71-6,0) )  -  Races!$N$71</f>
        <v>0</v>
      </c>
      <c r="EI64" s="57">
        <f t="shared" ca="1" si="104"/>
        <v>0</v>
      </c>
      <c r="EJ64" s="57"/>
      <c r="EK64" s="57"/>
      <c r="EL64" s="57"/>
      <c r="EM64" s="57">
        <f ca="1">Overview!$L$22*E64+Overview!$L$23*F64+Overview!$L$24*G64+Overview!$L$25*H64+Overview!$L$26*I64+Overview!$L$27*J64+Overview!$L$28*K64+Construction!E64*20+Construction!B64*5 + DZ64*$DV$4+EB64*$DV$5+ED64*$DV$6+EF64*$DV$7+EI64*$DV$9</f>
        <v>20900</v>
      </c>
      <c r="EO64" s="734">
        <f>(J64+2*K64)/Construction!E64</f>
        <v>0</v>
      </c>
      <c r="EP64" s="730">
        <f ca="1">EO64*(1+race_wizard_strength+tech_magical_weaponry_wiz*Techs!AV136)</f>
        <v>0</v>
      </c>
      <c r="EQ64" s="16">
        <f>(I64+halfer*H64/3)/Construction!E64</f>
        <v>0</v>
      </c>
    </row>
    <row r="65" spans="1:147" s="16" customFormat="1" x14ac:dyDescent="0.25">
      <c r="A65" s="627">
        <f>Rezone!J65</f>
        <v>63</v>
      </c>
      <c r="B65" s="56">
        <f ca="1">SUM(E65:K65)+SUM(AF57:AG65)+SUM(AH54:AL65)+Z65+Explore!AL65</f>
        <v>5295</v>
      </c>
      <c r="C65" s="97">
        <f ca="1">Population!G65</f>
        <v>0.74159663865546221</v>
      </c>
      <c r="E65" s="52">
        <f t="shared" si="105"/>
        <v>0</v>
      </c>
      <c r="F65" s="16">
        <f t="shared" si="106"/>
        <v>0</v>
      </c>
      <c r="G65" s="16">
        <f t="shared" si="107"/>
        <v>0</v>
      </c>
      <c r="H65" s="16">
        <f t="shared" si="108"/>
        <v>0</v>
      </c>
      <c r="I65" s="16">
        <f t="shared" si="109"/>
        <v>0</v>
      </c>
      <c r="J65" s="16">
        <f t="shared" si="110"/>
        <v>0</v>
      </c>
      <c r="K65" s="53">
        <f t="shared" si="111"/>
        <v>0</v>
      </c>
      <c r="M65" s="64">
        <f ca="1">Production!G65</f>
        <v>20900</v>
      </c>
      <c r="O65" s="142">
        <f t="shared" ca="1" si="77"/>
        <v>0</v>
      </c>
      <c r="P65" s="454">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8"/>
        <v>5295</v>
      </c>
      <c r="T65" s="1047">
        <f ca="1">race_defense+Imps!AC65+ROUND(MIN(gt_bonus*Construction!BH65/Construction!$E65,gt_bonus_cap),4)+MAX(IF(Magic!AM65&gt;0,frenzy_bonus,IF(Magic!AQ65&gt;0,blizzard_bonus,IF(Magic!AP65&gt;0,howling_dp_bonus,IF(Magic!AI65&gt;0,ares_call_bonus)))),IF(Magic!AX65&gt;0,MIN(Construction!DF65/Construction!E65,0.2),0))</f>
        <v>0</v>
      </c>
      <c r="U65" s="1041">
        <f t="shared" ca="1" si="47"/>
        <v>0</v>
      </c>
      <c r="V65" s="310">
        <f t="shared" ca="1" si="48"/>
        <v>5295</v>
      </c>
      <c r="W65" s="310">
        <f>Construction!E65</f>
        <v>1000</v>
      </c>
      <c r="X65" s="367"/>
      <c r="Y65" s="146">
        <f t="shared" si="76"/>
        <v>0.4</v>
      </c>
      <c r="Z65" s="166">
        <f ca="1">Z64+Population!Z64 - IF(race="Lux",AF65,SUM(AF65:AK65)) - BE65 + SUM(BF65:BL65) - Explore!AI65</f>
        <v>5295</v>
      </c>
      <c r="AA65" s="164"/>
      <c r="AB65" s="91">
        <f>(Construction!$BA65+Construction!BY65)/(Construction!$E65-Explore!S65*20)</f>
        <v>0</v>
      </c>
      <c r="AC65" s="1516">
        <f ca="1">Imps!AE65</f>
        <v>0</v>
      </c>
      <c r="AD65" s="795">
        <f>Rezone!J65</f>
        <v>63</v>
      </c>
      <c r="AE65" s="587">
        <f>Explore!AA65</f>
        <v>43768.645833333183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9"/>
        <v>0</v>
      </c>
      <c r="AV65" s="164">
        <f t="shared" ca="1" si="80"/>
        <v>0</v>
      </c>
      <c r="AW65" s="164">
        <f t="shared" ca="1" si="50"/>
        <v>0</v>
      </c>
      <c r="AX65" s="164">
        <f t="shared" ca="1" si="51"/>
        <v>0</v>
      </c>
      <c r="AY65" s="164">
        <f t="shared" ca="1" si="52"/>
        <v>0</v>
      </c>
      <c r="AZ65" s="164">
        <f t="shared" ca="1" si="53"/>
        <v>0</v>
      </c>
      <c r="BA65" s="166">
        <f t="shared" ca="1" si="54"/>
        <v>0</v>
      </c>
      <c r="BB65" s="16">
        <v>63</v>
      </c>
      <c r="BC65" s="572">
        <f t="shared" si="73"/>
        <v>43768.645833333183</v>
      </c>
      <c r="BD65" s="148">
        <f t="shared" ca="1" si="74"/>
        <v>5295</v>
      </c>
      <c r="BE65" s="356"/>
      <c r="BF65" s="348"/>
      <c r="BG65" s="348"/>
      <c r="BH65" s="348"/>
      <c r="BI65" s="348"/>
      <c r="BJ65" s="348"/>
      <c r="BK65" s="348"/>
      <c r="BL65" s="357"/>
      <c r="BN65" s="501">
        <f>Construction!BM65/Construction!E65</f>
        <v>0</v>
      </c>
      <c r="BO65" s="171">
        <f>Construction!BD65/Construction!E65</f>
        <v>0</v>
      </c>
      <c r="BP65" s="152">
        <f ca="1">ROUNDUP((1-MIN(AB65*smithy_bonus,smithy_bonus_cap)-AC65)*(1+Techs!AO65*tech_master_of_frugality)*spec_op_plat,0)</f>
        <v>275</v>
      </c>
      <c r="BQ65" s="164">
        <f ca="1">ROUNDUP(IF(OR(race="Gnome",race="Imperial Gnome"),1-AC65,(1-MIN(AB65*smithy_bonus,smithy_bonus_cap)-AC65)*(1+Techs!AO65*tech_master_of_frugality))*spec_op_ore,0)</f>
        <v>25</v>
      </c>
      <c r="BR65" s="164">
        <f t="shared" si="6"/>
        <v>0</v>
      </c>
      <c r="BS65" s="164">
        <f t="shared" si="7"/>
        <v>0</v>
      </c>
      <c r="BT65" s="164">
        <f ca="1">ROUNDUP((1-MIN(AB65*smithy_bonus,smithy_bonus_cap)-AC65)*(1+Techs!AO65*tech_master_of_frugality)*spec_dp_plat,0)</f>
        <v>275</v>
      </c>
      <c r="BU65" s="164">
        <f ca="1">ROUNDUP(IF(OR(race="Gnome",race="Imperial Gnome"),1-AC65,(1-MIN(AB65*smithy_bonus,smithy_bonus_cap)-AC65)*(1+Techs!AO65*tech_master_of_frugality))*spec_dp_ore,0)</f>
        <v>10</v>
      </c>
      <c r="BV65" s="164">
        <f t="shared" ca="1" si="8"/>
        <v>0</v>
      </c>
      <c r="BW65" s="164">
        <f t="shared" ca="1" si="9"/>
        <v>0</v>
      </c>
      <c r="BX65" s="164">
        <f t="shared" ca="1" si="10"/>
        <v>0</v>
      </c>
      <c r="BY65" s="164">
        <f ca="1">ROUNDUP((1-MIN(AB65*smithy_bonus,smithy_bonus_cap)-AC65)*(1+Techs!AO65*tech_master_of_frugality)*elite1_plat,0)</f>
        <v>1000</v>
      </c>
      <c r="BZ65" s="164">
        <f ca="1">ROUNDUP(IF(OR(race="Gnome",race="Imperial Gnome"),1-AC65,(1-MIN(AB65*smithy_bonus,smithy_bonus_cap)-AC65)*(1+Techs!AO65*tech_master_of_frugality))*elite1_ore,0)</f>
        <v>75</v>
      </c>
      <c r="CA65" s="164">
        <f t="shared" ca="1" si="55"/>
        <v>0</v>
      </c>
      <c r="CB65" s="164">
        <f t="shared" ca="1" si="12"/>
        <v>0</v>
      </c>
      <c r="CC65" s="164">
        <f t="shared" ca="1" si="13"/>
        <v>0</v>
      </c>
      <c r="CD65" s="164">
        <f t="shared" ca="1" si="14"/>
        <v>0</v>
      </c>
      <c r="CE65" s="164">
        <f t="shared" ca="1" si="15"/>
        <v>0</v>
      </c>
      <c r="CF65" s="164">
        <f ca="1">ROUNDUP((1-MIN(AB65*smithy_bonus,smithy_bonus_cap)-AC65)*(1+Techs!AO65*tech_master_of_frugality)*elite2_plat,0)</f>
        <v>1250</v>
      </c>
      <c r="CG65" s="164">
        <f ca="1">ROUNDUP(IF(OR(race="Gnome",race="Imperial Gnome"),1-AC65,(1-MIN(AB65*smithy_bonus,smithy_bonus_cap)-AC65)*(1+Techs!AO65*tech_master_of_frugality))*elite2_ore,0)</f>
        <v>100</v>
      </c>
      <c r="CH65" s="164">
        <f t="shared" ca="1" si="56"/>
        <v>0</v>
      </c>
      <c r="CI65" s="164">
        <f t="shared" ca="1" si="17"/>
        <v>0</v>
      </c>
      <c r="CJ65" s="164">
        <f t="shared" ca="1" si="18"/>
        <v>0</v>
      </c>
      <c r="CK65" s="164">
        <f t="shared" ca="1" si="19"/>
        <v>0</v>
      </c>
      <c r="CL65" s="164">
        <f t="shared" ca="1" si="20"/>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4">
        <f ca="1">Construction!DF65/Construction!E65</f>
        <v>0.15</v>
      </c>
      <c r="CR65" s="465">
        <f t="shared" si="75"/>
        <v>0</v>
      </c>
      <c r="CS65" s="465">
        <f>Construction!BK65/Construction!E65</f>
        <v>0.05</v>
      </c>
      <c r="CT65" s="465">
        <f>Construction!BJ65/Construction!E65</f>
        <v>0</v>
      </c>
      <c r="CU65" s="465">
        <f>Construction!AY65/Construction!E65</f>
        <v>0</v>
      </c>
      <c r="CV65" s="486">
        <f t="shared" ca="1" si="81"/>
        <v>0.74999999999999989</v>
      </c>
      <c r="CW65" s="487">
        <f t="shared" ca="1" si="82"/>
        <v>0.74999999999999989</v>
      </c>
      <c r="CX65" s="487">
        <f t="shared" ca="1" si="83"/>
        <v>0.74999999999999989</v>
      </c>
      <c r="CY65" s="488">
        <f t="shared" ca="1" si="84"/>
        <v>0.74999999999999989</v>
      </c>
      <c r="CZ65" s="488">
        <f t="shared" si="85"/>
        <v>0</v>
      </c>
      <c r="DA65" s="488">
        <f t="shared" ca="1" si="86"/>
        <v>2.9999999999999996</v>
      </c>
      <c r="DB65" s="488">
        <f t="shared" ca="1" si="87"/>
        <v>0.74999999999999989</v>
      </c>
      <c r="DC65" s="487">
        <f t="shared" si="88"/>
        <v>0</v>
      </c>
      <c r="DD65" s="843">
        <f t="shared" si="89"/>
        <v>0</v>
      </c>
      <c r="DE65" s="441">
        <f t="shared" si="58"/>
        <v>0</v>
      </c>
      <c r="DF65" s="441">
        <f t="shared" si="59"/>
        <v>0</v>
      </c>
      <c r="DG65" s="486">
        <f t="shared" ca="1" si="90"/>
        <v>0.74999999999999989</v>
      </c>
      <c r="DH65" s="451">
        <f t="shared" si="91"/>
        <v>0</v>
      </c>
      <c r="DI65" s="451">
        <f>MIN(valkyrja_cap,Production!O65/valkyrja_bonus)</f>
        <v>1</v>
      </c>
      <c r="DJ65" s="843">
        <f>MIN(voodoo_magi_cap,Production!O65/voodoo_magi_bonus)</f>
        <v>0.83333333333333337</v>
      </c>
      <c r="DK65" s="843">
        <f>MIN(warlock_cap,Production!O65/warlock_bonus)</f>
        <v>1</v>
      </c>
      <c r="DL65" s="843">
        <f ca="1">MIN(nox_nightshade_cap,Construction!DF65/Construction!E65/nox_nightshade_swamp_bonus)</f>
        <v>1.4999999999999998</v>
      </c>
      <c r="DM65" s="487">
        <f t="shared" si="92"/>
        <v>0</v>
      </c>
      <c r="DN65" s="488">
        <f t="shared" ca="1" si="93"/>
        <v>1.4999999999999998</v>
      </c>
      <c r="DO65" s="488">
        <f t="shared" ca="1" si="94"/>
        <v>1.4999999999999998</v>
      </c>
      <c r="DP65" s="488">
        <f t="shared" si="95"/>
        <v>1</v>
      </c>
      <c r="DQ65" s="487">
        <f t="shared" si="96"/>
        <v>0</v>
      </c>
      <c r="DR65" s="488">
        <f t="shared" si="97"/>
        <v>0</v>
      </c>
      <c r="DS65" s="487">
        <f t="shared" si="98"/>
        <v>0</v>
      </c>
      <c r="DT65" s="488">
        <f t="shared" si="99"/>
        <v>0</v>
      </c>
      <c r="DX65" s="486">
        <f ca="1">MIN(6,CV65+Races!$F$19)*1.8 +  IF(CV65+Races!$F$19&gt;6,(CV65+Races!$F$19-6)*0.2,0) - Races!$N$19</f>
        <v>1.3500000000000005</v>
      </c>
      <c r="DY65" s="487">
        <f ca="1">1.8 * MIN(MAX(CW65+Races!$E$20,CX65+Races!$F$20),6)  +  0.45 * MIN(MIN(CW65+Races!$E$20,CX65+Races!$F$20),6)  +  0.2 * ( MAX(CW65+Races!$E$20-6,0) + MAX(CX65+Races!$F$20-6,0) )  -  Races!$N$20</f>
        <v>1.6874999999999991</v>
      </c>
      <c r="DZ65" s="57">
        <f t="shared" ca="1" si="100"/>
        <v>0</v>
      </c>
      <c r="EA65" s="663">
        <f ca="1">MIN(6,CY65+Races!$F$35)*1.8 +  IF(CY65+Races!$F$35&gt;6,(CY65+Races!$F$35-6)*0.2,0) - Races!$N$19</f>
        <v>-0.45000000000000018</v>
      </c>
      <c r="EB65" s="57">
        <f t="shared" ca="1" si="101"/>
        <v>0</v>
      </c>
      <c r="EC65" s="663">
        <f ca="1">1.8 * MIN(MAX(Races!$E$27,DB65+Races!$F$27),6)  +  0.45 * MIN(MIN(Races!$E$27,DB65+Races!$F$27),6)  +  0.2 * ( MAX(Races!$E$27-6,0) + MAX(DB65+Races!$F$27-6,0) )  -  Races!$N$20</f>
        <v>3.6000000000000005</v>
      </c>
      <c r="ED65" s="57">
        <f t="shared" ca="1" si="102"/>
        <v>0</v>
      </c>
      <c r="EE65" s="663">
        <f>1.8 * MIN(MAX(DC65+Races!$E$47,DD65+Races!$F$47),6)  +  0.45 * MIN(MIN(DC65+Races!$E$47,DD65+Races!$F$47),6)  +  0.2 * ( MAX(DC65+Races!$E$47-6,0) + MAX(DD65+Races!$F$47-6,0) )  -  Races!$N$47</f>
        <v>0</v>
      </c>
      <c r="EF65" s="57">
        <f t="shared" si="103"/>
        <v>0</v>
      </c>
      <c r="EG65" s="663">
        <f ca="1">1.8 * MIN(MAX(DG65+Races!$F$71,Races!$E$71),6)  +  0.45 * MIN(MIN(DG65+Races!$F$71,Races!$E$71),6)  +  0.2 * ( MAX(DG65+Races!$F$71-6,0) + MAX(Races!$E$71-6,0) )  -  Races!$N$71</f>
        <v>1.3499999999999996</v>
      </c>
      <c r="EH65" s="663">
        <f>1.8 * MIN(MAX(DH65+Races!$E$71,Races!$F$71),6)  +  0.45 * MIN(MIN(DH65+Races!$E$71,Races!$F$71),6)  +  0.2 * ( MAX(DH65+Races!$E$71-6,0) + MAX(Races!$F$71-6,0) )  -  Races!$N$71</f>
        <v>0</v>
      </c>
      <c r="EI65" s="57">
        <f t="shared" ca="1" si="104"/>
        <v>0</v>
      </c>
      <c r="EJ65" s="57"/>
      <c r="EK65" s="57"/>
      <c r="EL65" s="57"/>
      <c r="EM65" s="57">
        <f ca="1">Overview!$L$22*E65+Overview!$L$23*F65+Overview!$L$24*G65+Overview!$L$25*H65+Overview!$L$26*I65+Overview!$L$27*J65+Overview!$L$28*K65+Construction!E65*20+Construction!B65*5 + DZ65*$DV$4+EB65*$DV$5+ED65*$DV$6+EF65*$DV$7+EI65*$DV$9</f>
        <v>20900</v>
      </c>
      <c r="EO65" s="734">
        <f>(J65+2*K65)/Construction!E65</f>
        <v>0</v>
      </c>
      <c r="EP65" s="730">
        <f ca="1">EO65*(1+race_wizard_strength+tech_magical_weaponry_wiz*Techs!AV137)</f>
        <v>0</v>
      </c>
      <c r="EQ65" s="16">
        <f>(I65+halfer*H65/3)/Construction!E65</f>
        <v>0</v>
      </c>
    </row>
    <row r="66" spans="1:147" s="16" customFormat="1" x14ac:dyDescent="0.25">
      <c r="A66" s="627">
        <f>Rezone!J66</f>
        <v>64</v>
      </c>
      <c r="B66" s="56">
        <f ca="1">SUM(E66:K66)+SUM(AF58:AG66)+SUM(AH55:AL66)+Z66+Explore!AL66</f>
        <v>5295</v>
      </c>
      <c r="C66" s="97">
        <f ca="1">Population!G66</f>
        <v>0.74159663865546221</v>
      </c>
      <c r="E66" s="52">
        <f t="shared" si="105"/>
        <v>0</v>
      </c>
      <c r="F66" s="16">
        <f t="shared" si="106"/>
        <v>0</v>
      </c>
      <c r="G66" s="16">
        <f t="shared" si="107"/>
        <v>0</v>
      </c>
      <c r="H66" s="16">
        <f t="shared" si="108"/>
        <v>0</v>
      </c>
      <c r="I66" s="16">
        <f t="shared" si="109"/>
        <v>0</v>
      </c>
      <c r="J66" s="16">
        <f t="shared" si="110"/>
        <v>0</v>
      </c>
      <c r="K66" s="53">
        <f t="shared" si="111"/>
        <v>0</v>
      </c>
      <c r="M66" s="64">
        <f ca="1">Production!G66</f>
        <v>20900</v>
      </c>
      <c r="O66" s="142">
        <f t="shared" ca="1" si="77"/>
        <v>0</v>
      </c>
      <c r="P66" s="454">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8"/>
        <v>5295</v>
      </c>
      <c r="T66" s="1047">
        <f ca="1">race_defense+Imps!AC66+ROUND(MIN(gt_bonus*Construction!BH66/Construction!$E66,gt_bonus_cap),4)+MAX(IF(Magic!AM66&gt;0,frenzy_bonus,IF(Magic!AQ66&gt;0,blizzard_bonus,IF(Magic!AP66&gt;0,howling_dp_bonus,IF(Magic!AI66&gt;0,ares_call_bonus)))),IF(Magic!AX66&gt;0,MIN(Construction!DF66/Construction!E66,0.2),0))</f>
        <v>0</v>
      </c>
      <c r="U66" s="1041">
        <f t="shared" ca="1" si="47"/>
        <v>0</v>
      </c>
      <c r="V66" s="310">
        <f t="shared" ca="1" si="48"/>
        <v>5295</v>
      </c>
      <c r="W66" s="310">
        <f>Construction!E66</f>
        <v>1000</v>
      </c>
      <c r="X66" s="367"/>
      <c r="Y66" s="146">
        <f t="shared" si="76"/>
        <v>0.4</v>
      </c>
      <c r="Z66" s="166">
        <f ca="1">Z65+Population!Z65 - IF(race="Lux",AF66,SUM(AF66:AK66)) - BE66 + SUM(BF66:BL66) - Explore!AI66</f>
        <v>5295</v>
      </c>
      <c r="AA66" s="164"/>
      <c r="AB66" s="91">
        <f>(Construction!$BA66+Construction!BY66)/(Construction!$E66-Explore!S66*20)</f>
        <v>0</v>
      </c>
      <c r="AC66" s="1516">
        <f ca="1">Imps!AE66</f>
        <v>0</v>
      </c>
      <c r="AD66" s="795">
        <f>Rezone!J66</f>
        <v>64</v>
      </c>
      <c r="AE66" s="587">
        <f>Explore!AA66</f>
        <v>43768.656249999847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9"/>
        <v>0</v>
      </c>
      <c r="AV66" s="164">
        <f t="shared" ca="1" si="80"/>
        <v>0</v>
      </c>
      <c r="AW66" s="164">
        <f t="shared" ca="1" si="50"/>
        <v>0</v>
      </c>
      <c r="AX66" s="164">
        <f t="shared" ca="1" si="51"/>
        <v>0</v>
      </c>
      <c r="AY66" s="164">
        <f t="shared" ca="1" si="52"/>
        <v>0</v>
      </c>
      <c r="AZ66" s="164">
        <f t="shared" ca="1" si="53"/>
        <v>0</v>
      </c>
      <c r="BA66" s="166">
        <f t="shared" ca="1" si="54"/>
        <v>0</v>
      </c>
      <c r="BB66" s="16">
        <v>64</v>
      </c>
      <c r="BC66" s="572">
        <f t="shared" si="73"/>
        <v>43768.656249999847</v>
      </c>
      <c r="BD66" s="148">
        <f t="shared" ca="1" si="74"/>
        <v>5295</v>
      </c>
      <c r="BE66" s="356"/>
      <c r="BF66" s="348"/>
      <c r="BG66" s="348"/>
      <c r="BH66" s="348"/>
      <c r="BI66" s="348"/>
      <c r="BJ66" s="348"/>
      <c r="BK66" s="348"/>
      <c r="BL66" s="357"/>
      <c r="BN66" s="501">
        <f>Construction!BM66/Construction!E66</f>
        <v>0</v>
      </c>
      <c r="BO66" s="171">
        <f>Construction!BD66/Construction!E66</f>
        <v>0</v>
      </c>
      <c r="BP66" s="152">
        <f ca="1">ROUNDUP((1-MIN(AB66*smithy_bonus,smithy_bonus_cap)-AC66)*(1+Techs!AO66*tech_master_of_frugality)*spec_op_plat,0)</f>
        <v>275</v>
      </c>
      <c r="BQ66" s="164">
        <f ca="1">ROUNDUP(IF(OR(race="Gnome",race="Imperial Gnome"),1-AC66,(1-MIN(AB66*smithy_bonus,smithy_bonus_cap)-AC66)*(1+Techs!AO66*tech_master_of_frugality))*spec_op_ore,0)</f>
        <v>25</v>
      </c>
      <c r="BR66" s="164">
        <f t="shared" si="6"/>
        <v>0</v>
      </c>
      <c r="BS66" s="164">
        <f t="shared" si="7"/>
        <v>0</v>
      </c>
      <c r="BT66" s="164">
        <f ca="1">ROUNDUP((1-MIN(AB66*smithy_bonus,smithy_bonus_cap)-AC66)*(1+Techs!AO66*tech_master_of_frugality)*spec_dp_plat,0)</f>
        <v>275</v>
      </c>
      <c r="BU66" s="164">
        <f ca="1">ROUNDUP(IF(OR(race="Gnome",race="Imperial Gnome"),1-AC66,(1-MIN(AB66*smithy_bonus,smithy_bonus_cap)-AC66)*(1+Techs!AO66*tech_master_of_frugality))*spec_dp_ore,0)</f>
        <v>10</v>
      </c>
      <c r="BV66" s="164">
        <f t="shared" ca="1" si="8"/>
        <v>0</v>
      </c>
      <c r="BW66" s="164">
        <f t="shared" ca="1" si="9"/>
        <v>0</v>
      </c>
      <c r="BX66" s="164">
        <f t="shared" ca="1" si="10"/>
        <v>0</v>
      </c>
      <c r="BY66" s="164">
        <f ca="1">ROUNDUP((1-MIN(AB66*smithy_bonus,smithy_bonus_cap)-AC66)*(1+Techs!AO66*tech_master_of_frugality)*elite1_plat,0)</f>
        <v>1000</v>
      </c>
      <c r="BZ66" s="164">
        <f ca="1">ROUNDUP(IF(OR(race="Gnome",race="Imperial Gnome"),1-AC66,(1-MIN(AB66*smithy_bonus,smithy_bonus_cap)-AC66)*(1+Techs!AO66*tech_master_of_frugality))*elite1_ore,0)</f>
        <v>75</v>
      </c>
      <c r="CA66" s="164">
        <f t="shared" ca="1" si="55"/>
        <v>0</v>
      </c>
      <c r="CB66" s="164">
        <f t="shared" ca="1" si="12"/>
        <v>0</v>
      </c>
      <c r="CC66" s="164">
        <f t="shared" ca="1" si="13"/>
        <v>0</v>
      </c>
      <c r="CD66" s="164">
        <f t="shared" ca="1" si="14"/>
        <v>0</v>
      </c>
      <c r="CE66" s="164">
        <f t="shared" ca="1" si="15"/>
        <v>0</v>
      </c>
      <c r="CF66" s="164">
        <f ca="1">ROUNDUP((1-MIN(AB66*smithy_bonus,smithy_bonus_cap)-AC66)*(1+Techs!AO66*tech_master_of_frugality)*elite2_plat,0)</f>
        <v>1250</v>
      </c>
      <c r="CG66" s="164">
        <f ca="1">ROUNDUP(IF(OR(race="Gnome",race="Imperial Gnome"),1-AC66,(1-MIN(AB66*smithy_bonus,smithy_bonus_cap)-AC66)*(1+Techs!AO66*tech_master_of_frugality))*elite2_ore,0)</f>
        <v>100</v>
      </c>
      <c r="CH66" s="164">
        <f t="shared" ca="1" si="56"/>
        <v>0</v>
      </c>
      <c r="CI66" s="164">
        <f t="shared" ca="1" si="17"/>
        <v>0</v>
      </c>
      <c r="CJ66" s="164">
        <f t="shared" ca="1" si="18"/>
        <v>0</v>
      </c>
      <c r="CK66" s="164">
        <f t="shared" ca="1" si="19"/>
        <v>0</v>
      </c>
      <c r="CL66" s="164">
        <f t="shared" ca="1" si="20"/>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4">
        <f ca="1">Construction!DF66/Construction!E66</f>
        <v>0.15</v>
      </c>
      <c r="CR66" s="465">
        <f t="shared" si="75"/>
        <v>0</v>
      </c>
      <c r="CS66" s="465">
        <f>Construction!BK66/Construction!E66</f>
        <v>0.05</v>
      </c>
      <c r="CT66" s="465">
        <f>Construction!BJ66/Construction!E66</f>
        <v>0</v>
      </c>
      <c r="CU66" s="465">
        <f>Construction!AY66/Construction!E66</f>
        <v>0</v>
      </c>
      <c r="CV66" s="486">
        <f t="shared" ca="1" si="81"/>
        <v>0.74999999999999989</v>
      </c>
      <c r="CW66" s="487">
        <f t="shared" ca="1" si="82"/>
        <v>0.74999999999999989</v>
      </c>
      <c r="CX66" s="487">
        <f t="shared" ca="1" si="83"/>
        <v>0.74999999999999989</v>
      </c>
      <c r="CY66" s="488">
        <f t="shared" ca="1" si="84"/>
        <v>0.74999999999999989</v>
      </c>
      <c r="CZ66" s="488">
        <f t="shared" si="85"/>
        <v>0</v>
      </c>
      <c r="DA66" s="488">
        <f t="shared" ca="1" si="86"/>
        <v>2.9999999999999996</v>
      </c>
      <c r="DB66" s="488">
        <f t="shared" ca="1" si="87"/>
        <v>0.74999999999999989</v>
      </c>
      <c r="DC66" s="487">
        <f t="shared" si="88"/>
        <v>0</v>
      </c>
      <c r="DD66" s="843">
        <f t="shared" si="89"/>
        <v>0</v>
      </c>
      <c r="DE66" s="441">
        <f t="shared" si="58"/>
        <v>0</v>
      </c>
      <c r="DF66" s="441">
        <f t="shared" si="59"/>
        <v>0</v>
      </c>
      <c r="DG66" s="486">
        <f t="shared" ca="1" si="90"/>
        <v>0.74999999999999989</v>
      </c>
      <c r="DH66" s="451">
        <f t="shared" si="91"/>
        <v>0</v>
      </c>
      <c r="DI66" s="451">
        <f>MIN(valkyrja_cap,Production!O66/valkyrja_bonus)</f>
        <v>1</v>
      </c>
      <c r="DJ66" s="843">
        <f>MIN(voodoo_magi_cap,Production!O66/voodoo_magi_bonus)</f>
        <v>0.83333333333333337</v>
      </c>
      <c r="DK66" s="843">
        <f>MIN(warlock_cap,Production!O66/warlock_bonus)</f>
        <v>1</v>
      </c>
      <c r="DL66" s="843">
        <f ca="1">MIN(nox_nightshade_cap,Construction!DF66/Construction!E66/nox_nightshade_swamp_bonus)</f>
        <v>1.4999999999999998</v>
      </c>
      <c r="DM66" s="487">
        <f t="shared" si="92"/>
        <v>0</v>
      </c>
      <c r="DN66" s="488">
        <f t="shared" ca="1" si="93"/>
        <v>1.4999999999999998</v>
      </c>
      <c r="DO66" s="488">
        <f t="shared" ca="1" si="94"/>
        <v>1.4999999999999998</v>
      </c>
      <c r="DP66" s="488">
        <f t="shared" si="95"/>
        <v>1</v>
      </c>
      <c r="DQ66" s="487">
        <f t="shared" si="96"/>
        <v>0</v>
      </c>
      <c r="DR66" s="488">
        <f t="shared" si="97"/>
        <v>0</v>
      </c>
      <c r="DS66" s="487">
        <f t="shared" si="98"/>
        <v>0</v>
      </c>
      <c r="DT66" s="488">
        <f t="shared" si="99"/>
        <v>0</v>
      </c>
      <c r="DX66" s="486">
        <f ca="1">MIN(6,CV66+Races!$F$19)*1.8 +  IF(CV66+Races!$F$19&gt;6,(CV66+Races!$F$19-6)*0.2,0) - Races!$N$19</f>
        <v>1.3500000000000005</v>
      </c>
      <c r="DY66" s="487">
        <f ca="1">1.8 * MIN(MAX(CW66+Races!$E$20,CX66+Races!$F$20),6)  +  0.45 * MIN(MIN(CW66+Races!$E$20,CX66+Races!$F$20),6)  +  0.2 * ( MAX(CW66+Races!$E$20-6,0) + MAX(CX66+Races!$F$20-6,0) )  -  Races!$N$20</f>
        <v>1.6874999999999991</v>
      </c>
      <c r="DZ66" s="57">
        <f t="shared" ca="1" si="100"/>
        <v>0</v>
      </c>
      <c r="EA66" s="663">
        <f ca="1">MIN(6,CY66+Races!$F$35)*1.8 +  IF(CY66+Races!$F$35&gt;6,(CY66+Races!$F$35-6)*0.2,0) - Races!$N$19</f>
        <v>-0.45000000000000018</v>
      </c>
      <c r="EB66" s="57">
        <f t="shared" ca="1" si="101"/>
        <v>0</v>
      </c>
      <c r="EC66" s="663">
        <f ca="1">1.8 * MIN(MAX(Races!$E$27,DB66+Races!$F$27),6)  +  0.45 * MIN(MIN(Races!$E$27,DB66+Races!$F$27),6)  +  0.2 * ( MAX(Races!$E$27-6,0) + MAX(DB66+Races!$F$27-6,0) )  -  Races!$N$20</f>
        <v>3.6000000000000005</v>
      </c>
      <c r="ED66" s="57">
        <f t="shared" ca="1" si="102"/>
        <v>0</v>
      </c>
      <c r="EE66" s="663">
        <f>1.8 * MIN(MAX(DC66+Races!$E$47,DD66+Races!$F$47),6)  +  0.45 * MIN(MIN(DC66+Races!$E$47,DD66+Races!$F$47),6)  +  0.2 * ( MAX(DC66+Races!$E$47-6,0) + MAX(DD66+Races!$F$47-6,0) )  -  Races!$N$47</f>
        <v>0</v>
      </c>
      <c r="EF66" s="57">
        <f t="shared" si="103"/>
        <v>0</v>
      </c>
      <c r="EG66" s="663">
        <f ca="1">1.8 * MIN(MAX(DG66+Races!$F$71,Races!$E$71),6)  +  0.45 * MIN(MIN(DG66+Races!$F$71,Races!$E$71),6)  +  0.2 * ( MAX(DG66+Races!$F$71-6,0) + MAX(Races!$E$71-6,0) )  -  Races!$N$71</f>
        <v>1.3499999999999996</v>
      </c>
      <c r="EH66" s="663">
        <f>1.8 * MIN(MAX(DH66+Races!$E$71,Races!$F$71),6)  +  0.45 * MIN(MIN(DH66+Races!$E$71,Races!$F$71),6)  +  0.2 * ( MAX(DH66+Races!$E$71-6,0) + MAX(Races!$F$71-6,0) )  -  Races!$N$71</f>
        <v>0</v>
      </c>
      <c r="EI66" s="57">
        <f t="shared" ca="1" si="104"/>
        <v>0</v>
      </c>
      <c r="EJ66" s="57"/>
      <c r="EK66" s="57"/>
      <c r="EL66" s="57"/>
      <c r="EM66" s="57">
        <f ca="1">Overview!$L$22*E66+Overview!$L$23*F66+Overview!$L$24*G66+Overview!$L$25*H66+Overview!$L$26*I66+Overview!$L$27*J66+Overview!$L$28*K66+Construction!E66*20+Construction!B66*5 + DZ66*$DV$4+EB66*$DV$5+ED66*$DV$6+EF66*$DV$7+EI66*$DV$9</f>
        <v>20900</v>
      </c>
      <c r="EO66" s="734">
        <f>(J66+2*K66)/Construction!E66</f>
        <v>0</v>
      </c>
      <c r="EP66" s="730">
        <f ca="1">EO66*(1+race_wizard_strength+tech_magical_weaponry_wiz*Techs!AV138)</f>
        <v>0</v>
      </c>
      <c r="EQ66" s="16">
        <f>(I66+halfer*H66/3)/Construction!E66</f>
        <v>0</v>
      </c>
    </row>
    <row r="67" spans="1:147" s="16" customFormat="1" x14ac:dyDescent="0.25">
      <c r="A67" s="627">
        <f>Rezone!J67</f>
        <v>65</v>
      </c>
      <c r="B67" s="56">
        <f ca="1">SUM(E67:K67)+SUM(AF59:AG67)+SUM(AH56:AL67)+Z67+Explore!AL67</f>
        <v>5295</v>
      </c>
      <c r="C67" s="97">
        <f ca="1">Population!G67</f>
        <v>0.74159663865546221</v>
      </c>
      <c r="E67" s="52">
        <f t="shared" si="105"/>
        <v>0</v>
      </c>
      <c r="F67" s="16">
        <f t="shared" si="106"/>
        <v>0</v>
      </c>
      <c r="G67" s="16">
        <f t="shared" si="107"/>
        <v>0</v>
      </c>
      <c r="H67" s="16">
        <f t="shared" si="108"/>
        <v>0</v>
      </c>
      <c r="I67" s="16">
        <f t="shared" si="109"/>
        <v>0</v>
      </c>
      <c r="J67" s="16">
        <f t="shared" si="110"/>
        <v>0</v>
      </c>
      <c r="K67" s="53">
        <f t="shared" si="111"/>
        <v>0</v>
      </c>
      <c r="M67" s="64">
        <f ca="1">Production!G67</f>
        <v>20900</v>
      </c>
      <c r="O67" s="142">
        <f t="shared" ref="O67:O98" ca="1" si="112">E67*(spec_op+spirit*DR67)+G67*(elite1_op+dark_elf*DC67+beast*DN67+sacred*DP67+spirit*DS67+halfer*CZ67+norse*DI67)+H67*(elite2_op+icekin*DH67+woodie*CW67+ants*DM67+beast*DO67+sacred*DQ67+undead*DT67+lizzie*DA67)+kobold*DF67</f>
        <v>0</v>
      </c>
      <c r="P67" s="454">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13">R67+Z67*IF(race="Ants",0.1,IF(race="Growth",0.01,1))</f>
        <v>5295</v>
      </c>
      <c r="T67" s="1047">
        <f ca="1">race_defense+Imps!AC67+ROUND(MIN(gt_bonus*Construction!BH67/Construction!$E67,gt_bonus_cap),4)+MAX(IF(Magic!AM67&gt;0,frenzy_bonus,IF(Magic!AQ67&gt;0,blizzard_bonus,IF(Magic!AP67&gt;0,howling_dp_bonus,IF(Magic!AI67&gt;0,ares_call_bonus)))),IF(Magic!AX67&gt;0,MIN(Construction!DF67/Construction!E67,0.2),0))</f>
        <v>0</v>
      </c>
      <c r="U67" s="1041">
        <f t="shared" ca="1" si="47"/>
        <v>0</v>
      </c>
      <c r="V67" s="310">
        <f t="shared" ca="1" si="48"/>
        <v>5295</v>
      </c>
      <c r="W67" s="310">
        <f>Construction!E67</f>
        <v>1000</v>
      </c>
      <c r="X67" s="367"/>
      <c r="Y67" s="146">
        <f t="shared" si="76"/>
        <v>0.4</v>
      </c>
      <c r="Z67" s="166">
        <f ca="1">Z66+Population!Z66 - IF(race="Lux",AF67,SUM(AF67:AK67)) - BE67 + SUM(BF67:BL67) - Explore!AI67</f>
        <v>5295</v>
      </c>
      <c r="AA67" s="164"/>
      <c r="AB67" s="91">
        <f>(Construction!$BA67+Construction!BY67)/(Construction!$E67-Explore!S67*20)</f>
        <v>0</v>
      </c>
      <c r="AC67" s="1516">
        <f ca="1">Imps!AE67</f>
        <v>0</v>
      </c>
      <c r="AD67" s="795">
        <f>Rezone!J67</f>
        <v>65</v>
      </c>
      <c r="AE67" s="587">
        <f>Explore!AA67</f>
        <v>43768.666666666511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14">$AF67*BP67+$AG67*BT67+$AH67*BY67+$AI67*CF67+AJ67*CM67+AK67*CN67+AL67*CO67</f>
        <v>0</v>
      </c>
      <c r="AV67" s="164">
        <f t="shared" ref="AV67:AV98" ca="1" si="115">$AF67*BQ67+$AG67*BU67+$AH67*BZ67+$AI67*CG67</f>
        <v>0</v>
      </c>
      <c r="AW67" s="164">
        <f t="shared" ca="1" si="50"/>
        <v>0</v>
      </c>
      <c r="AX67" s="164">
        <f t="shared" ca="1" si="51"/>
        <v>0</v>
      </c>
      <c r="AY67" s="164">
        <f t="shared" ca="1" si="52"/>
        <v>0</v>
      </c>
      <c r="AZ67" s="164">
        <f t="shared" ca="1" si="53"/>
        <v>0</v>
      </c>
      <c r="BA67" s="166">
        <f t="shared" ca="1" si="54"/>
        <v>0</v>
      </c>
      <c r="BB67" s="16">
        <v>65</v>
      </c>
      <c r="BC67" s="572">
        <f t="shared" si="73"/>
        <v>43768.666666666511</v>
      </c>
      <c r="BD67" s="148">
        <f t="shared" ca="1" si="74"/>
        <v>5295</v>
      </c>
      <c r="BE67" s="356"/>
      <c r="BF67" s="348"/>
      <c r="BG67" s="348"/>
      <c r="BH67" s="348"/>
      <c r="BI67" s="348"/>
      <c r="BJ67" s="348"/>
      <c r="BK67" s="348"/>
      <c r="BL67" s="357"/>
      <c r="BN67" s="501">
        <f>Construction!BM67/Construction!E67</f>
        <v>0</v>
      </c>
      <c r="BO67" s="171">
        <f>Construction!BD67/Construction!E67</f>
        <v>0</v>
      </c>
      <c r="BP67" s="152">
        <f ca="1">ROUNDUP((1-MIN(AB67*smithy_bonus,smithy_bonus_cap)-AC67)*(1+Techs!AO67*tech_master_of_frugality)*spec_op_plat,0)</f>
        <v>275</v>
      </c>
      <c r="BQ67" s="164">
        <f ca="1">ROUNDUP(IF(OR(race="Gnome",race="Imperial Gnome"),1-AC67,(1-MIN(AB67*smithy_bonus,smithy_bonus_cap)-AC67)*(1+Techs!AO67*tech_master_of_frugality))*spec_op_ore,0)</f>
        <v>25</v>
      </c>
      <c r="BR67" s="164">
        <f t="shared" ref="BR67:BR130" si="116">spec1_mana</f>
        <v>0</v>
      </c>
      <c r="BS67" s="164">
        <f t="shared" ref="BS67:BS130" si="117">spec1_food</f>
        <v>0</v>
      </c>
      <c r="BT67" s="164">
        <f ca="1">ROUNDUP((1-MIN(AB67*smithy_bonus,smithy_bonus_cap)-AC67)*(1+Techs!AO67*tech_master_of_frugality)*spec_dp_plat,0)</f>
        <v>275</v>
      </c>
      <c r="BU67" s="164">
        <f ca="1">ROUNDUP(IF(OR(race="Gnome",race="Imperial Gnome"),1-AC67,(1-MIN(AB67*smithy_bonus,smithy_bonus_cap)-AC67)*(1+Techs!AO67*tech_master_of_frugality))*spec_dp_ore,0)</f>
        <v>10</v>
      </c>
      <c r="BV67" s="164">
        <f t="shared" ref="BV67:BV130" ca="1" si="118">spec2_mana</f>
        <v>0</v>
      </c>
      <c r="BW67" s="164">
        <f t="shared" ref="BW67:BW130" ca="1" si="119">spec2_gems</f>
        <v>0</v>
      </c>
      <c r="BX67" s="164">
        <f t="shared" ref="BX67:BX130" ca="1" si="120">spec2_food</f>
        <v>0</v>
      </c>
      <c r="BY67" s="164">
        <f ca="1">ROUNDUP((1-MIN(AB67*smithy_bonus,smithy_bonus_cap)-AC67)*(1+Techs!AO67*tech_master_of_frugality)*elite1_plat,0)</f>
        <v>1000</v>
      </c>
      <c r="BZ67" s="164">
        <f ca="1">ROUNDUP(IF(OR(race="Gnome",race="Imperial Gnome"),1-AC67,(1-MIN(AB67*smithy_bonus,smithy_bonus_cap)-AC67)*(1+Techs!AO67*tech_master_of_frugality))*elite1_ore,0)</f>
        <v>75</v>
      </c>
      <c r="CA67" s="164">
        <f t="shared" ca="1" si="55"/>
        <v>0</v>
      </c>
      <c r="CB67" s="164">
        <f t="shared" ref="CB67:CB130" ca="1" si="121">elite1_gems</f>
        <v>0</v>
      </c>
      <c r="CC67" s="164">
        <f t="shared" ref="CC67:CC130" ca="1" si="122">elite1_mana</f>
        <v>0</v>
      </c>
      <c r="CD67" s="164">
        <f t="shared" ref="CD67:CD130" ca="1" si="123">elite1_food</f>
        <v>0</v>
      </c>
      <c r="CE67" s="164">
        <f t="shared" ref="CE67:CE130" ca="1" si="124">elite1_boats</f>
        <v>0</v>
      </c>
      <c r="CF67" s="164">
        <f ca="1">ROUNDUP((1-MIN(AB67*smithy_bonus,smithy_bonus_cap)-AC67)*(1+Techs!AO67*tech_master_of_frugality)*elite2_plat,0)</f>
        <v>1250</v>
      </c>
      <c r="CG67" s="164">
        <f ca="1">ROUNDUP(IF(OR(race="Gnome",race="Imperial Gnome"),1-AC67,(1-MIN(AB67*smithy_bonus,smithy_bonus_cap)-AC67)*(1+Techs!AO67*tech_master_of_frugality))*elite2_ore,0)</f>
        <v>100</v>
      </c>
      <c r="CH67" s="164">
        <f t="shared" ca="1" si="56"/>
        <v>0</v>
      </c>
      <c r="CI67" s="164">
        <f t="shared" ref="CI67:CI130" ca="1" si="125">elite2_gems</f>
        <v>0</v>
      </c>
      <c r="CJ67" s="164">
        <f t="shared" ref="CJ67:CJ130" ca="1" si="126">elite2_mana</f>
        <v>0</v>
      </c>
      <c r="CK67" s="164">
        <f t="shared" ref="CK67:CK130" ca="1" si="127">elite2_food</f>
        <v>0</v>
      </c>
      <c r="CL67" s="164">
        <f t="shared" ref="CL67:CL130" ca="1" si="128">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4">
        <f ca="1">Construction!DF67/Construction!E67</f>
        <v>0.15</v>
      </c>
      <c r="CR67" s="465">
        <f t="shared" si="75"/>
        <v>0</v>
      </c>
      <c r="CS67" s="465">
        <f>Construction!BK67/Construction!E67</f>
        <v>0.05</v>
      </c>
      <c r="CT67" s="465">
        <f>Construction!BJ67/Construction!E67</f>
        <v>0</v>
      </c>
      <c r="CU67" s="465">
        <f>Construction!AY67/Construction!E67</f>
        <v>0</v>
      </c>
      <c r="CV67" s="486">
        <f t="shared" ref="CV67:CV98" ca="1" si="129">IF(mystic_cap="none",CQ67/mystic_bonus,MIN(mystic_cap,CQ67/mystic_bonus))</f>
        <v>0.74999999999999989</v>
      </c>
      <c r="CW67" s="487">
        <f t="shared" ref="CW67:CW98" ca="1" si="130">IF(druid_op_cap="none",CQ67/druid_op_bonus,MIN(druid_op_cap,CQ67/druid_op_bonus))</f>
        <v>0.74999999999999989</v>
      </c>
      <c r="CX67" s="487">
        <f t="shared" ref="CX67:CX98" ca="1" si="131">IF(druid_dp_cap="none",CQ67/druid_dp_bonus,MIN(druid_dp_cap,CQ67/druid_dp_bonus))</f>
        <v>0.74999999999999989</v>
      </c>
      <c r="CY67" s="488">
        <f t="shared" ref="CY67:CY98" ca="1" si="132">MIN(dryad_cap,CQ67/dryad_bonus)</f>
        <v>0.74999999999999989</v>
      </c>
      <c r="CZ67" s="488">
        <f t="shared" ref="CZ67:CZ98" si="133">MIN(staff_cap,EQ67*staff_bonus)</f>
        <v>0</v>
      </c>
      <c r="DA67" s="488">
        <f t="shared" ref="DA67:DA98" ca="1" si="134">MIN(lizardman_cap,CQ67/lizardman_bonus)</f>
        <v>2.9999999999999996</v>
      </c>
      <c r="DB67" s="488">
        <f t="shared" ref="DB67:DB98" ca="1" si="135">MIN(rocka_cap,CQ67/rocka_bonus)</f>
        <v>0.74999999999999989</v>
      </c>
      <c r="DC67" s="487">
        <f t="shared" ref="DC67:DC98" si="136">MIN(adept_op_cap,CR67/adept_op_bonus)</f>
        <v>0</v>
      </c>
      <c r="DD67" s="843">
        <f t="shared" ref="DD67:DD98" si="137">MIN(adept_dp_cap,CR67/adept_dp_bonus)</f>
        <v>0</v>
      </c>
      <c r="DE67" s="441">
        <f t="shared" si="58"/>
        <v>0</v>
      </c>
      <c r="DF67" s="441">
        <f t="shared" si="59"/>
        <v>0</v>
      </c>
      <c r="DG67" s="486">
        <f t="shared" ref="DG67:DG98" ca="1" si="138">MIN(frost_mage_cap,CQ67/frost_mage_bonus)</f>
        <v>0.74999999999999989</v>
      </c>
      <c r="DH67" s="451">
        <f t="shared" ref="DH67:DH98" si="139">MIN(ice_elem_cap,EO67*ice_elem_bonus)</f>
        <v>0</v>
      </c>
      <c r="DI67" s="451">
        <f>MIN(valkyrja_cap,Production!O67/valkyrja_bonus)</f>
        <v>1</v>
      </c>
      <c r="DJ67" s="843">
        <f>MIN(voodoo_magi_cap,Production!O67/voodoo_magi_bonus)</f>
        <v>0.83333333333333337</v>
      </c>
      <c r="DK67" s="843">
        <f>MIN(warlock_cap,Production!O67/warlock_bonus)</f>
        <v>1</v>
      </c>
      <c r="DL67" s="843">
        <f ca="1">MIN(nox_nightshade_cap,Construction!DF67/Construction!E67/nox_nightshade_swamp_bonus)</f>
        <v>1.4999999999999998</v>
      </c>
      <c r="DM67" s="487">
        <f t="shared" ref="DM67:DM98" si="140">MIN(flying_ant_cap,BO67/flying_ant_bonus)</f>
        <v>0</v>
      </c>
      <c r="DN67" s="488">
        <f t="shared" ref="DN67:DN98" ca="1" si="141">MIN(goat_witch_cap,CQ67/goat_witch_bonus)</f>
        <v>1.4999999999999998</v>
      </c>
      <c r="DO67" s="488">
        <f t="shared" ref="DO67:DO98" ca="1" si="142">MIN(minotaur_cap,CQ67/minotaur_bonus)</f>
        <v>1.4999999999999998</v>
      </c>
      <c r="DP67" s="488">
        <f t="shared" ref="DP67:DP98" si="143">MIN(fanatic_cap,CS67/fanatic_bonus)</f>
        <v>1</v>
      </c>
      <c r="DQ67" s="487">
        <f t="shared" ref="DQ67:DQ98" si="144">MIN(holy_warrior_cap,CT67/holy_warrior_bonus)</f>
        <v>0</v>
      </c>
      <c r="DR67" s="488">
        <f t="shared" ref="DR67:DR98" si="145">MIN(banshee_cap,CU67/banshee_bonus)</f>
        <v>0</v>
      </c>
      <c r="DS67" s="487">
        <f t="shared" ref="DS67:DS98" si="146">MIN(phantom_cap,CU67/phantom_bonus)</f>
        <v>0</v>
      </c>
      <c r="DT67" s="488">
        <f t="shared" ref="DT67:DT98" si="147">MIN(wraith_cap,EO67*wraith_bonus)</f>
        <v>0</v>
      </c>
      <c r="DX67" s="486">
        <f ca="1">MIN(6,CV67+Races!$F$19)*1.8 +  IF(CV67+Races!$F$19&gt;6,(CV67+Races!$F$19-6)*0.2,0) - Races!$N$19</f>
        <v>1.3500000000000005</v>
      </c>
      <c r="DY67" s="487">
        <f ca="1">1.8 * MIN(MAX(CW67+Races!$E$20,CX67+Races!$F$20),6)  +  0.45 * MIN(MIN(CW67+Races!$E$20,CX67+Races!$F$20),6)  +  0.2 * ( MAX(CW67+Races!$E$20-6,0) + MAX(CX67+Races!$F$20-6,0) )  -  Races!$N$20</f>
        <v>1.6874999999999991</v>
      </c>
      <c r="DZ67" s="57">
        <f t="shared" ref="DZ67:DZ98" ca="1" si="148">DX67*G67+DY67*H67</f>
        <v>0</v>
      </c>
      <c r="EA67" s="663">
        <f ca="1">MIN(6,CY67+Races!$F$35)*1.8 +  IF(CY67+Races!$F$35&gt;6,(CY67+Races!$F$35-6)*0.2,0) - Races!$N$19</f>
        <v>-0.45000000000000018</v>
      </c>
      <c r="EB67" s="57">
        <f t="shared" ref="EB67:EB98" ca="1" si="149">$DV$5*(DX67*G67)</f>
        <v>0</v>
      </c>
      <c r="EC67" s="663">
        <f ca="1">1.8 * MIN(MAX(Races!$E$27,DB67+Races!$F$27),6)  +  0.45 * MIN(MIN(Races!$E$27,DB67+Races!$F$27),6)  +  0.2 * ( MAX(Races!$E$27-6,0) + MAX(DB67+Races!$F$27-6,0) )  -  Races!$N$20</f>
        <v>3.6000000000000005</v>
      </c>
      <c r="ED67" s="57">
        <f t="shared" ref="ED67:ED98" ca="1" si="150">$DV$6*(EC67*G67)</f>
        <v>0</v>
      </c>
      <c r="EE67" s="663">
        <f>1.8 * MIN(MAX(DC67+Races!$E$47,DD67+Races!$F$47),6)  +  0.45 * MIN(MIN(DC67+Races!$E$47,DD67+Races!$F$47),6)  +  0.2 * ( MAX(DC67+Races!$E$47-6,0) + MAX(DD67+Races!$F$47-6,0) )  -  Races!$N$47</f>
        <v>0</v>
      </c>
      <c r="EF67" s="57">
        <f t="shared" ref="EF67:EF98" si="151">$DV$7*(EE67*G67)</f>
        <v>0</v>
      </c>
      <c r="EG67" s="663">
        <f ca="1">1.8 * MIN(MAX(DG67+Races!$F$71,Races!$E$71),6)  +  0.45 * MIN(MIN(DG67+Races!$F$71,Races!$E$71),6)  +  0.2 * ( MAX(DG67+Races!$F$71-6,0) + MAX(Races!$E$71-6,0) )  -  Races!$N$71</f>
        <v>1.3499999999999996</v>
      </c>
      <c r="EH67" s="663">
        <f>1.8 * MIN(MAX(DH67+Races!$E$71,Races!$F$71),6)  +  0.45 * MIN(MIN(DH67+Races!$E$71,Races!$F$71),6)  +  0.2 * ( MAX(DH67+Races!$E$71-6,0) + MAX(Races!$F$71-6,0) )  -  Races!$N$71</f>
        <v>0</v>
      </c>
      <c r="EI67" s="57">
        <f t="shared" ref="EI67:EI98" ca="1" si="152">EG67*G67+EH67*H67</f>
        <v>0</v>
      </c>
      <c r="EJ67" s="57"/>
      <c r="EK67" s="57"/>
      <c r="EL67" s="57"/>
      <c r="EM67" s="57">
        <f ca="1">Overview!$L$22*E67+Overview!$L$23*F67+Overview!$L$24*G67+Overview!$L$25*H67+Overview!$L$26*I67+Overview!$L$27*J67+Overview!$L$28*K67+Construction!E67*20+Construction!B67*5 + DZ67*$DV$4+EB67*$DV$5+ED67*$DV$6+EF67*$DV$7+EI67*$DV$9</f>
        <v>20900</v>
      </c>
      <c r="EO67" s="734">
        <f>(J67+2*K67)/Construction!E67</f>
        <v>0</v>
      </c>
      <c r="EP67" s="730">
        <f ca="1">EO67*(1+race_wizard_strength+tech_magical_weaponry_wiz*Techs!AV139)</f>
        <v>0</v>
      </c>
      <c r="EQ67" s="16">
        <f>(I67+halfer*H67/3)/Construction!E67</f>
        <v>0</v>
      </c>
    </row>
    <row r="68" spans="1:147" s="16" customFormat="1" x14ac:dyDescent="0.25">
      <c r="A68" s="627">
        <f>Rezone!J68</f>
        <v>66</v>
      </c>
      <c r="B68" s="56">
        <f ca="1">SUM(E68:K68)+SUM(AF60:AG68)+SUM(AH57:AL68)+Z68+Explore!AL68</f>
        <v>5295</v>
      </c>
      <c r="C68" s="97">
        <f ca="1">Population!G68</f>
        <v>0.74159663865546221</v>
      </c>
      <c r="E68" s="52">
        <f t="shared" si="105"/>
        <v>0</v>
      </c>
      <c r="F68" s="16">
        <f t="shared" si="106"/>
        <v>0</v>
      </c>
      <c r="G68" s="16">
        <f t="shared" si="107"/>
        <v>0</v>
      </c>
      <c r="H68" s="16">
        <f t="shared" si="108"/>
        <v>0</v>
      </c>
      <c r="I68" s="16">
        <f t="shared" si="109"/>
        <v>0</v>
      </c>
      <c r="J68" s="16">
        <f t="shared" si="110"/>
        <v>0</v>
      </c>
      <c r="K68" s="53">
        <f t="shared" si="111"/>
        <v>0</v>
      </c>
      <c r="M68" s="64">
        <f ca="1">Production!G68</f>
        <v>20900</v>
      </c>
      <c r="O68" s="142">
        <f t="shared" ca="1" si="112"/>
        <v>0</v>
      </c>
      <c r="P68" s="454">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53">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13"/>
        <v>5295</v>
      </c>
      <c r="T68" s="1047">
        <f ca="1">race_defense+Imps!AC68+ROUND(MIN(gt_bonus*Construction!BH68/Construction!$E68,gt_bonus_cap),4)+MAX(IF(Magic!AM68&gt;0,frenzy_bonus,IF(Magic!AQ68&gt;0,blizzard_bonus,IF(Magic!AP68&gt;0,howling_dp_bonus,IF(Magic!AI68&gt;0,ares_call_bonus)))),IF(Magic!AX68&gt;0,MIN(Construction!DF68/Construction!E68,0.2),0))</f>
        <v>0</v>
      </c>
      <c r="U68" s="1041">
        <f t="shared" ref="U68:U131" ca="1" si="154">R68 * (1 + T68)</f>
        <v>0</v>
      </c>
      <c r="V68" s="310">
        <f t="shared" ref="V68:V131" ca="1" si="155">S68 * (1 + T68)</f>
        <v>5295</v>
      </c>
      <c r="W68" s="310">
        <f>Construction!E68</f>
        <v>1000</v>
      </c>
      <c r="X68" s="367"/>
      <c r="Y68" s="146">
        <f t="shared" si="76"/>
        <v>0.4</v>
      </c>
      <c r="Z68" s="166">
        <f ca="1">Z67+Population!Z67 - IF(race="Lux",AF68,SUM(AF68:AK68)) - BE68 + SUM(BF68:BL68) - Explore!AI68</f>
        <v>5295</v>
      </c>
      <c r="AA68" s="164"/>
      <c r="AB68" s="91">
        <f>(Construction!$BA68+Construction!BY68)/(Construction!$E68-Explore!S68*20)</f>
        <v>0</v>
      </c>
      <c r="AC68" s="1516">
        <f ca="1">Imps!AE68</f>
        <v>0</v>
      </c>
      <c r="AD68" s="795">
        <f>Rezone!J68</f>
        <v>66</v>
      </c>
      <c r="AE68" s="587">
        <f>Explore!AA68</f>
        <v>43768.677083333176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14"/>
        <v>0</v>
      </c>
      <c r="AV68" s="164">
        <f t="shared" ca="1" si="115"/>
        <v>0</v>
      </c>
      <c r="AW68" s="164">
        <f t="shared" ref="AW68:AW131" ca="1" si="156">$AH68*CA68+$AI68*CH68</f>
        <v>0</v>
      </c>
      <c r="AX68" s="164">
        <f t="shared" ref="AX68:AX131" ca="1" si="157">$AG68*BW68+$AH68*CB68+$AI68*CI68</f>
        <v>0</v>
      </c>
      <c r="AY68" s="164">
        <f t="shared" ref="AY68:AY131" ca="1" si="158">$AF68*BR68+$AG68*BV68+$AH68*CC68+$AI68*CJ68</f>
        <v>0</v>
      </c>
      <c r="AZ68" s="164">
        <f t="shared" ref="AZ68:AZ131" ca="1" si="159">$AF68*BS68+$AG68*BX68+$AH68*CD68+$AI68*CK68</f>
        <v>0</v>
      </c>
      <c r="BA68" s="166">
        <f t="shared" ref="BA68:BA131" ca="1" si="160">$AH68*CE68+$AI68*CL68</f>
        <v>0</v>
      </c>
      <c r="BB68" s="16">
        <v>66</v>
      </c>
      <c r="BC68" s="572">
        <f t="shared" ref="BC68:BC131" si="161">AE68</f>
        <v>43768.677083333176</v>
      </c>
      <c r="BD68" s="148">
        <f t="shared" ref="BD68:BD131" ca="1" si="162">$Z68</f>
        <v>5295</v>
      </c>
      <c r="BE68" s="356"/>
      <c r="BF68" s="348"/>
      <c r="BG68" s="348"/>
      <c r="BH68" s="348"/>
      <c r="BI68" s="348"/>
      <c r="BJ68" s="348"/>
      <c r="BK68" s="348"/>
      <c r="BL68" s="357"/>
      <c r="BN68" s="501">
        <f>Construction!BM68/Construction!E68</f>
        <v>0</v>
      </c>
      <c r="BO68" s="171">
        <f>Construction!BD68/Construction!E68</f>
        <v>0</v>
      </c>
      <c r="BP68" s="152">
        <f ca="1">ROUNDUP((1-MIN(AB68*smithy_bonus,smithy_bonus_cap)-AC68)*(1+Techs!AO68*tech_master_of_frugality)*spec_op_plat,0)</f>
        <v>275</v>
      </c>
      <c r="BQ68" s="164">
        <f ca="1">ROUNDUP(IF(OR(race="Gnome",race="Imperial Gnome"),1-AC68,(1-MIN(AB68*smithy_bonus,smithy_bonus_cap)-AC68)*(1+Techs!AO68*tech_master_of_frugality))*spec_op_ore,0)</f>
        <v>25</v>
      </c>
      <c r="BR68" s="164">
        <f t="shared" si="116"/>
        <v>0</v>
      </c>
      <c r="BS68" s="164">
        <f t="shared" si="117"/>
        <v>0</v>
      </c>
      <c r="BT68" s="164">
        <f ca="1">ROUNDUP((1-MIN(AB68*smithy_bonus,smithy_bonus_cap)-AC68)*(1+Techs!AO68*tech_master_of_frugality)*spec_dp_plat,0)</f>
        <v>275</v>
      </c>
      <c r="BU68" s="164">
        <f ca="1">ROUNDUP(IF(OR(race="Gnome",race="Imperial Gnome"),1-AC68,(1-MIN(AB68*smithy_bonus,smithy_bonus_cap)-AC68)*(1+Techs!AO68*tech_master_of_frugality))*spec_dp_ore,0)</f>
        <v>10</v>
      </c>
      <c r="BV68" s="164">
        <f t="shared" ca="1" si="118"/>
        <v>0</v>
      </c>
      <c r="BW68" s="164">
        <f t="shared" ca="1" si="119"/>
        <v>0</v>
      </c>
      <c r="BX68" s="164">
        <f t="shared" ca="1" si="120"/>
        <v>0</v>
      </c>
      <c r="BY68" s="164">
        <f ca="1">ROUNDUP((1-MIN(AB68*smithy_bonus,smithy_bonus_cap)-AC68)*(1+Techs!AO68*tech_master_of_frugality)*elite1_plat,0)</f>
        <v>1000</v>
      </c>
      <c r="BZ68" s="164">
        <f ca="1">ROUNDUP(IF(OR(race="Gnome",race="Imperial Gnome"),1-AC68,(1-MIN(AB68*smithy_bonus,smithy_bonus_cap)-AC68)*(1+Techs!AO68*tech_master_of_frugality))*elite1_ore,0)</f>
        <v>75</v>
      </c>
      <c r="CA68" s="164">
        <f t="shared" ref="CA68:CA131" ca="1" si="163">ROUNDUP((1-MIN(AB68*smithy_bonus,smithy_bonus_cap))*elite1_lumber,0)</f>
        <v>0</v>
      </c>
      <c r="CB68" s="164">
        <f t="shared" ca="1" si="121"/>
        <v>0</v>
      </c>
      <c r="CC68" s="164">
        <f t="shared" ca="1" si="122"/>
        <v>0</v>
      </c>
      <c r="CD68" s="164">
        <f t="shared" ca="1" si="123"/>
        <v>0</v>
      </c>
      <c r="CE68" s="164">
        <f t="shared" ca="1" si="124"/>
        <v>0</v>
      </c>
      <c r="CF68" s="164">
        <f ca="1">ROUNDUP((1-MIN(AB68*smithy_bonus,smithy_bonus_cap)-AC68)*(1+Techs!AO68*tech_master_of_frugality)*elite2_plat,0)</f>
        <v>1250</v>
      </c>
      <c r="CG68" s="164">
        <f ca="1">ROUNDUP(IF(OR(race="Gnome",race="Imperial Gnome"),1-AC68,(1-MIN(AB68*smithy_bonus,smithy_bonus_cap)-AC68)*(1+Techs!AO68*tech_master_of_frugality))*elite2_ore,0)</f>
        <v>100</v>
      </c>
      <c r="CH68" s="164">
        <f t="shared" ref="CH68:CH131" ca="1" si="164">ROUNDUP((1-MIN(AB68*smithy_bonus,smithy_bonus_cap))*elite2_lumber,0)</f>
        <v>0</v>
      </c>
      <c r="CI68" s="164">
        <f t="shared" ca="1" si="125"/>
        <v>0</v>
      </c>
      <c r="CJ68" s="164">
        <f t="shared" ca="1" si="126"/>
        <v>0</v>
      </c>
      <c r="CK68" s="164">
        <f t="shared" ca="1" si="127"/>
        <v>0</v>
      </c>
      <c r="CL68" s="164">
        <f t="shared" ca="1" si="128"/>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4">
        <f ca="1">Construction!DF68/Construction!E68</f>
        <v>0.15</v>
      </c>
      <c r="CR68" s="465">
        <f t="shared" ref="CR68:CR131" si="165">BN68</f>
        <v>0</v>
      </c>
      <c r="CS68" s="465">
        <f>Construction!BK68/Construction!E68</f>
        <v>0.05</v>
      </c>
      <c r="CT68" s="465">
        <f>Construction!BJ68/Construction!E68</f>
        <v>0</v>
      </c>
      <c r="CU68" s="465">
        <f>Construction!AY68/Construction!E68</f>
        <v>0</v>
      </c>
      <c r="CV68" s="486">
        <f t="shared" ca="1" si="129"/>
        <v>0.74999999999999989</v>
      </c>
      <c r="CW68" s="487">
        <f t="shared" ca="1" si="130"/>
        <v>0.74999999999999989</v>
      </c>
      <c r="CX68" s="487">
        <f t="shared" ca="1" si="131"/>
        <v>0.74999999999999989</v>
      </c>
      <c r="CY68" s="488">
        <f t="shared" ca="1" si="132"/>
        <v>0.74999999999999989</v>
      </c>
      <c r="CZ68" s="488">
        <f t="shared" si="133"/>
        <v>0</v>
      </c>
      <c r="DA68" s="488">
        <f t="shared" ca="1" si="134"/>
        <v>2.9999999999999996</v>
      </c>
      <c r="DB68" s="488">
        <f t="shared" ca="1" si="135"/>
        <v>0.74999999999999989</v>
      </c>
      <c r="DC68" s="487">
        <f t="shared" si="136"/>
        <v>0</v>
      </c>
      <c r="DD68" s="843">
        <f t="shared" si="137"/>
        <v>0</v>
      </c>
      <c r="DE68" s="441">
        <f t="shared" ref="DE68:DE131" si="166">MIN(G68,H68)*2</f>
        <v>0</v>
      </c>
      <c r="DF68" s="441">
        <f t="shared" ref="DF68:DF131" si="167">MIN(E68,H68)*2</f>
        <v>0</v>
      </c>
      <c r="DG68" s="486">
        <f t="shared" ca="1" si="138"/>
        <v>0.74999999999999989</v>
      </c>
      <c r="DH68" s="451">
        <f t="shared" si="139"/>
        <v>0</v>
      </c>
      <c r="DI68" s="451">
        <f>MIN(valkyrja_cap,Production!O68/valkyrja_bonus)</f>
        <v>1</v>
      </c>
      <c r="DJ68" s="843">
        <f>MIN(voodoo_magi_cap,Production!O68/voodoo_magi_bonus)</f>
        <v>0.83333333333333337</v>
      </c>
      <c r="DK68" s="843">
        <f>MIN(warlock_cap,Production!O68/warlock_bonus)</f>
        <v>1</v>
      </c>
      <c r="DL68" s="843">
        <f ca="1">MIN(nox_nightshade_cap,Construction!DF68/Construction!E68/nox_nightshade_swamp_bonus)</f>
        <v>1.4999999999999998</v>
      </c>
      <c r="DM68" s="487">
        <f t="shared" si="140"/>
        <v>0</v>
      </c>
      <c r="DN68" s="488">
        <f t="shared" ca="1" si="141"/>
        <v>1.4999999999999998</v>
      </c>
      <c r="DO68" s="488">
        <f t="shared" ca="1" si="142"/>
        <v>1.4999999999999998</v>
      </c>
      <c r="DP68" s="488">
        <f t="shared" si="143"/>
        <v>1</v>
      </c>
      <c r="DQ68" s="487">
        <f t="shared" si="144"/>
        <v>0</v>
      </c>
      <c r="DR68" s="488">
        <f t="shared" si="145"/>
        <v>0</v>
      </c>
      <c r="DS68" s="487">
        <f t="shared" si="146"/>
        <v>0</v>
      </c>
      <c r="DT68" s="488">
        <f t="shared" si="147"/>
        <v>0</v>
      </c>
      <c r="DX68" s="486">
        <f ca="1">MIN(6,CV68+Races!$F$19)*1.8 +  IF(CV68+Races!$F$19&gt;6,(CV68+Races!$F$19-6)*0.2,0) - Races!$N$19</f>
        <v>1.3500000000000005</v>
      </c>
      <c r="DY68" s="487">
        <f ca="1">1.8 * MIN(MAX(CW68+Races!$E$20,CX68+Races!$F$20),6)  +  0.45 * MIN(MIN(CW68+Races!$E$20,CX68+Races!$F$20),6)  +  0.2 * ( MAX(CW68+Races!$E$20-6,0) + MAX(CX68+Races!$F$20-6,0) )  -  Races!$N$20</f>
        <v>1.6874999999999991</v>
      </c>
      <c r="DZ68" s="57">
        <f t="shared" ca="1" si="148"/>
        <v>0</v>
      </c>
      <c r="EA68" s="663">
        <f ca="1">MIN(6,CY68+Races!$F$35)*1.8 +  IF(CY68+Races!$F$35&gt;6,(CY68+Races!$F$35-6)*0.2,0) - Races!$N$19</f>
        <v>-0.45000000000000018</v>
      </c>
      <c r="EB68" s="57">
        <f t="shared" ca="1" si="149"/>
        <v>0</v>
      </c>
      <c r="EC68" s="663">
        <f ca="1">1.8 * MIN(MAX(Races!$E$27,DB68+Races!$F$27),6)  +  0.45 * MIN(MIN(Races!$E$27,DB68+Races!$F$27),6)  +  0.2 * ( MAX(Races!$E$27-6,0) + MAX(DB68+Races!$F$27-6,0) )  -  Races!$N$20</f>
        <v>3.6000000000000005</v>
      </c>
      <c r="ED68" s="57">
        <f t="shared" ca="1" si="150"/>
        <v>0</v>
      </c>
      <c r="EE68" s="663">
        <f>1.8 * MIN(MAX(DC68+Races!$E$47,DD68+Races!$F$47),6)  +  0.45 * MIN(MIN(DC68+Races!$E$47,DD68+Races!$F$47),6)  +  0.2 * ( MAX(DC68+Races!$E$47-6,0) + MAX(DD68+Races!$F$47-6,0) )  -  Races!$N$47</f>
        <v>0</v>
      </c>
      <c r="EF68" s="57">
        <f t="shared" si="151"/>
        <v>0</v>
      </c>
      <c r="EG68" s="663">
        <f ca="1">1.8 * MIN(MAX(DG68+Races!$F$71,Races!$E$71),6)  +  0.45 * MIN(MIN(DG68+Races!$F$71,Races!$E$71),6)  +  0.2 * ( MAX(DG68+Races!$F$71-6,0) + MAX(Races!$E$71-6,0) )  -  Races!$N$71</f>
        <v>1.3499999999999996</v>
      </c>
      <c r="EH68" s="663">
        <f>1.8 * MIN(MAX(DH68+Races!$E$71,Races!$F$71),6)  +  0.45 * MIN(MIN(DH68+Races!$E$71,Races!$F$71),6)  +  0.2 * ( MAX(DH68+Races!$E$71-6,0) + MAX(Races!$F$71-6,0) )  -  Races!$N$71</f>
        <v>0</v>
      </c>
      <c r="EI68" s="57">
        <f t="shared" ca="1" si="152"/>
        <v>0</v>
      </c>
      <c r="EJ68" s="57"/>
      <c r="EK68" s="57"/>
      <c r="EL68" s="57"/>
      <c r="EM68" s="57">
        <f ca="1">Overview!$L$22*E68+Overview!$L$23*F68+Overview!$L$24*G68+Overview!$L$25*H68+Overview!$L$26*I68+Overview!$L$27*J68+Overview!$L$28*K68+Construction!E68*20+Construction!B68*5 + DZ68*$DV$4+EB68*$DV$5+ED68*$DV$6+EF68*$DV$7+EI68*$DV$9</f>
        <v>20900</v>
      </c>
      <c r="EO68" s="734">
        <f>(J68+2*K68)/Construction!E68</f>
        <v>0</v>
      </c>
      <c r="EP68" s="730">
        <f ca="1">EO68*(1+race_wizard_strength+tech_magical_weaponry_wiz*Techs!AV140)</f>
        <v>0</v>
      </c>
      <c r="EQ68" s="16">
        <f>(I68+halfer*H68/3)/Construction!E68</f>
        <v>0</v>
      </c>
    </row>
    <row r="69" spans="1:147" s="16" customFormat="1" x14ac:dyDescent="0.25">
      <c r="A69" s="627">
        <f>Rezone!J69</f>
        <v>67</v>
      </c>
      <c r="B69" s="56">
        <f ca="1">SUM(E69:K69)+SUM(AF61:AG69)+SUM(AH58:AL69)+Z69+Explore!AL69</f>
        <v>5295</v>
      </c>
      <c r="C69" s="97">
        <f ca="1">Population!G69</f>
        <v>0.74159663865546221</v>
      </c>
      <c r="E69" s="52">
        <f t="shared" si="105"/>
        <v>0</v>
      </c>
      <c r="F69" s="16">
        <f t="shared" si="106"/>
        <v>0</v>
      </c>
      <c r="G69" s="16">
        <f t="shared" si="107"/>
        <v>0</v>
      </c>
      <c r="H69" s="16">
        <f t="shared" si="108"/>
        <v>0</v>
      </c>
      <c r="I69" s="16">
        <f t="shared" si="109"/>
        <v>0</v>
      </c>
      <c r="J69" s="16">
        <f t="shared" si="110"/>
        <v>0</v>
      </c>
      <c r="K69" s="53">
        <f t="shared" si="111"/>
        <v>0</v>
      </c>
      <c r="M69" s="64">
        <f ca="1">Production!G69</f>
        <v>20900</v>
      </c>
      <c r="O69" s="142">
        <f t="shared" ca="1" si="112"/>
        <v>0</v>
      </c>
      <c r="P69" s="454">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53"/>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13"/>
        <v>5295</v>
      </c>
      <c r="T69" s="1047">
        <f ca="1">race_defense+Imps!AC69+ROUND(MIN(gt_bonus*Construction!BH69/Construction!$E69,gt_bonus_cap),4)+MAX(IF(Magic!AM69&gt;0,frenzy_bonus,IF(Magic!AQ69&gt;0,blizzard_bonus,IF(Magic!AP69&gt;0,howling_dp_bonus,IF(Magic!AI69&gt;0,ares_call_bonus)))),IF(Magic!AX69&gt;0,MIN(Construction!DF69/Construction!E69,0.2),0))</f>
        <v>0</v>
      </c>
      <c r="U69" s="1041">
        <f t="shared" ca="1" si="154"/>
        <v>0</v>
      </c>
      <c r="V69" s="310">
        <f t="shared" ca="1" si="155"/>
        <v>5295</v>
      </c>
      <c r="W69" s="310">
        <f>Construction!E69</f>
        <v>1000</v>
      </c>
      <c r="X69" s="367"/>
      <c r="Y69" s="146">
        <f t="shared" si="76"/>
        <v>0.4</v>
      </c>
      <c r="Z69" s="166">
        <f ca="1">Z68+Population!Z68 - IF(race="Lux",AF69,SUM(AF69:AK69)) - BE69 + SUM(BF69:BL69) - Explore!AI69</f>
        <v>5295</v>
      </c>
      <c r="AA69" s="164"/>
      <c r="AB69" s="91">
        <f>(Construction!$BA69+Construction!BY69)/(Construction!$E69-Explore!S69*20)</f>
        <v>0</v>
      </c>
      <c r="AC69" s="1516">
        <f ca="1">Imps!AE69</f>
        <v>0</v>
      </c>
      <c r="AD69" s="795">
        <f>Rezone!J69</f>
        <v>67</v>
      </c>
      <c r="AE69" s="587">
        <f>Explore!AA69</f>
        <v>43768.68749999984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14"/>
        <v>0</v>
      </c>
      <c r="AV69" s="164">
        <f t="shared" ca="1" si="115"/>
        <v>0</v>
      </c>
      <c r="AW69" s="164">
        <f t="shared" ca="1" si="156"/>
        <v>0</v>
      </c>
      <c r="AX69" s="164">
        <f t="shared" ca="1" si="157"/>
        <v>0</v>
      </c>
      <c r="AY69" s="164">
        <f t="shared" ca="1" si="158"/>
        <v>0</v>
      </c>
      <c r="AZ69" s="164">
        <f t="shared" ca="1" si="159"/>
        <v>0</v>
      </c>
      <c r="BA69" s="166">
        <f t="shared" ca="1" si="160"/>
        <v>0</v>
      </c>
      <c r="BB69" s="16">
        <v>67</v>
      </c>
      <c r="BC69" s="572">
        <f t="shared" si="161"/>
        <v>43768.68749999984</v>
      </c>
      <c r="BD69" s="148">
        <f t="shared" ca="1" si="162"/>
        <v>5295</v>
      </c>
      <c r="BE69" s="356"/>
      <c r="BF69" s="348"/>
      <c r="BG69" s="348"/>
      <c r="BH69" s="348"/>
      <c r="BI69" s="348"/>
      <c r="BJ69" s="348"/>
      <c r="BK69" s="348"/>
      <c r="BL69" s="357"/>
      <c r="BN69" s="501">
        <f>Construction!BM69/Construction!E69</f>
        <v>0</v>
      </c>
      <c r="BO69" s="171">
        <f>Construction!BD69/Construction!E69</f>
        <v>0</v>
      </c>
      <c r="BP69" s="152">
        <f ca="1">ROUNDUP((1-MIN(AB69*smithy_bonus,smithy_bonus_cap)-AC69)*(1+Techs!AO69*tech_master_of_frugality)*spec_op_plat,0)</f>
        <v>275</v>
      </c>
      <c r="BQ69" s="164">
        <f ca="1">ROUNDUP(IF(OR(race="Gnome",race="Imperial Gnome"),1-AC69,(1-MIN(AB69*smithy_bonus,smithy_bonus_cap)-AC69)*(1+Techs!AO69*tech_master_of_frugality))*spec_op_ore,0)</f>
        <v>25</v>
      </c>
      <c r="BR69" s="164">
        <f t="shared" si="116"/>
        <v>0</v>
      </c>
      <c r="BS69" s="164">
        <f t="shared" si="117"/>
        <v>0</v>
      </c>
      <c r="BT69" s="164">
        <f ca="1">ROUNDUP((1-MIN(AB69*smithy_bonus,smithy_bonus_cap)-AC69)*(1+Techs!AO69*tech_master_of_frugality)*spec_dp_plat,0)</f>
        <v>275</v>
      </c>
      <c r="BU69" s="164">
        <f ca="1">ROUNDUP(IF(OR(race="Gnome",race="Imperial Gnome"),1-AC69,(1-MIN(AB69*smithy_bonus,smithy_bonus_cap)-AC69)*(1+Techs!AO69*tech_master_of_frugality))*spec_dp_ore,0)</f>
        <v>10</v>
      </c>
      <c r="BV69" s="164">
        <f t="shared" ca="1" si="118"/>
        <v>0</v>
      </c>
      <c r="BW69" s="164">
        <f t="shared" ca="1" si="119"/>
        <v>0</v>
      </c>
      <c r="BX69" s="164">
        <f t="shared" ca="1" si="120"/>
        <v>0</v>
      </c>
      <c r="BY69" s="164">
        <f ca="1">ROUNDUP((1-MIN(AB69*smithy_bonus,smithy_bonus_cap)-AC69)*(1+Techs!AO69*tech_master_of_frugality)*elite1_plat,0)</f>
        <v>1000</v>
      </c>
      <c r="BZ69" s="164">
        <f ca="1">ROUNDUP(IF(OR(race="Gnome",race="Imperial Gnome"),1-AC69,(1-MIN(AB69*smithy_bonus,smithy_bonus_cap)-AC69)*(1+Techs!AO69*tech_master_of_frugality))*elite1_ore,0)</f>
        <v>75</v>
      </c>
      <c r="CA69" s="164">
        <f t="shared" ca="1" si="163"/>
        <v>0</v>
      </c>
      <c r="CB69" s="164">
        <f t="shared" ca="1" si="121"/>
        <v>0</v>
      </c>
      <c r="CC69" s="164">
        <f t="shared" ca="1" si="122"/>
        <v>0</v>
      </c>
      <c r="CD69" s="164">
        <f t="shared" ca="1" si="123"/>
        <v>0</v>
      </c>
      <c r="CE69" s="164">
        <f t="shared" ca="1" si="124"/>
        <v>0</v>
      </c>
      <c r="CF69" s="164">
        <f ca="1">ROUNDUP((1-MIN(AB69*smithy_bonus,smithy_bonus_cap)-AC69)*(1+Techs!AO69*tech_master_of_frugality)*elite2_plat,0)</f>
        <v>1250</v>
      </c>
      <c r="CG69" s="164">
        <f ca="1">ROUNDUP(IF(OR(race="Gnome",race="Imperial Gnome"),1-AC69,(1-MIN(AB69*smithy_bonus,smithy_bonus_cap)-AC69)*(1+Techs!AO69*tech_master_of_frugality))*elite2_ore,0)</f>
        <v>100</v>
      </c>
      <c r="CH69" s="164">
        <f t="shared" ca="1" si="164"/>
        <v>0</v>
      </c>
      <c r="CI69" s="164">
        <f t="shared" ca="1" si="125"/>
        <v>0</v>
      </c>
      <c r="CJ69" s="164">
        <f t="shared" ca="1" si="126"/>
        <v>0</v>
      </c>
      <c r="CK69" s="164">
        <f t="shared" ca="1" si="127"/>
        <v>0</v>
      </c>
      <c r="CL69" s="164">
        <f t="shared" ca="1" si="128"/>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4">
        <f ca="1">Construction!DF69/Construction!E69</f>
        <v>0.15</v>
      </c>
      <c r="CR69" s="465">
        <f t="shared" si="165"/>
        <v>0</v>
      </c>
      <c r="CS69" s="465">
        <f>Construction!BK69/Construction!E69</f>
        <v>0.05</v>
      </c>
      <c r="CT69" s="465">
        <f>Construction!BJ69/Construction!E69</f>
        <v>0</v>
      </c>
      <c r="CU69" s="465">
        <f>Construction!AY69/Construction!E69</f>
        <v>0</v>
      </c>
      <c r="CV69" s="486">
        <f t="shared" ca="1" si="129"/>
        <v>0.74999999999999989</v>
      </c>
      <c r="CW69" s="487">
        <f t="shared" ca="1" si="130"/>
        <v>0.74999999999999989</v>
      </c>
      <c r="CX69" s="487">
        <f t="shared" ca="1" si="131"/>
        <v>0.74999999999999989</v>
      </c>
      <c r="CY69" s="488">
        <f t="shared" ca="1" si="132"/>
        <v>0.74999999999999989</v>
      </c>
      <c r="CZ69" s="488">
        <f t="shared" si="133"/>
        <v>0</v>
      </c>
      <c r="DA69" s="488">
        <f t="shared" ca="1" si="134"/>
        <v>2.9999999999999996</v>
      </c>
      <c r="DB69" s="488">
        <f t="shared" ca="1" si="135"/>
        <v>0.74999999999999989</v>
      </c>
      <c r="DC69" s="487">
        <f t="shared" si="136"/>
        <v>0</v>
      </c>
      <c r="DD69" s="843">
        <f t="shared" si="137"/>
        <v>0</v>
      </c>
      <c r="DE69" s="441">
        <f t="shared" si="166"/>
        <v>0</v>
      </c>
      <c r="DF69" s="441">
        <f t="shared" si="167"/>
        <v>0</v>
      </c>
      <c r="DG69" s="486">
        <f t="shared" ca="1" si="138"/>
        <v>0.74999999999999989</v>
      </c>
      <c r="DH69" s="451">
        <f t="shared" si="139"/>
        <v>0</v>
      </c>
      <c r="DI69" s="451">
        <f>MIN(valkyrja_cap,Production!O69/valkyrja_bonus)</f>
        <v>1</v>
      </c>
      <c r="DJ69" s="843">
        <f>MIN(voodoo_magi_cap,Production!O69/voodoo_magi_bonus)</f>
        <v>0.83333333333333337</v>
      </c>
      <c r="DK69" s="843">
        <f>MIN(warlock_cap,Production!O69/warlock_bonus)</f>
        <v>1</v>
      </c>
      <c r="DL69" s="843">
        <f ca="1">MIN(nox_nightshade_cap,Construction!DF69/Construction!E69/nox_nightshade_swamp_bonus)</f>
        <v>1.4999999999999998</v>
      </c>
      <c r="DM69" s="487">
        <f t="shared" si="140"/>
        <v>0</v>
      </c>
      <c r="DN69" s="488">
        <f t="shared" ca="1" si="141"/>
        <v>1.4999999999999998</v>
      </c>
      <c r="DO69" s="488">
        <f t="shared" ca="1" si="142"/>
        <v>1.4999999999999998</v>
      </c>
      <c r="DP69" s="488">
        <f t="shared" si="143"/>
        <v>1</v>
      </c>
      <c r="DQ69" s="487">
        <f t="shared" si="144"/>
        <v>0</v>
      </c>
      <c r="DR69" s="488">
        <f t="shared" si="145"/>
        <v>0</v>
      </c>
      <c r="DS69" s="487">
        <f t="shared" si="146"/>
        <v>0</v>
      </c>
      <c r="DT69" s="488">
        <f t="shared" si="147"/>
        <v>0</v>
      </c>
      <c r="DX69" s="486">
        <f ca="1">MIN(6,CV69+Races!$F$19)*1.8 +  IF(CV69+Races!$F$19&gt;6,(CV69+Races!$F$19-6)*0.2,0) - Races!$N$19</f>
        <v>1.3500000000000005</v>
      </c>
      <c r="DY69" s="487">
        <f ca="1">1.8 * MIN(MAX(CW69+Races!$E$20,CX69+Races!$F$20),6)  +  0.45 * MIN(MIN(CW69+Races!$E$20,CX69+Races!$F$20),6)  +  0.2 * ( MAX(CW69+Races!$E$20-6,0) + MAX(CX69+Races!$F$20-6,0) )  -  Races!$N$20</f>
        <v>1.6874999999999991</v>
      </c>
      <c r="DZ69" s="57">
        <f t="shared" ca="1" si="148"/>
        <v>0</v>
      </c>
      <c r="EA69" s="663">
        <f ca="1">MIN(6,CY69+Races!$F$35)*1.8 +  IF(CY69+Races!$F$35&gt;6,(CY69+Races!$F$35-6)*0.2,0) - Races!$N$19</f>
        <v>-0.45000000000000018</v>
      </c>
      <c r="EB69" s="57">
        <f t="shared" ca="1" si="149"/>
        <v>0</v>
      </c>
      <c r="EC69" s="663">
        <f ca="1">1.8 * MIN(MAX(Races!$E$27,DB69+Races!$F$27),6)  +  0.45 * MIN(MIN(Races!$E$27,DB69+Races!$F$27),6)  +  0.2 * ( MAX(Races!$E$27-6,0) + MAX(DB69+Races!$F$27-6,0) )  -  Races!$N$20</f>
        <v>3.6000000000000005</v>
      </c>
      <c r="ED69" s="57">
        <f t="shared" ca="1" si="150"/>
        <v>0</v>
      </c>
      <c r="EE69" s="663">
        <f>1.8 * MIN(MAX(DC69+Races!$E$47,DD69+Races!$F$47),6)  +  0.45 * MIN(MIN(DC69+Races!$E$47,DD69+Races!$F$47),6)  +  0.2 * ( MAX(DC69+Races!$E$47-6,0) + MAX(DD69+Races!$F$47-6,0) )  -  Races!$N$47</f>
        <v>0</v>
      </c>
      <c r="EF69" s="57">
        <f t="shared" si="151"/>
        <v>0</v>
      </c>
      <c r="EG69" s="663">
        <f ca="1">1.8 * MIN(MAX(DG69+Races!$F$71,Races!$E$71),6)  +  0.45 * MIN(MIN(DG69+Races!$F$71,Races!$E$71),6)  +  0.2 * ( MAX(DG69+Races!$F$71-6,0) + MAX(Races!$E$71-6,0) )  -  Races!$N$71</f>
        <v>1.3499999999999996</v>
      </c>
      <c r="EH69" s="663">
        <f>1.8 * MIN(MAX(DH69+Races!$E$71,Races!$F$71),6)  +  0.45 * MIN(MIN(DH69+Races!$E$71,Races!$F$71),6)  +  0.2 * ( MAX(DH69+Races!$E$71-6,0) + MAX(Races!$F$71-6,0) )  -  Races!$N$71</f>
        <v>0</v>
      </c>
      <c r="EI69" s="57">
        <f t="shared" ca="1" si="152"/>
        <v>0</v>
      </c>
      <c r="EJ69" s="57"/>
      <c r="EK69" s="57"/>
      <c r="EL69" s="57"/>
      <c r="EM69" s="57">
        <f ca="1">Overview!$L$22*E69+Overview!$L$23*F69+Overview!$L$24*G69+Overview!$L$25*H69+Overview!$L$26*I69+Overview!$L$27*J69+Overview!$L$28*K69+Construction!E69*20+Construction!B69*5 + DZ69*$DV$4+EB69*$DV$5+ED69*$DV$6+EF69*$DV$7+EI69*$DV$9</f>
        <v>20900</v>
      </c>
      <c r="EO69" s="734">
        <f>(J69+2*K69)/Construction!E69</f>
        <v>0</v>
      </c>
      <c r="EP69" s="730">
        <f ca="1">EO69*(1+race_wizard_strength+tech_magical_weaponry_wiz*Techs!AV141)</f>
        <v>0</v>
      </c>
      <c r="EQ69" s="16">
        <f>(I69+halfer*H69/3)/Construction!E69</f>
        <v>0</v>
      </c>
    </row>
    <row r="70" spans="1:147" s="16" customFormat="1" x14ac:dyDescent="0.25">
      <c r="A70" s="627">
        <f>Rezone!J70</f>
        <v>68</v>
      </c>
      <c r="B70" s="56">
        <f ca="1">SUM(E70:K70)+SUM(AF62:AG70)+SUM(AH59:AL70)+Z70+Explore!AL70</f>
        <v>5295</v>
      </c>
      <c r="C70" s="97">
        <f ca="1">Population!G70</f>
        <v>0.74159663865546221</v>
      </c>
      <c r="E70" s="52">
        <f t="shared" si="105"/>
        <v>0</v>
      </c>
      <c r="F70" s="16">
        <f t="shared" si="106"/>
        <v>0</v>
      </c>
      <c r="G70" s="16">
        <f t="shared" si="107"/>
        <v>0</v>
      </c>
      <c r="H70" s="16">
        <f t="shared" si="108"/>
        <v>0</v>
      </c>
      <c r="I70" s="16">
        <f t="shared" si="109"/>
        <v>0</v>
      </c>
      <c r="J70" s="16">
        <f t="shared" si="110"/>
        <v>0</v>
      </c>
      <c r="K70" s="53">
        <f t="shared" si="111"/>
        <v>0</v>
      </c>
      <c r="M70" s="64">
        <f ca="1">Production!G70</f>
        <v>20900</v>
      </c>
      <c r="O70" s="142">
        <f t="shared" ca="1" si="112"/>
        <v>0</v>
      </c>
      <c r="P70" s="454">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53"/>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13"/>
        <v>5295</v>
      </c>
      <c r="T70" s="1047">
        <f ca="1">race_defense+Imps!AC70+ROUND(MIN(gt_bonus*Construction!BH70/Construction!$E70,gt_bonus_cap),4)+MAX(IF(Magic!AM70&gt;0,frenzy_bonus,IF(Magic!AQ70&gt;0,blizzard_bonus,IF(Magic!AP70&gt;0,howling_dp_bonus,IF(Magic!AI70&gt;0,ares_call_bonus)))),IF(Magic!AX70&gt;0,MIN(Construction!DF70/Construction!E70,0.2),0))</f>
        <v>0</v>
      </c>
      <c r="U70" s="1041">
        <f t="shared" ca="1" si="154"/>
        <v>0</v>
      </c>
      <c r="V70" s="310">
        <f t="shared" ca="1" si="155"/>
        <v>5295</v>
      </c>
      <c r="W70" s="310">
        <f>Construction!E70</f>
        <v>1000</v>
      </c>
      <c r="X70" s="367"/>
      <c r="Y70" s="146">
        <f t="shared" si="76"/>
        <v>0.4</v>
      </c>
      <c r="Z70" s="166">
        <f ca="1">Z69+Population!Z69 - IF(race="Lux",AF70,SUM(AF70:AK70)) - BE70 + SUM(BF70:BL70) - Explore!AI70</f>
        <v>5295</v>
      </c>
      <c r="AA70" s="164"/>
      <c r="AB70" s="91">
        <f>(Construction!$BA70+Construction!BY70)/(Construction!$E70-Explore!S70*20)</f>
        <v>0</v>
      </c>
      <c r="AC70" s="1516">
        <f ca="1">Imps!AE70</f>
        <v>0</v>
      </c>
      <c r="AD70" s="795">
        <f>Rezone!J70</f>
        <v>68</v>
      </c>
      <c r="AE70" s="587">
        <f>Explore!AA70</f>
        <v>43768.697916666504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14"/>
        <v>0</v>
      </c>
      <c r="AV70" s="164">
        <f t="shared" ca="1" si="115"/>
        <v>0</v>
      </c>
      <c r="AW70" s="164">
        <f t="shared" ca="1" si="156"/>
        <v>0</v>
      </c>
      <c r="AX70" s="164">
        <f t="shared" ca="1" si="157"/>
        <v>0</v>
      </c>
      <c r="AY70" s="164">
        <f t="shared" ca="1" si="158"/>
        <v>0</v>
      </c>
      <c r="AZ70" s="164">
        <f t="shared" ca="1" si="159"/>
        <v>0</v>
      </c>
      <c r="BA70" s="166">
        <f t="shared" ca="1" si="160"/>
        <v>0</v>
      </c>
      <c r="BB70" s="16">
        <v>68</v>
      </c>
      <c r="BC70" s="572">
        <f t="shared" si="161"/>
        <v>43768.697916666504</v>
      </c>
      <c r="BD70" s="148">
        <f t="shared" ca="1" si="162"/>
        <v>5295</v>
      </c>
      <c r="BE70" s="356"/>
      <c r="BF70" s="348"/>
      <c r="BG70" s="348"/>
      <c r="BH70" s="348"/>
      <c r="BI70" s="348"/>
      <c r="BJ70" s="348"/>
      <c r="BK70" s="348"/>
      <c r="BL70" s="357"/>
      <c r="BN70" s="501">
        <f>Construction!BM70/Construction!E70</f>
        <v>0</v>
      </c>
      <c r="BO70" s="171">
        <f>Construction!BD70/Construction!E70</f>
        <v>0</v>
      </c>
      <c r="BP70" s="152">
        <f ca="1">ROUNDUP((1-MIN(AB70*smithy_bonus,smithy_bonus_cap)-AC70)*(1+Techs!AO70*tech_master_of_frugality)*spec_op_plat,0)</f>
        <v>275</v>
      </c>
      <c r="BQ70" s="164">
        <f ca="1">ROUNDUP(IF(OR(race="Gnome",race="Imperial Gnome"),1-AC70,(1-MIN(AB70*smithy_bonus,smithy_bonus_cap)-AC70)*(1+Techs!AO70*tech_master_of_frugality))*spec_op_ore,0)</f>
        <v>25</v>
      </c>
      <c r="BR70" s="164">
        <f t="shared" si="116"/>
        <v>0</v>
      </c>
      <c r="BS70" s="164">
        <f t="shared" si="117"/>
        <v>0</v>
      </c>
      <c r="BT70" s="164">
        <f ca="1">ROUNDUP((1-MIN(AB70*smithy_bonus,smithy_bonus_cap)-AC70)*(1+Techs!AO70*tech_master_of_frugality)*spec_dp_plat,0)</f>
        <v>275</v>
      </c>
      <c r="BU70" s="164">
        <f ca="1">ROUNDUP(IF(OR(race="Gnome",race="Imperial Gnome"),1-AC70,(1-MIN(AB70*smithy_bonus,smithy_bonus_cap)-AC70)*(1+Techs!AO70*tech_master_of_frugality))*spec_dp_ore,0)</f>
        <v>10</v>
      </c>
      <c r="BV70" s="164">
        <f t="shared" ca="1" si="118"/>
        <v>0</v>
      </c>
      <c r="BW70" s="164">
        <f t="shared" ca="1" si="119"/>
        <v>0</v>
      </c>
      <c r="BX70" s="164">
        <f t="shared" ca="1" si="120"/>
        <v>0</v>
      </c>
      <c r="BY70" s="164">
        <f ca="1">ROUNDUP((1-MIN(AB70*smithy_bonus,smithy_bonus_cap)-AC70)*(1+Techs!AO70*tech_master_of_frugality)*elite1_plat,0)</f>
        <v>1000</v>
      </c>
      <c r="BZ70" s="164">
        <f ca="1">ROUNDUP(IF(OR(race="Gnome",race="Imperial Gnome"),1-AC70,(1-MIN(AB70*smithy_bonus,smithy_bonus_cap)-AC70)*(1+Techs!AO70*tech_master_of_frugality))*elite1_ore,0)</f>
        <v>75</v>
      </c>
      <c r="CA70" s="164">
        <f t="shared" ca="1" si="163"/>
        <v>0</v>
      </c>
      <c r="CB70" s="164">
        <f t="shared" ca="1" si="121"/>
        <v>0</v>
      </c>
      <c r="CC70" s="164">
        <f t="shared" ca="1" si="122"/>
        <v>0</v>
      </c>
      <c r="CD70" s="164">
        <f t="shared" ca="1" si="123"/>
        <v>0</v>
      </c>
      <c r="CE70" s="164">
        <f t="shared" ca="1" si="124"/>
        <v>0</v>
      </c>
      <c r="CF70" s="164">
        <f ca="1">ROUNDUP((1-MIN(AB70*smithy_bonus,smithy_bonus_cap)-AC70)*(1+Techs!AO70*tech_master_of_frugality)*elite2_plat,0)</f>
        <v>1250</v>
      </c>
      <c r="CG70" s="164">
        <f ca="1">ROUNDUP(IF(OR(race="Gnome",race="Imperial Gnome"),1-AC70,(1-MIN(AB70*smithy_bonus,smithy_bonus_cap)-AC70)*(1+Techs!AO70*tech_master_of_frugality))*elite2_ore,0)</f>
        <v>100</v>
      </c>
      <c r="CH70" s="164">
        <f t="shared" ca="1" si="164"/>
        <v>0</v>
      </c>
      <c r="CI70" s="164">
        <f t="shared" ca="1" si="125"/>
        <v>0</v>
      </c>
      <c r="CJ70" s="164">
        <f t="shared" ca="1" si="126"/>
        <v>0</v>
      </c>
      <c r="CK70" s="164">
        <f t="shared" ca="1" si="127"/>
        <v>0</v>
      </c>
      <c r="CL70" s="164">
        <f t="shared" ca="1" si="128"/>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4">
        <f ca="1">Construction!DF70/Construction!E70</f>
        <v>0.15</v>
      </c>
      <c r="CR70" s="465">
        <f t="shared" si="165"/>
        <v>0</v>
      </c>
      <c r="CS70" s="465">
        <f>Construction!BK70/Construction!E70</f>
        <v>0.05</v>
      </c>
      <c r="CT70" s="465">
        <f>Construction!BJ70/Construction!E70</f>
        <v>0</v>
      </c>
      <c r="CU70" s="465">
        <f>Construction!AY70/Construction!E70</f>
        <v>0</v>
      </c>
      <c r="CV70" s="486">
        <f t="shared" ca="1" si="129"/>
        <v>0.74999999999999989</v>
      </c>
      <c r="CW70" s="487">
        <f t="shared" ca="1" si="130"/>
        <v>0.74999999999999989</v>
      </c>
      <c r="CX70" s="487">
        <f t="shared" ca="1" si="131"/>
        <v>0.74999999999999989</v>
      </c>
      <c r="CY70" s="488">
        <f t="shared" ca="1" si="132"/>
        <v>0.74999999999999989</v>
      </c>
      <c r="CZ70" s="488">
        <f t="shared" si="133"/>
        <v>0</v>
      </c>
      <c r="DA70" s="488">
        <f t="shared" ca="1" si="134"/>
        <v>2.9999999999999996</v>
      </c>
      <c r="DB70" s="488">
        <f t="shared" ca="1" si="135"/>
        <v>0.74999999999999989</v>
      </c>
      <c r="DC70" s="487">
        <f t="shared" si="136"/>
        <v>0</v>
      </c>
      <c r="DD70" s="843">
        <f t="shared" si="137"/>
        <v>0</v>
      </c>
      <c r="DE70" s="441">
        <f t="shared" si="166"/>
        <v>0</v>
      </c>
      <c r="DF70" s="441">
        <f t="shared" si="167"/>
        <v>0</v>
      </c>
      <c r="DG70" s="486">
        <f t="shared" ca="1" si="138"/>
        <v>0.74999999999999989</v>
      </c>
      <c r="DH70" s="451">
        <f t="shared" si="139"/>
        <v>0</v>
      </c>
      <c r="DI70" s="451">
        <f>MIN(valkyrja_cap,Production!O70/valkyrja_bonus)</f>
        <v>1</v>
      </c>
      <c r="DJ70" s="843">
        <f>MIN(voodoo_magi_cap,Production!O70/voodoo_magi_bonus)</f>
        <v>0.83333333333333337</v>
      </c>
      <c r="DK70" s="843">
        <f>MIN(warlock_cap,Production!O70/warlock_bonus)</f>
        <v>1</v>
      </c>
      <c r="DL70" s="843">
        <f ca="1">MIN(nox_nightshade_cap,Construction!DF70/Construction!E70/nox_nightshade_swamp_bonus)</f>
        <v>1.4999999999999998</v>
      </c>
      <c r="DM70" s="487">
        <f t="shared" si="140"/>
        <v>0</v>
      </c>
      <c r="DN70" s="488">
        <f t="shared" ca="1" si="141"/>
        <v>1.4999999999999998</v>
      </c>
      <c r="DO70" s="488">
        <f t="shared" ca="1" si="142"/>
        <v>1.4999999999999998</v>
      </c>
      <c r="DP70" s="488">
        <f t="shared" si="143"/>
        <v>1</v>
      </c>
      <c r="DQ70" s="487">
        <f t="shared" si="144"/>
        <v>0</v>
      </c>
      <c r="DR70" s="488">
        <f t="shared" si="145"/>
        <v>0</v>
      </c>
      <c r="DS70" s="487">
        <f t="shared" si="146"/>
        <v>0</v>
      </c>
      <c r="DT70" s="488">
        <f t="shared" si="147"/>
        <v>0</v>
      </c>
      <c r="DX70" s="486">
        <f ca="1">MIN(6,CV70+Races!$F$19)*1.8 +  IF(CV70+Races!$F$19&gt;6,(CV70+Races!$F$19-6)*0.2,0) - Races!$N$19</f>
        <v>1.3500000000000005</v>
      </c>
      <c r="DY70" s="487">
        <f ca="1">1.8 * MIN(MAX(CW70+Races!$E$20,CX70+Races!$F$20),6)  +  0.45 * MIN(MIN(CW70+Races!$E$20,CX70+Races!$F$20),6)  +  0.2 * ( MAX(CW70+Races!$E$20-6,0) + MAX(CX70+Races!$F$20-6,0) )  -  Races!$N$20</f>
        <v>1.6874999999999991</v>
      </c>
      <c r="DZ70" s="57">
        <f t="shared" ca="1" si="148"/>
        <v>0</v>
      </c>
      <c r="EA70" s="663">
        <f ca="1">MIN(6,CY70+Races!$F$35)*1.8 +  IF(CY70+Races!$F$35&gt;6,(CY70+Races!$F$35-6)*0.2,0) - Races!$N$19</f>
        <v>-0.45000000000000018</v>
      </c>
      <c r="EB70" s="57">
        <f t="shared" ca="1" si="149"/>
        <v>0</v>
      </c>
      <c r="EC70" s="663">
        <f ca="1">1.8 * MIN(MAX(Races!$E$27,DB70+Races!$F$27),6)  +  0.45 * MIN(MIN(Races!$E$27,DB70+Races!$F$27),6)  +  0.2 * ( MAX(Races!$E$27-6,0) + MAX(DB70+Races!$F$27-6,0) )  -  Races!$N$20</f>
        <v>3.6000000000000005</v>
      </c>
      <c r="ED70" s="57">
        <f t="shared" ca="1" si="150"/>
        <v>0</v>
      </c>
      <c r="EE70" s="663">
        <f>1.8 * MIN(MAX(DC70+Races!$E$47,DD70+Races!$F$47),6)  +  0.45 * MIN(MIN(DC70+Races!$E$47,DD70+Races!$F$47),6)  +  0.2 * ( MAX(DC70+Races!$E$47-6,0) + MAX(DD70+Races!$F$47-6,0) )  -  Races!$N$47</f>
        <v>0</v>
      </c>
      <c r="EF70" s="57">
        <f t="shared" si="151"/>
        <v>0</v>
      </c>
      <c r="EG70" s="663">
        <f ca="1">1.8 * MIN(MAX(DG70+Races!$F$71,Races!$E$71),6)  +  0.45 * MIN(MIN(DG70+Races!$F$71,Races!$E$71),6)  +  0.2 * ( MAX(DG70+Races!$F$71-6,0) + MAX(Races!$E$71-6,0) )  -  Races!$N$71</f>
        <v>1.3499999999999996</v>
      </c>
      <c r="EH70" s="663">
        <f>1.8 * MIN(MAX(DH70+Races!$E$71,Races!$F$71),6)  +  0.45 * MIN(MIN(DH70+Races!$E$71,Races!$F$71),6)  +  0.2 * ( MAX(DH70+Races!$E$71-6,0) + MAX(Races!$F$71-6,0) )  -  Races!$N$71</f>
        <v>0</v>
      </c>
      <c r="EI70" s="57">
        <f t="shared" ca="1" si="152"/>
        <v>0</v>
      </c>
      <c r="EJ70" s="57"/>
      <c r="EK70" s="57"/>
      <c r="EL70" s="57"/>
      <c r="EM70" s="57">
        <f ca="1">Overview!$L$22*E70+Overview!$L$23*F70+Overview!$L$24*G70+Overview!$L$25*H70+Overview!$L$26*I70+Overview!$L$27*J70+Overview!$L$28*K70+Construction!E70*20+Construction!B70*5 + DZ70*$DV$4+EB70*$DV$5+ED70*$DV$6+EF70*$DV$7+EI70*$DV$9</f>
        <v>20900</v>
      </c>
      <c r="EO70" s="734">
        <f>(J70+2*K70)/Construction!E70</f>
        <v>0</v>
      </c>
      <c r="EP70" s="730">
        <f ca="1">EO70*(1+race_wizard_strength+tech_magical_weaponry_wiz*Techs!AV142)</f>
        <v>0</v>
      </c>
      <c r="EQ70" s="16">
        <f>(I70+halfer*H70/3)/Construction!E70</f>
        <v>0</v>
      </c>
    </row>
    <row r="71" spans="1:147" s="16" customFormat="1" x14ac:dyDescent="0.25">
      <c r="A71" s="627">
        <f>Rezone!J71</f>
        <v>69</v>
      </c>
      <c r="B71" s="56">
        <f ca="1">SUM(E71:K71)+SUM(AF63:AG71)+SUM(AH60:AL71)+Z71+Explore!AL71</f>
        <v>5295</v>
      </c>
      <c r="C71" s="97">
        <f ca="1">Population!G71</f>
        <v>0.74159663865546221</v>
      </c>
      <c r="E71" s="52">
        <f t="shared" si="105"/>
        <v>0</v>
      </c>
      <c r="F71" s="16">
        <f t="shared" si="106"/>
        <v>0</v>
      </c>
      <c r="G71" s="16">
        <f t="shared" si="107"/>
        <v>0</v>
      </c>
      <c r="H71" s="16">
        <f t="shared" si="108"/>
        <v>0</v>
      </c>
      <c r="I71" s="16">
        <f t="shared" si="109"/>
        <v>0</v>
      </c>
      <c r="J71" s="16">
        <f t="shared" si="110"/>
        <v>0</v>
      </c>
      <c r="K71" s="53">
        <f t="shared" si="111"/>
        <v>0</v>
      </c>
      <c r="M71" s="64">
        <f ca="1">Production!G71</f>
        <v>20900</v>
      </c>
      <c r="O71" s="142">
        <f t="shared" ca="1" si="112"/>
        <v>0</v>
      </c>
      <c r="P71" s="454">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53"/>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13"/>
        <v>5295</v>
      </c>
      <c r="T71" s="1047">
        <f ca="1">race_defense+Imps!AC71+ROUND(MIN(gt_bonus*Construction!BH71/Construction!$E71,gt_bonus_cap),4)+MAX(IF(Magic!AM71&gt;0,frenzy_bonus,IF(Magic!AQ71&gt;0,blizzard_bonus,IF(Magic!AP71&gt;0,howling_dp_bonus,IF(Magic!AI71&gt;0,ares_call_bonus)))),IF(Magic!AX71&gt;0,MIN(Construction!DF71/Construction!E71,0.2),0))</f>
        <v>0</v>
      </c>
      <c r="U71" s="1041">
        <f t="shared" ca="1" si="154"/>
        <v>0</v>
      </c>
      <c r="V71" s="310">
        <f t="shared" ca="1" si="155"/>
        <v>5295</v>
      </c>
      <c r="W71" s="310">
        <f>Construction!E71</f>
        <v>1000</v>
      </c>
      <c r="X71" s="367"/>
      <c r="Y71" s="146">
        <f t="shared" si="76"/>
        <v>0.4</v>
      </c>
      <c r="Z71" s="166">
        <f ca="1">Z70+Population!Z70 - IF(race="Lux",AF71,SUM(AF71:AK71)) - BE71 + SUM(BF71:BL71) - Explore!AI71</f>
        <v>5295</v>
      </c>
      <c r="AA71" s="164"/>
      <c r="AB71" s="91">
        <f>(Construction!$BA71+Construction!BY71)/(Construction!$E71-Explore!S71*20)</f>
        <v>0</v>
      </c>
      <c r="AC71" s="1516">
        <f ca="1">Imps!AE71</f>
        <v>0</v>
      </c>
      <c r="AD71" s="795">
        <f>Rezone!J71</f>
        <v>69</v>
      </c>
      <c r="AE71" s="587">
        <f>Explore!AA71</f>
        <v>43768.708333333168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14"/>
        <v>0</v>
      </c>
      <c r="AV71" s="164">
        <f t="shared" ca="1" si="115"/>
        <v>0</v>
      </c>
      <c r="AW71" s="164">
        <f t="shared" ca="1" si="156"/>
        <v>0</v>
      </c>
      <c r="AX71" s="164">
        <f t="shared" ca="1" si="157"/>
        <v>0</v>
      </c>
      <c r="AY71" s="164">
        <f t="shared" ca="1" si="158"/>
        <v>0</v>
      </c>
      <c r="AZ71" s="164">
        <f t="shared" ca="1" si="159"/>
        <v>0</v>
      </c>
      <c r="BA71" s="166">
        <f t="shared" ca="1" si="160"/>
        <v>0</v>
      </c>
      <c r="BB71" s="16">
        <v>69</v>
      </c>
      <c r="BC71" s="572">
        <f t="shared" si="161"/>
        <v>43768.708333333168</v>
      </c>
      <c r="BD71" s="148">
        <f t="shared" ca="1" si="162"/>
        <v>5295</v>
      </c>
      <c r="BE71" s="356"/>
      <c r="BF71" s="348"/>
      <c r="BG71" s="348"/>
      <c r="BH71" s="348"/>
      <c r="BI71" s="348"/>
      <c r="BJ71" s="348"/>
      <c r="BK71" s="348"/>
      <c r="BL71" s="357"/>
      <c r="BN71" s="501">
        <f>Construction!BM71/Construction!E71</f>
        <v>0</v>
      </c>
      <c r="BO71" s="171">
        <f>Construction!BD71/Construction!E71</f>
        <v>0</v>
      </c>
      <c r="BP71" s="152">
        <f ca="1">ROUNDUP((1-MIN(AB71*smithy_bonus,smithy_bonus_cap)-AC71)*(1+Techs!AO71*tech_master_of_frugality)*spec_op_plat,0)</f>
        <v>275</v>
      </c>
      <c r="BQ71" s="164">
        <f ca="1">ROUNDUP(IF(OR(race="Gnome",race="Imperial Gnome"),1-AC71,(1-MIN(AB71*smithy_bonus,smithy_bonus_cap)-AC71)*(1+Techs!AO71*tech_master_of_frugality))*spec_op_ore,0)</f>
        <v>25</v>
      </c>
      <c r="BR71" s="164">
        <f t="shared" si="116"/>
        <v>0</v>
      </c>
      <c r="BS71" s="164">
        <f t="shared" si="117"/>
        <v>0</v>
      </c>
      <c r="BT71" s="164">
        <f ca="1">ROUNDUP((1-MIN(AB71*smithy_bonus,smithy_bonus_cap)-AC71)*(1+Techs!AO71*tech_master_of_frugality)*spec_dp_plat,0)</f>
        <v>275</v>
      </c>
      <c r="BU71" s="164">
        <f ca="1">ROUNDUP(IF(OR(race="Gnome",race="Imperial Gnome"),1-AC71,(1-MIN(AB71*smithy_bonus,smithy_bonus_cap)-AC71)*(1+Techs!AO71*tech_master_of_frugality))*spec_dp_ore,0)</f>
        <v>10</v>
      </c>
      <c r="BV71" s="164">
        <f t="shared" ca="1" si="118"/>
        <v>0</v>
      </c>
      <c r="BW71" s="164">
        <f t="shared" ca="1" si="119"/>
        <v>0</v>
      </c>
      <c r="BX71" s="164">
        <f t="shared" ca="1" si="120"/>
        <v>0</v>
      </c>
      <c r="BY71" s="164">
        <f ca="1">ROUNDUP((1-MIN(AB71*smithy_bonus,smithy_bonus_cap)-AC71)*(1+Techs!AO71*tech_master_of_frugality)*elite1_plat,0)</f>
        <v>1000</v>
      </c>
      <c r="BZ71" s="164">
        <f ca="1">ROUNDUP(IF(OR(race="Gnome",race="Imperial Gnome"),1-AC71,(1-MIN(AB71*smithy_bonus,smithy_bonus_cap)-AC71)*(1+Techs!AO71*tech_master_of_frugality))*elite1_ore,0)</f>
        <v>75</v>
      </c>
      <c r="CA71" s="164">
        <f t="shared" ca="1" si="163"/>
        <v>0</v>
      </c>
      <c r="CB71" s="164">
        <f t="shared" ca="1" si="121"/>
        <v>0</v>
      </c>
      <c r="CC71" s="164">
        <f t="shared" ca="1" si="122"/>
        <v>0</v>
      </c>
      <c r="CD71" s="164">
        <f t="shared" ca="1" si="123"/>
        <v>0</v>
      </c>
      <c r="CE71" s="164">
        <f t="shared" ca="1" si="124"/>
        <v>0</v>
      </c>
      <c r="CF71" s="164">
        <f ca="1">ROUNDUP((1-MIN(AB71*smithy_bonus,smithy_bonus_cap)-AC71)*(1+Techs!AO71*tech_master_of_frugality)*elite2_plat,0)</f>
        <v>1250</v>
      </c>
      <c r="CG71" s="164">
        <f ca="1">ROUNDUP(IF(OR(race="Gnome",race="Imperial Gnome"),1-AC71,(1-MIN(AB71*smithy_bonus,smithy_bonus_cap)-AC71)*(1+Techs!AO71*tech_master_of_frugality))*elite2_ore,0)</f>
        <v>100</v>
      </c>
      <c r="CH71" s="164">
        <f t="shared" ca="1" si="164"/>
        <v>0</v>
      </c>
      <c r="CI71" s="164">
        <f t="shared" ca="1" si="125"/>
        <v>0</v>
      </c>
      <c r="CJ71" s="164">
        <f t="shared" ca="1" si="126"/>
        <v>0</v>
      </c>
      <c r="CK71" s="164">
        <f t="shared" ca="1" si="127"/>
        <v>0</v>
      </c>
      <c r="CL71" s="164">
        <f t="shared" ca="1" si="128"/>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4">
        <f ca="1">Construction!DF71/Construction!E71</f>
        <v>0.15</v>
      </c>
      <c r="CR71" s="465">
        <f t="shared" si="165"/>
        <v>0</v>
      </c>
      <c r="CS71" s="465">
        <f>Construction!BK71/Construction!E71</f>
        <v>0.05</v>
      </c>
      <c r="CT71" s="465">
        <f>Construction!BJ71/Construction!E71</f>
        <v>0</v>
      </c>
      <c r="CU71" s="465">
        <f>Construction!AY71/Construction!E71</f>
        <v>0</v>
      </c>
      <c r="CV71" s="486">
        <f t="shared" ca="1" si="129"/>
        <v>0.74999999999999989</v>
      </c>
      <c r="CW71" s="487">
        <f t="shared" ca="1" si="130"/>
        <v>0.74999999999999989</v>
      </c>
      <c r="CX71" s="487">
        <f t="shared" ca="1" si="131"/>
        <v>0.74999999999999989</v>
      </c>
      <c r="CY71" s="488">
        <f t="shared" ca="1" si="132"/>
        <v>0.74999999999999989</v>
      </c>
      <c r="CZ71" s="488">
        <f t="shared" si="133"/>
        <v>0</v>
      </c>
      <c r="DA71" s="488">
        <f t="shared" ca="1" si="134"/>
        <v>2.9999999999999996</v>
      </c>
      <c r="DB71" s="488">
        <f t="shared" ca="1" si="135"/>
        <v>0.74999999999999989</v>
      </c>
      <c r="DC71" s="487">
        <f t="shared" si="136"/>
        <v>0</v>
      </c>
      <c r="DD71" s="843">
        <f t="shared" si="137"/>
        <v>0</v>
      </c>
      <c r="DE71" s="441">
        <f t="shared" si="166"/>
        <v>0</v>
      </c>
      <c r="DF71" s="441">
        <f t="shared" si="167"/>
        <v>0</v>
      </c>
      <c r="DG71" s="486">
        <f t="shared" ca="1" si="138"/>
        <v>0.74999999999999989</v>
      </c>
      <c r="DH71" s="451">
        <f t="shared" si="139"/>
        <v>0</v>
      </c>
      <c r="DI71" s="451">
        <f>MIN(valkyrja_cap,Production!O71/valkyrja_bonus)</f>
        <v>1</v>
      </c>
      <c r="DJ71" s="843">
        <f>MIN(voodoo_magi_cap,Production!O71/voodoo_magi_bonus)</f>
        <v>0.83333333333333337</v>
      </c>
      <c r="DK71" s="843">
        <f>MIN(warlock_cap,Production!O71/warlock_bonus)</f>
        <v>1</v>
      </c>
      <c r="DL71" s="843">
        <f ca="1">MIN(nox_nightshade_cap,Construction!DF71/Construction!E71/nox_nightshade_swamp_bonus)</f>
        <v>1.4999999999999998</v>
      </c>
      <c r="DM71" s="487">
        <f t="shared" si="140"/>
        <v>0</v>
      </c>
      <c r="DN71" s="488">
        <f t="shared" ca="1" si="141"/>
        <v>1.4999999999999998</v>
      </c>
      <c r="DO71" s="488">
        <f t="shared" ca="1" si="142"/>
        <v>1.4999999999999998</v>
      </c>
      <c r="DP71" s="488">
        <f t="shared" si="143"/>
        <v>1</v>
      </c>
      <c r="DQ71" s="487">
        <f t="shared" si="144"/>
        <v>0</v>
      </c>
      <c r="DR71" s="488">
        <f t="shared" si="145"/>
        <v>0</v>
      </c>
      <c r="DS71" s="487">
        <f t="shared" si="146"/>
        <v>0</v>
      </c>
      <c r="DT71" s="488">
        <f t="shared" si="147"/>
        <v>0</v>
      </c>
      <c r="DX71" s="486">
        <f ca="1">MIN(6,CV71+Races!$F$19)*1.8 +  IF(CV71+Races!$F$19&gt;6,(CV71+Races!$F$19-6)*0.2,0) - Races!$N$19</f>
        <v>1.3500000000000005</v>
      </c>
      <c r="DY71" s="487">
        <f ca="1">1.8 * MIN(MAX(CW71+Races!$E$20,CX71+Races!$F$20),6)  +  0.45 * MIN(MIN(CW71+Races!$E$20,CX71+Races!$F$20),6)  +  0.2 * ( MAX(CW71+Races!$E$20-6,0) + MAX(CX71+Races!$F$20-6,0) )  -  Races!$N$20</f>
        <v>1.6874999999999991</v>
      </c>
      <c r="DZ71" s="57">
        <f t="shared" ca="1" si="148"/>
        <v>0</v>
      </c>
      <c r="EA71" s="663">
        <f ca="1">MIN(6,CY71+Races!$F$35)*1.8 +  IF(CY71+Races!$F$35&gt;6,(CY71+Races!$F$35-6)*0.2,0) - Races!$N$19</f>
        <v>-0.45000000000000018</v>
      </c>
      <c r="EB71" s="57">
        <f t="shared" ca="1" si="149"/>
        <v>0</v>
      </c>
      <c r="EC71" s="663">
        <f ca="1">1.8 * MIN(MAX(Races!$E$27,DB71+Races!$F$27),6)  +  0.45 * MIN(MIN(Races!$E$27,DB71+Races!$F$27),6)  +  0.2 * ( MAX(Races!$E$27-6,0) + MAX(DB71+Races!$F$27-6,0) )  -  Races!$N$20</f>
        <v>3.6000000000000005</v>
      </c>
      <c r="ED71" s="57">
        <f t="shared" ca="1" si="150"/>
        <v>0</v>
      </c>
      <c r="EE71" s="663">
        <f>1.8 * MIN(MAX(DC71+Races!$E$47,DD71+Races!$F$47),6)  +  0.45 * MIN(MIN(DC71+Races!$E$47,DD71+Races!$F$47),6)  +  0.2 * ( MAX(DC71+Races!$E$47-6,0) + MAX(DD71+Races!$F$47-6,0) )  -  Races!$N$47</f>
        <v>0</v>
      </c>
      <c r="EF71" s="57">
        <f t="shared" si="151"/>
        <v>0</v>
      </c>
      <c r="EG71" s="663">
        <f ca="1">1.8 * MIN(MAX(DG71+Races!$F$71,Races!$E$71),6)  +  0.45 * MIN(MIN(DG71+Races!$F$71,Races!$E$71),6)  +  0.2 * ( MAX(DG71+Races!$F$71-6,0) + MAX(Races!$E$71-6,0) )  -  Races!$N$71</f>
        <v>1.3499999999999996</v>
      </c>
      <c r="EH71" s="663">
        <f>1.8 * MIN(MAX(DH71+Races!$E$71,Races!$F$71),6)  +  0.45 * MIN(MIN(DH71+Races!$E$71,Races!$F$71),6)  +  0.2 * ( MAX(DH71+Races!$E$71-6,0) + MAX(Races!$F$71-6,0) )  -  Races!$N$71</f>
        <v>0</v>
      </c>
      <c r="EI71" s="57">
        <f t="shared" ca="1" si="152"/>
        <v>0</v>
      </c>
      <c r="EJ71" s="57"/>
      <c r="EK71" s="57"/>
      <c r="EL71" s="57"/>
      <c r="EM71" s="57">
        <f ca="1">Overview!$L$22*E71+Overview!$L$23*F71+Overview!$L$24*G71+Overview!$L$25*H71+Overview!$L$26*I71+Overview!$L$27*J71+Overview!$L$28*K71+Construction!E71*20+Construction!B71*5 + DZ71*$DV$4+EB71*$DV$5+ED71*$DV$6+EF71*$DV$7+EI71*$DV$9</f>
        <v>20900</v>
      </c>
      <c r="EO71" s="734">
        <f>(J71+2*K71)/Construction!E71</f>
        <v>0</v>
      </c>
      <c r="EP71" s="730">
        <f ca="1">EO71*(1+race_wizard_strength+tech_magical_weaponry_wiz*Techs!AV143)</f>
        <v>0</v>
      </c>
      <c r="EQ71" s="16">
        <f>(I71+halfer*H71/3)/Construction!E71</f>
        <v>0</v>
      </c>
    </row>
    <row r="72" spans="1:147" s="16" customFormat="1" x14ac:dyDescent="0.25">
      <c r="A72" s="627">
        <f>Rezone!J72</f>
        <v>70</v>
      </c>
      <c r="B72" s="56">
        <f ca="1">SUM(E72:K72)+SUM(AF64:AG72)+SUM(AH61:AL72)+Z72+Explore!AL72</f>
        <v>5295</v>
      </c>
      <c r="C72" s="97">
        <f ca="1">Population!G72</f>
        <v>0.74159663865546221</v>
      </c>
      <c r="E72" s="52">
        <f t="shared" si="105"/>
        <v>0</v>
      </c>
      <c r="F72" s="16">
        <f t="shared" si="106"/>
        <v>0</v>
      </c>
      <c r="G72" s="16">
        <f t="shared" si="107"/>
        <v>0</v>
      </c>
      <c r="H72" s="16">
        <f t="shared" si="108"/>
        <v>0</v>
      </c>
      <c r="I72" s="16">
        <f t="shared" si="109"/>
        <v>0</v>
      </c>
      <c r="J72" s="16">
        <f t="shared" si="110"/>
        <v>0</v>
      </c>
      <c r="K72" s="53">
        <f t="shared" si="111"/>
        <v>0</v>
      </c>
      <c r="M72" s="64">
        <f ca="1">Production!G72</f>
        <v>20900</v>
      </c>
      <c r="O72" s="142">
        <f t="shared" ca="1" si="112"/>
        <v>0</v>
      </c>
      <c r="P72" s="454">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53"/>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13"/>
        <v>5295</v>
      </c>
      <c r="T72" s="1047">
        <f ca="1">race_defense+Imps!AC72+ROUND(MIN(gt_bonus*Construction!BH72/Construction!$E72,gt_bonus_cap),4)+MAX(IF(Magic!AM72&gt;0,frenzy_bonus,IF(Magic!AQ72&gt;0,blizzard_bonus,IF(Magic!AP72&gt;0,howling_dp_bonus,IF(Magic!AI72&gt;0,ares_call_bonus)))),IF(Magic!AX72&gt;0,MIN(Construction!DF72/Construction!E72,0.2),0))</f>
        <v>0</v>
      </c>
      <c r="U72" s="1041">
        <f t="shared" ca="1" si="154"/>
        <v>0</v>
      </c>
      <c r="V72" s="310">
        <f t="shared" ca="1" si="155"/>
        <v>5295</v>
      </c>
      <c r="W72" s="310">
        <f>Construction!E72</f>
        <v>1000</v>
      </c>
      <c r="X72" s="367"/>
      <c r="Y72" s="146">
        <f t="shared" si="76"/>
        <v>0.4</v>
      </c>
      <c r="Z72" s="166">
        <f ca="1">Z71+Population!Z71 - IF(race="Lux",AF72,SUM(AF72:AK72)) - BE72 + SUM(BF72:BL72) - Explore!AI72</f>
        <v>5295</v>
      </c>
      <c r="AA72" s="164"/>
      <c r="AB72" s="91">
        <f>(Construction!$BA72+Construction!BY72)/(Construction!$E72-Explore!S72*20)</f>
        <v>0</v>
      </c>
      <c r="AC72" s="1516">
        <f ca="1">Imps!AE72</f>
        <v>0</v>
      </c>
      <c r="AD72" s="795">
        <f>Rezone!J72</f>
        <v>70</v>
      </c>
      <c r="AE72" s="587">
        <f>Explore!AA72</f>
        <v>43768.718749999833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14"/>
        <v>0</v>
      </c>
      <c r="AV72" s="164">
        <f t="shared" ca="1" si="115"/>
        <v>0</v>
      </c>
      <c r="AW72" s="164">
        <f t="shared" ca="1" si="156"/>
        <v>0</v>
      </c>
      <c r="AX72" s="164">
        <f t="shared" ca="1" si="157"/>
        <v>0</v>
      </c>
      <c r="AY72" s="164">
        <f t="shared" ca="1" si="158"/>
        <v>0</v>
      </c>
      <c r="AZ72" s="164">
        <f t="shared" ca="1" si="159"/>
        <v>0</v>
      </c>
      <c r="BA72" s="166">
        <f t="shared" ca="1" si="160"/>
        <v>0</v>
      </c>
      <c r="BB72" s="16">
        <v>70</v>
      </c>
      <c r="BC72" s="572">
        <f t="shared" si="161"/>
        <v>43768.718749999833</v>
      </c>
      <c r="BD72" s="148">
        <f t="shared" ca="1" si="162"/>
        <v>5295</v>
      </c>
      <c r="BE72" s="356"/>
      <c r="BF72" s="348"/>
      <c r="BG72" s="348"/>
      <c r="BH72" s="348"/>
      <c r="BI72" s="348"/>
      <c r="BJ72" s="348"/>
      <c r="BK72" s="348"/>
      <c r="BL72" s="357"/>
      <c r="BN72" s="501">
        <f>Construction!BM72/Construction!E72</f>
        <v>0</v>
      </c>
      <c r="BO72" s="171">
        <f>Construction!BD72/Construction!E72</f>
        <v>0</v>
      </c>
      <c r="BP72" s="152">
        <f ca="1">ROUNDUP((1-MIN(AB72*smithy_bonus,smithy_bonus_cap)-AC72)*(1+Techs!AO72*tech_master_of_frugality)*spec_op_plat,0)</f>
        <v>275</v>
      </c>
      <c r="BQ72" s="164">
        <f ca="1">ROUNDUP(IF(OR(race="Gnome",race="Imperial Gnome"),1-AC72,(1-MIN(AB72*smithy_bonus,smithy_bonus_cap)-AC72)*(1+Techs!AO72*tech_master_of_frugality))*spec_op_ore,0)</f>
        <v>25</v>
      </c>
      <c r="BR72" s="164">
        <f t="shared" si="116"/>
        <v>0</v>
      </c>
      <c r="BS72" s="164">
        <f t="shared" si="117"/>
        <v>0</v>
      </c>
      <c r="BT72" s="164">
        <f ca="1">ROUNDUP((1-MIN(AB72*smithy_bonus,smithy_bonus_cap)-AC72)*(1+Techs!AO72*tech_master_of_frugality)*spec_dp_plat,0)</f>
        <v>275</v>
      </c>
      <c r="BU72" s="164">
        <f ca="1">ROUNDUP(IF(OR(race="Gnome",race="Imperial Gnome"),1-AC72,(1-MIN(AB72*smithy_bonus,smithy_bonus_cap)-AC72)*(1+Techs!AO72*tech_master_of_frugality))*spec_dp_ore,0)</f>
        <v>10</v>
      </c>
      <c r="BV72" s="164">
        <f t="shared" ca="1" si="118"/>
        <v>0</v>
      </c>
      <c r="BW72" s="164">
        <f t="shared" ca="1" si="119"/>
        <v>0</v>
      </c>
      <c r="BX72" s="164">
        <f t="shared" ca="1" si="120"/>
        <v>0</v>
      </c>
      <c r="BY72" s="164">
        <f ca="1">ROUNDUP((1-MIN(AB72*smithy_bonus,smithy_bonus_cap)-AC72)*(1+Techs!AO72*tech_master_of_frugality)*elite1_plat,0)</f>
        <v>1000</v>
      </c>
      <c r="BZ72" s="164">
        <f ca="1">ROUNDUP(IF(OR(race="Gnome",race="Imperial Gnome"),1-AC72,(1-MIN(AB72*smithy_bonus,smithy_bonus_cap)-AC72)*(1+Techs!AO72*tech_master_of_frugality))*elite1_ore,0)</f>
        <v>75</v>
      </c>
      <c r="CA72" s="164">
        <f t="shared" ca="1" si="163"/>
        <v>0</v>
      </c>
      <c r="CB72" s="164">
        <f t="shared" ca="1" si="121"/>
        <v>0</v>
      </c>
      <c r="CC72" s="164">
        <f t="shared" ca="1" si="122"/>
        <v>0</v>
      </c>
      <c r="CD72" s="164">
        <f t="shared" ca="1" si="123"/>
        <v>0</v>
      </c>
      <c r="CE72" s="164">
        <f t="shared" ca="1" si="124"/>
        <v>0</v>
      </c>
      <c r="CF72" s="164">
        <f ca="1">ROUNDUP((1-MIN(AB72*smithy_bonus,smithy_bonus_cap)-AC72)*(1+Techs!AO72*tech_master_of_frugality)*elite2_plat,0)</f>
        <v>1250</v>
      </c>
      <c r="CG72" s="164">
        <f ca="1">ROUNDUP(IF(OR(race="Gnome",race="Imperial Gnome"),1-AC72,(1-MIN(AB72*smithy_bonus,smithy_bonus_cap)-AC72)*(1+Techs!AO72*tech_master_of_frugality))*elite2_ore,0)</f>
        <v>100</v>
      </c>
      <c r="CH72" s="164">
        <f t="shared" ca="1" si="164"/>
        <v>0</v>
      </c>
      <c r="CI72" s="164">
        <f t="shared" ca="1" si="125"/>
        <v>0</v>
      </c>
      <c r="CJ72" s="164">
        <f t="shared" ca="1" si="126"/>
        <v>0</v>
      </c>
      <c r="CK72" s="164">
        <f t="shared" ca="1" si="127"/>
        <v>0</v>
      </c>
      <c r="CL72" s="164">
        <f t="shared" ca="1" si="128"/>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4">
        <f ca="1">Construction!DF72/Construction!E72</f>
        <v>0.15</v>
      </c>
      <c r="CR72" s="465">
        <f t="shared" si="165"/>
        <v>0</v>
      </c>
      <c r="CS72" s="465">
        <f>Construction!BK72/Construction!E72</f>
        <v>0.05</v>
      </c>
      <c r="CT72" s="465">
        <f>Construction!BJ72/Construction!E72</f>
        <v>0</v>
      </c>
      <c r="CU72" s="465">
        <f>Construction!AY72/Construction!E72</f>
        <v>0</v>
      </c>
      <c r="CV72" s="486">
        <f t="shared" ca="1" si="129"/>
        <v>0.74999999999999989</v>
      </c>
      <c r="CW72" s="487">
        <f t="shared" ca="1" si="130"/>
        <v>0.74999999999999989</v>
      </c>
      <c r="CX72" s="487">
        <f t="shared" ca="1" si="131"/>
        <v>0.74999999999999989</v>
      </c>
      <c r="CY72" s="488">
        <f t="shared" ca="1" si="132"/>
        <v>0.74999999999999989</v>
      </c>
      <c r="CZ72" s="488">
        <f t="shared" si="133"/>
        <v>0</v>
      </c>
      <c r="DA72" s="488">
        <f t="shared" ca="1" si="134"/>
        <v>2.9999999999999996</v>
      </c>
      <c r="DB72" s="488">
        <f t="shared" ca="1" si="135"/>
        <v>0.74999999999999989</v>
      </c>
      <c r="DC72" s="487">
        <f t="shared" si="136"/>
        <v>0</v>
      </c>
      <c r="DD72" s="843">
        <f t="shared" si="137"/>
        <v>0</v>
      </c>
      <c r="DE72" s="441">
        <f t="shared" si="166"/>
        <v>0</v>
      </c>
      <c r="DF72" s="441">
        <f t="shared" si="167"/>
        <v>0</v>
      </c>
      <c r="DG72" s="486">
        <f t="shared" ca="1" si="138"/>
        <v>0.74999999999999989</v>
      </c>
      <c r="DH72" s="451">
        <f t="shared" si="139"/>
        <v>0</v>
      </c>
      <c r="DI72" s="451">
        <f>MIN(valkyrja_cap,Production!O72/valkyrja_bonus)</f>
        <v>1</v>
      </c>
      <c r="DJ72" s="843">
        <f>MIN(voodoo_magi_cap,Production!O72/voodoo_magi_bonus)</f>
        <v>0.83333333333333337</v>
      </c>
      <c r="DK72" s="843">
        <f>MIN(warlock_cap,Production!O72/warlock_bonus)</f>
        <v>1</v>
      </c>
      <c r="DL72" s="843">
        <f ca="1">MIN(nox_nightshade_cap,Construction!DF72/Construction!E72/nox_nightshade_swamp_bonus)</f>
        <v>1.4999999999999998</v>
      </c>
      <c r="DM72" s="487">
        <f t="shared" si="140"/>
        <v>0</v>
      </c>
      <c r="DN72" s="488">
        <f t="shared" ca="1" si="141"/>
        <v>1.4999999999999998</v>
      </c>
      <c r="DO72" s="488">
        <f t="shared" ca="1" si="142"/>
        <v>1.4999999999999998</v>
      </c>
      <c r="DP72" s="488">
        <f t="shared" si="143"/>
        <v>1</v>
      </c>
      <c r="DQ72" s="487">
        <f t="shared" si="144"/>
        <v>0</v>
      </c>
      <c r="DR72" s="488">
        <f t="shared" si="145"/>
        <v>0</v>
      </c>
      <c r="DS72" s="487">
        <f t="shared" si="146"/>
        <v>0</v>
      </c>
      <c r="DT72" s="488">
        <f t="shared" si="147"/>
        <v>0</v>
      </c>
      <c r="DX72" s="486">
        <f ca="1">MIN(6,CV72+Races!$F$19)*1.8 +  IF(CV72+Races!$F$19&gt;6,(CV72+Races!$F$19-6)*0.2,0) - Races!$N$19</f>
        <v>1.3500000000000005</v>
      </c>
      <c r="DY72" s="487">
        <f ca="1">1.8 * MIN(MAX(CW72+Races!$E$20,CX72+Races!$F$20),6)  +  0.45 * MIN(MIN(CW72+Races!$E$20,CX72+Races!$F$20),6)  +  0.2 * ( MAX(CW72+Races!$E$20-6,0) + MAX(CX72+Races!$F$20-6,0) )  -  Races!$N$20</f>
        <v>1.6874999999999991</v>
      </c>
      <c r="DZ72" s="57">
        <f t="shared" ca="1" si="148"/>
        <v>0</v>
      </c>
      <c r="EA72" s="663">
        <f ca="1">MIN(6,CY72+Races!$F$35)*1.8 +  IF(CY72+Races!$F$35&gt;6,(CY72+Races!$F$35-6)*0.2,0) - Races!$N$19</f>
        <v>-0.45000000000000018</v>
      </c>
      <c r="EB72" s="57">
        <f t="shared" ca="1" si="149"/>
        <v>0</v>
      </c>
      <c r="EC72" s="663">
        <f ca="1">1.8 * MIN(MAX(Races!$E$27,DB72+Races!$F$27),6)  +  0.45 * MIN(MIN(Races!$E$27,DB72+Races!$F$27),6)  +  0.2 * ( MAX(Races!$E$27-6,0) + MAX(DB72+Races!$F$27-6,0) )  -  Races!$N$20</f>
        <v>3.6000000000000005</v>
      </c>
      <c r="ED72" s="57">
        <f t="shared" ca="1" si="150"/>
        <v>0</v>
      </c>
      <c r="EE72" s="663">
        <f>1.8 * MIN(MAX(DC72+Races!$E$47,DD72+Races!$F$47),6)  +  0.45 * MIN(MIN(DC72+Races!$E$47,DD72+Races!$F$47),6)  +  0.2 * ( MAX(DC72+Races!$E$47-6,0) + MAX(DD72+Races!$F$47-6,0) )  -  Races!$N$47</f>
        <v>0</v>
      </c>
      <c r="EF72" s="57">
        <f t="shared" si="151"/>
        <v>0</v>
      </c>
      <c r="EG72" s="663">
        <f ca="1">1.8 * MIN(MAX(DG72+Races!$F$71,Races!$E$71),6)  +  0.45 * MIN(MIN(DG72+Races!$F$71,Races!$E$71),6)  +  0.2 * ( MAX(DG72+Races!$F$71-6,0) + MAX(Races!$E$71-6,0) )  -  Races!$N$71</f>
        <v>1.3499999999999996</v>
      </c>
      <c r="EH72" s="663">
        <f>1.8 * MIN(MAX(DH72+Races!$E$71,Races!$F$71),6)  +  0.45 * MIN(MIN(DH72+Races!$E$71,Races!$F$71),6)  +  0.2 * ( MAX(DH72+Races!$E$71-6,0) + MAX(Races!$F$71-6,0) )  -  Races!$N$71</f>
        <v>0</v>
      </c>
      <c r="EI72" s="57">
        <f t="shared" ca="1" si="152"/>
        <v>0</v>
      </c>
      <c r="EJ72" s="57"/>
      <c r="EK72" s="57"/>
      <c r="EL72" s="57"/>
      <c r="EM72" s="57">
        <f ca="1">Overview!$L$22*E72+Overview!$L$23*F72+Overview!$L$24*G72+Overview!$L$25*H72+Overview!$L$26*I72+Overview!$L$27*J72+Overview!$L$28*K72+Construction!E72*20+Construction!B72*5 + DZ72*$DV$4+EB72*$DV$5+ED72*$DV$6+EF72*$DV$7+EI72*$DV$9</f>
        <v>20900</v>
      </c>
      <c r="EO72" s="734">
        <f>(J72+2*K72)/Construction!E72</f>
        <v>0</v>
      </c>
      <c r="EP72" s="730">
        <f ca="1">EO72*(1+race_wizard_strength+tech_magical_weaponry_wiz*Techs!AV144)</f>
        <v>0</v>
      </c>
      <c r="EQ72" s="16">
        <f>(I72+halfer*H72/3)/Construction!E72</f>
        <v>0</v>
      </c>
    </row>
    <row r="73" spans="1:147" s="16" customFormat="1" x14ac:dyDescent="0.25">
      <c r="A73" s="627">
        <f>Rezone!J73</f>
        <v>71</v>
      </c>
      <c r="B73" s="56">
        <f ca="1">SUM(E73:K73)+SUM(AF65:AG73)+SUM(AH62:AL73)+Z73+Explore!AL73</f>
        <v>5295</v>
      </c>
      <c r="C73" s="97">
        <f ca="1">Population!G73</f>
        <v>0.74159663865546221</v>
      </c>
      <c r="E73" s="52">
        <f t="shared" si="105"/>
        <v>0</v>
      </c>
      <c r="F73" s="16">
        <f t="shared" si="106"/>
        <v>0</v>
      </c>
      <c r="G73" s="16">
        <f t="shared" si="107"/>
        <v>0</v>
      </c>
      <c r="H73" s="16">
        <f t="shared" si="108"/>
        <v>0</v>
      </c>
      <c r="I73" s="16">
        <f t="shared" si="109"/>
        <v>0</v>
      </c>
      <c r="J73" s="16">
        <f t="shared" si="110"/>
        <v>0</v>
      </c>
      <c r="K73" s="53">
        <f t="shared" si="111"/>
        <v>0</v>
      </c>
      <c r="M73" s="64">
        <f ca="1">Production!G73</f>
        <v>20900</v>
      </c>
      <c r="O73" s="142">
        <f t="shared" ca="1" si="112"/>
        <v>0</v>
      </c>
      <c r="P73" s="454">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53"/>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13"/>
        <v>5295</v>
      </c>
      <c r="T73" s="1047">
        <f ca="1">race_defense+Imps!AC73+ROUND(MIN(gt_bonus*Construction!BH73/Construction!$E73,gt_bonus_cap),4)+MAX(IF(Magic!AM73&gt;0,frenzy_bonus,IF(Magic!AQ73&gt;0,blizzard_bonus,IF(Magic!AP73&gt;0,howling_dp_bonus,IF(Magic!AI73&gt;0,ares_call_bonus)))),IF(Magic!AX73&gt;0,MIN(Construction!DF73/Construction!E73,0.2),0))</f>
        <v>0</v>
      </c>
      <c r="U73" s="1041">
        <f t="shared" ca="1" si="154"/>
        <v>0</v>
      </c>
      <c r="V73" s="310">
        <f t="shared" ca="1" si="155"/>
        <v>5295</v>
      </c>
      <c r="W73" s="310">
        <f>Construction!E73</f>
        <v>1000</v>
      </c>
      <c r="X73" s="367"/>
      <c r="Y73" s="146">
        <f t="shared" si="76"/>
        <v>0.4</v>
      </c>
      <c r="Z73" s="166">
        <f ca="1">Z72+Population!Z72 - IF(race="Lux",AF73,SUM(AF73:AK73)) - BE73 + SUM(BF73:BL73) - Explore!AI73</f>
        <v>5295</v>
      </c>
      <c r="AA73" s="164"/>
      <c r="AB73" s="91">
        <f>(Construction!$BA73+Construction!BY73)/(Construction!$E73-Explore!S73*20)</f>
        <v>0</v>
      </c>
      <c r="AC73" s="1516">
        <f ca="1">Imps!AE73</f>
        <v>0</v>
      </c>
      <c r="AD73" s="795">
        <f>Rezone!J73</f>
        <v>71</v>
      </c>
      <c r="AE73" s="587">
        <f>Explore!AA73</f>
        <v>43768.729166666497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14"/>
        <v>0</v>
      </c>
      <c r="AV73" s="164">
        <f t="shared" ca="1" si="115"/>
        <v>0</v>
      </c>
      <c r="AW73" s="164">
        <f t="shared" ca="1" si="156"/>
        <v>0</v>
      </c>
      <c r="AX73" s="164">
        <f t="shared" ca="1" si="157"/>
        <v>0</v>
      </c>
      <c r="AY73" s="164">
        <f t="shared" ca="1" si="158"/>
        <v>0</v>
      </c>
      <c r="AZ73" s="164">
        <f t="shared" ca="1" si="159"/>
        <v>0</v>
      </c>
      <c r="BA73" s="166">
        <f t="shared" ca="1" si="160"/>
        <v>0</v>
      </c>
      <c r="BB73" s="16">
        <v>71</v>
      </c>
      <c r="BC73" s="572">
        <f t="shared" si="161"/>
        <v>43768.729166666497</v>
      </c>
      <c r="BD73" s="148">
        <f t="shared" ca="1" si="162"/>
        <v>5295</v>
      </c>
      <c r="BE73" s="356"/>
      <c r="BF73" s="348"/>
      <c r="BG73" s="348"/>
      <c r="BH73" s="348"/>
      <c r="BI73" s="348"/>
      <c r="BJ73" s="348"/>
      <c r="BK73" s="348"/>
      <c r="BL73" s="357"/>
      <c r="BN73" s="501">
        <f>Construction!BM73/Construction!E73</f>
        <v>0</v>
      </c>
      <c r="BO73" s="171">
        <f>Construction!BD73/Construction!E73</f>
        <v>0</v>
      </c>
      <c r="BP73" s="152">
        <f ca="1">ROUNDUP((1-MIN(AB73*smithy_bonus,smithy_bonus_cap)-AC73)*(1+Techs!AO73*tech_master_of_frugality)*spec_op_plat,0)</f>
        <v>275</v>
      </c>
      <c r="BQ73" s="164">
        <f ca="1">ROUNDUP(IF(OR(race="Gnome",race="Imperial Gnome"),1-AC73,(1-MIN(AB73*smithy_bonus,smithy_bonus_cap)-AC73)*(1+Techs!AO73*tech_master_of_frugality))*spec_op_ore,0)</f>
        <v>25</v>
      </c>
      <c r="BR73" s="164">
        <f t="shared" si="116"/>
        <v>0</v>
      </c>
      <c r="BS73" s="164">
        <f t="shared" si="117"/>
        <v>0</v>
      </c>
      <c r="BT73" s="164">
        <f ca="1">ROUNDUP((1-MIN(AB73*smithy_bonus,smithy_bonus_cap)-AC73)*(1+Techs!AO73*tech_master_of_frugality)*spec_dp_plat,0)</f>
        <v>275</v>
      </c>
      <c r="BU73" s="164">
        <f ca="1">ROUNDUP(IF(OR(race="Gnome",race="Imperial Gnome"),1-AC73,(1-MIN(AB73*smithy_bonus,smithy_bonus_cap)-AC73)*(1+Techs!AO73*tech_master_of_frugality))*spec_dp_ore,0)</f>
        <v>10</v>
      </c>
      <c r="BV73" s="164">
        <f t="shared" ca="1" si="118"/>
        <v>0</v>
      </c>
      <c r="BW73" s="164">
        <f t="shared" ca="1" si="119"/>
        <v>0</v>
      </c>
      <c r="BX73" s="164">
        <f t="shared" ca="1" si="120"/>
        <v>0</v>
      </c>
      <c r="BY73" s="164">
        <f ca="1">ROUNDUP((1-MIN(AB73*smithy_bonus,smithy_bonus_cap)-AC73)*(1+Techs!AO73*tech_master_of_frugality)*elite1_plat,0)</f>
        <v>1000</v>
      </c>
      <c r="BZ73" s="164">
        <f ca="1">ROUNDUP(IF(OR(race="Gnome",race="Imperial Gnome"),1-AC73,(1-MIN(AB73*smithy_bonus,smithy_bonus_cap)-AC73)*(1+Techs!AO73*tech_master_of_frugality))*elite1_ore,0)</f>
        <v>75</v>
      </c>
      <c r="CA73" s="164">
        <f t="shared" ca="1" si="163"/>
        <v>0</v>
      </c>
      <c r="CB73" s="164">
        <f t="shared" ca="1" si="121"/>
        <v>0</v>
      </c>
      <c r="CC73" s="164">
        <f t="shared" ca="1" si="122"/>
        <v>0</v>
      </c>
      <c r="CD73" s="164">
        <f t="shared" ca="1" si="123"/>
        <v>0</v>
      </c>
      <c r="CE73" s="164">
        <f t="shared" ca="1" si="124"/>
        <v>0</v>
      </c>
      <c r="CF73" s="164">
        <f ca="1">ROUNDUP((1-MIN(AB73*smithy_bonus,smithy_bonus_cap)-AC73)*(1+Techs!AO73*tech_master_of_frugality)*elite2_plat,0)</f>
        <v>1250</v>
      </c>
      <c r="CG73" s="164">
        <f ca="1">ROUNDUP(IF(OR(race="Gnome",race="Imperial Gnome"),1-AC73,(1-MIN(AB73*smithy_bonus,smithy_bonus_cap)-AC73)*(1+Techs!AO73*tech_master_of_frugality))*elite2_ore,0)</f>
        <v>100</v>
      </c>
      <c r="CH73" s="164">
        <f t="shared" ca="1" si="164"/>
        <v>0</v>
      </c>
      <c r="CI73" s="164">
        <f t="shared" ca="1" si="125"/>
        <v>0</v>
      </c>
      <c r="CJ73" s="164">
        <f t="shared" ca="1" si="126"/>
        <v>0</v>
      </c>
      <c r="CK73" s="164">
        <f t="shared" ca="1" si="127"/>
        <v>0</v>
      </c>
      <c r="CL73" s="164">
        <f t="shared" ca="1" si="128"/>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4">
        <f ca="1">Construction!DF73/Construction!E73</f>
        <v>0.15</v>
      </c>
      <c r="CR73" s="465">
        <f t="shared" si="165"/>
        <v>0</v>
      </c>
      <c r="CS73" s="465">
        <f>Construction!BK73/Construction!E73</f>
        <v>0.05</v>
      </c>
      <c r="CT73" s="465">
        <f>Construction!BJ73/Construction!E73</f>
        <v>0</v>
      </c>
      <c r="CU73" s="465">
        <f>Construction!AY73/Construction!E73</f>
        <v>0</v>
      </c>
      <c r="CV73" s="486">
        <f t="shared" ca="1" si="129"/>
        <v>0.74999999999999989</v>
      </c>
      <c r="CW73" s="487">
        <f t="shared" ca="1" si="130"/>
        <v>0.74999999999999989</v>
      </c>
      <c r="CX73" s="487">
        <f t="shared" ca="1" si="131"/>
        <v>0.74999999999999989</v>
      </c>
      <c r="CY73" s="488">
        <f t="shared" ca="1" si="132"/>
        <v>0.74999999999999989</v>
      </c>
      <c r="CZ73" s="488">
        <f t="shared" si="133"/>
        <v>0</v>
      </c>
      <c r="DA73" s="488">
        <f t="shared" ca="1" si="134"/>
        <v>2.9999999999999996</v>
      </c>
      <c r="DB73" s="488">
        <f t="shared" ca="1" si="135"/>
        <v>0.74999999999999989</v>
      </c>
      <c r="DC73" s="487">
        <f t="shared" si="136"/>
        <v>0</v>
      </c>
      <c r="DD73" s="843">
        <f t="shared" si="137"/>
        <v>0</v>
      </c>
      <c r="DE73" s="441">
        <f t="shared" si="166"/>
        <v>0</v>
      </c>
      <c r="DF73" s="441">
        <f t="shared" si="167"/>
        <v>0</v>
      </c>
      <c r="DG73" s="486">
        <f t="shared" ca="1" si="138"/>
        <v>0.74999999999999989</v>
      </c>
      <c r="DH73" s="451">
        <f t="shared" si="139"/>
        <v>0</v>
      </c>
      <c r="DI73" s="451">
        <f>MIN(valkyrja_cap,Production!O73/valkyrja_bonus)</f>
        <v>1</v>
      </c>
      <c r="DJ73" s="843">
        <f>MIN(voodoo_magi_cap,Production!O73/voodoo_magi_bonus)</f>
        <v>0.83333333333333337</v>
      </c>
      <c r="DK73" s="843">
        <f>MIN(warlock_cap,Production!O73/warlock_bonus)</f>
        <v>1</v>
      </c>
      <c r="DL73" s="843">
        <f ca="1">MIN(nox_nightshade_cap,Construction!DF73/Construction!E73/nox_nightshade_swamp_bonus)</f>
        <v>1.4999999999999998</v>
      </c>
      <c r="DM73" s="487">
        <f t="shared" si="140"/>
        <v>0</v>
      </c>
      <c r="DN73" s="488">
        <f t="shared" ca="1" si="141"/>
        <v>1.4999999999999998</v>
      </c>
      <c r="DO73" s="488">
        <f t="shared" ca="1" si="142"/>
        <v>1.4999999999999998</v>
      </c>
      <c r="DP73" s="488">
        <f t="shared" si="143"/>
        <v>1</v>
      </c>
      <c r="DQ73" s="487">
        <f t="shared" si="144"/>
        <v>0</v>
      </c>
      <c r="DR73" s="488">
        <f t="shared" si="145"/>
        <v>0</v>
      </c>
      <c r="DS73" s="487">
        <f t="shared" si="146"/>
        <v>0</v>
      </c>
      <c r="DT73" s="488">
        <f t="shared" si="147"/>
        <v>0</v>
      </c>
      <c r="DX73" s="486">
        <f ca="1">MIN(6,CV73+Races!$F$19)*1.8 +  IF(CV73+Races!$F$19&gt;6,(CV73+Races!$F$19-6)*0.2,0) - Races!$N$19</f>
        <v>1.3500000000000005</v>
      </c>
      <c r="DY73" s="487">
        <f ca="1">1.8 * MIN(MAX(CW73+Races!$E$20,CX73+Races!$F$20),6)  +  0.45 * MIN(MIN(CW73+Races!$E$20,CX73+Races!$F$20),6)  +  0.2 * ( MAX(CW73+Races!$E$20-6,0) + MAX(CX73+Races!$F$20-6,0) )  -  Races!$N$20</f>
        <v>1.6874999999999991</v>
      </c>
      <c r="DZ73" s="57">
        <f t="shared" ca="1" si="148"/>
        <v>0</v>
      </c>
      <c r="EA73" s="663">
        <f ca="1">MIN(6,CY73+Races!$F$35)*1.8 +  IF(CY73+Races!$F$35&gt;6,(CY73+Races!$F$35-6)*0.2,0) - Races!$N$19</f>
        <v>-0.45000000000000018</v>
      </c>
      <c r="EB73" s="57">
        <f t="shared" ca="1" si="149"/>
        <v>0</v>
      </c>
      <c r="EC73" s="663">
        <f ca="1">1.8 * MIN(MAX(Races!$E$27,DB73+Races!$F$27),6)  +  0.45 * MIN(MIN(Races!$E$27,DB73+Races!$F$27),6)  +  0.2 * ( MAX(Races!$E$27-6,0) + MAX(DB73+Races!$F$27-6,0) )  -  Races!$N$20</f>
        <v>3.6000000000000005</v>
      </c>
      <c r="ED73" s="57">
        <f t="shared" ca="1" si="150"/>
        <v>0</v>
      </c>
      <c r="EE73" s="663">
        <f>1.8 * MIN(MAX(DC73+Races!$E$47,DD73+Races!$F$47),6)  +  0.45 * MIN(MIN(DC73+Races!$E$47,DD73+Races!$F$47),6)  +  0.2 * ( MAX(DC73+Races!$E$47-6,0) + MAX(DD73+Races!$F$47-6,0) )  -  Races!$N$47</f>
        <v>0</v>
      </c>
      <c r="EF73" s="57">
        <f t="shared" si="151"/>
        <v>0</v>
      </c>
      <c r="EG73" s="663">
        <f ca="1">1.8 * MIN(MAX(DG73+Races!$F$71,Races!$E$71),6)  +  0.45 * MIN(MIN(DG73+Races!$F$71,Races!$E$71),6)  +  0.2 * ( MAX(DG73+Races!$F$71-6,0) + MAX(Races!$E$71-6,0) )  -  Races!$N$71</f>
        <v>1.3499999999999996</v>
      </c>
      <c r="EH73" s="663">
        <f>1.8 * MIN(MAX(DH73+Races!$E$71,Races!$F$71),6)  +  0.45 * MIN(MIN(DH73+Races!$E$71,Races!$F$71),6)  +  0.2 * ( MAX(DH73+Races!$E$71-6,0) + MAX(Races!$F$71-6,0) )  -  Races!$N$71</f>
        <v>0</v>
      </c>
      <c r="EI73" s="57">
        <f t="shared" ca="1" si="152"/>
        <v>0</v>
      </c>
      <c r="EJ73" s="57"/>
      <c r="EK73" s="57"/>
      <c r="EL73" s="57"/>
      <c r="EM73" s="57">
        <f ca="1">Overview!$L$22*E73+Overview!$L$23*F73+Overview!$L$24*G73+Overview!$L$25*H73+Overview!$L$26*I73+Overview!$L$27*J73+Overview!$L$28*K73+Construction!E73*20+Construction!B73*5 + DZ73*$DV$4+EB73*$DV$5+ED73*$DV$6+EF73*$DV$7+EI73*$DV$9</f>
        <v>20900</v>
      </c>
      <c r="EO73" s="734">
        <f>(J73+2*K73)/Construction!E73</f>
        <v>0</v>
      </c>
      <c r="EP73" s="730">
        <f ca="1">EO73*(1+race_wizard_strength+tech_magical_weaponry_wiz*Techs!AV145)</f>
        <v>0</v>
      </c>
      <c r="EQ73" s="16">
        <f>(I73+halfer*H73/3)/Construction!E73</f>
        <v>0</v>
      </c>
    </row>
    <row r="74" spans="1:147" s="16" customFormat="1" ht="13.8" thickBot="1" x14ac:dyDescent="0.3">
      <c r="A74" s="627">
        <f>Rezone!J74</f>
        <v>72</v>
      </c>
      <c r="B74" s="56">
        <f ca="1">SUM(E74:K74)+SUM(AF66:AG74)+SUM(AH63:AL74)+Z74+Explore!AL74</f>
        <v>5295</v>
      </c>
      <c r="C74" s="97">
        <f ca="1">Population!G74</f>
        <v>0.74159663865546221</v>
      </c>
      <c r="E74" s="52">
        <f t="shared" si="105"/>
        <v>0</v>
      </c>
      <c r="F74" s="16">
        <f t="shared" si="106"/>
        <v>0</v>
      </c>
      <c r="G74" s="16">
        <f t="shared" si="107"/>
        <v>0</v>
      </c>
      <c r="H74" s="16">
        <f t="shared" si="108"/>
        <v>0</v>
      </c>
      <c r="I74" s="16">
        <f t="shared" si="109"/>
        <v>0</v>
      </c>
      <c r="J74" s="16">
        <f t="shared" si="110"/>
        <v>0</v>
      </c>
      <c r="K74" s="53">
        <f t="shared" si="111"/>
        <v>0</v>
      </c>
      <c r="M74" s="64">
        <f ca="1">Production!G74</f>
        <v>20900</v>
      </c>
      <c r="O74" s="142">
        <f t="shared" ca="1" si="112"/>
        <v>0</v>
      </c>
      <c r="P74" s="454">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53"/>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13"/>
        <v>5295</v>
      </c>
      <c r="T74" s="1047">
        <f ca="1">race_defense+Imps!AC74+ROUND(MIN(gt_bonus*Construction!BH74/Construction!$E74,gt_bonus_cap),4)+MAX(IF(Magic!AM74&gt;0,frenzy_bonus,IF(Magic!AQ74&gt;0,blizzard_bonus,IF(Magic!AP74&gt;0,howling_dp_bonus,IF(Magic!AI74&gt;0,ares_call_bonus)))),IF(Magic!AX74&gt;0,MIN(Construction!DF74/Construction!E74,0.2),0))</f>
        <v>0</v>
      </c>
      <c r="U74" s="1041">
        <f t="shared" ca="1" si="154"/>
        <v>0</v>
      </c>
      <c r="V74" s="310">
        <f t="shared" ca="1" si="155"/>
        <v>5295</v>
      </c>
      <c r="W74" s="310">
        <f>Construction!E74</f>
        <v>1000</v>
      </c>
      <c r="X74" s="367"/>
      <c r="Y74" s="146">
        <f t="shared" si="76"/>
        <v>0.4</v>
      </c>
      <c r="Z74" s="166">
        <f ca="1">Z73+Population!Z73 - IF(race="Lux",AF74,SUM(AF74:AK74)) - BE74 + SUM(BF74:BL74) - Explore!AI74</f>
        <v>5295</v>
      </c>
      <c r="AA74" s="164"/>
      <c r="AB74" s="91">
        <f>(Construction!$BA74+Construction!BY74)/(Construction!$E74-Explore!S74*20)</f>
        <v>0</v>
      </c>
      <c r="AC74" s="1516">
        <f ca="1">Imps!AE74</f>
        <v>0</v>
      </c>
      <c r="AD74" s="795">
        <f>Rezone!J74</f>
        <v>72</v>
      </c>
      <c r="AE74" s="587">
        <f>Explore!AA74</f>
        <v>43768.739583333161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14"/>
        <v>0</v>
      </c>
      <c r="AV74" s="164">
        <f t="shared" ca="1" si="115"/>
        <v>0</v>
      </c>
      <c r="AW74" s="164">
        <f t="shared" ca="1" si="156"/>
        <v>0</v>
      </c>
      <c r="AX74" s="164">
        <f t="shared" ca="1" si="157"/>
        <v>0</v>
      </c>
      <c r="AY74" s="164">
        <f t="shared" ca="1" si="158"/>
        <v>0</v>
      </c>
      <c r="AZ74" s="164">
        <f t="shared" ca="1" si="159"/>
        <v>0</v>
      </c>
      <c r="BA74" s="166">
        <f t="shared" ca="1" si="160"/>
        <v>0</v>
      </c>
      <c r="BB74" s="16">
        <v>72</v>
      </c>
      <c r="BC74" s="572">
        <f t="shared" si="161"/>
        <v>43768.739583333161</v>
      </c>
      <c r="BD74" s="148">
        <f t="shared" ca="1" si="162"/>
        <v>5295</v>
      </c>
      <c r="BE74" s="356"/>
      <c r="BF74" s="348"/>
      <c r="BG74" s="348"/>
      <c r="BH74" s="348"/>
      <c r="BI74" s="348"/>
      <c r="BJ74" s="348"/>
      <c r="BK74" s="348"/>
      <c r="BL74" s="357"/>
      <c r="BN74" s="501">
        <f>Construction!BM74/Construction!E74</f>
        <v>0</v>
      </c>
      <c r="BO74" s="171">
        <f>Construction!BD74/Construction!E74</f>
        <v>0</v>
      </c>
      <c r="BP74" s="152">
        <f ca="1">ROUNDUP((1-MIN(AB74*smithy_bonus,smithy_bonus_cap)-AC74)*(1+Techs!AO74*tech_master_of_frugality)*spec_op_plat,0)</f>
        <v>275</v>
      </c>
      <c r="BQ74" s="164">
        <f ca="1">ROUNDUP(IF(OR(race="Gnome",race="Imperial Gnome"),1-AC74,(1-MIN(AB74*smithy_bonus,smithy_bonus_cap)-AC74)*(1+Techs!AO74*tech_master_of_frugality))*spec_op_ore,0)</f>
        <v>25</v>
      </c>
      <c r="BR74" s="164">
        <f t="shared" si="116"/>
        <v>0</v>
      </c>
      <c r="BS74" s="164">
        <f t="shared" si="117"/>
        <v>0</v>
      </c>
      <c r="BT74" s="164">
        <f ca="1">ROUNDUP((1-MIN(AB74*smithy_bonus,smithy_bonus_cap)-AC74)*(1+Techs!AO74*tech_master_of_frugality)*spec_dp_plat,0)</f>
        <v>275</v>
      </c>
      <c r="BU74" s="164">
        <f ca="1">ROUNDUP(IF(OR(race="Gnome",race="Imperial Gnome"),1-AC74,(1-MIN(AB74*smithy_bonus,smithy_bonus_cap)-AC74)*(1+Techs!AO74*tech_master_of_frugality))*spec_dp_ore,0)</f>
        <v>10</v>
      </c>
      <c r="BV74" s="164">
        <f t="shared" ca="1" si="118"/>
        <v>0</v>
      </c>
      <c r="BW74" s="164">
        <f t="shared" ca="1" si="119"/>
        <v>0</v>
      </c>
      <c r="BX74" s="164">
        <f t="shared" ca="1" si="120"/>
        <v>0</v>
      </c>
      <c r="BY74" s="164">
        <f ca="1">ROUNDUP((1-MIN(AB74*smithy_bonus,smithy_bonus_cap)-AC74)*(1+Techs!AO74*tech_master_of_frugality)*elite1_plat,0)</f>
        <v>1000</v>
      </c>
      <c r="BZ74" s="164">
        <f ca="1">ROUNDUP(IF(OR(race="Gnome",race="Imperial Gnome"),1-AC74,(1-MIN(AB74*smithy_bonus,smithy_bonus_cap)-AC74)*(1+Techs!AO74*tech_master_of_frugality))*elite1_ore,0)</f>
        <v>75</v>
      </c>
      <c r="CA74" s="164">
        <f t="shared" ca="1" si="163"/>
        <v>0</v>
      </c>
      <c r="CB74" s="164">
        <f t="shared" ca="1" si="121"/>
        <v>0</v>
      </c>
      <c r="CC74" s="164">
        <f t="shared" ca="1" si="122"/>
        <v>0</v>
      </c>
      <c r="CD74" s="164">
        <f t="shared" ca="1" si="123"/>
        <v>0</v>
      </c>
      <c r="CE74" s="164">
        <f t="shared" ca="1" si="124"/>
        <v>0</v>
      </c>
      <c r="CF74" s="164">
        <f ca="1">ROUNDUP((1-MIN(AB74*smithy_bonus,smithy_bonus_cap)-AC74)*(1+Techs!AO74*tech_master_of_frugality)*elite2_plat,0)</f>
        <v>1250</v>
      </c>
      <c r="CG74" s="164">
        <f ca="1">ROUNDUP(IF(OR(race="Gnome",race="Imperial Gnome"),1-AC74,(1-MIN(AB74*smithy_bonus,smithy_bonus_cap)-AC74)*(1+Techs!AO74*tech_master_of_frugality))*elite2_ore,0)</f>
        <v>100</v>
      </c>
      <c r="CH74" s="164">
        <f t="shared" ca="1" si="164"/>
        <v>0</v>
      </c>
      <c r="CI74" s="164">
        <f t="shared" ca="1" si="125"/>
        <v>0</v>
      </c>
      <c r="CJ74" s="164">
        <f t="shared" ca="1" si="126"/>
        <v>0</v>
      </c>
      <c r="CK74" s="164">
        <f t="shared" ca="1" si="127"/>
        <v>0</v>
      </c>
      <c r="CL74" s="164">
        <f t="shared" ca="1" si="128"/>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4">
        <f ca="1">Construction!DF74/Construction!E74</f>
        <v>0.15</v>
      </c>
      <c r="CR74" s="465">
        <f t="shared" si="165"/>
        <v>0</v>
      </c>
      <c r="CS74" s="465">
        <f>Construction!BK74/Construction!E74</f>
        <v>0.05</v>
      </c>
      <c r="CT74" s="465">
        <f>Construction!BJ74/Construction!E74</f>
        <v>0</v>
      </c>
      <c r="CU74" s="465">
        <f>Construction!AY74/Construction!E74</f>
        <v>0</v>
      </c>
      <c r="CV74" s="486">
        <f t="shared" ca="1" si="129"/>
        <v>0.74999999999999989</v>
      </c>
      <c r="CW74" s="487">
        <f t="shared" ca="1" si="130"/>
        <v>0.74999999999999989</v>
      </c>
      <c r="CX74" s="487">
        <f t="shared" ca="1" si="131"/>
        <v>0.74999999999999989</v>
      </c>
      <c r="CY74" s="488">
        <f t="shared" ca="1" si="132"/>
        <v>0.74999999999999989</v>
      </c>
      <c r="CZ74" s="488">
        <f t="shared" si="133"/>
        <v>0</v>
      </c>
      <c r="DA74" s="488">
        <f t="shared" ca="1" si="134"/>
        <v>2.9999999999999996</v>
      </c>
      <c r="DB74" s="488">
        <f t="shared" ca="1" si="135"/>
        <v>0.74999999999999989</v>
      </c>
      <c r="DC74" s="487">
        <f t="shared" si="136"/>
        <v>0</v>
      </c>
      <c r="DD74" s="843">
        <f t="shared" si="137"/>
        <v>0</v>
      </c>
      <c r="DE74" s="441">
        <f t="shared" si="166"/>
        <v>0</v>
      </c>
      <c r="DF74" s="441">
        <f t="shared" si="167"/>
        <v>0</v>
      </c>
      <c r="DG74" s="486">
        <f t="shared" ca="1" si="138"/>
        <v>0.74999999999999989</v>
      </c>
      <c r="DH74" s="451">
        <f t="shared" si="139"/>
        <v>0</v>
      </c>
      <c r="DI74" s="451">
        <f>MIN(valkyrja_cap,Production!O74/valkyrja_bonus)</f>
        <v>1</v>
      </c>
      <c r="DJ74" s="843">
        <f>MIN(voodoo_magi_cap,Production!O74/voodoo_magi_bonus)</f>
        <v>0.83333333333333337</v>
      </c>
      <c r="DK74" s="843">
        <f>MIN(warlock_cap,Production!O74/warlock_bonus)</f>
        <v>1</v>
      </c>
      <c r="DL74" s="843">
        <f ca="1">MIN(nox_nightshade_cap,Construction!DF74/Construction!E74/nox_nightshade_swamp_bonus)</f>
        <v>1.4999999999999998</v>
      </c>
      <c r="DM74" s="487">
        <f t="shared" si="140"/>
        <v>0</v>
      </c>
      <c r="DN74" s="488">
        <f t="shared" ca="1" si="141"/>
        <v>1.4999999999999998</v>
      </c>
      <c r="DO74" s="488">
        <f t="shared" ca="1" si="142"/>
        <v>1.4999999999999998</v>
      </c>
      <c r="DP74" s="488">
        <f t="shared" si="143"/>
        <v>1</v>
      </c>
      <c r="DQ74" s="487">
        <f t="shared" si="144"/>
        <v>0</v>
      </c>
      <c r="DR74" s="488">
        <f t="shared" si="145"/>
        <v>0</v>
      </c>
      <c r="DS74" s="487">
        <f t="shared" si="146"/>
        <v>0</v>
      </c>
      <c r="DT74" s="488">
        <f t="shared" si="147"/>
        <v>0</v>
      </c>
      <c r="DX74" s="486">
        <f ca="1">MIN(6,CV74+Races!$F$19)*1.8 +  IF(CV74+Races!$F$19&gt;6,(CV74+Races!$F$19-6)*0.2,0) - Races!$N$19</f>
        <v>1.3500000000000005</v>
      </c>
      <c r="DY74" s="487">
        <f ca="1">1.8 * MIN(MAX(CW74+Races!$E$20,CX74+Races!$F$20),6)  +  0.45 * MIN(MIN(CW74+Races!$E$20,CX74+Races!$F$20),6)  +  0.2 * ( MAX(CW74+Races!$E$20-6,0) + MAX(CX74+Races!$F$20-6,0) )  -  Races!$N$20</f>
        <v>1.6874999999999991</v>
      </c>
      <c r="DZ74" s="57">
        <f t="shared" ca="1" si="148"/>
        <v>0</v>
      </c>
      <c r="EA74" s="663">
        <f ca="1">MIN(6,CY74+Races!$F$35)*1.8 +  IF(CY74+Races!$F$35&gt;6,(CY74+Races!$F$35-6)*0.2,0) - Races!$N$19</f>
        <v>-0.45000000000000018</v>
      </c>
      <c r="EB74" s="57">
        <f t="shared" ca="1" si="149"/>
        <v>0</v>
      </c>
      <c r="EC74" s="663">
        <f ca="1">1.8 * MIN(MAX(Races!$E$27,DB74+Races!$F$27),6)  +  0.45 * MIN(MIN(Races!$E$27,DB74+Races!$F$27),6)  +  0.2 * ( MAX(Races!$E$27-6,0) + MAX(DB74+Races!$F$27-6,0) )  -  Races!$N$20</f>
        <v>3.6000000000000005</v>
      </c>
      <c r="ED74" s="57">
        <f t="shared" ca="1" si="150"/>
        <v>0</v>
      </c>
      <c r="EE74" s="663">
        <f>1.8 * MIN(MAX(DC74+Races!$E$47,DD74+Races!$F$47),6)  +  0.45 * MIN(MIN(DC74+Races!$E$47,DD74+Races!$F$47),6)  +  0.2 * ( MAX(DC74+Races!$E$47-6,0) + MAX(DD74+Races!$F$47-6,0) )  -  Races!$N$47</f>
        <v>0</v>
      </c>
      <c r="EF74" s="57">
        <f t="shared" si="151"/>
        <v>0</v>
      </c>
      <c r="EG74" s="663">
        <f ca="1">1.8 * MIN(MAX(DG74+Races!$F$71,Races!$E$71),6)  +  0.45 * MIN(MIN(DG74+Races!$F$71,Races!$E$71),6)  +  0.2 * ( MAX(DG74+Races!$F$71-6,0) + MAX(Races!$E$71-6,0) )  -  Races!$N$71</f>
        <v>1.3499999999999996</v>
      </c>
      <c r="EH74" s="663">
        <f>1.8 * MIN(MAX(DH74+Races!$E$71,Races!$F$71),6)  +  0.45 * MIN(MIN(DH74+Races!$E$71,Races!$F$71),6)  +  0.2 * ( MAX(DH74+Races!$E$71-6,0) + MAX(Races!$F$71-6,0) )  -  Races!$N$71</f>
        <v>0</v>
      </c>
      <c r="EI74" s="57">
        <f t="shared" ca="1" si="152"/>
        <v>0</v>
      </c>
      <c r="EJ74" s="57"/>
      <c r="EK74" s="57"/>
      <c r="EL74" s="57"/>
      <c r="EM74" s="57">
        <f ca="1">Overview!$L$22*E74+Overview!$L$23*F74+Overview!$L$24*G74+Overview!$L$25*H74+Overview!$L$26*I74+Overview!$L$27*J74+Overview!$L$28*K74+Construction!E74*20+Construction!B74*5 + DZ74*$DV$4+EB74*$DV$5+ED74*$DV$6+EF74*$DV$7+EI74*$DV$9</f>
        <v>20900</v>
      </c>
      <c r="EO74" s="734">
        <f>(J74+2*K74)/Construction!E74</f>
        <v>0</v>
      </c>
      <c r="EP74" s="730">
        <f ca="1">EO74*(1+race_wizard_strength+tech_magical_weaponry_wiz*Techs!AV146)</f>
        <v>0</v>
      </c>
      <c r="EQ74" s="16">
        <f>(I74+halfer*H74/3)/Construction!E74</f>
        <v>0</v>
      </c>
    </row>
    <row r="75" spans="1:147" s="931" customFormat="1" ht="13.8" thickBot="1" x14ac:dyDescent="0.3">
      <c r="A75" s="1322">
        <f>Rezone!J75</f>
        <v>73</v>
      </c>
      <c r="B75" s="1169">
        <f ca="1">SUM(E75:K75)+SUM(AF67:AG75)+SUM(AH64:AL75)+Z75+Explore!AL75</f>
        <v>5295</v>
      </c>
      <c r="C75" s="1306">
        <f ca="1">Population!G75</f>
        <v>0.74159663865546221</v>
      </c>
      <c r="E75" s="932">
        <f t="shared" si="105"/>
        <v>0</v>
      </c>
      <c r="F75" s="931">
        <f t="shared" si="106"/>
        <v>0</v>
      </c>
      <c r="G75" s="931">
        <f t="shared" si="107"/>
        <v>0</v>
      </c>
      <c r="H75" s="931">
        <f t="shared" si="108"/>
        <v>0</v>
      </c>
      <c r="I75" s="931">
        <f t="shared" si="109"/>
        <v>0</v>
      </c>
      <c r="J75" s="931">
        <f t="shared" si="110"/>
        <v>0</v>
      </c>
      <c r="K75" s="933">
        <f t="shared" si="111"/>
        <v>0</v>
      </c>
      <c r="M75" s="1297">
        <f ca="1">Production!G75</f>
        <v>20900</v>
      </c>
      <c r="O75" s="1323">
        <f t="shared" ca="1" si="112"/>
        <v>0</v>
      </c>
      <c r="P75" s="455">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53"/>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13"/>
        <v>5295</v>
      </c>
      <c r="T75" s="1172">
        <f ca="1">race_defense+Imps!AC75+ROUND(MIN(gt_bonus*Construction!BH75/Construction!$E75,gt_bonus_cap),4)+MAX(IF(Magic!AM75&gt;0,frenzy_bonus,IF(Magic!AQ75&gt;0,blizzard_bonus,IF(Magic!AP75&gt;0,howling_dp_bonus,IF(Magic!AI75&gt;0,ares_call_bonus)))),IF(Magic!AX75&gt;0,MIN(Construction!DF75/Construction!E75,0.2),0))</f>
        <v>0</v>
      </c>
      <c r="U75" s="1043">
        <f t="shared" ca="1" si="154"/>
        <v>0</v>
      </c>
      <c r="V75" s="1324">
        <f t="shared" ca="1" si="155"/>
        <v>5295</v>
      </c>
      <c r="W75" s="1324">
        <f>Construction!E75</f>
        <v>1000</v>
      </c>
      <c r="X75" s="1325"/>
      <c r="Y75" s="1326">
        <f>IF(X75&lt;&gt;"",X75,Y74)</f>
        <v>0.4</v>
      </c>
      <c r="Z75" s="179">
        <f ca="1">Z74+Population!Z74 - IF(race="Lux",AF75,SUM(AF75:AK75)) - BE75 + SUM(BF75:BL75) - Explore!AI75</f>
        <v>5295</v>
      </c>
      <c r="AA75" s="174"/>
      <c r="AB75" s="1327">
        <f>(Construction!$BA75+Construction!BY75)/(Construction!$E75-Explore!S75*20)</f>
        <v>0</v>
      </c>
      <c r="AC75" s="1521">
        <f ca="1">Imps!AE75</f>
        <v>0</v>
      </c>
      <c r="AD75" s="1328">
        <f>Rezone!J75</f>
        <v>73</v>
      </c>
      <c r="AE75" s="588">
        <f>Explore!AA75</f>
        <v>43768.749999999825</v>
      </c>
      <c r="AF75" s="1319"/>
      <c r="AG75" s="537"/>
      <c r="AH75" s="537"/>
      <c r="AI75" s="537"/>
      <c r="AJ75" s="537"/>
      <c r="AK75" s="537"/>
      <c r="AL75" s="1320"/>
      <c r="AN75" s="1169">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14"/>
        <v>0</v>
      </c>
      <c r="AV75" s="174">
        <f t="shared" ca="1" si="115"/>
        <v>0</v>
      </c>
      <c r="AW75" s="174">
        <f t="shared" ca="1" si="156"/>
        <v>0</v>
      </c>
      <c r="AX75" s="174">
        <f t="shared" ca="1" si="157"/>
        <v>0</v>
      </c>
      <c r="AY75" s="174">
        <f t="shared" ca="1" si="158"/>
        <v>0</v>
      </c>
      <c r="AZ75" s="174">
        <f t="shared" ca="1" si="159"/>
        <v>0</v>
      </c>
      <c r="BA75" s="179">
        <f t="shared" ca="1" si="160"/>
        <v>0</v>
      </c>
      <c r="BB75" s="931" t="s">
        <v>241</v>
      </c>
      <c r="BC75" s="1318">
        <f t="shared" si="161"/>
        <v>43768.749999999825</v>
      </c>
      <c r="BD75" s="1329">
        <f t="shared" ca="1" si="162"/>
        <v>5295</v>
      </c>
      <c r="BE75" s="1319"/>
      <c r="BF75" s="537"/>
      <c r="BG75" s="537"/>
      <c r="BH75" s="537"/>
      <c r="BI75" s="537"/>
      <c r="BJ75" s="537"/>
      <c r="BK75" s="537"/>
      <c r="BL75" s="1320"/>
      <c r="BN75" s="502">
        <f>Construction!BM75/Construction!E75</f>
        <v>0</v>
      </c>
      <c r="BO75" s="183">
        <f>Construction!BD75/Construction!E75</f>
        <v>0</v>
      </c>
      <c r="BP75" s="175">
        <f ca="1">ROUNDUP((1-MIN(AB75*smithy_bonus,smithy_bonus_cap)-AC75)*(1+Techs!AO75*tech_master_of_frugality)*spec_op_plat,0)</f>
        <v>275</v>
      </c>
      <c r="BQ75" s="174">
        <f ca="1">ROUNDUP(IF(OR(race="Gnome",race="Imperial Gnome"),1-AC75,(1-MIN(AB75*smithy_bonus,smithy_bonus_cap)-AC75)*(1+Techs!AO75*tech_master_of_frugality))*spec_op_ore,0)</f>
        <v>25</v>
      </c>
      <c r="BR75" s="174">
        <f t="shared" si="116"/>
        <v>0</v>
      </c>
      <c r="BS75" s="174">
        <f t="shared" si="117"/>
        <v>0</v>
      </c>
      <c r="BT75" s="174">
        <f ca="1">ROUNDUP((1-MIN(AB75*smithy_bonus,smithy_bonus_cap)-AC75)*(1+Techs!AO75*tech_master_of_frugality)*spec_dp_plat,0)</f>
        <v>275</v>
      </c>
      <c r="BU75" s="174">
        <f ca="1">ROUNDUP(IF(OR(race="Gnome",race="Imperial Gnome"),1-AC75,(1-MIN(AB75*smithy_bonus,smithy_bonus_cap)-AC75)*(1+Techs!AO75*tech_master_of_frugality))*spec_dp_ore,0)</f>
        <v>10</v>
      </c>
      <c r="BV75" s="174">
        <f t="shared" ca="1" si="118"/>
        <v>0</v>
      </c>
      <c r="BW75" s="174">
        <f t="shared" ca="1" si="119"/>
        <v>0</v>
      </c>
      <c r="BX75" s="174">
        <f t="shared" ca="1" si="120"/>
        <v>0</v>
      </c>
      <c r="BY75" s="174">
        <f ca="1">ROUNDUP((1-MIN(AB75*smithy_bonus,smithy_bonus_cap)-AC75)*(1+Techs!AO75*tech_master_of_frugality)*elite1_plat,0)</f>
        <v>1000</v>
      </c>
      <c r="BZ75" s="174">
        <f ca="1">ROUNDUP(IF(OR(race="Gnome",race="Imperial Gnome"),1-AC75,(1-MIN(AB75*smithy_bonus,smithy_bonus_cap)-AC75)*(1+Techs!AO75*tech_master_of_frugality))*elite1_ore,0)</f>
        <v>75</v>
      </c>
      <c r="CA75" s="174">
        <f t="shared" ca="1" si="163"/>
        <v>0</v>
      </c>
      <c r="CB75" s="174">
        <f t="shared" ca="1" si="121"/>
        <v>0</v>
      </c>
      <c r="CC75" s="174">
        <f t="shared" ca="1" si="122"/>
        <v>0</v>
      </c>
      <c r="CD75" s="174">
        <f t="shared" ca="1" si="123"/>
        <v>0</v>
      </c>
      <c r="CE75" s="174">
        <f t="shared" ca="1" si="124"/>
        <v>0</v>
      </c>
      <c r="CF75" s="174">
        <f ca="1">ROUNDUP((1-MIN(AB75*smithy_bonus,smithy_bonus_cap)-AC75)*(1+Techs!AO75*tech_master_of_frugality)*elite2_plat,0)</f>
        <v>1250</v>
      </c>
      <c r="CG75" s="174">
        <f ca="1">ROUNDUP(IF(OR(race="Gnome",race="Imperial Gnome"),1-AC75,(1-MIN(AB75*smithy_bonus,smithy_bonus_cap)-AC75)*(1+Techs!AO75*tech_master_of_frugality))*elite2_ore,0)</f>
        <v>100</v>
      </c>
      <c r="CH75" s="174">
        <f t="shared" ca="1" si="164"/>
        <v>0</v>
      </c>
      <c r="CI75" s="174">
        <f t="shared" ca="1" si="125"/>
        <v>0</v>
      </c>
      <c r="CJ75" s="174">
        <f t="shared" ca="1" si="126"/>
        <v>0</v>
      </c>
      <c r="CK75" s="174">
        <f t="shared" ca="1" si="127"/>
        <v>0</v>
      </c>
      <c r="CL75" s="174">
        <f t="shared" ca="1" si="128"/>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0">
        <f ca="1">Construction!DF75/Construction!E75</f>
        <v>0.15</v>
      </c>
      <c r="CR75" s="1331">
        <f t="shared" si="165"/>
        <v>0</v>
      </c>
      <c r="CS75" s="1331">
        <f>Construction!BK75/Construction!E75</f>
        <v>0.05</v>
      </c>
      <c r="CT75" s="1331">
        <f>Construction!BJ75/Construction!E75</f>
        <v>0</v>
      </c>
      <c r="CU75" s="1331">
        <f>Construction!AY75/Construction!E75</f>
        <v>0</v>
      </c>
      <c r="CV75" s="1332">
        <f t="shared" ca="1" si="129"/>
        <v>0.74999999999999989</v>
      </c>
      <c r="CW75" s="1333">
        <f t="shared" ca="1" si="130"/>
        <v>0.74999999999999989</v>
      </c>
      <c r="CX75" s="1333">
        <f t="shared" ca="1" si="131"/>
        <v>0.74999999999999989</v>
      </c>
      <c r="CY75" s="1334">
        <f t="shared" ca="1" si="132"/>
        <v>0.74999999999999989</v>
      </c>
      <c r="CZ75" s="1334">
        <f t="shared" si="133"/>
        <v>0</v>
      </c>
      <c r="DA75" s="1334">
        <f t="shared" ca="1" si="134"/>
        <v>2.9999999999999996</v>
      </c>
      <c r="DB75" s="1334">
        <f t="shared" ca="1" si="135"/>
        <v>0.74999999999999989</v>
      </c>
      <c r="DC75" s="1333">
        <f t="shared" si="136"/>
        <v>0</v>
      </c>
      <c r="DD75" s="1335">
        <f t="shared" si="137"/>
        <v>0</v>
      </c>
      <c r="DE75" s="1336">
        <f t="shared" si="166"/>
        <v>0</v>
      </c>
      <c r="DF75" s="1336">
        <f t="shared" si="167"/>
        <v>0</v>
      </c>
      <c r="DG75" s="1332">
        <f t="shared" ca="1" si="138"/>
        <v>0.74999999999999989</v>
      </c>
      <c r="DH75" s="1337">
        <f t="shared" si="139"/>
        <v>0</v>
      </c>
      <c r="DI75" s="1337">
        <f>MIN(valkyrja_cap,Production!O75/valkyrja_bonus)</f>
        <v>1</v>
      </c>
      <c r="DJ75" s="1335">
        <f>MIN(voodoo_magi_cap,Production!O75/voodoo_magi_bonus)</f>
        <v>0.83333333333333337</v>
      </c>
      <c r="DK75" s="1335">
        <f>MIN(warlock_cap,Production!O75/warlock_bonus)</f>
        <v>1</v>
      </c>
      <c r="DL75" s="1335">
        <f ca="1">MIN(nox_nightshade_cap,Construction!DF75/Construction!E75/nox_nightshade_swamp_bonus)</f>
        <v>1.4999999999999998</v>
      </c>
      <c r="DM75" s="1333">
        <f t="shared" si="140"/>
        <v>0</v>
      </c>
      <c r="DN75" s="1334">
        <f t="shared" ca="1" si="141"/>
        <v>1.4999999999999998</v>
      </c>
      <c r="DO75" s="1334">
        <f t="shared" ca="1" si="142"/>
        <v>1.4999999999999998</v>
      </c>
      <c r="DP75" s="1334">
        <f t="shared" si="143"/>
        <v>1</v>
      </c>
      <c r="DQ75" s="1333">
        <f t="shared" si="144"/>
        <v>0</v>
      </c>
      <c r="DR75" s="1334">
        <f t="shared" si="145"/>
        <v>0</v>
      </c>
      <c r="DS75" s="1333">
        <f t="shared" si="146"/>
        <v>0</v>
      </c>
      <c r="DT75" s="1334">
        <f t="shared" si="147"/>
        <v>0</v>
      </c>
      <c r="DX75" s="1332">
        <f ca="1">MIN(6,CV75+Races!$F$19)*1.8 +  IF(CV75+Races!$F$19&gt;6,(CV75+Races!$F$19-6)*0.2,0) - Races!$N$19</f>
        <v>1.3500000000000005</v>
      </c>
      <c r="DY75" s="1333">
        <f ca="1">1.8 * MIN(MAX(CW75+Races!$E$20,CX75+Races!$F$20),6)  +  0.45 * MIN(MIN(CW75+Races!$E$20,CX75+Races!$F$20),6)  +  0.2 * ( MAX(CW75+Races!$E$20-6,0) + MAX(CX75+Races!$F$20-6,0) )  -  Races!$N$20</f>
        <v>1.6874999999999991</v>
      </c>
      <c r="DZ75" s="1298">
        <f t="shared" ca="1" si="148"/>
        <v>0</v>
      </c>
      <c r="EA75" s="1338">
        <f ca="1">MIN(6,CY75+Races!$F$35)*1.8 +  IF(CY75+Races!$F$35&gt;6,(CY75+Races!$F$35-6)*0.2,0) - Races!$N$19</f>
        <v>-0.45000000000000018</v>
      </c>
      <c r="EB75" s="1298">
        <f t="shared" ca="1" si="149"/>
        <v>0</v>
      </c>
      <c r="EC75" s="1338">
        <f ca="1">1.8 * MIN(MAX(Races!$E$27,DB75+Races!$F$27),6)  +  0.45 * MIN(MIN(Races!$E$27,DB75+Races!$F$27),6)  +  0.2 * ( MAX(Races!$E$27-6,0) + MAX(DB75+Races!$F$27-6,0) )  -  Races!$N$20</f>
        <v>3.6000000000000005</v>
      </c>
      <c r="ED75" s="1298">
        <f t="shared" ca="1" si="150"/>
        <v>0</v>
      </c>
      <c r="EE75" s="1338">
        <f>1.8 * MIN(MAX(DC75+Races!$E$47,DD75+Races!$F$47),6)  +  0.45 * MIN(MIN(DC75+Races!$E$47,DD75+Races!$F$47),6)  +  0.2 * ( MAX(DC75+Races!$E$47-6,0) + MAX(DD75+Races!$F$47-6,0) )  -  Races!$N$47</f>
        <v>0</v>
      </c>
      <c r="EF75" s="1298">
        <f t="shared" si="151"/>
        <v>0</v>
      </c>
      <c r="EG75" s="1338">
        <f ca="1">1.8 * MIN(MAX(DG75+Races!$F$71,Races!$E$71),6)  +  0.45 * MIN(MIN(DG75+Races!$F$71,Races!$E$71),6)  +  0.2 * ( MAX(DG75+Races!$F$71-6,0) + MAX(Races!$E$71-6,0) )  -  Races!$N$71</f>
        <v>1.3499999999999996</v>
      </c>
      <c r="EH75" s="1338">
        <f>1.8 * MIN(MAX(DH75+Races!$E$71,Races!$F$71),6)  +  0.45 * MIN(MIN(DH75+Races!$E$71,Races!$F$71),6)  +  0.2 * ( MAX(DH75+Races!$E$71-6,0) + MAX(Races!$F$71-6,0) )  -  Races!$N$71</f>
        <v>0</v>
      </c>
      <c r="EI75" s="1298">
        <f t="shared" ca="1" si="152"/>
        <v>0</v>
      </c>
      <c r="EJ75" s="1298"/>
      <c r="EK75" s="1298"/>
      <c r="EL75" s="1298"/>
      <c r="EM75" s="1298">
        <f ca="1">Overview!$L$22*E75+Overview!$L$23*F75+Overview!$L$24*G75+Overview!$L$25*H75+Overview!$L$26*I75+Overview!$L$27*J75+Overview!$L$28*K75+Construction!E75*20+Construction!B75*5 + DZ75*$DV$4+EB75*$DV$5+ED75*$DV$6+EF75*$DV$7+EI75*$DV$9</f>
        <v>20900</v>
      </c>
      <c r="EO75" s="1339">
        <f>(J75+2*K75)/Construction!E75</f>
        <v>0</v>
      </c>
      <c r="EP75" s="732">
        <f ca="1">EO75*(1+race_wizard_strength+tech_magical_weaponry_wiz*Techs!AV147)</f>
        <v>0</v>
      </c>
      <c r="EQ75" s="931">
        <f>(I75+halfer*H75/3)/Construction!E75</f>
        <v>0</v>
      </c>
    </row>
    <row r="76" spans="1:147" s="170" customFormat="1" x14ac:dyDescent="0.25">
      <c r="A76" s="627">
        <f>Rezone!J76</f>
        <v>74</v>
      </c>
      <c r="B76" s="152">
        <f ca="1">SUM(E76:K76)+SUM(AF68:AG76)+SUM(AH65:AL76)+Z76+Explore!AL76</f>
        <v>5295</v>
      </c>
      <c r="C76" s="171">
        <f ca="1">Population!G76</f>
        <v>0.74159663865546221</v>
      </c>
      <c r="E76" s="156">
        <f t="shared" si="105"/>
        <v>0</v>
      </c>
      <c r="F76" s="170">
        <f t="shared" si="106"/>
        <v>0</v>
      </c>
      <c r="G76" s="170">
        <f t="shared" si="107"/>
        <v>0</v>
      </c>
      <c r="H76" s="170">
        <f t="shared" si="108"/>
        <v>0</v>
      </c>
      <c r="I76" s="170">
        <f t="shared" si="109"/>
        <v>0</v>
      </c>
      <c r="J76" s="170">
        <f t="shared" si="110"/>
        <v>0</v>
      </c>
      <c r="K76" s="157">
        <f t="shared" si="111"/>
        <v>0</v>
      </c>
      <c r="M76" s="160">
        <f ca="1">Production!G76</f>
        <v>20900</v>
      </c>
      <c r="O76" s="234">
        <f t="shared" ca="1" si="112"/>
        <v>0</v>
      </c>
      <c r="P76" s="454">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53"/>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13"/>
        <v>5295</v>
      </c>
      <c r="T76" s="1047">
        <f ca="1">race_defense+Imps!AC76+ROUND(MIN(gt_bonus*Construction!BH76/Construction!$E76,gt_bonus_cap),4)+MAX(IF(Magic!AM76&gt;0,frenzy_bonus,IF(Magic!AQ76&gt;0,blizzard_bonus,IF(Magic!AP76&gt;0,howling_dp_bonus,IF(Magic!AI76&gt;0,ares_call_bonus)))),IF(Magic!AX76&gt;0,MIN(Construction!DF76/Construction!E76,0.2),0))</f>
        <v>0</v>
      </c>
      <c r="U76" s="1041">
        <f t="shared" ca="1" si="154"/>
        <v>0</v>
      </c>
      <c r="V76" s="308">
        <f t="shared" ca="1" si="155"/>
        <v>5295</v>
      </c>
      <c r="W76" s="308">
        <f>Construction!E76</f>
        <v>1000</v>
      </c>
      <c r="X76" s="364"/>
      <c r="Y76" s="232">
        <f t="shared" ref="Y76:Y87" si="168">IF(X76&lt;&gt;"",X76,Y75)</f>
        <v>0.4</v>
      </c>
      <c r="Z76" s="166">
        <f ca="1">Z75+Population!Z75 - IF(race="Lux",AF76,SUM(AF76:AK76)) - BE76 + SUM(BF76:BL76) - Explore!AI76</f>
        <v>5295</v>
      </c>
      <c r="AA76" s="164"/>
      <c r="AB76" s="251">
        <f>(Construction!$BA76+Construction!BY76)/(Construction!$E76-Explore!S76*20)</f>
        <v>0</v>
      </c>
      <c r="AC76" s="1515">
        <f ca="1">Imps!AE76</f>
        <v>0</v>
      </c>
      <c r="AD76" s="794">
        <f>Rezone!J76</f>
        <v>74</v>
      </c>
      <c r="AE76" s="587">
        <f>Explore!AA76</f>
        <v>43768.76041666649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14"/>
        <v>0</v>
      </c>
      <c r="AV76" s="164">
        <f t="shared" ca="1" si="115"/>
        <v>0</v>
      </c>
      <c r="AW76" s="164">
        <f t="shared" ca="1" si="156"/>
        <v>0</v>
      </c>
      <c r="AX76" s="164">
        <f t="shared" ca="1" si="157"/>
        <v>0</v>
      </c>
      <c r="AY76" s="164">
        <f t="shared" ca="1" si="158"/>
        <v>0</v>
      </c>
      <c r="AZ76" s="164">
        <f t="shared" ca="1" si="159"/>
        <v>0</v>
      </c>
      <c r="BA76" s="166">
        <f t="shared" ca="1" si="160"/>
        <v>0</v>
      </c>
      <c r="BB76" s="170">
        <v>61</v>
      </c>
      <c r="BC76" s="530">
        <f t="shared" si="161"/>
        <v>43768.76041666649</v>
      </c>
      <c r="BD76" s="233">
        <f t="shared" ca="1" si="162"/>
        <v>5295</v>
      </c>
      <c r="BE76" s="825"/>
      <c r="BF76" s="345"/>
      <c r="BG76" s="345"/>
      <c r="BH76" s="345"/>
      <c r="BI76" s="345"/>
      <c r="BJ76" s="345"/>
      <c r="BK76" s="345"/>
      <c r="BL76" s="353"/>
      <c r="BN76" s="501">
        <f>Construction!BM76/Construction!E76</f>
        <v>0</v>
      </c>
      <c r="BO76" s="171">
        <f>Construction!BD76/Construction!E76</f>
        <v>0</v>
      </c>
      <c r="BP76" s="152">
        <f ca="1">ROUNDUP((1-MIN(AB76*smithy_bonus,smithy_bonus_cap)-AC76)*(1+Techs!AO76*tech_master_of_frugality)*spec_op_plat,0)</f>
        <v>275</v>
      </c>
      <c r="BQ76" s="164">
        <f ca="1">ROUNDUP(IF(OR(race="Gnome",race="Imperial Gnome"),1-AC76,(1-MIN(AB76*smithy_bonus,smithy_bonus_cap)-AC76)*(1+Techs!AO76*tech_master_of_frugality))*spec_op_ore,0)</f>
        <v>25</v>
      </c>
      <c r="BR76" s="164">
        <f t="shared" si="116"/>
        <v>0</v>
      </c>
      <c r="BS76" s="164">
        <f t="shared" si="117"/>
        <v>0</v>
      </c>
      <c r="BT76" s="164">
        <f ca="1">ROUNDUP((1-MIN(AB76*smithy_bonus,smithy_bonus_cap)-AC76)*(1+Techs!AO76*tech_master_of_frugality)*spec_dp_plat,0)</f>
        <v>275</v>
      </c>
      <c r="BU76" s="164">
        <f ca="1">ROUNDUP(IF(OR(race="Gnome",race="Imperial Gnome"),1-AC76,(1-MIN(AB76*smithy_bonus,smithy_bonus_cap)-AC76)*(1+Techs!AO76*tech_master_of_frugality))*spec_dp_ore,0)</f>
        <v>10</v>
      </c>
      <c r="BV76" s="164">
        <f t="shared" ca="1" si="118"/>
        <v>0</v>
      </c>
      <c r="BW76" s="164">
        <f t="shared" ca="1" si="119"/>
        <v>0</v>
      </c>
      <c r="BX76" s="164">
        <f t="shared" ca="1" si="120"/>
        <v>0</v>
      </c>
      <c r="BY76" s="164">
        <f ca="1">ROUNDUP((1-MIN(AB76*smithy_bonus,smithy_bonus_cap)-AC76)*(1+Techs!AO76*tech_master_of_frugality)*elite1_plat,0)</f>
        <v>1000</v>
      </c>
      <c r="BZ76" s="164">
        <f ca="1">ROUNDUP(IF(OR(race="Gnome",race="Imperial Gnome"),1-AC76,(1-MIN(AB76*smithy_bonus,smithy_bonus_cap)-AC76)*(1+Techs!AO76*tech_master_of_frugality))*elite1_ore,0)</f>
        <v>75</v>
      </c>
      <c r="CA76" s="164">
        <f t="shared" ca="1" si="163"/>
        <v>0</v>
      </c>
      <c r="CB76" s="164">
        <f t="shared" ca="1" si="121"/>
        <v>0</v>
      </c>
      <c r="CC76" s="164">
        <f t="shared" ca="1" si="122"/>
        <v>0</v>
      </c>
      <c r="CD76" s="164">
        <f t="shared" ca="1" si="123"/>
        <v>0</v>
      </c>
      <c r="CE76" s="164">
        <f t="shared" ca="1" si="124"/>
        <v>0</v>
      </c>
      <c r="CF76" s="164">
        <f ca="1">ROUNDUP((1-MIN(AB76*smithy_bonus,smithy_bonus_cap)-AC76)*(1+Techs!AO76*tech_master_of_frugality)*elite2_plat,0)</f>
        <v>1250</v>
      </c>
      <c r="CG76" s="164">
        <f ca="1">ROUNDUP(IF(OR(race="Gnome",race="Imperial Gnome"),1-AC76,(1-MIN(AB76*smithy_bonus,smithy_bonus_cap)-AC76)*(1+Techs!AO76*tech_master_of_frugality))*elite2_ore,0)</f>
        <v>100</v>
      </c>
      <c r="CH76" s="164">
        <f t="shared" ca="1" si="164"/>
        <v>0</v>
      </c>
      <c r="CI76" s="164">
        <f t="shared" ca="1" si="125"/>
        <v>0</v>
      </c>
      <c r="CJ76" s="164">
        <f t="shared" ca="1" si="126"/>
        <v>0</v>
      </c>
      <c r="CK76" s="164">
        <f t="shared" ca="1" si="127"/>
        <v>0</v>
      </c>
      <c r="CL76" s="164">
        <f t="shared" ca="1" si="128"/>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0">
        <f ca="1">Construction!DF76/Construction!E76</f>
        <v>0.15</v>
      </c>
      <c r="CR76" s="461">
        <f t="shared" si="165"/>
        <v>0</v>
      </c>
      <c r="CS76" s="461">
        <f>Construction!BK76/Construction!E76</f>
        <v>0.05</v>
      </c>
      <c r="CT76" s="461">
        <f>Construction!BJ76/Construction!E76</f>
        <v>0</v>
      </c>
      <c r="CU76" s="461">
        <f>Construction!AY76/Construction!E76</f>
        <v>0</v>
      </c>
      <c r="CV76" s="480">
        <f t="shared" ca="1" si="129"/>
        <v>0.74999999999999989</v>
      </c>
      <c r="CW76" s="481">
        <f t="shared" ca="1" si="130"/>
        <v>0.74999999999999989</v>
      </c>
      <c r="CX76" s="481">
        <f t="shared" ca="1" si="131"/>
        <v>0.74999999999999989</v>
      </c>
      <c r="CY76" s="482">
        <f t="shared" ca="1" si="132"/>
        <v>0.74999999999999989</v>
      </c>
      <c r="CZ76" s="482">
        <f t="shared" si="133"/>
        <v>0</v>
      </c>
      <c r="DA76" s="482">
        <f t="shared" ca="1" si="134"/>
        <v>2.9999999999999996</v>
      </c>
      <c r="DB76" s="482">
        <f t="shared" ca="1" si="135"/>
        <v>0.74999999999999989</v>
      </c>
      <c r="DC76" s="481">
        <f t="shared" si="136"/>
        <v>0</v>
      </c>
      <c r="DD76" s="842">
        <f t="shared" si="137"/>
        <v>0</v>
      </c>
      <c r="DE76" s="439">
        <f t="shared" si="166"/>
        <v>0</v>
      </c>
      <c r="DF76" s="439">
        <f t="shared" si="167"/>
        <v>0</v>
      </c>
      <c r="DG76" s="480">
        <f t="shared" ca="1" si="138"/>
        <v>0.74999999999999989</v>
      </c>
      <c r="DH76" s="449">
        <f t="shared" si="139"/>
        <v>0</v>
      </c>
      <c r="DI76" s="449">
        <f>MIN(valkyrja_cap,Production!O76/valkyrja_bonus)</f>
        <v>1</v>
      </c>
      <c r="DJ76" s="842">
        <f>MIN(voodoo_magi_cap,Production!O76/voodoo_magi_bonus)</f>
        <v>0.83333333333333337</v>
      </c>
      <c r="DK76" s="842">
        <f>MIN(warlock_cap,Production!O76/warlock_bonus)</f>
        <v>1</v>
      </c>
      <c r="DL76" s="842">
        <f ca="1">MIN(nox_nightshade_cap,Construction!DF76/Construction!E76/nox_nightshade_swamp_bonus)</f>
        <v>1.4999999999999998</v>
      </c>
      <c r="DM76" s="481">
        <f t="shared" si="140"/>
        <v>0</v>
      </c>
      <c r="DN76" s="482">
        <f t="shared" ca="1" si="141"/>
        <v>1.4999999999999998</v>
      </c>
      <c r="DO76" s="482">
        <f t="shared" ca="1" si="142"/>
        <v>1.4999999999999998</v>
      </c>
      <c r="DP76" s="482">
        <f t="shared" si="143"/>
        <v>1</v>
      </c>
      <c r="DQ76" s="481">
        <f t="shared" si="144"/>
        <v>0</v>
      </c>
      <c r="DR76" s="482">
        <f t="shared" si="145"/>
        <v>0</v>
      </c>
      <c r="DS76" s="481">
        <f t="shared" si="146"/>
        <v>0</v>
      </c>
      <c r="DT76" s="482">
        <f t="shared" si="147"/>
        <v>0</v>
      </c>
      <c r="DU76"/>
      <c r="DV76"/>
      <c r="DX76" s="480">
        <f ca="1">MIN(6,CV76+Races!$F$19)*1.8 +  IF(CV76+Races!$F$19&gt;6,(CV76+Races!$F$19-6)*0.2,0) - Races!$N$19</f>
        <v>1.3500000000000005</v>
      </c>
      <c r="DY76" s="481">
        <f ca="1">1.8 * MIN(MAX(CW76+Races!$E$20,CX76+Races!$F$20),6)  +  0.45 * MIN(MIN(CW76+Races!$E$20,CX76+Races!$F$20),6)  +  0.2 * ( MAX(CW76+Races!$E$20-6,0) + MAX(CX76+Races!$F$20-6,0) )  -  Races!$N$20</f>
        <v>1.6874999999999991</v>
      </c>
      <c r="DZ76" s="166">
        <f t="shared" ca="1" si="148"/>
        <v>0</v>
      </c>
      <c r="EA76" s="662">
        <f ca="1">MIN(6,CY76+Races!$F$35)*1.8 +  IF(CY76+Races!$F$35&gt;6,(CY76+Races!$F$35-6)*0.2,0) - Races!$N$19</f>
        <v>-0.45000000000000018</v>
      </c>
      <c r="EB76" s="166">
        <f t="shared" ca="1" si="149"/>
        <v>0</v>
      </c>
      <c r="EC76" s="662">
        <f ca="1">1.8 * MIN(MAX(Races!$E$27,DB76+Races!$F$27),6)  +  0.45 * MIN(MIN(Races!$E$27,DB76+Races!$F$27),6)  +  0.2 * ( MAX(Races!$E$27-6,0) + MAX(DB76+Races!$F$27-6,0) )  -  Races!$N$20</f>
        <v>3.6000000000000005</v>
      </c>
      <c r="ED76" s="166">
        <f t="shared" ca="1" si="150"/>
        <v>0</v>
      </c>
      <c r="EE76" s="662">
        <f>1.8 * MIN(MAX(DC76+Races!$E$47,DD76+Races!$F$47),6)  +  0.45 * MIN(MIN(DC76+Races!$E$47,DD76+Races!$F$47),6)  +  0.2 * ( MAX(DC76+Races!$E$47-6,0) + MAX(DD76+Races!$F$47-6,0) )  -  Races!$N$47</f>
        <v>0</v>
      </c>
      <c r="EF76" s="166">
        <f t="shared" si="151"/>
        <v>0</v>
      </c>
      <c r="EG76" s="662">
        <f ca="1">1.8 * MIN(MAX(DG76+Races!$F$71,Races!$E$71),6)  +  0.45 * MIN(MIN(DG76+Races!$F$71,Races!$E$71),6)  +  0.2 * ( MAX(DG76+Races!$F$71-6,0) + MAX(Races!$E$71-6,0) )  -  Races!$N$71</f>
        <v>1.3499999999999996</v>
      </c>
      <c r="EH76" s="662">
        <f>1.8 * MIN(MAX(DH76+Races!$E$71,Races!$F$71),6)  +  0.45 * MIN(MIN(DH76+Races!$E$71,Races!$F$71),6)  +  0.2 * ( MAX(DH76+Races!$E$71-6,0) + MAX(Races!$F$71-6,0) )  -  Races!$N$71</f>
        <v>0</v>
      </c>
      <c r="EI76" s="166">
        <f t="shared" ca="1" si="152"/>
        <v>0</v>
      </c>
      <c r="EJ76" s="166"/>
      <c r="EK76" s="166"/>
      <c r="EL76" s="166"/>
      <c r="EM76" s="166">
        <f ca="1">Overview!$L$22*E76+Overview!$L$23*F76+Overview!$L$24*G76+Overview!$L$25*H76+Overview!$L$26*I76+Overview!$L$27*J76+Overview!$L$28*K76+Construction!E76*20+Construction!B76*5 + DZ76*$DV$4+EB76*$DV$5+ED76*$DV$6+EF76*$DV$7+EI76*$DV$9</f>
        <v>20900</v>
      </c>
      <c r="EO76" s="733">
        <f>(J76+2*K76)/Construction!E76</f>
        <v>0</v>
      </c>
      <c r="EP76" s="730">
        <f ca="1">EO76*(1+race_wizard_strength+tech_magical_weaponry_wiz*Techs!AV148)</f>
        <v>0</v>
      </c>
      <c r="EQ76" s="170">
        <f>(I76+halfer*H76/3)/Construction!E76</f>
        <v>0</v>
      </c>
    </row>
    <row r="77" spans="1:147" s="170" customFormat="1" x14ac:dyDescent="0.25">
      <c r="A77" s="627">
        <f>Rezone!J77</f>
        <v>75</v>
      </c>
      <c r="B77" s="152">
        <f ca="1">SUM(E77:K77)+SUM(AF69:AG77)+SUM(AH66:AL77)+Z77+Explore!AL77</f>
        <v>5295</v>
      </c>
      <c r="C77" s="171">
        <f ca="1">Population!G77</f>
        <v>0.74159663865546221</v>
      </c>
      <c r="E77" s="156">
        <f t="shared" si="105"/>
        <v>0</v>
      </c>
      <c r="F77" s="170">
        <f t="shared" si="106"/>
        <v>0</v>
      </c>
      <c r="G77" s="170">
        <f t="shared" si="107"/>
        <v>0</v>
      </c>
      <c r="H77" s="170">
        <f t="shared" si="108"/>
        <v>0</v>
      </c>
      <c r="I77" s="170">
        <f t="shared" si="109"/>
        <v>0</v>
      </c>
      <c r="J77" s="170">
        <f t="shared" si="110"/>
        <v>0</v>
      </c>
      <c r="K77" s="157">
        <f t="shared" si="111"/>
        <v>0</v>
      </c>
      <c r="M77" s="160">
        <f ca="1">Production!G77</f>
        <v>20900</v>
      </c>
      <c r="O77" s="234">
        <f t="shared" ca="1" si="112"/>
        <v>0</v>
      </c>
      <c r="P77" s="454">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53"/>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13"/>
        <v>5295</v>
      </c>
      <c r="T77" s="1047">
        <f ca="1">race_defense+Imps!AC77+ROUND(MIN(gt_bonus*Construction!BH77/Construction!$E77,gt_bonus_cap),4)+MAX(IF(Magic!AM77&gt;0,frenzy_bonus,IF(Magic!AQ77&gt;0,blizzard_bonus,IF(Magic!AP77&gt;0,howling_dp_bonus,IF(Magic!AI77&gt;0,ares_call_bonus)))),IF(Magic!AX77&gt;0,MIN(Construction!DF77/Construction!E77,0.2),0))</f>
        <v>0</v>
      </c>
      <c r="U77" s="1041">
        <f t="shared" ca="1" si="154"/>
        <v>0</v>
      </c>
      <c r="V77" s="308">
        <f t="shared" ca="1" si="155"/>
        <v>5295</v>
      </c>
      <c r="W77" s="308">
        <f>Construction!E77</f>
        <v>1000</v>
      </c>
      <c r="X77" s="364"/>
      <c r="Y77" s="232">
        <f t="shared" si="168"/>
        <v>0.4</v>
      </c>
      <c r="Z77" s="166">
        <f ca="1">Z76+Population!Z76 - IF(race="Lux",AF77,SUM(AF77:AK77)) - BE77 + SUM(BF77:BL77) - Explore!AI77</f>
        <v>5295</v>
      </c>
      <c r="AA77" s="164"/>
      <c r="AB77" s="251">
        <f>(Construction!$BA77+Construction!BY77)/(Construction!$E77-Explore!S77*20)</f>
        <v>0</v>
      </c>
      <c r="AC77" s="1515">
        <f ca="1">Imps!AE77</f>
        <v>0</v>
      </c>
      <c r="AD77" s="794">
        <f>Rezone!J77</f>
        <v>75</v>
      </c>
      <c r="AE77" s="587">
        <f>Explore!AA77</f>
        <v>43768.770833333154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14"/>
        <v>0</v>
      </c>
      <c r="AV77" s="164">
        <f t="shared" ca="1" si="115"/>
        <v>0</v>
      </c>
      <c r="AW77" s="164">
        <f t="shared" ca="1" si="156"/>
        <v>0</v>
      </c>
      <c r="AX77" s="164">
        <f t="shared" ca="1" si="157"/>
        <v>0</v>
      </c>
      <c r="AY77" s="164">
        <f t="shared" ca="1" si="158"/>
        <v>0</v>
      </c>
      <c r="AZ77" s="164">
        <f t="shared" ca="1" si="159"/>
        <v>0</v>
      </c>
      <c r="BA77" s="166">
        <f t="shared" ca="1" si="160"/>
        <v>0</v>
      </c>
      <c r="BB77" s="170">
        <v>62</v>
      </c>
      <c r="BC77" s="530">
        <f t="shared" si="161"/>
        <v>43768.770833333154</v>
      </c>
      <c r="BD77" s="233">
        <f t="shared" ca="1" si="162"/>
        <v>5295</v>
      </c>
      <c r="BE77" s="352"/>
      <c r="BF77" s="345"/>
      <c r="BG77" s="345"/>
      <c r="BH77" s="345"/>
      <c r="BI77" s="345"/>
      <c r="BJ77" s="345"/>
      <c r="BK77" s="345"/>
      <c r="BL77" s="353"/>
      <c r="BN77" s="501">
        <f>Construction!BM77/Construction!E77</f>
        <v>0</v>
      </c>
      <c r="BO77" s="171">
        <f>Construction!BD77/Construction!E77</f>
        <v>0</v>
      </c>
      <c r="BP77" s="152">
        <f ca="1">ROUNDUP((1-MIN(AB77*smithy_bonus,smithy_bonus_cap)-AC77)*(1+Techs!AO77*tech_master_of_frugality)*spec_op_plat,0)</f>
        <v>275</v>
      </c>
      <c r="BQ77" s="164">
        <f ca="1">ROUNDUP(IF(OR(race="Gnome",race="Imperial Gnome"),1-AC77,(1-MIN(AB77*smithy_bonus,smithy_bonus_cap)-AC77)*(1+Techs!AO77*tech_master_of_frugality))*spec_op_ore,0)</f>
        <v>25</v>
      </c>
      <c r="BR77" s="164">
        <f t="shared" si="116"/>
        <v>0</v>
      </c>
      <c r="BS77" s="164">
        <f t="shared" si="117"/>
        <v>0</v>
      </c>
      <c r="BT77" s="164">
        <f ca="1">ROUNDUP((1-MIN(AB77*smithy_bonus,smithy_bonus_cap)-AC77)*(1+Techs!AO77*tech_master_of_frugality)*spec_dp_plat,0)</f>
        <v>275</v>
      </c>
      <c r="BU77" s="164">
        <f ca="1">ROUNDUP(IF(OR(race="Gnome",race="Imperial Gnome"),1-AC77,(1-MIN(AB77*smithy_bonus,smithy_bonus_cap)-AC77)*(1+Techs!AO77*tech_master_of_frugality))*spec_dp_ore,0)</f>
        <v>10</v>
      </c>
      <c r="BV77" s="164">
        <f t="shared" ca="1" si="118"/>
        <v>0</v>
      </c>
      <c r="BW77" s="164">
        <f t="shared" ca="1" si="119"/>
        <v>0</v>
      </c>
      <c r="BX77" s="164">
        <f t="shared" ca="1" si="120"/>
        <v>0</v>
      </c>
      <c r="BY77" s="164">
        <f ca="1">ROUNDUP((1-MIN(AB77*smithy_bonus,smithy_bonus_cap)-AC77)*(1+Techs!AO77*tech_master_of_frugality)*elite1_plat,0)</f>
        <v>1000</v>
      </c>
      <c r="BZ77" s="164">
        <f ca="1">ROUNDUP(IF(OR(race="Gnome",race="Imperial Gnome"),1-AC77,(1-MIN(AB77*smithy_bonus,smithy_bonus_cap)-AC77)*(1+Techs!AO77*tech_master_of_frugality))*elite1_ore,0)</f>
        <v>75</v>
      </c>
      <c r="CA77" s="164">
        <f t="shared" ca="1" si="163"/>
        <v>0</v>
      </c>
      <c r="CB77" s="164">
        <f t="shared" ca="1" si="121"/>
        <v>0</v>
      </c>
      <c r="CC77" s="164">
        <f t="shared" ca="1" si="122"/>
        <v>0</v>
      </c>
      <c r="CD77" s="164">
        <f t="shared" ca="1" si="123"/>
        <v>0</v>
      </c>
      <c r="CE77" s="164">
        <f t="shared" ca="1" si="124"/>
        <v>0</v>
      </c>
      <c r="CF77" s="164">
        <f ca="1">ROUNDUP((1-MIN(AB77*smithy_bonus,smithy_bonus_cap)-AC77)*(1+Techs!AO77*tech_master_of_frugality)*elite2_plat,0)</f>
        <v>1250</v>
      </c>
      <c r="CG77" s="164">
        <f ca="1">ROUNDUP(IF(OR(race="Gnome",race="Imperial Gnome"),1-AC77,(1-MIN(AB77*smithy_bonus,smithy_bonus_cap)-AC77)*(1+Techs!AO77*tech_master_of_frugality))*elite2_ore,0)</f>
        <v>100</v>
      </c>
      <c r="CH77" s="164">
        <f t="shared" ca="1" si="164"/>
        <v>0</v>
      </c>
      <c r="CI77" s="164">
        <f t="shared" ca="1" si="125"/>
        <v>0</v>
      </c>
      <c r="CJ77" s="164">
        <f t="shared" ca="1" si="126"/>
        <v>0</v>
      </c>
      <c r="CK77" s="164">
        <f t="shared" ca="1" si="127"/>
        <v>0</v>
      </c>
      <c r="CL77" s="164">
        <f t="shared" ca="1" si="128"/>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0">
        <f ca="1">Construction!DF77/Construction!E77</f>
        <v>0.15</v>
      </c>
      <c r="CR77" s="461">
        <f t="shared" si="165"/>
        <v>0</v>
      </c>
      <c r="CS77" s="461">
        <f>Construction!BK77/Construction!E77</f>
        <v>0.05</v>
      </c>
      <c r="CT77" s="461">
        <f>Construction!BJ77/Construction!E77</f>
        <v>0</v>
      </c>
      <c r="CU77" s="461">
        <f>Construction!AY77/Construction!E77</f>
        <v>0</v>
      </c>
      <c r="CV77" s="480">
        <f t="shared" ca="1" si="129"/>
        <v>0.74999999999999989</v>
      </c>
      <c r="CW77" s="481">
        <f t="shared" ca="1" si="130"/>
        <v>0.74999999999999989</v>
      </c>
      <c r="CX77" s="481">
        <f t="shared" ca="1" si="131"/>
        <v>0.74999999999999989</v>
      </c>
      <c r="CY77" s="482">
        <f t="shared" ca="1" si="132"/>
        <v>0.74999999999999989</v>
      </c>
      <c r="CZ77" s="482">
        <f t="shared" si="133"/>
        <v>0</v>
      </c>
      <c r="DA77" s="482">
        <f t="shared" ca="1" si="134"/>
        <v>2.9999999999999996</v>
      </c>
      <c r="DB77" s="482">
        <f t="shared" ca="1" si="135"/>
        <v>0.74999999999999989</v>
      </c>
      <c r="DC77" s="481">
        <f t="shared" si="136"/>
        <v>0</v>
      </c>
      <c r="DD77" s="842">
        <f t="shared" si="137"/>
        <v>0</v>
      </c>
      <c r="DE77" s="439">
        <f t="shared" si="166"/>
        <v>0</v>
      </c>
      <c r="DF77" s="439">
        <f t="shared" si="167"/>
        <v>0</v>
      </c>
      <c r="DG77" s="480">
        <f t="shared" ca="1" si="138"/>
        <v>0.74999999999999989</v>
      </c>
      <c r="DH77" s="449">
        <f t="shared" si="139"/>
        <v>0</v>
      </c>
      <c r="DI77" s="449">
        <f>MIN(valkyrja_cap,Production!O77/valkyrja_bonus)</f>
        <v>1</v>
      </c>
      <c r="DJ77" s="842">
        <f>MIN(voodoo_magi_cap,Production!O77/voodoo_magi_bonus)</f>
        <v>0.83333333333333337</v>
      </c>
      <c r="DK77" s="842">
        <f>MIN(warlock_cap,Production!O77/warlock_bonus)</f>
        <v>1</v>
      </c>
      <c r="DL77" s="842">
        <f ca="1">MIN(nox_nightshade_cap,Construction!DF77/Construction!E77/nox_nightshade_swamp_bonus)</f>
        <v>1.4999999999999998</v>
      </c>
      <c r="DM77" s="481">
        <f t="shared" si="140"/>
        <v>0</v>
      </c>
      <c r="DN77" s="482">
        <f t="shared" ca="1" si="141"/>
        <v>1.4999999999999998</v>
      </c>
      <c r="DO77" s="482">
        <f t="shared" ca="1" si="142"/>
        <v>1.4999999999999998</v>
      </c>
      <c r="DP77" s="482">
        <f t="shared" si="143"/>
        <v>1</v>
      </c>
      <c r="DQ77" s="481">
        <f t="shared" si="144"/>
        <v>0</v>
      </c>
      <c r="DR77" s="482">
        <f t="shared" si="145"/>
        <v>0</v>
      </c>
      <c r="DS77" s="481">
        <f t="shared" si="146"/>
        <v>0</v>
      </c>
      <c r="DT77" s="482">
        <f t="shared" si="147"/>
        <v>0</v>
      </c>
      <c r="DU77"/>
      <c r="DV77"/>
      <c r="DX77" s="480">
        <f ca="1">MIN(6,CV77+Races!$F$19)*1.8 +  IF(CV77+Races!$F$19&gt;6,(CV77+Races!$F$19-6)*0.2,0) - Races!$N$19</f>
        <v>1.3500000000000005</v>
      </c>
      <c r="DY77" s="481">
        <f ca="1">1.8 * MIN(MAX(CW77+Races!$E$20,CX77+Races!$F$20),6)  +  0.45 * MIN(MIN(CW77+Races!$E$20,CX77+Races!$F$20),6)  +  0.2 * ( MAX(CW77+Races!$E$20-6,0) + MAX(CX77+Races!$F$20-6,0) )  -  Races!$N$20</f>
        <v>1.6874999999999991</v>
      </c>
      <c r="DZ77" s="166">
        <f t="shared" ca="1" si="148"/>
        <v>0</v>
      </c>
      <c r="EA77" s="662">
        <f ca="1">MIN(6,CY77+Races!$F$35)*1.8 +  IF(CY77+Races!$F$35&gt;6,(CY77+Races!$F$35-6)*0.2,0) - Races!$N$19</f>
        <v>-0.45000000000000018</v>
      </c>
      <c r="EB77" s="166">
        <f t="shared" ca="1" si="149"/>
        <v>0</v>
      </c>
      <c r="EC77" s="662">
        <f ca="1">1.8 * MIN(MAX(Races!$E$27,DB77+Races!$F$27),6)  +  0.45 * MIN(MIN(Races!$E$27,DB77+Races!$F$27),6)  +  0.2 * ( MAX(Races!$E$27-6,0) + MAX(DB77+Races!$F$27-6,0) )  -  Races!$N$20</f>
        <v>3.6000000000000005</v>
      </c>
      <c r="ED77" s="166">
        <f t="shared" ca="1" si="150"/>
        <v>0</v>
      </c>
      <c r="EE77" s="662">
        <f>1.8 * MIN(MAX(DC77+Races!$E$47,DD77+Races!$F$47),6)  +  0.45 * MIN(MIN(DC77+Races!$E$47,DD77+Races!$F$47),6)  +  0.2 * ( MAX(DC77+Races!$E$47-6,0) + MAX(DD77+Races!$F$47-6,0) )  -  Races!$N$47</f>
        <v>0</v>
      </c>
      <c r="EF77" s="166">
        <f t="shared" si="151"/>
        <v>0</v>
      </c>
      <c r="EG77" s="662">
        <f ca="1">1.8 * MIN(MAX(DG77+Races!$F$71,Races!$E$71),6)  +  0.45 * MIN(MIN(DG77+Races!$F$71,Races!$E$71),6)  +  0.2 * ( MAX(DG77+Races!$F$71-6,0) + MAX(Races!$E$71-6,0) )  -  Races!$N$71</f>
        <v>1.3499999999999996</v>
      </c>
      <c r="EH77" s="662">
        <f>1.8 * MIN(MAX(DH77+Races!$E$71,Races!$F$71),6)  +  0.45 * MIN(MIN(DH77+Races!$E$71,Races!$F$71),6)  +  0.2 * ( MAX(DH77+Races!$E$71-6,0) + MAX(Races!$F$71-6,0) )  -  Races!$N$71</f>
        <v>0</v>
      </c>
      <c r="EI77" s="166">
        <f t="shared" ca="1" si="152"/>
        <v>0</v>
      </c>
      <c r="EJ77" s="166"/>
      <c r="EK77" s="166"/>
      <c r="EL77" s="166"/>
      <c r="EM77" s="166">
        <f ca="1">Overview!$L$22*E77+Overview!$L$23*F77+Overview!$L$24*G77+Overview!$L$25*H77+Overview!$L$26*I77+Overview!$L$27*J77+Overview!$L$28*K77+Construction!E77*20+Construction!B77*5 + DZ77*$DV$4+EB77*$DV$5+ED77*$DV$6+EF77*$DV$7+EI77*$DV$9</f>
        <v>20900</v>
      </c>
      <c r="EO77" s="733">
        <f>(J77+2*K77)/Construction!E77</f>
        <v>0</v>
      </c>
      <c r="EP77" s="730">
        <f ca="1">EO77*(1+race_wizard_strength+tech_magical_weaponry_wiz*Techs!AV149)</f>
        <v>0</v>
      </c>
      <c r="EQ77" s="170">
        <f>(I77+halfer*H77/3)/Construction!E77</f>
        <v>0</v>
      </c>
    </row>
    <row r="78" spans="1:147" s="16" customFormat="1" x14ac:dyDescent="0.25">
      <c r="A78" s="627">
        <f>Rezone!J78</f>
        <v>76</v>
      </c>
      <c r="B78" s="152">
        <f ca="1">SUM(E78:K78)+SUM(AF70:AG78)+SUM(AH67:AL78)+Z78+Explore!AL78</f>
        <v>5295</v>
      </c>
      <c r="C78" s="97">
        <f ca="1">Population!G78</f>
        <v>0.74159663865546221</v>
      </c>
      <c r="E78" s="156">
        <f t="shared" si="105"/>
        <v>0</v>
      </c>
      <c r="F78" s="170">
        <f t="shared" si="106"/>
        <v>0</v>
      </c>
      <c r="G78" s="170">
        <f t="shared" si="107"/>
        <v>0</v>
      </c>
      <c r="H78" s="170">
        <f t="shared" si="108"/>
        <v>0</v>
      </c>
      <c r="I78" s="170">
        <f t="shared" si="109"/>
        <v>0</v>
      </c>
      <c r="J78" s="170">
        <f t="shared" si="110"/>
        <v>0</v>
      </c>
      <c r="K78" s="157">
        <f t="shared" si="111"/>
        <v>0</v>
      </c>
      <c r="M78" s="64">
        <f ca="1">Production!G78</f>
        <v>20900</v>
      </c>
      <c r="O78" s="234">
        <f t="shared" ca="1" si="112"/>
        <v>0</v>
      </c>
      <c r="P78" s="454">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53"/>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13"/>
        <v>5295</v>
      </c>
      <c r="T78" s="1047">
        <f ca="1">race_defense+Imps!AC78+ROUND(MIN(gt_bonus*Construction!BH78/Construction!$E78,gt_bonus_cap),4)+MAX(IF(Magic!AM78&gt;0,frenzy_bonus,IF(Magic!AQ78&gt;0,blizzard_bonus,IF(Magic!AP78&gt;0,howling_dp_bonus,IF(Magic!AI78&gt;0,ares_call_bonus)))),IF(Magic!AX78&gt;0,MIN(Construction!DF78/Construction!E78,0.2),0))</f>
        <v>0</v>
      </c>
      <c r="U78" s="1041">
        <f t="shared" ca="1" si="154"/>
        <v>0</v>
      </c>
      <c r="V78" s="308">
        <f t="shared" ca="1" si="155"/>
        <v>5295</v>
      </c>
      <c r="W78" s="310">
        <f>Construction!E78</f>
        <v>1000</v>
      </c>
      <c r="X78" s="367"/>
      <c r="Y78" s="146">
        <f t="shared" si="168"/>
        <v>0.4</v>
      </c>
      <c r="Z78" s="166">
        <f ca="1">Z77+Population!Z77 - IF(race="Lux",AF78,SUM(AF78:AK78)) - BE78 + SUM(BF78:BL78) - Explore!AI78</f>
        <v>5295</v>
      </c>
      <c r="AA78" s="164"/>
      <c r="AB78" s="91">
        <f>(Construction!$BA78+Construction!BY78)/(Construction!$E78-Explore!S78*20)</f>
        <v>0</v>
      </c>
      <c r="AC78" s="1515">
        <f ca="1">Imps!AE78</f>
        <v>0</v>
      </c>
      <c r="AD78" s="795">
        <f>Rezone!J78</f>
        <v>76</v>
      </c>
      <c r="AE78" s="587">
        <f>Explore!AA78</f>
        <v>43768.781249999818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14"/>
        <v>0</v>
      </c>
      <c r="AV78" s="164">
        <f t="shared" ca="1" si="115"/>
        <v>0</v>
      </c>
      <c r="AW78" s="164">
        <f t="shared" ca="1" si="156"/>
        <v>0</v>
      </c>
      <c r="AX78" s="164">
        <f t="shared" ca="1" si="157"/>
        <v>0</v>
      </c>
      <c r="AY78" s="164">
        <f t="shared" ca="1" si="158"/>
        <v>0</v>
      </c>
      <c r="AZ78" s="164">
        <f t="shared" ca="1" si="159"/>
        <v>0</v>
      </c>
      <c r="BA78" s="166">
        <f t="shared" ca="1" si="160"/>
        <v>0</v>
      </c>
      <c r="BB78" s="16">
        <v>63</v>
      </c>
      <c r="BC78" s="572">
        <f t="shared" si="161"/>
        <v>43768.781249999818</v>
      </c>
      <c r="BD78" s="148">
        <f t="shared" ca="1" si="162"/>
        <v>5295</v>
      </c>
      <c r="BE78" s="375"/>
      <c r="BF78" s="348"/>
      <c r="BG78" s="348"/>
      <c r="BH78" s="348"/>
      <c r="BI78" s="348"/>
      <c r="BJ78" s="348"/>
      <c r="BK78" s="348"/>
      <c r="BL78" s="357"/>
      <c r="BN78" s="501">
        <f>Construction!BM78/Construction!E78</f>
        <v>0</v>
      </c>
      <c r="BO78" s="171">
        <f>Construction!BD78/Construction!E78</f>
        <v>0</v>
      </c>
      <c r="BP78" s="152">
        <f ca="1">ROUNDUP((1-MIN(AB78*smithy_bonus,smithy_bonus_cap)-AC78)*(1+Techs!AO78*tech_master_of_frugality)*spec_op_plat,0)</f>
        <v>275</v>
      </c>
      <c r="BQ78" s="164">
        <f ca="1">ROUNDUP(IF(OR(race="Gnome",race="Imperial Gnome"),1-AC78,(1-MIN(AB78*smithy_bonus,smithy_bonus_cap)-AC78)*(1+Techs!AO78*tech_master_of_frugality))*spec_op_ore,0)</f>
        <v>25</v>
      </c>
      <c r="BR78" s="164">
        <f t="shared" si="116"/>
        <v>0</v>
      </c>
      <c r="BS78" s="164">
        <f t="shared" si="117"/>
        <v>0</v>
      </c>
      <c r="BT78" s="164">
        <f ca="1">ROUNDUP((1-MIN(AB78*smithy_bonus,smithy_bonus_cap)-AC78)*(1+Techs!AO78*tech_master_of_frugality)*spec_dp_plat,0)</f>
        <v>275</v>
      </c>
      <c r="BU78" s="164">
        <f ca="1">ROUNDUP(IF(OR(race="Gnome",race="Imperial Gnome"),1-AC78,(1-MIN(AB78*smithy_bonus,smithy_bonus_cap)-AC78)*(1+Techs!AO78*tech_master_of_frugality))*spec_dp_ore,0)</f>
        <v>10</v>
      </c>
      <c r="BV78" s="164">
        <f t="shared" ca="1" si="118"/>
        <v>0</v>
      </c>
      <c r="BW78" s="164">
        <f t="shared" ca="1" si="119"/>
        <v>0</v>
      </c>
      <c r="BX78" s="164">
        <f t="shared" ca="1" si="120"/>
        <v>0</v>
      </c>
      <c r="BY78" s="164">
        <f ca="1">ROUNDUP((1-MIN(AB78*smithy_bonus,smithy_bonus_cap)-AC78)*(1+Techs!AO78*tech_master_of_frugality)*elite1_plat,0)</f>
        <v>1000</v>
      </c>
      <c r="BZ78" s="164">
        <f ca="1">ROUNDUP(IF(OR(race="Gnome",race="Imperial Gnome"),1-AC78,(1-MIN(AB78*smithy_bonus,smithy_bonus_cap)-AC78)*(1+Techs!AO78*tech_master_of_frugality))*elite1_ore,0)</f>
        <v>75</v>
      </c>
      <c r="CA78" s="164">
        <f t="shared" ca="1" si="163"/>
        <v>0</v>
      </c>
      <c r="CB78" s="164">
        <f t="shared" ca="1" si="121"/>
        <v>0</v>
      </c>
      <c r="CC78" s="164">
        <f t="shared" ca="1" si="122"/>
        <v>0</v>
      </c>
      <c r="CD78" s="164">
        <f t="shared" ca="1" si="123"/>
        <v>0</v>
      </c>
      <c r="CE78" s="164">
        <f t="shared" ca="1" si="124"/>
        <v>0</v>
      </c>
      <c r="CF78" s="164">
        <f ca="1">ROUNDUP((1-MIN(AB78*smithy_bonus,smithy_bonus_cap)-AC78)*(1+Techs!AO78*tech_master_of_frugality)*elite2_plat,0)</f>
        <v>1250</v>
      </c>
      <c r="CG78" s="164">
        <f ca="1">ROUNDUP(IF(OR(race="Gnome",race="Imperial Gnome"),1-AC78,(1-MIN(AB78*smithy_bonus,smithy_bonus_cap)-AC78)*(1+Techs!AO78*tech_master_of_frugality))*elite2_ore,0)</f>
        <v>100</v>
      </c>
      <c r="CH78" s="164">
        <f t="shared" ca="1" si="164"/>
        <v>0</v>
      </c>
      <c r="CI78" s="164">
        <f t="shared" ca="1" si="125"/>
        <v>0</v>
      </c>
      <c r="CJ78" s="164">
        <f t="shared" ca="1" si="126"/>
        <v>0</v>
      </c>
      <c r="CK78" s="164">
        <f t="shared" ca="1" si="127"/>
        <v>0</v>
      </c>
      <c r="CL78" s="164">
        <f t="shared" ca="1" si="128"/>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4">
        <f ca="1">Construction!DF78/Construction!E78</f>
        <v>0.15</v>
      </c>
      <c r="CR78" s="465">
        <f t="shared" si="165"/>
        <v>0</v>
      </c>
      <c r="CS78" s="465">
        <f>Construction!BK78/Construction!E78</f>
        <v>0.05</v>
      </c>
      <c r="CT78" s="465">
        <f>Construction!BJ78/Construction!E78</f>
        <v>0</v>
      </c>
      <c r="CU78" s="465">
        <f>Construction!AY78/Construction!E78</f>
        <v>0</v>
      </c>
      <c r="CV78" s="480">
        <f t="shared" ca="1" si="129"/>
        <v>0.74999999999999989</v>
      </c>
      <c r="CW78" s="481">
        <f t="shared" ca="1" si="130"/>
        <v>0.74999999999999989</v>
      </c>
      <c r="CX78" s="481">
        <f t="shared" ca="1" si="131"/>
        <v>0.74999999999999989</v>
      </c>
      <c r="CY78" s="482">
        <f t="shared" ca="1" si="132"/>
        <v>0.74999999999999989</v>
      </c>
      <c r="CZ78" s="482">
        <f t="shared" si="133"/>
        <v>0</v>
      </c>
      <c r="DA78" s="482">
        <f t="shared" ca="1" si="134"/>
        <v>2.9999999999999996</v>
      </c>
      <c r="DB78" s="482">
        <f t="shared" ca="1" si="135"/>
        <v>0.74999999999999989</v>
      </c>
      <c r="DC78" s="481">
        <f t="shared" si="136"/>
        <v>0</v>
      </c>
      <c r="DD78" s="842">
        <f t="shared" si="137"/>
        <v>0</v>
      </c>
      <c r="DE78" s="439">
        <f t="shared" si="166"/>
        <v>0</v>
      </c>
      <c r="DF78" s="439">
        <f t="shared" si="167"/>
        <v>0</v>
      </c>
      <c r="DG78" s="480">
        <f t="shared" ca="1" si="138"/>
        <v>0.74999999999999989</v>
      </c>
      <c r="DH78" s="449">
        <f t="shared" si="139"/>
        <v>0</v>
      </c>
      <c r="DI78" s="449">
        <f>MIN(valkyrja_cap,Production!O78/valkyrja_bonus)</f>
        <v>1</v>
      </c>
      <c r="DJ78" s="842">
        <f>MIN(voodoo_magi_cap,Production!O78/voodoo_magi_bonus)</f>
        <v>0.83333333333333337</v>
      </c>
      <c r="DK78" s="842">
        <f>MIN(warlock_cap,Production!O78/warlock_bonus)</f>
        <v>1</v>
      </c>
      <c r="DL78" s="842">
        <f ca="1">MIN(nox_nightshade_cap,Construction!DF78/Construction!E78/nox_nightshade_swamp_bonus)</f>
        <v>1.4999999999999998</v>
      </c>
      <c r="DM78" s="481">
        <f t="shared" si="140"/>
        <v>0</v>
      </c>
      <c r="DN78" s="482">
        <f t="shared" ca="1" si="141"/>
        <v>1.4999999999999998</v>
      </c>
      <c r="DO78" s="482">
        <f t="shared" ca="1" si="142"/>
        <v>1.4999999999999998</v>
      </c>
      <c r="DP78" s="482">
        <f t="shared" si="143"/>
        <v>1</v>
      </c>
      <c r="DQ78" s="481">
        <f t="shared" si="144"/>
        <v>0</v>
      </c>
      <c r="DR78" s="482">
        <f t="shared" si="145"/>
        <v>0</v>
      </c>
      <c r="DS78" s="481">
        <f t="shared" si="146"/>
        <v>0</v>
      </c>
      <c r="DT78" s="482">
        <f t="shared" si="147"/>
        <v>0</v>
      </c>
      <c r="DU78"/>
      <c r="DV78"/>
      <c r="DX78" s="486">
        <f ca="1">MIN(6,CV78+Races!$F$19)*1.8 +  IF(CV78+Races!$F$19&gt;6,(CV78+Races!$F$19-6)*0.2,0) - Races!$N$19</f>
        <v>1.3500000000000005</v>
      </c>
      <c r="DY78" s="487">
        <f ca="1">1.8 * MIN(MAX(CW78+Races!$E$20,CX78+Races!$F$20),6)  +  0.45 * MIN(MIN(CW78+Races!$E$20,CX78+Races!$F$20),6)  +  0.2 * ( MAX(CW78+Races!$E$20-6,0) + MAX(CX78+Races!$F$20-6,0) )  -  Races!$N$20</f>
        <v>1.6874999999999991</v>
      </c>
      <c r="DZ78" s="57">
        <f t="shared" ca="1" si="148"/>
        <v>0</v>
      </c>
      <c r="EA78" s="663">
        <f ca="1">MIN(6,CY78+Races!$F$35)*1.8 +  IF(CY78+Races!$F$35&gt;6,(CY78+Races!$F$35-6)*0.2,0) - Races!$N$19</f>
        <v>-0.45000000000000018</v>
      </c>
      <c r="EB78" s="57">
        <f t="shared" ca="1" si="149"/>
        <v>0</v>
      </c>
      <c r="EC78" s="663">
        <f ca="1">1.8 * MIN(MAX(Races!$E$27,DB78+Races!$F$27),6)  +  0.45 * MIN(MIN(Races!$E$27,DB78+Races!$F$27),6)  +  0.2 * ( MAX(Races!$E$27-6,0) + MAX(DB78+Races!$F$27-6,0) )  -  Races!$N$20</f>
        <v>3.6000000000000005</v>
      </c>
      <c r="ED78" s="57">
        <f t="shared" ca="1" si="150"/>
        <v>0</v>
      </c>
      <c r="EE78" s="663">
        <f>1.8 * MIN(MAX(DC78+Races!$E$47,DD78+Races!$F$47),6)  +  0.45 * MIN(MIN(DC78+Races!$E$47,DD78+Races!$F$47),6)  +  0.2 * ( MAX(DC78+Races!$E$47-6,0) + MAX(DD78+Races!$F$47-6,0) )  -  Races!$N$47</f>
        <v>0</v>
      </c>
      <c r="EF78" s="57">
        <f t="shared" si="151"/>
        <v>0</v>
      </c>
      <c r="EG78" s="663">
        <f ca="1">1.8 * MIN(MAX(DG78+Races!$F$71,Races!$E$71),6)  +  0.45 * MIN(MIN(DG78+Races!$F$71,Races!$E$71),6)  +  0.2 * ( MAX(DG78+Races!$F$71-6,0) + MAX(Races!$E$71-6,0) )  -  Races!$N$71</f>
        <v>1.3499999999999996</v>
      </c>
      <c r="EH78" s="663">
        <f>1.8 * MIN(MAX(DH78+Races!$E$71,Races!$F$71),6)  +  0.45 * MIN(MIN(DH78+Races!$E$71,Races!$F$71),6)  +  0.2 * ( MAX(DH78+Races!$E$71-6,0) + MAX(Races!$F$71-6,0) )  -  Races!$N$71</f>
        <v>0</v>
      </c>
      <c r="EI78" s="57">
        <f t="shared" ca="1" si="152"/>
        <v>0</v>
      </c>
      <c r="EJ78" s="57"/>
      <c r="EK78" s="57"/>
      <c r="EL78" s="57"/>
      <c r="EM78" s="57">
        <f ca="1">Overview!$L$22*E78+Overview!$L$23*F78+Overview!$L$24*G78+Overview!$L$25*H78+Overview!$L$26*I78+Overview!$L$27*J78+Overview!$L$28*K78+Construction!E78*20+Construction!B78*5 + DZ78*$DV$4+EB78*$DV$5+ED78*$DV$6+EF78*$DV$7+EI78*$DV$9</f>
        <v>20900</v>
      </c>
      <c r="EO78" s="734">
        <f>(J78+2*K78)/Construction!E78</f>
        <v>0</v>
      </c>
      <c r="EP78" s="730">
        <f ca="1">EO78*(1+race_wizard_strength+tech_magical_weaponry_wiz*Techs!AV150)</f>
        <v>0</v>
      </c>
      <c r="EQ78" s="16">
        <f>(I78+halfer*H78/3)/Construction!E78</f>
        <v>0</v>
      </c>
    </row>
    <row r="79" spans="1:147" s="16" customFormat="1" x14ac:dyDescent="0.25">
      <c r="A79" s="627">
        <f>Rezone!J79</f>
        <v>77</v>
      </c>
      <c r="B79" s="152">
        <f ca="1">SUM(E79:K79)+SUM(AF71:AG79)+SUM(AH68:AL79)+Z79+Explore!AL79</f>
        <v>5295</v>
      </c>
      <c r="C79" s="97">
        <f ca="1">Population!G79</f>
        <v>0.74159663865546221</v>
      </c>
      <c r="E79" s="156">
        <f t="shared" ref="E79:E110" si="169">E78 - BF79 + AF70 - IF(race="Lux",AG79+AH79,0)</f>
        <v>0</v>
      </c>
      <c r="F79" s="170">
        <f t="shared" ref="F79:F110" si="170">F78 - BG79 + IF(race="Lux",AG67,AG70) - IF(race="Lux",AI79,0)</f>
        <v>0</v>
      </c>
      <c r="G79" s="170">
        <f t="shared" ref="G79:G110" si="171">G78 + AH67 - BH79 - IF(race="Lux",AI79,0)</f>
        <v>0</v>
      </c>
      <c r="H79" s="170">
        <f t="shared" ref="H79:H110" si="172">H78 + AI67 - BI79</f>
        <v>0</v>
      </c>
      <c r="I79" s="170">
        <f t="shared" ref="I79:I110" si="173">I78 + AJ67 - BJ79</f>
        <v>0</v>
      </c>
      <c r="J79" s="170">
        <f t="shared" ref="J79:J110" si="174">J78 + AK67 - AL79 - BK79</f>
        <v>0</v>
      </c>
      <c r="K79" s="157">
        <f t="shared" ref="K79:K110" si="175">K78 + AL67 - BL79</f>
        <v>0</v>
      </c>
      <c r="M79" s="64">
        <f ca="1">Production!G79</f>
        <v>20900</v>
      </c>
      <c r="O79" s="234">
        <f t="shared" ca="1" si="112"/>
        <v>0</v>
      </c>
      <c r="P79" s="454">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53"/>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13"/>
        <v>5295</v>
      </c>
      <c r="T79" s="1047">
        <f ca="1">race_defense+Imps!AC79+ROUND(MIN(gt_bonus*Construction!BH79/Construction!$E79,gt_bonus_cap),4)+MAX(IF(Magic!AM79&gt;0,frenzy_bonus,IF(Magic!AQ79&gt;0,blizzard_bonus,IF(Magic!AP79&gt;0,howling_dp_bonus,IF(Magic!AI79&gt;0,ares_call_bonus)))),IF(Magic!AX79&gt;0,MIN(Construction!DF79/Construction!E79,0.2),0))</f>
        <v>0</v>
      </c>
      <c r="U79" s="1041">
        <f t="shared" ca="1" si="154"/>
        <v>0</v>
      </c>
      <c r="V79" s="308">
        <f t="shared" ca="1" si="155"/>
        <v>5295</v>
      </c>
      <c r="W79" s="310">
        <f>Construction!E79</f>
        <v>1000</v>
      </c>
      <c r="X79" s="367"/>
      <c r="Y79" s="146">
        <f t="shared" si="168"/>
        <v>0.4</v>
      </c>
      <c r="Z79" s="166">
        <f ca="1">Z78+Population!Z78 - IF(race="Lux",AF79,SUM(AF79:AK79)) - BE79 + SUM(BF79:BL79) - Explore!AI79</f>
        <v>5295</v>
      </c>
      <c r="AA79" s="164"/>
      <c r="AB79" s="91">
        <f>(Construction!$BA79+Construction!BY79)/(Construction!$E79-Explore!S79*20)</f>
        <v>0</v>
      </c>
      <c r="AC79" s="1515">
        <f ca="1">Imps!AE79</f>
        <v>0</v>
      </c>
      <c r="AD79" s="795">
        <f>Rezone!J79</f>
        <v>77</v>
      </c>
      <c r="AE79" s="587">
        <f>Explore!AA79</f>
        <v>43768.791666666482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14"/>
        <v>0</v>
      </c>
      <c r="AV79" s="164">
        <f t="shared" ca="1" si="115"/>
        <v>0</v>
      </c>
      <c r="AW79" s="164">
        <f t="shared" ca="1" si="156"/>
        <v>0</v>
      </c>
      <c r="AX79" s="164">
        <f t="shared" ca="1" si="157"/>
        <v>0</v>
      </c>
      <c r="AY79" s="164">
        <f t="shared" ca="1" si="158"/>
        <v>0</v>
      </c>
      <c r="AZ79" s="164">
        <f t="shared" ca="1" si="159"/>
        <v>0</v>
      </c>
      <c r="BA79" s="166">
        <f t="shared" ca="1" si="160"/>
        <v>0</v>
      </c>
      <c r="BB79" s="16">
        <v>64</v>
      </c>
      <c r="BC79" s="572">
        <f t="shared" si="161"/>
        <v>43768.791666666482</v>
      </c>
      <c r="BD79" s="148">
        <f t="shared" ca="1" si="162"/>
        <v>5295</v>
      </c>
      <c r="BE79" s="375"/>
      <c r="BF79" s="348"/>
      <c r="BG79" s="348"/>
      <c r="BH79" s="348"/>
      <c r="BI79" s="348"/>
      <c r="BJ79" s="348"/>
      <c r="BK79" s="348"/>
      <c r="BL79" s="357"/>
      <c r="BN79" s="501">
        <f>Construction!BM79/Construction!E79</f>
        <v>0</v>
      </c>
      <c r="BO79" s="171">
        <f>Construction!BD79/Construction!E79</f>
        <v>0</v>
      </c>
      <c r="BP79" s="152">
        <f ca="1">ROUNDUP((1-MIN(AB79*smithy_bonus,smithy_bonus_cap)-AC79)*(1+Techs!AO79*tech_master_of_frugality)*spec_op_plat,0)</f>
        <v>275</v>
      </c>
      <c r="BQ79" s="164">
        <f ca="1">ROUNDUP(IF(OR(race="Gnome",race="Imperial Gnome"),1-AC79,(1-MIN(AB79*smithy_bonus,smithy_bonus_cap)-AC79)*(1+Techs!AO79*tech_master_of_frugality))*spec_op_ore,0)</f>
        <v>25</v>
      </c>
      <c r="BR79" s="164">
        <f t="shared" si="116"/>
        <v>0</v>
      </c>
      <c r="BS79" s="164">
        <f t="shared" si="117"/>
        <v>0</v>
      </c>
      <c r="BT79" s="164">
        <f ca="1">ROUNDUP((1-MIN(AB79*smithy_bonus,smithy_bonus_cap)-AC79)*(1+Techs!AO79*tech_master_of_frugality)*spec_dp_plat,0)</f>
        <v>275</v>
      </c>
      <c r="BU79" s="164">
        <f ca="1">ROUNDUP(IF(OR(race="Gnome",race="Imperial Gnome"),1-AC79,(1-MIN(AB79*smithy_bonus,smithy_bonus_cap)-AC79)*(1+Techs!AO79*tech_master_of_frugality))*spec_dp_ore,0)</f>
        <v>10</v>
      </c>
      <c r="BV79" s="164">
        <f t="shared" ca="1" si="118"/>
        <v>0</v>
      </c>
      <c r="BW79" s="164">
        <f t="shared" ca="1" si="119"/>
        <v>0</v>
      </c>
      <c r="BX79" s="164">
        <f t="shared" ca="1" si="120"/>
        <v>0</v>
      </c>
      <c r="BY79" s="164">
        <f ca="1">ROUNDUP((1-MIN(AB79*smithy_bonus,smithy_bonus_cap)-AC79)*(1+Techs!AO79*tech_master_of_frugality)*elite1_plat,0)</f>
        <v>1000</v>
      </c>
      <c r="BZ79" s="164">
        <f ca="1">ROUNDUP(IF(OR(race="Gnome",race="Imperial Gnome"),1-AC79,(1-MIN(AB79*smithy_bonus,smithy_bonus_cap)-AC79)*(1+Techs!AO79*tech_master_of_frugality))*elite1_ore,0)</f>
        <v>75</v>
      </c>
      <c r="CA79" s="164">
        <f t="shared" ca="1" si="163"/>
        <v>0</v>
      </c>
      <c r="CB79" s="164">
        <f t="shared" ca="1" si="121"/>
        <v>0</v>
      </c>
      <c r="CC79" s="164">
        <f t="shared" ca="1" si="122"/>
        <v>0</v>
      </c>
      <c r="CD79" s="164">
        <f t="shared" ca="1" si="123"/>
        <v>0</v>
      </c>
      <c r="CE79" s="164">
        <f t="shared" ca="1" si="124"/>
        <v>0</v>
      </c>
      <c r="CF79" s="164">
        <f ca="1">ROUNDUP((1-MIN(AB79*smithy_bonus,smithy_bonus_cap)-AC79)*(1+Techs!AO79*tech_master_of_frugality)*elite2_plat,0)</f>
        <v>1250</v>
      </c>
      <c r="CG79" s="164">
        <f ca="1">ROUNDUP(IF(OR(race="Gnome",race="Imperial Gnome"),1-AC79,(1-MIN(AB79*smithy_bonus,smithy_bonus_cap)-AC79)*(1+Techs!AO79*tech_master_of_frugality))*elite2_ore,0)</f>
        <v>100</v>
      </c>
      <c r="CH79" s="164">
        <f t="shared" ca="1" si="164"/>
        <v>0</v>
      </c>
      <c r="CI79" s="164">
        <f t="shared" ca="1" si="125"/>
        <v>0</v>
      </c>
      <c r="CJ79" s="164">
        <f t="shared" ca="1" si="126"/>
        <v>0</v>
      </c>
      <c r="CK79" s="164">
        <f t="shared" ca="1" si="127"/>
        <v>0</v>
      </c>
      <c r="CL79" s="164">
        <f t="shared" ca="1" si="128"/>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4">
        <f ca="1">Construction!DF79/Construction!E79</f>
        <v>0.15</v>
      </c>
      <c r="CR79" s="465">
        <f t="shared" si="165"/>
        <v>0</v>
      </c>
      <c r="CS79" s="465">
        <f>Construction!BK79/Construction!E79</f>
        <v>0.05</v>
      </c>
      <c r="CT79" s="465">
        <f>Construction!BJ79/Construction!E79</f>
        <v>0</v>
      </c>
      <c r="CU79" s="465">
        <f>Construction!AY79/Construction!E79</f>
        <v>0</v>
      </c>
      <c r="CV79" s="480">
        <f t="shared" ca="1" si="129"/>
        <v>0.74999999999999989</v>
      </c>
      <c r="CW79" s="481">
        <f t="shared" ca="1" si="130"/>
        <v>0.74999999999999989</v>
      </c>
      <c r="CX79" s="481">
        <f t="shared" ca="1" si="131"/>
        <v>0.74999999999999989</v>
      </c>
      <c r="CY79" s="482">
        <f t="shared" ca="1" si="132"/>
        <v>0.74999999999999989</v>
      </c>
      <c r="CZ79" s="482">
        <f t="shared" si="133"/>
        <v>0</v>
      </c>
      <c r="DA79" s="482">
        <f t="shared" ca="1" si="134"/>
        <v>2.9999999999999996</v>
      </c>
      <c r="DB79" s="482">
        <f t="shared" ca="1" si="135"/>
        <v>0.74999999999999989</v>
      </c>
      <c r="DC79" s="481">
        <f t="shared" si="136"/>
        <v>0</v>
      </c>
      <c r="DD79" s="842">
        <f t="shared" si="137"/>
        <v>0</v>
      </c>
      <c r="DE79" s="439">
        <f t="shared" si="166"/>
        <v>0</v>
      </c>
      <c r="DF79" s="439">
        <f t="shared" si="167"/>
        <v>0</v>
      </c>
      <c r="DG79" s="480">
        <f t="shared" ca="1" si="138"/>
        <v>0.74999999999999989</v>
      </c>
      <c r="DH79" s="449">
        <f t="shared" si="139"/>
        <v>0</v>
      </c>
      <c r="DI79" s="449">
        <f>MIN(valkyrja_cap,Production!O79/valkyrja_bonus)</f>
        <v>1</v>
      </c>
      <c r="DJ79" s="842">
        <f>MIN(voodoo_magi_cap,Production!O79/voodoo_magi_bonus)</f>
        <v>0.83333333333333337</v>
      </c>
      <c r="DK79" s="842">
        <f>MIN(warlock_cap,Production!O79/warlock_bonus)</f>
        <v>1</v>
      </c>
      <c r="DL79" s="842">
        <f ca="1">MIN(nox_nightshade_cap,Construction!DF79/Construction!E79/nox_nightshade_swamp_bonus)</f>
        <v>1.4999999999999998</v>
      </c>
      <c r="DM79" s="481">
        <f t="shared" si="140"/>
        <v>0</v>
      </c>
      <c r="DN79" s="482">
        <f t="shared" ca="1" si="141"/>
        <v>1.4999999999999998</v>
      </c>
      <c r="DO79" s="482">
        <f t="shared" ca="1" si="142"/>
        <v>1.4999999999999998</v>
      </c>
      <c r="DP79" s="482">
        <f t="shared" si="143"/>
        <v>1</v>
      </c>
      <c r="DQ79" s="481">
        <f t="shared" si="144"/>
        <v>0</v>
      </c>
      <c r="DR79" s="482">
        <f t="shared" si="145"/>
        <v>0</v>
      </c>
      <c r="DS79" s="481">
        <f t="shared" si="146"/>
        <v>0</v>
      </c>
      <c r="DT79" s="482">
        <f t="shared" si="147"/>
        <v>0</v>
      </c>
      <c r="DU79"/>
      <c r="DV79"/>
      <c r="DX79" s="486">
        <f ca="1">MIN(6,CV79+Races!$F$19)*1.8 +  IF(CV79+Races!$F$19&gt;6,(CV79+Races!$F$19-6)*0.2,0) - Races!$N$19</f>
        <v>1.3500000000000005</v>
      </c>
      <c r="DY79" s="487">
        <f ca="1">1.8 * MIN(MAX(CW79+Races!$E$20,CX79+Races!$F$20),6)  +  0.45 * MIN(MIN(CW79+Races!$E$20,CX79+Races!$F$20),6)  +  0.2 * ( MAX(CW79+Races!$E$20-6,0) + MAX(CX79+Races!$F$20-6,0) )  -  Races!$N$20</f>
        <v>1.6874999999999991</v>
      </c>
      <c r="DZ79" s="57">
        <f t="shared" ca="1" si="148"/>
        <v>0</v>
      </c>
      <c r="EA79" s="663">
        <f ca="1">MIN(6,CY79+Races!$F$35)*1.8 +  IF(CY79+Races!$F$35&gt;6,(CY79+Races!$F$35-6)*0.2,0) - Races!$N$19</f>
        <v>-0.45000000000000018</v>
      </c>
      <c r="EB79" s="57">
        <f t="shared" ca="1" si="149"/>
        <v>0</v>
      </c>
      <c r="EC79" s="663">
        <f ca="1">1.8 * MIN(MAX(Races!$E$27,DB79+Races!$F$27),6)  +  0.45 * MIN(MIN(Races!$E$27,DB79+Races!$F$27),6)  +  0.2 * ( MAX(Races!$E$27-6,0) + MAX(DB79+Races!$F$27-6,0) )  -  Races!$N$20</f>
        <v>3.6000000000000005</v>
      </c>
      <c r="ED79" s="57">
        <f t="shared" ca="1" si="150"/>
        <v>0</v>
      </c>
      <c r="EE79" s="663">
        <f>1.8 * MIN(MAX(DC79+Races!$E$47,DD79+Races!$F$47),6)  +  0.45 * MIN(MIN(DC79+Races!$E$47,DD79+Races!$F$47),6)  +  0.2 * ( MAX(DC79+Races!$E$47-6,0) + MAX(DD79+Races!$F$47-6,0) )  -  Races!$N$47</f>
        <v>0</v>
      </c>
      <c r="EF79" s="57">
        <f t="shared" si="151"/>
        <v>0</v>
      </c>
      <c r="EG79" s="663">
        <f ca="1">1.8 * MIN(MAX(DG79+Races!$F$71,Races!$E$71),6)  +  0.45 * MIN(MIN(DG79+Races!$F$71,Races!$E$71),6)  +  0.2 * ( MAX(DG79+Races!$F$71-6,0) + MAX(Races!$E$71-6,0) )  -  Races!$N$71</f>
        <v>1.3499999999999996</v>
      </c>
      <c r="EH79" s="663">
        <f>1.8 * MIN(MAX(DH79+Races!$E$71,Races!$F$71),6)  +  0.45 * MIN(MIN(DH79+Races!$E$71,Races!$F$71),6)  +  0.2 * ( MAX(DH79+Races!$E$71-6,0) + MAX(Races!$F$71-6,0) )  -  Races!$N$71</f>
        <v>0</v>
      </c>
      <c r="EI79" s="57">
        <f t="shared" ca="1" si="152"/>
        <v>0</v>
      </c>
      <c r="EJ79" s="57"/>
      <c r="EK79" s="57"/>
      <c r="EL79" s="57"/>
      <c r="EM79" s="57">
        <f ca="1">Overview!$L$22*E79+Overview!$L$23*F79+Overview!$L$24*G79+Overview!$L$25*H79+Overview!$L$26*I79+Overview!$L$27*J79+Overview!$L$28*K79+Construction!E79*20+Construction!B79*5 + DZ79*$DV$4+EB79*$DV$5+ED79*$DV$6+EF79*$DV$7+EI79*$DV$9</f>
        <v>20900</v>
      </c>
      <c r="EO79" s="734">
        <f>(J79+2*K79)/Construction!E79</f>
        <v>0</v>
      </c>
      <c r="EP79" s="730">
        <f ca="1">EO79*(1+race_wizard_strength+tech_magical_weaponry_wiz*Techs!AV151)</f>
        <v>0</v>
      </c>
      <c r="EQ79" s="16">
        <f>(I79+halfer*H79/3)/Construction!E79</f>
        <v>0</v>
      </c>
    </row>
    <row r="80" spans="1:147" s="16" customFormat="1" x14ac:dyDescent="0.25">
      <c r="A80" s="627">
        <f>Rezone!J80</f>
        <v>78</v>
      </c>
      <c r="B80" s="152">
        <f ca="1">SUM(E80:K80)+SUM(AF72:AG80)+SUM(AH69:AL80)+Z80+Explore!AL80</f>
        <v>5295</v>
      </c>
      <c r="C80" s="97">
        <f ca="1">Population!G80</f>
        <v>0.74159663865546221</v>
      </c>
      <c r="E80" s="156">
        <f t="shared" si="169"/>
        <v>0</v>
      </c>
      <c r="F80" s="170">
        <f t="shared" si="170"/>
        <v>0</v>
      </c>
      <c r="G80" s="170">
        <f t="shared" si="171"/>
        <v>0</v>
      </c>
      <c r="H80" s="170">
        <f t="shared" si="172"/>
        <v>0</v>
      </c>
      <c r="I80" s="170">
        <f t="shared" si="173"/>
        <v>0</v>
      </c>
      <c r="J80" s="170">
        <f t="shared" si="174"/>
        <v>0</v>
      </c>
      <c r="K80" s="157">
        <f t="shared" si="175"/>
        <v>0</v>
      </c>
      <c r="M80" s="64">
        <f ca="1">Production!G80</f>
        <v>20900</v>
      </c>
      <c r="O80" s="234">
        <f t="shared" ca="1" si="112"/>
        <v>0</v>
      </c>
      <c r="P80" s="454">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53"/>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13"/>
        <v>5295</v>
      </c>
      <c r="T80" s="1047">
        <f ca="1">race_defense+Imps!AC80+ROUND(MIN(gt_bonus*Construction!BH80/Construction!$E80,gt_bonus_cap),4)+MAX(IF(Magic!AM80&gt;0,frenzy_bonus,IF(Magic!AQ80&gt;0,blizzard_bonus,IF(Magic!AP80&gt;0,howling_dp_bonus,IF(Magic!AI80&gt;0,ares_call_bonus)))),IF(Magic!AX80&gt;0,MIN(Construction!DF80/Construction!E80,0.2),0))</f>
        <v>0</v>
      </c>
      <c r="U80" s="1041">
        <f t="shared" ca="1" si="154"/>
        <v>0</v>
      </c>
      <c r="V80" s="308">
        <f t="shared" ca="1" si="155"/>
        <v>5295</v>
      </c>
      <c r="W80" s="310">
        <f>Construction!E80</f>
        <v>1000</v>
      </c>
      <c r="X80" s="367"/>
      <c r="Y80" s="146">
        <f t="shared" si="168"/>
        <v>0.4</v>
      </c>
      <c r="Z80" s="166">
        <f ca="1">Z79+Population!Z79 - IF(race="Lux",AF80,SUM(AF80:AK80)) - BE80 + SUM(BF80:BL80) - Explore!AI80</f>
        <v>5295</v>
      </c>
      <c r="AA80" s="164"/>
      <c r="AB80" s="91">
        <f>(Construction!$BA80+Construction!BY80)/(Construction!$E80-Explore!S80*20)</f>
        <v>0</v>
      </c>
      <c r="AC80" s="1515">
        <f ca="1">Imps!AE80</f>
        <v>0</v>
      </c>
      <c r="AD80" s="795">
        <f>Rezone!J80</f>
        <v>78</v>
      </c>
      <c r="AE80" s="587">
        <f>Explore!AA80</f>
        <v>43768.802083333147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14"/>
        <v>0</v>
      </c>
      <c r="AV80" s="164">
        <f t="shared" ca="1" si="115"/>
        <v>0</v>
      </c>
      <c r="AW80" s="164">
        <f t="shared" ca="1" si="156"/>
        <v>0</v>
      </c>
      <c r="AX80" s="164">
        <f t="shared" ca="1" si="157"/>
        <v>0</v>
      </c>
      <c r="AY80" s="164">
        <f t="shared" ca="1" si="158"/>
        <v>0</v>
      </c>
      <c r="AZ80" s="164">
        <f t="shared" ca="1" si="159"/>
        <v>0</v>
      </c>
      <c r="BA80" s="166">
        <f t="shared" ca="1" si="160"/>
        <v>0</v>
      </c>
      <c r="BB80" s="16">
        <v>65</v>
      </c>
      <c r="BC80" s="572">
        <f t="shared" si="161"/>
        <v>43768.802083333147</v>
      </c>
      <c r="BD80" s="148">
        <f t="shared" ca="1" si="162"/>
        <v>5295</v>
      </c>
      <c r="BE80" s="375"/>
      <c r="BF80" s="348"/>
      <c r="BG80" s="348"/>
      <c r="BH80" s="348"/>
      <c r="BI80" s="348"/>
      <c r="BJ80" s="348"/>
      <c r="BK80" s="348"/>
      <c r="BL80" s="357"/>
      <c r="BN80" s="501">
        <f>Construction!BM80/Construction!E80</f>
        <v>0</v>
      </c>
      <c r="BO80" s="171">
        <f>Construction!BD80/Construction!E80</f>
        <v>0</v>
      </c>
      <c r="BP80" s="152">
        <f ca="1">ROUNDUP((1-MIN(AB80*smithy_bonus,smithy_bonus_cap)-AC80)*(1+Techs!AO80*tech_master_of_frugality)*spec_op_plat,0)</f>
        <v>275</v>
      </c>
      <c r="BQ80" s="164">
        <f ca="1">ROUNDUP(IF(OR(race="Gnome",race="Imperial Gnome"),1-AC80,(1-MIN(AB80*smithy_bonus,smithy_bonus_cap)-AC80)*(1+Techs!AO80*tech_master_of_frugality))*spec_op_ore,0)</f>
        <v>25</v>
      </c>
      <c r="BR80" s="164">
        <f t="shared" si="116"/>
        <v>0</v>
      </c>
      <c r="BS80" s="164">
        <f t="shared" si="117"/>
        <v>0</v>
      </c>
      <c r="BT80" s="164">
        <f ca="1">ROUNDUP((1-MIN(AB80*smithy_bonus,smithy_bonus_cap)-AC80)*(1+Techs!AO80*tech_master_of_frugality)*spec_dp_plat,0)</f>
        <v>275</v>
      </c>
      <c r="BU80" s="164">
        <f ca="1">ROUNDUP(IF(OR(race="Gnome",race="Imperial Gnome"),1-AC80,(1-MIN(AB80*smithy_bonus,smithy_bonus_cap)-AC80)*(1+Techs!AO80*tech_master_of_frugality))*spec_dp_ore,0)</f>
        <v>10</v>
      </c>
      <c r="BV80" s="164">
        <f t="shared" ca="1" si="118"/>
        <v>0</v>
      </c>
      <c r="BW80" s="164">
        <f t="shared" ca="1" si="119"/>
        <v>0</v>
      </c>
      <c r="BX80" s="164">
        <f t="shared" ca="1" si="120"/>
        <v>0</v>
      </c>
      <c r="BY80" s="164">
        <f ca="1">ROUNDUP((1-MIN(AB80*smithy_bonus,smithy_bonus_cap)-AC80)*(1+Techs!AO80*tech_master_of_frugality)*elite1_plat,0)</f>
        <v>1000</v>
      </c>
      <c r="BZ80" s="164">
        <f ca="1">ROUNDUP(IF(OR(race="Gnome",race="Imperial Gnome"),1-AC80,(1-MIN(AB80*smithy_bonus,smithy_bonus_cap)-AC80)*(1+Techs!AO80*tech_master_of_frugality))*elite1_ore,0)</f>
        <v>75</v>
      </c>
      <c r="CA80" s="164">
        <f t="shared" ca="1" si="163"/>
        <v>0</v>
      </c>
      <c r="CB80" s="164">
        <f t="shared" ca="1" si="121"/>
        <v>0</v>
      </c>
      <c r="CC80" s="164">
        <f t="shared" ca="1" si="122"/>
        <v>0</v>
      </c>
      <c r="CD80" s="164">
        <f t="shared" ca="1" si="123"/>
        <v>0</v>
      </c>
      <c r="CE80" s="164">
        <f t="shared" ca="1" si="124"/>
        <v>0</v>
      </c>
      <c r="CF80" s="164">
        <f ca="1">ROUNDUP((1-MIN(AB80*smithy_bonus,smithy_bonus_cap)-AC80)*(1+Techs!AO80*tech_master_of_frugality)*elite2_plat,0)</f>
        <v>1250</v>
      </c>
      <c r="CG80" s="164">
        <f ca="1">ROUNDUP(IF(OR(race="Gnome",race="Imperial Gnome"),1-AC80,(1-MIN(AB80*smithy_bonus,smithy_bonus_cap)-AC80)*(1+Techs!AO80*tech_master_of_frugality))*elite2_ore,0)</f>
        <v>100</v>
      </c>
      <c r="CH80" s="164">
        <f t="shared" ca="1" si="164"/>
        <v>0</v>
      </c>
      <c r="CI80" s="164">
        <f t="shared" ca="1" si="125"/>
        <v>0</v>
      </c>
      <c r="CJ80" s="164">
        <f t="shared" ca="1" si="126"/>
        <v>0</v>
      </c>
      <c r="CK80" s="164">
        <f t="shared" ca="1" si="127"/>
        <v>0</v>
      </c>
      <c r="CL80" s="164">
        <f t="shared" ca="1" si="128"/>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4">
        <f ca="1">Construction!DF80/Construction!E80</f>
        <v>0.15</v>
      </c>
      <c r="CR80" s="465">
        <f t="shared" si="165"/>
        <v>0</v>
      </c>
      <c r="CS80" s="465">
        <f>Construction!BK80/Construction!E80</f>
        <v>0.05</v>
      </c>
      <c r="CT80" s="465">
        <f>Construction!BJ80/Construction!E80</f>
        <v>0</v>
      </c>
      <c r="CU80" s="465">
        <f>Construction!AY80/Construction!E80</f>
        <v>0</v>
      </c>
      <c r="CV80" s="480">
        <f t="shared" ca="1" si="129"/>
        <v>0.74999999999999989</v>
      </c>
      <c r="CW80" s="481">
        <f t="shared" ca="1" si="130"/>
        <v>0.74999999999999989</v>
      </c>
      <c r="CX80" s="481">
        <f t="shared" ca="1" si="131"/>
        <v>0.74999999999999989</v>
      </c>
      <c r="CY80" s="482">
        <f t="shared" ca="1" si="132"/>
        <v>0.74999999999999989</v>
      </c>
      <c r="CZ80" s="482">
        <f t="shared" si="133"/>
        <v>0</v>
      </c>
      <c r="DA80" s="482">
        <f t="shared" ca="1" si="134"/>
        <v>2.9999999999999996</v>
      </c>
      <c r="DB80" s="482">
        <f t="shared" ca="1" si="135"/>
        <v>0.74999999999999989</v>
      </c>
      <c r="DC80" s="481">
        <f t="shared" si="136"/>
        <v>0</v>
      </c>
      <c r="DD80" s="842">
        <f t="shared" si="137"/>
        <v>0</v>
      </c>
      <c r="DE80" s="439">
        <f t="shared" si="166"/>
        <v>0</v>
      </c>
      <c r="DF80" s="439">
        <f t="shared" si="167"/>
        <v>0</v>
      </c>
      <c r="DG80" s="480">
        <f t="shared" ca="1" si="138"/>
        <v>0.74999999999999989</v>
      </c>
      <c r="DH80" s="449">
        <f t="shared" si="139"/>
        <v>0</v>
      </c>
      <c r="DI80" s="449">
        <f>MIN(valkyrja_cap,Production!O80/valkyrja_bonus)</f>
        <v>1</v>
      </c>
      <c r="DJ80" s="842">
        <f>MIN(voodoo_magi_cap,Production!O80/voodoo_magi_bonus)</f>
        <v>0.83333333333333337</v>
      </c>
      <c r="DK80" s="842">
        <f>MIN(warlock_cap,Production!O80/warlock_bonus)</f>
        <v>1</v>
      </c>
      <c r="DL80" s="842">
        <f ca="1">MIN(nox_nightshade_cap,Construction!DF80/Construction!E80/nox_nightshade_swamp_bonus)</f>
        <v>1.4999999999999998</v>
      </c>
      <c r="DM80" s="481">
        <f t="shared" si="140"/>
        <v>0</v>
      </c>
      <c r="DN80" s="482">
        <f t="shared" ca="1" si="141"/>
        <v>1.4999999999999998</v>
      </c>
      <c r="DO80" s="482">
        <f t="shared" ca="1" si="142"/>
        <v>1.4999999999999998</v>
      </c>
      <c r="DP80" s="482">
        <f t="shared" si="143"/>
        <v>1</v>
      </c>
      <c r="DQ80" s="481">
        <f t="shared" si="144"/>
        <v>0</v>
      </c>
      <c r="DR80" s="482">
        <f t="shared" si="145"/>
        <v>0</v>
      </c>
      <c r="DS80" s="481">
        <f t="shared" si="146"/>
        <v>0</v>
      </c>
      <c r="DT80" s="482">
        <f t="shared" si="147"/>
        <v>0</v>
      </c>
      <c r="DV80"/>
      <c r="DX80" s="486">
        <f ca="1">MIN(6,CV80+Races!$F$19)*1.8 +  IF(CV80+Races!$F$19&gt;6,(CV80+Races!$F$19-6)*0.2,0) - Races!$N$19</f>
        <v>1.3500000000000005</v>
      </c>
      <c r="DY80" s="487">
        <f ca="1">1.8 * MIN(MAX(CW80+Races!$E$20,CX80+Races!$F$20),6)  +  0.45 * MIN(MIN(CW80+Races!$E$20,CX80+Races!$F$20),6)  +  0.2 * ( MAX(CW80+Races!$E$20-6,0) + MAX(CX80+Races!$F$20-6,0) )  -  Races!$N$20</f>
        <v>1.6874999999999991</v>
      </c>
      <c r="DZ80" s="57">
        <f t="shared" ca="1" si="148"/>
        <v>0</v>
      </c>
      <c r="EA80" s="663">
        <f ca="1">MIN(6,CY80+Races!$F$35)*1.8 +  IF(CY80+Races!$F$35&gt;6,(CY80+Races!$F$35-6)*0.2,0) - Races!$N$19</f>
        <v>-0.45000000000000018</v>
      </c>
      <c r="EB80" s="57">
        <f t="shared" ca="1" si="149"/>
        <v>0</v>
      </c>
      <c r="EC80" s="663">
        <f ca="1">1.8 * MIN(MAX(Races!$E$27,DB80+Races!$F$27),6)  +  0.45 * MIN(MIN(Races!$E$27,DB80+Races!$F$27),6)  +  0.2 * ( MAX(Races!$E$27-6,0) + MAX(DB80+Races!$F$27-6,0) )  -  Races!$N$20</f>
        <v>3.6000000000000005</v>
      </c>
      <c r="ED80" s="57">
        <f t="shared" ca="1" si="150"/>
        <v>0</v>
      </c>
      <c r="EE80" s="663">
        <f>1.8 * MIN(MAX(DC80+Races!$E$47,DD80+Races!$F$47),6)  +  0.45 * MIN(MIN(DC80+Races!$E$47,DD80+Races!$F$47),6)  +  0.2 * ( MAX(DC80+Races!$E$47-6,0) + MAX(DD80+Races!$F$47-6,0) )  -  Races!$N$47</f>
        <v>0</v>
      </c>
      <c r="EF80" s="57">
        <f t="shared" si="151"/>
        <v>0</v>
      </c>
      <c r="EG80" s="663">
        <f ca="1">1.8 * MIN(MAX(DG80+Races!$F$71,Races!$E$71),6)  +  0.45 * MIN(MIN(DG80+Races!$F$71,Races!$E$71),6)  +  0.2 * ( MAX(DG80+Races!$F$71-6,0) + MAX(Races!$E$71-6,0) )  -  Races!$N$71</f>
        <v>1.3499999999999996</v>
      </c>
      <c r="EH80" s="663">
        <f>1.8 * MIN(MAX(DH80+Races!$E$71,Races!$F$71),6)  +  0.45 * MIN(MIN(DH80+Races!$E$71,Races!$F$71),6)  +  0.2 * ( MAX(DH80+Races!$E$71-6,0) + MAX(Races!$F$71-6,0) )  -  Races!$N$71</f>
        <v>0</v>
      </c>
      <c r="EI80" s="57">
        <f t="shared" ca="1" si="152"/>
        <v>0</v>
      </c>
      <c r="EJ80" s="57"/>
      <c r="EK80" s="57"/>
      <c r="EL80" s="57"/>
      <c r="EM80" s="57">
        <f ca="1">Overview!$L$22*E80+Overview!$L$23*F80+Overview!$L$24*G80+Overview!$L$25*H80+Overview!$L$26*I80+Overview!$L$27*J80+Overview!$L$28*K80+Construction!E80*20+Construction!B80*5 + DZ80*$DV$4+EB80*$DV$5+ED80*$DV$6+EF80*$DV$7+EI80*$DV$9</f>
        <v>20900</v>
      </c>
      <c r="EO80" s="734">
        <f>(J80+2*K80)/Construction!E80</f>
        <v>0</v>
      </c>
      <c r="EP80" s="730">
        <f ca="1">EO80*(1+race_wizard_strength+tech_magical_weaponry_wiz*Techs!AV152)</f>
        <v>0</v>
      </c>
      <c r="EQ80" s="16">
        <f>(I80+halfer*H80/3)/Construction!E80</f>
        <v>0</v>
      </c>
    </row>
    <row r="81" spans="1:147" s="16" customFormat="1" x14ac:dyDescent="0.25">
      <c r="A81" s="627">
        <f>Rezone!J81</f>
        <v>79</v>
      </c>
      <c r="B81" s="152">
        <f ca="1">SUM(E81:K81)+SUM(AF73:AG81)+SUM(AH70:AL81)+Z81+Explore!AL81</f>
        <v>5295</v>
      </c>
      <c r="C81" s="97">
        <f ca="1">Population!G81</f>
        <v>0.74159663865546221</v>
      </c>
      <c r="E81" s="156">
        <f t="shared" si="169"/>
        <v>0</v>
      </c>
      <c r="F81" s="170">
        <f t="shared" si="170"/>
        <v>0</v>
      </c>
      <c r="G81" s="170">
        <f t="shared" si="171"/>
        <v>0</v>
      </c>
      <c r="H81" s="170">
        <f t="shared" si="172"/>
        <v>0</v>
      </c>
      <c r="I81" s="170">
        <f t="shared" si="173"/>
        <v>0</v>
      </c>
      <c r="J81" s="170">
        <f t="shared" si="174"/>
        <v>0</v>
      </c>
      <c r="K81" s="157">
        <f t="shared" si="175"/>
        <v>0</v>
      </c>
      <c r="M81" s="64">
        <f ca="1">Production!G81</f>
        <v>20900</v>
      </c>
      <c r="O81" s="234">
        <f t="shared" ca="1" si="112"/>
        <v>0</v>
      </c>
      <c r="P81" s="454">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53"/>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13"/>
        <v>5295</v>
      </c>
      <c r="T81" s="1047">
        <f ca="1">race_defense+Imps!AC81+ROUND(MIN(gt_bonus*Construction!BH81/Construction!$E81,gt_bonus_cap),4)+MAX(IF(Magic!AM81&gt;0,frenzy_bonus,IF(Magic!AQ81&gt;0,blizzard_bonus,IF(Magic!AP81&gt;0,howling_dp_bonus,IF(Magic!AI81&gt;0,ares_call_bonus)))),IF(Magic!AX81&gt;0,MIN(Construction!DF81/Construction!E81,0.2),0))</f>
        <v>0</v>
      </c>
      <c r="U81" s="1041">
        <f t="shared" ca="1" si="154"/>
        <v>0</v>
      </c>
      <c r="V81" s="308">
        <f t="shared" ca="1" si="155"/>
        <v>5295</v>
      </c>
      <c r="W81" s="310">
        <f>Construction!E81</f>
        <v>1000</v>
      </c>
      <c r="X81" s="367"/>
      <c r="Y81" s="146">
        <f t="shared" si="168"/>
        <v>0.4</v>
      </c>
      <c r="Z81" s="166">
        <f ca="1">Z80+Population!Z80 - IF(race="Lux",AF81,SUM(AF81:AK81)) - BE81 + SUM(BF81:BL81) - Explore!AI81</f>
        <v>5295</v>
      </c>
      <c r="AA81" s="164"/>
      <c r="AB81" s="91">
        <f>(Construction!$BA81+Construction!BY81)/(Construction!$E81-Explore!S81*20)</f>
        <v>0</v>
      </c>
      <c r="AC81" s="1515">
        <f ca="1">Imps!AE81</f>
        <v>0</v>
      </c>
      <c r="AD81" s="795">
        <f>Rezone!J81</f>
        <v>79</v>
      </c>
      <c r="AE81" s="587">
        <f>Explore!AA81</f>
        <v>43768.812499999811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14"/>
        <v>0</v>
      </c>
      <c r="AV81" s="164">
        <f t="shared" ca="1" si="115"/>
        <v>0</v>
      </c>
      <c r="AW81" s="164">
        <f t="shared" ca="1" si="156"/>
        <v>0</v>
      </c>
      <c r="AX81" s="164">
        <f t="shared" ca="1" si="157"/>
        <v>0</v>
      </c>
      <c r="AY81" s="164">
        <f t="shared" ca="1" si="158"/>
        <v>0</v>
      </c>
      <c r="AZ81" s="164">
        <f t="shared" ca="1" si="159"/>
        <v>0</v>
      </c>
      <c r="BA81" s="166">
        <f t="shared" ca="1" si="160"/>
        <v>0</v>
      </c>
      <c r="BB81" s="16">
        <v>66</v>
      </c>
      <c r="BC81" s="572">
        <f t="shared" ref="BC81:BC88" si="176">AE81</f>
        <v>43768.812499999811</v>
      </c>
      <c r="BD81" s="148">
        <f t="shared" ca="1" si="162"/>
        <v>5295</v>
      </c>
      <c r="BE81" s="375"/>
      <c r="BF81" s="348"/>
      <c r="BG81" s="348"/>
      <c r="BH81" s="348"/>
      <c r="BI81" s="348"/>
      <c r="BJ81" s="348"/>
      <c r="BK81" s="348"/>
      <c r="BL81" s="357"/>
      <c r="BN81" s="501">
        <f>Construction!BM81/Construction!E81</f>
        <v>0</v>
      </c>
      <c r="BO81" s="171">
        <f>Construction!BD81/Construction!E81</f>
        <v>0</v>
      </c>
      <c r="BP81" s="152">
        <f ca="1">ROUNDUP((1-MIN(AB81*smithy_bonus,smithy_bonus_cap)-AC81)*(1+Techs!AO81*tech_master_of_frugality)*spec_op_plat,0)</f>
        <v>275</v>
      </c>
      <c r="BQ81" s="164">
        <f ca="1">ROUNDUP(IF(OR(race="Gnome",race="Imperial Gnome"),1-AC81,(1-MIN(AB81*smithy_bonus,smithy_bonus_cap)-AC81)*(1+Techs!AO81*tech_master_of_frugality))*spec_op_ore,0)</f>
        <v>25</v>
      </c>
      <c r="BR81" s="164">
        <f t="shared" si="116"/>
        <v>0</v>
      </c>
      <c r="BS81" s="164">
        <f t="shared" si="117"/>
        <v>0</v>
      </c>
      <c r="BT81" s="164">
        <f ca="1">ROUNDUP((1-MIN(AB81*smithy_bonus,smithy_bonus_cap)-AC81)*(1+Techs!AO81*tech_master_of_frugality)*spec_dp_plat,0)</f>
        <v>275</v>
      </c>
      <c r="BU81" s="164">
        <f ca="1">ROUNDUP(IF(OR(race="Gnome",race="Imperial Gnome"),1-AC81,(1-MIN(AB81*smithy_bonus,smithy_bonus_cap)-AC81)*(1+Techs!AO81*tech_master_of_frugality))*spec_dp_ore,0)</f>
        <v>10</v>
      </c>
      <c r="BV81" s="164">
        <f t="shared" ca="1" si="118"/>
        <v>0</v>
      </c>
      <c r="BW81" s="164">
        <f t="shared" ca="1" si="119"/>
        <v>0</v>
      </c>
      <c r="BX81" s="164">
        <f t="shared" ca="1" si="120"/>
        <v>0</v>
      </c>
      <c r="BY81" s="164">
        <f ca="1">ROUNDUP((1-MIN(AB81*smithy_bonus,smithy_bonus_cap)-AC81)*(1+Techs!AO81*tech_master_of_frugality)*elite1_plat,0)</f>
        <v>1000</v>
      </c>
      <c r="BZ81" s="164">
        <f ca="1">ROUNDUP(IF(OR(race="Gnome",race="Imperial Gnome"),1-AC81,(1-MIN(AB81*smithy_bonus,smithy_bonus_cap)-AC81)*(1+Techs!AO81*tech_master_of_frugality))*elite1_ore,0)</f>
        <v>75</v>
      </c>
      <c r="CA81" s="164">
        <f t="shared" ca="1" si="163"/>
        <v>0</v>
      </c>
      <c r="CB81" s="164">
        <f t="shared" ca="1" si="121"/>
        <v>0</v>
      </c>
      <c r="CC81" s="164">
        <f t="shared" ca="1" si="122"/>
        <v>0</v>
      </c>
      <c r="CD81" s="164">
        <f t="shared" ca="1" si="123"/>
        <v>0</v>
      </c>
      <c r="CE81" s="164">
        <f t="shared" ca="1" si="124"/>
        <v>0</v>
      </c>
      <c r="CF81" s="164">
        <f ca="1">ROUNDUP((1-MIN(AB81*smithy_bonus,smithy_bonus_cap)-AC81)*(1+Techs!AO81*tech_master_of_frugality)*elite2_plat,0)</f>
        <v>1250</v>
      </c>
      <c r="CG81" s="164">
        <f ca="1">ROUNDUP(IF(OR(race="Gnome",race="Imperial Gnome"),1-AC81,(1-MIN(AB81*smithy_bonus,smithy_bonus_cap)-AC81)*(1+Techs!AO81*tech_master_of_frugality))*elite2_ore,0)</f>
        <v>100</v>
      </c>
      <c r="CH81" s="164">
        <f t="shared" ca="1" si="164"/>
        <v>0</v>
      </c>
      <c r="CI81" s="164">
        <f t="shared" ca="1" si="125"/>
        <v>0</v>
      </c>
      <c r="CJ81" s="164">
        <f t="shared" ca="1" si="126"/>
        <v>0</v>
      </c>
      <c r="CK81" s="164">
        <f t="shared" ca="1" si="127"/>
        <v>0</v>
      </c>
      <c r="CL81" s="164">
        <f t="shared" ca="1" si="128"/>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4">
        <f ca="1">Construction!DF81/Construction!E81</f>
        <v>0.15</v>
      </c>
      <c r="CR81" s="465">
        <f t="shared" ref="CR81:CR88" si="177">BN81</f>
        <v>0</v>
      </c>
      <c r="CS81" s="465">
        <f>Construction!BK81/Construction!E81</f>
        <v>0.05</v>
      </c>
      <c r="CT81" s="465">
        <f>Construction!BJ81/Construction!E81</f>
        <v>0</v>
      </c>
      <c r="CU81" s="465">
        <f>Construction!AY81/Construction!E81</f>
        <v>0</v>
      </c>
      <c r="CV81" s="480">
        <f t="shared" ca="1" si="129"/>
        <v>0.74999999999999989</v>
      </c>
      <c r="CW81" s="481">
        <f t="shared" ca="1" si="130"/>
        <v>0.74999999999999989</v>
      </c>
      <c r="CX81" s="481">
        <f t="shared" ca="1" si="131"/>
        <v>0.74999999999999989</v>
      </c>
      <c r="CY81" s="482">
        <f t="shared" ca="1" si="132"/>
        <v>0.74999999999999989</v>
      </c>
      <c r="CZ81" s="482">
        <f t="shared" si="133"/>
        <v>0</v>
      </c>
      <c r="DA81" s="482">
        <f t="shared" ca="1" si="134"/>
        <v>2.9999999999999996</v>
      </c>
      <c r="DB81" s="482">
        <f t="shared" ca="1" si="135"/>
        <v>0.74999999999999989</v>
      </c>
      <c r="DC81" s="481">
        <f t="shared" si="136"/>
        <v>0</v>
      </c>
      <c r="DD81" s="842">
        <f t="shared" si="137"/>
        <v>0</v>
      </c>
      <c r="DE81" s="439">
        <f t="shared" si="166"/>
        <v>0</v>
      </c>
      <c r="DF81" s="439">
        <f t="shared" si="167"/>
        <v>0</v>
      </c>
      <c r="DG81" s="480">
        <f t="shared" ca="1" si="138"/>
        <v>0.74999999999999989</v>
      </c>
      <c r="DH81" s="449">
        <f t="shared" si="139"/>
        <v>0</v>
      </c>
      <c r="DI81" s="449">
        <f>MIN(valkyrja_cap,Production!O81/valkyrja_bonus)</f>
        <v>1</v>
      </c>
      <c r="DJ81" s="842">
        <f>MIN(voodoo_magi_cap,Production!O81/voodoo_magi_bonus)</f>
        <v>0.83333333333333337</v>
      </c>
      <c r="DK81" s="842">
        <f>MIN(warlock_cap,Production!O81/warlock_bonus)</f>
        <v>1</v>
      </c>
      <c r="DL81" s="842">
        <f ca="1">MIN(nox_nightshade_cap,Construction!DF81/Construction!E81/nox_nightshade_swamp_bonus)</f>
        <v>1.4999999999999998</v>
      </c>
      <c r="DM81" s="481">
        <f t="shared" si="140"/>
        <v>0</v>
      </c>
      <c r="DN81" s="482">
        <f t="shared" ca="1" si="141"/>
        <v>1.4999999999999998</v>
      </c>
      <c r="DO81" s="482">
        <f t="shared" ca="1" si="142"/>
        <v>1.4999999999999998</v>
      </c>
      <c r="DP81" s="482">
        <f t="shared" si="143"/>
        <v>1</v>
      </c>
      <c r="DQ81" s="481">
        <f t="shared" si="144"/>
        <v>0</v>
      </c>
      <c r="DR81" s="482">
        <f t="shared" si="145"/>
        <v>0</v>
      </c>
      <c r="DS81" s="481">
        <f t="shared" si="146"/>
        <v>0</v>
      </c>
      <c r="DT81" s="482">
        <f t="shared" si="147"/>
        <v>0</v>
      </c>
      <c r="DV81"/>
      <c r="DX81" s="486">
        <f ca="1">MIN(6,CV81+Races!$F$19)*1.8 +  IF(CV81+Races!$F$19&gt;6,(CV81+Races!$F$19-6)*0.2,0) - Races!$N$19</f>
        <v>1.3500000000000005</v>
      </c>
      <c r="DY81" s="487">
        <f ca="1">1.8 * MIN(MAX(CW81+Races!$E$20,CX81+Races!$F$20),6)  +  0.45 * MIN(MIN(CW81+Races!$E$20,CX81+Races!$F$20),6)  +  0.2 * ( MAX(CW81+Races!$E$20-6,0) + MAX(CX81+Races!$F$20-6,0) )  -  Races!$N$20</f>
        <v>1.6874999999999991</v>
      </c>
      <c r="DZ81" s="57">
        <f t="shared" ca="1" si="148"/>
        <v>0</v>
      </c>
      <c r="EA81" s="663">
        <f ca="1">MIN(6,CY81+Races!$F$35)*1.8 +  IF(CY81+Races!$F$35&gt;6,(CY81+Races!$F$35-6)*0.2,0) - Races!$N$19</f>
        <v>-0.45000000000000018</v>
      </c>
      <c r="EB81" s="57">
        <f t="shared" ca="1" si="149"/>
        <v>0</v>
      </c>
      <c r="EC81" s="663">
        <f ca="1">1.8 * MIN(MAX(Races!$E$27,DB81+Races!$F$27),6)  +  0.45 * MIN(MIN(Races!$E$27,DB81+Races!$F$27),6)  +  0.2 * ( MAX(Races!$E$27-6,0) + MAX(DB81+Races!$F$27-6,0) )  -  Races!$N$20</f>
        <v>3.6000000000000005</v>
      </c>
      <c r="ED81" s="57">
        <f t="shared" ca="1" si="150"/>
        <v>0</v>
      </c>
      <c r="EE81" s="663">
        <f>1.8 * MIN(MAX(DC81+Races!$E$47,DD81+Races!$F$47),6)  +  0.45 * MIN(MIN(DC81+Races!$E$47,DD81+Races!$F$47),6)  +  0.2 * ( MAX(DC81+Races!$E$47-6,0) + MAX(DD81+Races!$F$47-6,0) )  -  Races!$N$47</f>
        <v>0</v>
      </c>
      <c r="EF81" s="57">
        <f t="shared" si="151"/>
        <v>0</v>
      </c>
      <c r="EG81" s="663">
        <f ca="1">1.8 * MIN(MAX(DG81+Races!$F$71,Races!$E$71),6)  +  0.45 * MIN(MIN(DG81+Races!$F$71,Races!$E$71),6)  +  0.2 * ( MAX(DG81+Races!$F$71-6,0) + MAX(Races!$E$71-6,0) )  -  Races!$N$71</f>
        <v>1.3499999999999996</v>
      </c>
      <c r="EH81" s="663">
        <f>1.8 * MIN(MAX(DH81+Races!$E$71,Races!$F$71),6)  +  0.45 * MIN(MIN(DH81+Races!$E$71,Races!$F$71),6)  +  0.2 * ( MAX(DH81+Races!$E$71-6,0) + MAX(Races!$F$71-6,0) )  -  Races!$N$71</f>
        <v>0</v>
      </c>
      <c r="EI81" s="57">
        <f t="shared" ca="1" si="152"/>
        <v>0</v>
      </c>
      <c r="EJ81" s="57"/>
      <c r="EK81" s="57"/>
      <c r="EL81" s="57"/>
      <c r="EM81" s="57">
        <f ca="1">Overview!$L$22*E81+Overview!$L$23*F81+Overview!$L$24*G81+Overview!$L$25*H81+Overview!$L$26*I81+Overview!$L$27*J81+Overview!$L$28*K81+Construction!E81*20+Construction!B81*5 + DZ81*$DV$4+EB81*$DV$5+ED81*$DV$6+EF81*$DV$7+EI81*$DV$9</f>
        <v>20900</v>
      </c>
      <c r="EO81" s="734">
        <f>(J81+2*K81)/Construction!E81</f>
        <v>0</v>
      </c>
      <c r="EP81" s="730">
        <f ca="1">EO81*(1+race_wizard_strength+tech_magical_weaponry_wiz*Techs!AV153)</f>
        <v>0</v>
      </c>
      <c r="EQ81" s="16">
        <f>(I81+halfer*H81/3)/Construction!E81</f>
        <v>0</v>
      </c>
    </row>
    <row r="82" spans="1:147" s="16" customFormat="1" x14ac:dyDescent="0.25">
      <c r="A82" s="627">
        <f>Rezone!J82</f>
        <v>80</v>
      </c>
      <c r="B82" s="152">
        <f ca="1">SUM(E82:K82)+SUM(AF74:AG82)+SUM(AH71:AL82)+Z82+Explore!AL82</f>
        <v>5295</v>
      </c>
      <c r="C82" s="97">
        <f ca="1">Population!G82</f>
        <v>0.74159663865546221</v>
      </c>
      <c r="E82" s="156">
        <f t="shared" si="169"/>
        <v>0</v>
      </c>
      <c r="F82" s="170">
        <f t="shared" si="170"/>
        <v>0</v>
      </c>
      <c r="G82" s="170">
        <f t="shared" si="171"/>
        <v>0</v>
      </c>
      <c r="H82" s="170">
        <f t="shared" si="172"/>
        <v>0</v>
      </c>
      <c r="I82" s="170">
        <f t="shared" si="173"/>
        <v>0</v>
      </c>
      <c r="J82" s="170">
        <f t="shared" si="174"/>
        <v>0</v>
      </c>
      <c r="K82" s="157">
        <f t="shared" si="175"/>
        <v>0</v>
      </c>
      <c r="M82" s="64">
        <f ca="1">Production!G82</f>
        <v>20900</v>
      </c>
      <c r="O82" s="234">
        <f t="shared" ca="1" si="112"/>
        <v>0</v>
      </c>
      <c r="P82" s="454">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53"/>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13"/>
        <v>5295</v>
      </c>
      <c r="T82" s="1047">
        <f ca="1">race_defense+Imps!AC82+ROUND(MIN(gt_bonus*Construction!BH82/Construction!$E82,gt_bonus_cap),4)+MAX(IF(Magic!AM82&gt;0,frenzy_bonus,IF(Magic!AQ82&gt;0,blizzard_bonus,IF(Magic!AP82&gt;0,howling_dp_bonus,IF(Magic!AI82&gt;0,ares_call_bonus)))),IF(Magic!AX82&gt;0,MIN(Construction!DF82/Construction!E82,0.2),0))</f>
        <v>0</v>
      </c>
      <c r="U82" s="1041">
        <f t="shared" ca="1" si="154"/>
        <v>0</v>
      </c>
      <c r="V82" s="308">
        <f t="shared" ca="1" si="155"/>
        <v>5295</v>
      </c>
      <c r="W82" s="310">
        <f>Construction!E82</f>
        <v>1000</v>
      </c>
      <c r="X82" s="367"/>
      <c r="Y82" s="146">
        <f t="shared" si="168"/>
        <v>0.4</v>
      </c>
      <c r="Z82" s="166">
        <f ca="1">Z81+Population!Z81 - IF(race="Lux",AF82,SUM(AF82:AK82)) - BE82 + SUM(BF82:BL82) - Explore!AI82</f>
        <v>5295</v>
      </c>
      <c r="AA82" s="164"/>
      <c r="AB82" s="91">
        <f>(Construction!$BA82+Construction!BY82)/(Construction!$E82-Explore!S82*20)</f>
        <v>0</v>
      </c>
      <c r="AC82" s="1515">
        <f ca="1">Imps!AE82</f>
        <v>0</v>
      </c>
      <c r="AD82" s="795">
        <f>Rezone!J82</f>
        <v>80</v>
      </c>
      <c r="AE82" s="587">
        <f>Explore!AA82</f>
        <v>43768.822916666475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14"/>
        <v>0</v>
      </c>
      <c r="AV82" s="164">
        <f t="shared" ca="1" si="115"/>
        <v>0</v>
      </c>
      <c r="AW82" s="164">
        <f t="shared" ca="1" si="156"/>
        <v>0</v>
      </c>
      <c r="AX82" s="164">
        <f t="shared" ca="1" si="157"/>
        <v>0</v>
      </c>
      <c r="AY82" s="164">
        <f t="shared" ca="1" si="158"/>
        <v>0</v>
      </c>
      <c r="AZ82" s="164">
        <f t="shared" ca="1" si="159"/>
        <v>0</v>
      </c>
      <c r="BA82" s="166">
        <f t="shared" ca="1" si="160"/>
        <v>0</v>
      </c>
      <c r="BB82" s="16">
        <v>67</v>
      </c>
      <c r="BC82" s="572">
        <f t="shared" si="176"/>
        <v>43768.822916666475</v>
      </c>
      <c r="BD82" s="148">
        <f t="shared" ca="1" si="162"/>
        <v>5295</v>
      </c>
      <c r="BE82" s="375"/>
      <c r="BF82" s="348"/>
      <c r="BG82" s="348"/>
      <c r="BH82" s="348"/>
      <c r="BI82" s="348"/>
      <c r="BJ82" s="348"/>
      <c r="BK82" s="348"/>
      <c r="BL82" s="357"/>
      <c r="BN82" s="501">
        <f>Construction!BM82/Construction!E82</f>
        <v>0</v>
      </c>
      <c r="BO82" s="171">
        <f>Construction!BD82/Construction!E82</f>
        <v>0</v>
      </c>
      <c r="BP82" s="152">
        <f ca="1">ROUNDUP((1-MIN(AB82*smithy_bonus,smithy_bonus_cap)-AC82)*(1+Techs!AO82*tech_master_of_frugality)*spec_op_plat,0)</f>
        <v>275</v>
      </c>
      <c r="BQ82" s="164">
        <f ca="1">ROUNDUP(IF(OR(race="Gnome",race="Imperial Gnome"),1-AC82,(1-MIN(AB82*smithy_bonus,smithy_bonus_cap)-AC82)*(1+Techs!AO82*tech_master_of_frugality))*spec_op_ore,0)</f>
        <v>25</v>
      </c>
      <c r="BR82" s="164">
        <f t="shared" si="116"/>
        <v>0</v>
      </c>
      <c r="BS82" s="164">
        <f t="shared" si="117"/>
        <v>0</v>
      </c>
      <c r="BT82" s="164">
        <f ca="1">ROUNDUP((1-MIN(AB82*smithy_bonus,smithy_bonus_cap)-AC82)*(1+Techs!AO82*tech_master_of_frugality)*spec_dp_plat,0)</f>
        <v>275</v>
      </c>
      <c r="BU82" s="164">
        <f ca="1">ROUNDUP(IF(OR(race="Gnome",race="Imperial Gnome"),1-AC82,(1-MIN(AB82*smithy_bonus,smithy_bonus_cap)-AC82)*(1+Techs!AO82*tech_master_of_frugality))*spec_dp_ore,0)</f>
        <v>10</v>
      </c>
      <c r="BV82" s="164">
        <f t="shared" ca="1" si="118"/>
        <v>0</v>
      </c>
      <c r="BW82" s="164">
        <f t="shared" ca="1" si="119"/>
        <v>0</v>
      </c>
      <c r="BX82" s="164">
        <f t="shared" ca="1" si="120"/>
        <v>0</v>
      </c>
      <c r="BY82" s="164">
        <f ca="1">ROUNDUP((1-MIN(AB82*smithy_bonus,smithy_bonus_cap)-AC82)*(1+Techs!AO82*tech_master_of_frugality)*elite1_plat,0)</f>
        <v>1000</v>
      </c>
      <c r="BZ82" s="164">
        <f ca="1">ROUNDUP(IF(OR(race="Gnome",race="Imperial Gnome"),1-AC82,(1-MIN(AB82*smithy_bonus,smithy_bonus_cap)-AC82)*(1+Techs!AO82*tech_master_of_frugality))*elite1_ore,0)</f>
        <v>75</v>
      </c>
      <c r="CA82" s="164">
        <f t="shared" ca="1" si="163"/>
        <v>0</v>
      </c>
      <c r="CB82" s="164">
        <f t="shared" ca="1" si="121"/>
        <v>0</v>
      </c>
      <c r="CC82" s="164">
        <f t="shared" ca="1" si="122"/>
        <v>0</v>
      </c>
      <c r="CD82" s="164">
        <f t="shared" ca="1" si="123"/>
        <v>0</v>
      </c>
      <c r="CE82" s="164">
        <f t="shared" ca="1" si="124"/>
        <v>0</v>
      </c>
      <c r="CF82" s="164">
        <f ca="1">ROUNDUP((1-MIN(AB82*smithy_bonus,smithy_bonus_cap)-AC82)*(1+Techs!AO82*tech_master_of_frugality)*elite2_plat,0)</f>
        <v>1250</v>
      </c>
      <c r="CG82" s="164">
        <f ca="1">ROUNDUP(IF(OR(race="Gnome",race="Imperial Gnome"),1-AC82,(1-MIN(AB82*smithy_bonus,smithy_bonus_cap)-AC82)*(1+Techs!AO82*tech_master_of_frugality))*elite2_ore,0)</f>
        <v>100</v>
      </c>
      <c r="CH82" s="164">
        <f t="shared" ca="1" si="164"/>
        <v>0</v>
      </c>
      <c r="CI82" s="164">
        <f t="shared" ca="1" si="125"/>
        <v>0</v>
      </c>
      <c r="CJ82" s="164">
        <f t="shared" ca="1" si="126"/>
        <v>0</v>
      </c>
      <c r="CK82" s="164">
        <f t="shared" ca="1" si="127"/>
        <v>0</v>
      </c>
      <c r="CL82" s="164">
        <f t="shared" ca="1" si="128"/>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4">
        <f ca="1">Construction!DF82/Construction!E82</f>
        <v>0.15</v>
      </c>
      <c r="CR82" s="465">
        <f t="shared" si="177"/>
        <v>0</v>
      </c>
      <c r="CS82" s="465">
        <f>Construction!BK82/Construction!E82</f>
        <v>0.05</v>
      </c>
      <c r="CT82" s="465">
        <f>Construction!BJ82/Construction!E82</f>
        <v>0</v>
      </c>
      <c r="CU82" s="465">
        <f>Construction!AY82/Construction!E82</f>
        <v>0</v>
      </c>
      <c r="CV82" s="480">
        <f t="shared" ca="1" si="129"/>
        <v>0.74999999999999989</v>
      </c>
      <c r="CW82" s="481">
        <f t="shared" ca="1" si="130"/>
        <v>0.74999999999999989</v>
      </c>
      <c r="CX82" s="481">
        <f t="shared" ca="1" si="131"/>
        <v>0.74999999999999989</v>
      </c>
      <c r="CY82" s="482">
        <f t="shared" ca="1" si="132"/>
        <v>0.74999999999999989</v>
      </c>
      <c r="CZ82" s="482">
        <f t="shared" si="133"/>
        <v>0</v>
      </c>
      <c r="DA82" s="482">
        <f t="shared" ca="1" si="134"/>
        <v>2.9999999999999996</v>
      </c>
      <c r="DB82" s="482">
        <f t="shared" ca="1" si="135"/>
        <v>0.74999999999999989</v>
      </c>
      <c r="DC82" s="481">
        <f t="shared" si="136"/>
        <v>0</v>
      </c>
      <c r="DD82" s="842">
        <f t="shared" si="137"/>
        <v>0</v>
      </c>
      <c r="DE82" s="439">
        <f t="shared" si="166"/>
        <v>0</v>
      </c>
      <c r="DF82" s="439">
        <f t="shared" si="167"/>
        <v>0</v>
      </c>
      <c r="DG82" s="480">
        <f t="shared" ca="1" si="138"/>
        <v>0.74999999999999989</v>
      </c>
      <c r="DH82" s="449">
        <f t="shared" si="139"/>
        <v>0</v>
      </c>
      <c r="DI82" s="449">
        <f>MIN(valkyrja_cap,Production!O82/valkyrja_bonus)</f>
        <v>1</v>
      </c>
      <c r="DJ82" s="842">
        <f>MIN(voodoo_magi_cap,Production!O82/voodoo_magi_bonus)</f>
        <v>0.83333333333333337</v>
      </c>
      <c r="DK82" s="842">
        <f>MIN(warlock_cap,Production!O82/warlock_bonus)</f>
        <v>1</v>
      </c>
      <c r="DL82" s="842">
        <f ca="1">MIN(nox_nightshade_cap,Construction!DF82/Construction!E82/nox_nightshade_swamp_bonus)</f>
        <v>1.4999999999999998</v>
      </c>
      <c r="DM82" s="481">
        <f t="shared" si="140"/>
        <v>0</v>
      </c>
      <c r="DN82" s="482">
        <f t="shared" ca="1" si="141"/>
        <v>1.4999999999999998</v>
      </c>
      <c r="DO82" s="482">
        <f t="shared" ca="1" si="142"/>
        <v>1.4999999999999998</v>
      </c>
      <c r="DP82" s="482">
        <f t="shared" si="143"/>
        <v>1</v>
      </c>
      <c r="DQ82" s="481">
        <f t="shared" si="144"/>
        <v>0</v>
      </c>
      <c r="DR82" s="482">
        <f t="shared" si="145"/>
        <v>0</v>
      </c>
      <c r="DS82" s="481">
        <f t="shared" si="146"/>
        <v>0</v>
      </c>
      <c r="DT82" s="482">
        <f t="shared" si="147"/>
        <v>0</v>
      </c>
      <c r="DX82" s="486">
        <f ca="1">MIN(6,CV82+Races!$F$19)*1.8 +  IF(CV82+Races!$F$19&gt;6,(CV82+Races!$F$19-6)*0.2,0) - Races!$N$19</f>
        <v>1.3500000000000005</v>
      </c>
      <c r="DY82" s="487">
        <f ca="1">1.8 * MIN(MAX(CW82+Races!$E$20,CX82+Races!$F$20),6)  +  0.45 * MIN(MIN(CW82+Races!$E$20,CX82+Races!$F$20),6)  +  0.2 * ( MAX(CW82+Races!$E$20-6,0) + MAX(CX82+Races!$F$20-6,0) )  -  Races!$N$20</f>
        <v>1.6874999999999991</v>
      </c>
      <c r="DZ82" s="57">
        <f t="shared" ca="1" si="148"/>
        <v>0</v>
      </c>
      <c r="EA82" s="663">
        <f ca="1">MIN(6,CY82+Races!$F$35)*1.8 +  IF(CY82+Races!$F$35&gt;6,(CY82+Races!$F$35-6)*0.2,0) - Races!$N$19</f>
        <v>-0.45000000000000018</v>
      </c>
      <c r="EB82" s="57">
        <f t="shared" ca="1" si="149"/>
        <v>0</v>
      </c>
      <c r="EC82" s="663">
        <f ca="1">1.8 * MIN(MAX(Races!$E$27,DB82+Races!$F$27),6)  +  0.45 * MIN(MIN(Races!$E$27,DB82+Races!$F$27),6)  +  0.2 * ( MAX(Races!$E$27-6,0) + MAX(DB82+Races!$F$27-6,0) )  -  Races!$N$20</f>
        <v>3.6000000000000005</v>
      </c>
      <c r="ED82" s="57">
        <f t="shared" ca="1" si="150"/>
        <v>0</v>
      </c>
      <c r="EE82" s="663">
        <f>1.8 * MIN(MAX(DC82+Races!$E$47,DD82+Races!$F$47),6)  +  0.45 * MIN(MIN(DC82+Races!$E$47,DD82+Races!$F$47),6)  +  0.2 * ( MAX(DC82+Races!$E$47-6,0) + MAX(DD82+Races!$F$47-6,0) )  -  Races!$N$47</f>
        <v>0</v>
      </c>
      <c r="EF82" s="57">
        <f t="shared" si="151"/>
        <v>0</v>
      </c>
      <c r="EG82" s="663">
        <f ca="1">1.8 * MIN(MAX(DG82+Races!$F$71,Races!$E$71),6)  +  0.45 * MIN(MIN(DG82+Races!$F$71,Races!$E$71),6)  +  0.2 * ( MAX(DG82+Races!$F$71-6,0) + MAX(Races!$E$71-6,0) )  -  Races!$N$71</f>
        <v>1.3499999999999996</v>
      </c>
      <c r="EH82" s="663">
        <f>1.8 * MIN(MAX(DH82+Races!$E$71,Races!$F$71),6)  +  0.45 * MIN(MIN(DH82+Races!$E$71,Races!$F$71),6)  +  0.2 * ( MAX(DH82+Races!$E$71-6,0) + MAX(Races!$F$71-6,0) )  -  Races!$N$71</f>
        <v>0</v>
      </c>
      <c r="EI82" s="57">
        <f t="shared" ca="1" si="152"/>
        <v>0</v>
      </c>
      <c r="EJ82" s="57"/>
      <c r="EK82" s="57"/>
      <c r="EL82" s="57"/>
      <c r="EM82" s="57">
        <f ca="1">Overview!$L$22*E82+Overview!$L$23*F82+Overview!$L$24*G82+Overview!$L$25*H82+Overview!$L$26*I82+Overview!$L$27*J82+Overview!$L$28*K82+Construction!E82*20+Construction!B82*5 + DZ82*$DV$4+EB82*$DV$5+ED82*$DV$6+EF82*$DV$7+EI82*$DV$9</f>
        <v>20900</v>
      </c>
      <c r="EO82" s="734">
        <f>(J82+2*K82)/Construction!E82</f>
        <v>0</v>
      </c>
      <c r="EP82" s="730">
        <f ca="1">EO82*(1+race_wizard_strength+tech_magical_weaponry_wiz*Techs!AV154)</f>
        <v>0</v>
      </c>
      <c r="EQ82" s="16">
        <f>(I82+halfer*H82/3)/Construction!E82</f>
        <v>0</v>
      </c>
    </row>
    <row r="83" spans="1:147" s="16" customFormat="1" x14ac:dyDescent="0.25">
      <c r="A83" s="627">
        <f>Rezone!J83</f>
        <v>81</v>
      </c>
      <c r="B83" s="152">
        <f ca="1">SUM(E83:K83)+SUM(AF75:AG83)+SUM(AH72:AL83)+Z83+Explore!AL83</f>
        <v>5295</v>
      </c>
      <c r="C83" s="97">
        <f ca="1">Population!G83</f>
        <v>0.74159663865546221</v>
      </c>
      <c r="E83" s="156">
        <f t="shared" si="169"/>
        <v>0</v>
      </c>
      <c r="F83" s="170">
        <f t="shared" si="170"/>
        <v>0</v>
      </c>
      <c r="G83" s="170">
        <f t="shared" si="171"/>
        <v>0</v>
      </c>
      <c r="H83" s="170">
        <f t="shared" si="172"/>
        <v>0</v>
      </c>
      <c r="I83" s="170">
        <f t="shared" si="173"/>
        <v>0</v>
      </c>
      <c r="J83" s="170">
        <f t="shared" si="174"/>
        <v>0</v>
      </c>
      <c r="K83" s="157">
        <f t="shared" si="175"/>
        <v>0</v>
      </c>
      <c r="M83" s="64">
        <f ca="1">Production!G83</f>
        <v>20900</v>
      </c>
      <c r="O83" s="234">
        <f t="shared" ca="1" si="112"/>
        <v>0</v>
      </c>
      <c r="P83" s="454">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53"/>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13"/>
        <v>5295</v>
      </c>
      <c r="T83" s="1047">
        <f ca="1">race_defense+Imps!AC83+ROUND(MIN(gt_bonus*Construction!BH83/Construction!$E83,gt_bonus_cap),4)+MAX(IF(Magic!AM83&gt;0,frenzy_bonus,IF(Magic!AQ83&gt;0,blizzard_bonus,IF(Magic!AP83&gt;0,howling_dp_bonus,IF(Magic!AI83&gt;0,ares_call_bonus)))),IF(Magic!AX83&gt;0,MIN(Construction!DF83/Construction!E83,0.2),0))</f>
        <v>0</v>
      </c>
      <c r="U83" s="1041">
        <f t="shared" ca="1" si="154"/>
        <v>0</v>
      </c>
      <c r="V83" s="308">
        <f t="shared" ca="1" si="155"/>
        <v>5295</v>
      </c>
      <c r="W83" s="310">
        <f>Construction!E83</f>
        <v>1000</v>
      </c>
      <c r="X83" s="367"/>
      <c r="Y83" s="146">
        <f t="shared" si="168"/>
        <v>0.4</v>
      </c>
      <c r="Z83" s="166">
        <f ca="1">Z82+Population!Z82 - IF(race="Lux",AF83,SUM(AF83:AK83)) - BE83 + SUM(BF83:BL83) - Explore!AI83</f>
        <v>5295</v>
      </c>
      <c r="AA83" s="164"/>
      <c r="AB83" s="91">
        <f>(Construction!$BA83+Construction!BY83)/(Construction!$E83-Explore!S83*20)</f>
        <v>0</v>
      </c>
      <c r="AC83" s="1515">
        <f ca="1">Imps!AE83</f>
        <v>0</v>
      </c>
      <c r="AD83" s="795">
        <f>Rezone!J83</f>
        <v>81</v>
      </c>
      <c r="AE83" s="587">
        <f>Explore!AA83</f>
        <v>43768.833333333139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14"/>
        <v>0</v>
      </c>
      <c r="AV83" s="164">
        <f t="shared" ca="1" si="115"/>
        <v>0</v>
      </c>
      <c r="AW83" s="164">
        <f t="shared" ca="1" si="156"/>
        <v>0</v>
      </c>
      <c r="AX83" s="164">
        <f t="shared" ca="1" si="157"/>
        <v>0</v>
      </c>
      <c r="AY83" s="164">
        <f t="shared" ca="1" si="158"/>
        <v>0</v>
      </c>
      <c r="AZ83" s="164">
        <f t="shared" ca="1" si="159"/>
        <v>0</v>
      </c>
      <c r="BA83" s="166">
        <f t="shared" ca="1" si="160"/>
        <v>0</v>
      </c>
      <c r="BB83" s="16">
        <v>68</v>
      </c>
      <c r="BC83" s="572">
        <f t="shared" si="176"/>
        <v>43768.833333333139</v>
      </c>
      <c r="BD83" s="148">
        <f t="shared" ca="1" si="162"/>
        <v>5295</v>
      </c>
      <c r="BE83" s="375"/>
      <c r="BF83" s="348"/>
      <c r="BG83" s="348"/>
      <c r="BH83" s="348"/>
      <c r="BI83" s="348"/>
      <c r="BJ83" s="348"/>
      <c r="BK83" s="348"/>
      <c r="BL83" s="357"/>
      <c r="BN83" s="501">
        <f>Construction!BM83/Construction!E83</f>
        <v>0</v>
      </c>
      <c r="BO83" s="171">
        <f>Construction!BD83/Construction!E83</f>
        <v>0</v>
      </c>
      <c r="BP83" s="152">
        <f ca="1">ROUNDUP((1-MIN(AB83*smithy_bonus,smithy_bonus_cap)-AC83)*(1+Techs!AO83*tech_master_of_frugality)*spec_op_plat,0)</f>
        <v>275</v>
      </c>
      <c r="BQ83" s="164">
        <f ca="1">ROUNDUP(IF(OR(race="Gnome",race="Imperial Gnome"),1-AC83,(1-MIN(AB83*smithy_bonus,smithy_bonus_cap)-AC83)*(1+Techs!AO83*tech_master_of_frugality))*spec_op_ore,0)</f>
        <v>25</v>
      </c>
      <c r="BR83" s="164">
        <f t="shared" si="116"/>
        <v>0</v>
      </c>
      <c r="BS83" s="164">
        <f t="shared" si="117"/>
        <v>0</v>
      </c>
      <c r="BT83" s="164">
        <f ca="1">ROUNDUP((1-MIN(AB83*smithy_bonus,smithy_bonus_cap)-AC83)*(1+Techs!AO83*tech_master_of_frugality)*spec_dp_plat,0)</f>
        <v>275</v>
      </c>
      <c r="BU83" s="164">
        <f ca="1">ROUNDUP(IF(OR(race="Gnome",race="Imperial Gnome"),1-AC83,(1-MIN(AB83*smithy_bonus,smithy_bonus_cap)-AC83)*(1+Techs!AO83*tech_master_of_frugality))*spec_dp_ore,0)</f>
        <v>10</v>
      </c>
      <c r="BV83" s="164">
        <f t="shared" ca="1" si="118"/>
        <v>0</v>
      </c>
      <c r="BW83" s="164">
        <f t="shared" ca="1" si="119"/>
        <v>0</v>
      </c>
      <c r="BX83" s="164">
        <f t="shared" ca="1" si="120"/>
        <v>0</v>
      </c>
      <c r="BY83" s="164">
        <f ca="1">ROUNDUP((1-MIN(AB83*smithy_bonus,smithy_bonus_cap)-AC83)*(1+Techs!AO83*tech_master_of_frugality)*elite1_plat,0)</f>
        <v>1000</v>
      </c>
      <c r="BZ83" s="164">
        <f ca="1">ROUNDUP(IF(OR(race="Gnome",race="Imperial Gnome"),1-AC83,(1-MIN(AB83*smithy_bonus,smithy_bonus_cap)-AC83)*(1+Techs!AO83*tech_master_of_frugality))*elite1_ore,0)</f>
        <v>75</v>
      </c>
      <c r="CA83" s="164">
        <f t="shared" ca="1" si="163"/>
        <v>0</v>
      </c>
      <c r="CB83" s="164">
        <f t="shared" ca="1" si="121"/>
        <v>0</v>
      </c>
      <c r="CC83" s="164">
        <f t="shared" ca="1" si="122"/>
        <v>0</v>
      </c>
      <c r="CD83" s="164">
        <f t="shared" ca="1" si="123"/>
        <v>0</v>
      </c>
      <c r="CE83" s="164">
        <f t="shared" ca="1" si="124"/>
        <v>0</v>
      </c>
      <c r="CF83" s="164">
        <f ca="1">ROUNDUP((1-MIN(AB83*smithy_bonus,smithy_bonus_cap)-AC83)*(1+Techs!AO83*tech_master_of_frugality)*elite2_plat,0)</f>
        <v>1250</v>
      </c>
      <c r="CG83" s="164">
        <f ca="1">ROUNDUP(IF(OR(race="Gnome",race="Imperial Gnome"),1-AC83,(1-MIN(AB83*smithy_bonus,smithy_bonus_cap)-AC83)*(1+Techs!AO83*tech_master_of_frugality))*elite2_ore,0)</f>
        <v>100</v>
      </c>
      <c r="CH83" s="164">
        <f t="shared" ca="1" si="164"/>
        <v>0</v>
      </c>
      <c r="CI83" s="164">
        <f t="shared" ca="1" si="125"/>
        <v>0</v>
      </c>
      <c r="CJ83" s="164">
        <f t="shared" ca="1" si="126"/>
        <v>0</v>
      </c>
      <c r="CK83" s="164">
        <f t="shared" ca="1" si="127"/>
        <v>0</v>
      </c>
      <c r="CL83" s="164">
        <f t="shared" ca="1" si="128"/>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4">
        <f ca="1">Construction!DF83/Construction!E83</f>
        <v>0.15</v>
      </c>
      <c r="CR83" s="465">
        <f t="shared" si="177"/>
        <v>0</v>
      </c>
      <c r="CS83" s="465">
        <f>Construction!BK83/Construction!E83</f>
        <v>0.05</v>
      </c>
      <c r="CT83" s="465">
        <f>Construction!BJ83/Construction!E83</f>
        <v>0</v>
      </c>
      <c r="CU83" s="465">
        <f>Construction!AY83/Construction!E83</f>
        <v>0</v>
      </c>
      <c r="CV83" s="480">
        <f t="shared" ca="1" si="129"/>
        <v>0.74999999999999989</v>
      </c>
      <c r="CW83" s="481">
        <f t="shared" ca="1" si="130"/>
        <v>0.74999999999999989</v>
      </c>
      <c r="CX83" s="481">
        <f t="shared" ca="1" si="131"/>
        <v>0.74999999999999989</v>
      </c>
      <c r="CY83" s="482">
        <f t="shared" ca="1" si="132"/>
        <v>0.74999999999999989</v>
      </c>
      <c r="CZ83" s="482">
        <f t="shared" si="133"/>
        <v>0</v>
      </c>
      <c r="DA83" s="482">
        <f t="shared" ca="1" si="134"/>
        <v>2.9999999999999996</v>
      </c>
      <c r="DB83" s="482">
        <f t="shared" ca="1" si="135"/>
        <v>0.74999999999999989</v>
      </c>
      <c r="DC83" s="481">
        <f t="shared" si="136"/>
        <v>0</v>
      </c>
      <c r="DD83" s="842">
        <f t="shared" si="137"/>
        <v>0</v>
      </c>
      <c r="DE83" s="439">
        <f t="shared" si="166"/>
        <v>0</v>
      </c>
      <c r="DF83" s="439">
        <f t="shared" si="167"/>
        <v>0</v>
      </c>
      <c r="DG83" s="480">
        <f t="shared" ca="1" si="138"/>
        <v>0.74999999999999989</v>
      </c>
      <c r="DH83" s="449">
        <f t="shared" si="139"/>
        <v>0</v>
      </c>
      <c r="DI83" s="449">
        <f>MIN(valkyrja_cap,Production!O83/valkyrja_bonus)</f>
        <v>1</v>
      </c>
      <c r="DJ83" s="842">
        <f>MIN(voodoo_magi_cap,Production!O83/voodoo_magi_bonus)</f>
        <v>0.83333333333333337</v>
      </c>
      <c r="DK83" s="842">
        <f>MIN(warlock_cap,Production!O83/warlock_bonus)</f>
        <v>1</v>
      </c>
      <c r="DL83" s="842">
        <f ca="1">MIN(nox_nightshade_cap,Construction!DF83/Construction!E83/nox_nightshade_swamp_bonus)</f>
        <v>1.4999999999999998</v>
      </c>
      <c r="DM83" s="481">
        <f t="shared" si="140"/>
        <v>0</v>
      </c>
      <c r="DN83" s="482">
        <f t="shared" ca="1" si="141"/>
        <v>1.4999999999999998</v>
      </c>
      <c r="DO83" s="482">
        <f t="shared" ca="1" si="142"/>
        <v>1.4999999999999998</v>
      </c>
      <c r="DP83" s="482">
        <f t="shared" si="143"/>
        <v>1</v>
      </c>
      <c r="DQ83" s="481">
        <f t="shared" si="144"/>
        <v>0</v>
      </c>
      <c r="DR83" s="482">
        <f t="shared" si="145"/>
        <v>0</v>
      </c>
      <c r="DS83" s="481">
        <f t="shared" si="146"/>
        <v>0</v>
      </c>
      <c r="DT83" s="482">
        <f t="shared" si="147"/>
        <v>0</v>
      </c>
      <c r="DU83" s="107"/>
      <c r="DX83" s="486">
        <f ca="1">MIN(6,CV83+Races!$F$19)*1.8 +  IF(CV83+Races!$F$19&gt;6,(CV83+Races!$F$19-6)*0.2,0) - Races!$N$19</f>
        <v>1.3500000000000005</v>
      </c>
      <c r="DY83" s="487">
        <f ca="1">1.8 * MIN(MAX(CW83+Races!$E$20,CX83+Races!$F$20),6)  +  0.45 * MIN(MIN(CW83+Races!$E$20,CX83+Races!$F$20),6)  +  0.2 * ( MAX(CW83+Races!$E$20-6,0) + MAX(CX83+Races!$F$20-6,0) )  -  Races!$N$20</f>
        <v>1.6874999999999991</v>
      </c>
      <c r="DZ83" s="57">
        <f t="shared" ca="1" si="148"/>
        <v>0</v>
      </c>
      <c r="EA83" s="663">
        <f ca="1">MIN(6,CY83+Races!$F$35)*1.8 +  IF(CY83+Races!$F$35&gt;6,(CY83+Races!$F$35-6)*0.2,0) - Races!$N$19</f>
        <v>-0.45000000000000018</v>
      </c>
      <c r="EB83" s="57">
        <f t="shared" ca="1" si="149"/>
        <v>0</v>
      </c>
      <c r="EC83" s="663">
        <f ca="1">1.8 * MIN(MAX(Races!$E$27,DB83+Races!$F$27),6)  +  0.45 * MIN(MIN(Races!$E$27,DB83+Races!$F$27),6)  +  0.2 * ( MAX(Races!$E$27-6,0) + MAX(DB83+Races!$F$27-6,0) )  -  Races!$N$20</f>
        <v>3.6000000000000005</v>
      </c>
      <c r="ED83" s="57">
        <f t="shared" ca="1" si="150"/>
        <v>0</v>
      </c>
      <c r="EE83" s="663">
        <f>1.8 * MIN(MAX(DC83+Races!$E$47,DD83+Races!$F$47),6)  +  0.45 * MIN(MIN(DC83+Races!$E$47,DD83+Races!$F$47),6)  +  0.2 * ( MAX(DC83+Races!$E$47-6,0) + MAX(DD83+Races!$F$47-6,0) )  -  Races!$N$47</f>
        <v>0</v>
      </c>
      <c r="EF83" s="57">
        <f t="shared" si="151"/>
        <v>0</v>
      </c>
      <c r="EG83" s="663">
        <f ca="1">1.8 * MIN(MAX(DG83+Races!$F$71,Races!$E$71),6)  +  0.45 * MIN(MIN(DG83+Races!$F$71,Races!$E$71),6)  +  0.2 * ( MAX(DG83+Races!$F$71-6,0) + MAX(Races!$E$71-6,0) )  -  Races!$N$71</f>
        <v>1.3499999999999996</v>
      </c>
      <c r="EH83" s="663">
        <f>1.8 * MIN(MAX(DH83+Races!$E$71,Races!$F$71),6)  +  0.45 * MIN(MIN(DH83+Races!$E$71,Races!$F$71),6)  +  0.2 * ( MAX(DH83+Races!$E$71-6,0) + MAX(Races!$F$71-6,0) )  -  Races!$N$71</f>
        <v>0</v>
      </c>
      <c r="EI83" s="57">
        <f t="shared" ca="1" si="152"/>
        <v>0</v>
      </c>
      <c r="EJ83" s="57"/>
      <c r="EK83" s="57"/>
      <c r="EL83" s="57"/>
      <c r="EM83" s="57">
        <f ca="1">Overview!$L$22*E83+Overview!$L$23*F83+Overview!$L$24*G83+Overview!$L$25*H83+Overview!$L$26*I83+Overview!$L$27*J83+Overview!$L$28*K83+Construction!E83*20+Construction!B83*5 + DZ83*$DV$4+EB83*$DV$5+ED83*$DV$6+EF83*$DV$7+EI83*$DV$9</f>
        <v>20900</v>
      </c>
      <c r="EO83" s="734">
        <f>(J83+2*K83)/Construction!E83</f>
        <v>0</v>
      </c>
      <c r="EP83" s="730">
        <f ca="1">EO83*(1+race_wizard_strength+tech_magical_weaponry_wiz*Techs!AV155)</f>
        <v>0</v>
      </c>
      <c r="EQ83" s="16">
        <f>(I83+halfer*H83/3)/Construction!E83</f>
        <v>0</v>
      </c>
    </row>
    <row r="84" spans="1:147" s="16" customFormat="1" x14ac:dyDescent="0.25">
      <c r="A84" s="627">
        <f>Rezone!J84</f>
        <v>82</v>
      </c>
      <c r="B84" s="152">
        <f ca="1">SUM(E84:K84)+SUM(AF76:AG84)+SUM(AH73:AL84)+Z84+Explore!AL84</f>
        <v>5295</v>
      </c>
      <c r="C84" s="97">
        <f ca="1">Population!G84</f>
        <v>0.74159663865546221</v>
      </c>
      <c r="E84" s="156">
        <f t="shared" si="169"/>
        <v>0</v>
      </c>
      <c r="F84" s="170">
        <f t="shared" si="170"/>
        <v>0</v>
      </c>
      <c r="G84" s="170">
        <f t="shared" si="171"/>
        <v>0</v>
      </c>
      <c r="H84" s="170">
        <f t="shared" si="172"/>
        <v>0</v>
      </c>
      <c r="I84" s="170">
        <f t="shared" si="173"/>
        <v>0</v>
      </c>
      <c r="J84" s="170">
        <f t="shared" si="174"/>
        <v>0</v>
      </c>
      <c r="K84" s="157">
        <f t="shared" si="175"/>
        <v>0</v>
      </c>
      <c r="M84" s="64">
        <f ca="1">Production!G84</f>
        <v>20900</v>
      </c>
      <c r="O84" s="234">
        <f t="shared" ca="1" si="112"/>
        <v>0</v>
      </c>
      <c r="P84" s="454">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53"/>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13"/>
        <v>5295</v>
      </c>
      <c r="T84" s="1047">
        <f ca="1">race_defense+Imps!AC84+ROUND(MIN(gt_bonus*Construction!BH84/Construction!$E84,gt_bonus_cap),4)+MAX(IF(Magic!AM84&gt;0,frenzy_bonus,IF(Magic!AQ84&gt;0,blizzard_bonus,IF(Magic!AP84&gt;0,howling_dp_bonus,IF(Magic!AI84&gt;0,ares_call_bonus)))),IF(Magic!AX84&gt;0,MIN(Construction!DF84/Construction!E84,0.2),0))</f>
        <v>0</v>
      </c>
      <c r="U84" s="1041">
        <f t="shared" ca="1" si="154"/>
        <v>0</v>
      </c>
      <c r="V84" s="308">
        <f t="shared" ca="1" si="155"/>
        <v>5295</v>
      </c>
      <c r="W84" s="310">
        <f>Construction!E84</f>
        <v>1000</v>
      </c>
      <c r="X84" s="367"/>
      <c r="Y84" s="146">
        <f t="shared" si="168"/>
        <v>0.4</v>
      </c>
      <c r="Z84" s="166">
        <f ca="1">Z83+Population!Z83 - IF(race="Lux",AF84,SUM(AF84:AK84)) - BE84 + SUM(BF84:BL84) - Explore!AI84</f>
        <v>5295</v>
      </c>
      <c r="AA84" s="164"/>
      <c r="AB84" s="91">
        <f>(Construction!$BA84+Construction!BY84)/(Construction!$E84-Explore!S84*20)</f>
        <v>0</v>
      </c>
      <c r="AC84" s="1515">
        <f ca="1">Imps!AE84</f>
        <v>0</v>
      </c>
      <c r="AD84" s="795">
        <f>Rezone!J84</f>
        <v>82</v>
      </c>
      <c r="AE84" s="587">
        <f>Explore!AA84</f>
        <v>43768.843749999804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14"/>
        <v>0</v>
      </c>
      <c r="AV84" s="164">
        <f t="shared" ca="1" si="115"/>
        <v>0</v>
      </c>
      <c r="AW84" s="164">
        <f t="shared" ca="1" si="156"/>
        <v>0</v>
      </c>
      <c r="AX84" s="164">
        <f t="shared" ca="1" si="157"/>
        <v>0</v>
      </c>
      <c r="AY84" s="164">
        <f t="shared" ca="1" si="158"/>
        <v>0</v>
      </c>
      <c r="AZ84" s="164">
        <f t="shared" ca="1" si="159"/>
        <v>0</v>
      </c>
      <c r="BA84" s="166">
        <f t="shared" ca="1" si="160"/>
        <v>0</v>
      </c>
      <c r="BB84" s="16">
        <v>69</v>
      </c>
      <c r="BC84" s="572">
        <f t="shared" si="176"/>
        <v>43768.843749999804</v>
      </c>
      <c r="BD84" s="148">
        <f t="shared" ca="1" si="162"/>
        <v>5295</v>
      </c>
      <c r="BE84" s="375"/>
      <c r="BF84" s="348"/>
      <c r="BG84" s="348"/>
      <c r="BH84" s="348"/>
      <c r="BI84" s="348"/>
      <c r="BJ84" s="348"/>
      <c r="BK84" s="348"/>
      <c r="BL84" s="357"/>
      <c r="BN84" s="501">
        <f>Construction!BM84/Construction!E84</f>
        <v>0</v>
      </c>
      <c r="BO84" s="171">
        <f>Construction!BD84/Construction!E84</f>
        <v>0</v>
      </c>
      <c r="BP84" s="152">
        <f ca="1">ROUNDUP((1-MIN(AB84*smithy_bonus,smithy_bonus_cap)-AC84)*(1+Techs!AO84*tech_master_of_frugality)*spec_op_plat,0)</f>
        <v>275</v>
      </c>
      <c r="BQ84" s="164">
        <f ca="1">ROUNDUP(IF(OR(race="Gnome",race="Imperial Gnome"),1-AC84,(1-MIN(AB84*smithy_bonus,smithy_bonus_cap)-AC84)*(1+Techs!AO84*tech_master_of_frugality))*spec_op_ore,0)</f>
        <v>25</v>
      </c>
      <c r="BR84" s="164">
        <f t="shared" si="116"/>
        <v>0</v>
      </c>
      <c r="BS84" s="164">
        <f t="shared" si="117"/>
        <v>0</v>
      </c>
      <c r="BT84" s="164">
        <f ca="1">ROUNDUP((1-MIN(AB84*smithy_bonus,smithy_bonus_cap)-AC84)*(1+Techs!AO84*tech_master_of_frugality)*spec_dp_plat,0)</f>
        <v>275</v>
      </c>
      <c r="BU84" s="164">
        <f ca="1">ROUNDUP(IF(OR(race="Gnome",race="Imperial Gnome"),1-AC84,(1-MIN(AB84*smithy_bonus,smithy_bonus_cap)-AC84)*(1+Techs!AO84*tech_master_of_frugality))*spec_dp_ore,0)</f>
        <v>10</v>
      </c>
      <c r="BV84" s="164">
        <f t="shared" ca="1" si="118"/>
        <v>0</v>
      </c>
      <c r="BW84" s="164">
        <f t="shared" ca="1" si="119"/>
        <v>0</v>
      </c>
      <c r="BX84" s="164">
        <f t="shared" ca="1" si="120"/>
        <v>0</v>
      </c>
      <c r="BY84" s="164">
        <f ca="1">ROUNDUP((1-MIN(AB84*smithy_bonus,smithy_bonus_cap)-AC84)*(1+Techs!AO84*tech_master_of_frugality)*elite1_plat,0)</f>
        <v>1000</v>
      </c>
      <c r="BZ84" s="164">
        <f ca="1">ROUNDUP(IF(OR(race="Gnome",race="Imperial Gnome"),1-AC84,(1-MIN(AB84*smithy_bonus,smithy_bonus_cap)-AC84)*(1+Techs!AO84*tech_master_of_frugality))*elite1_ore,0)</f>
        <v>75</v>
      </c>
      <c r="CA84" s="164">
        <f t="shared" ca="1" si="163"/>
        <v>0</v>
      </c>
      <c r="CB84" s="164">
        <f t="shared" ca="1" si="121"/>
        <v>0</v>
      </c>
      <c r="CC84" s="164">
        <f t="shared" ca="1" si="122"/>
        <v>0</v>
      </c>
      <c r="CD84" s="164">
        <f t="shared" ca="1" si="123"/>
        <v>0</v>
      </c>
      <c r="CE84" s="164">
        <f t="shared" ca="1" si="124"/>
        <v>0</v>
      </c>
      <c r="CF84" s="164">
        <f ca="1">ROUNDUP((1-MIN(AB84*smithy_bonus,smithy_bonus_cap)-AC84)*(1+Techs!AO84*tech_master_of_frugality)*elite2_plat,0)</f>
        <v>1250</v>
      </c>
      <c r="CG84" s="164">
        <f ca="1">ROUNDUP(IF(OR(race="Gnome",race="Imperial Gnome"),1-AC84,(1-MIN(AB84*smithy_bonus,smithy_bonus_cap)-AC84)*(1+Techs!AO84*tech_master_of_frugality))*elite2_ore,0)</f>
        <v>100</v>
      </c>
      <c r="CH84" s="164">
        <f t="shared" ca="1" si="164"/>
        <v>0</v>
      </c>
      <c r="CI84" s="164">
        <f t="shared" ca="1" si="125"/>
        <v>0</v>
      </c>
      <c r="CJ84" s="164">
        <f t="shared" ca="1" si="126"/>
        <v>0</v>
      </c>
      <c r="CK84" s="164">
        <f t="shared" ca="1" si="127"/>
        <v>0</v>
      </c>
      <c r="CL84" s="164">
        <f t="shared" ca="1" si="128"/>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4">
        <f ca="1">Construction!DF84/Construction!E84</f>
        <v>0.15</v>
      </c>
      <c r="CR84" s="465">
        <f t="shared" si="177"/>
        <v>0</v>
      </c>
      <c r="CS84" s="465">
        <f>Construction!BK84/Construction!E84</f>
        <v>0.05</v>
      </c>
      <c r="CT84" s="465">
        <f>Construction!BJ84/Construction!E84</f>
        <v>0</v>
      </c>
      <c r="CU84" s="465">
        <f>Construction!AY84/Construction!E84</f>
        <v>0</v>
      </c>
      <c r="CV84" s="480">
        <f t="shared" ca="1" si="129"/>
        <v>0.74999999999999989</v>
      </c>
      <c r="CW84" s="481">
        <f t="shared" ca="1" si="130"/>
        <v>0.74999999999999989</v>
      </c>
      <c r="CX84" s="481">
        <f t="shared" ca="1" si="131"/>
        <v>0.74999999999999989</v>
      </c>
      <c r="CY84" s="482">
        <f t="shared" ca="1" si="132"/>
        <v>0.74999999999999989</v>
      </c>
      <c r="CZ84" s="482">
        <f t="shared" si="133"/>
        <v>0</v>
      </c>
      <c r="DA84" s="482">
        <f t="shared" ca="1" si="134"/>
        <v>2.9999999999999996</v>
      </c>
      <c r="DB84" s="482">
        <f t="shared" ca="1" si="135"/>
        <v>0.74999999999999989</v>
      </c>
      <c r="DC84" s="481">
        <f t="shared" si="136"/>
        <v>0</v>
      </c>
      <c r="DD84" s="842">
        <f t="shared" si="137"/>
        <v>0</v>
      </c>
      <c r="DE84" s="439">
        <f t="shared" si="166"/>
        <v>0</v>
      </c>
      <c r="DF84" s="439">
        <f t="shared" si="167"/>
        <v>0</v>
      </c>
      <c r="DG84" s="480">
        <f t="shared" ca="1" si="138"/>
        <v>0.74999999999999989</v>
      </c>
      <c r="DH84" s="449">
        <f t="shared" si="139"/>
        <v>0</v>
      </c>
      <c r="DI84" s="449">
        <f>MIN(valkyrja_cap,Production!O84/valkyrja_bonus)</f>
        <v>1</v>
      </c>
      <c r="DJ84" s="842">
        <f>MIN(voodoo_magi_cap,Production!O84/voodoo_magi_bonus)</f>
        <v>0.83333333333333337</v>
      </c>
      <c r="DK84" s="842">
        <f>MIN(warlock_cap,Production!O84/warlock_bonus)</f>
        <v>1</v>
      </c>
      <c r="DL84" s="842">
        <f ca="1">MIN(nox_nightshade_cap,Construction!DF84/Construction!E84/nox_nightshade_swamp_bonus)</f>
        <v>1.4999999999999998</v>
      </c>
      <c r="DM84" s="481">
        <f t="shared" si="140"/>
        <v>0</v>
      </c>
      <c r="DN84" s="482">
        <f t="shared" ca="1" si="141"/>
        <v>1.4999999999999998</v>
      </c>
      <c r="DO84" s="482">
        <f t="shared" ca="1" si="142"/>
        <v>1.4999999999999998</v>
      </c>
      <c r="DP84" s="482">
        <f t="shared" si="143"/>
        <v>1</v>
      </c>
      <c r="DQ84" s="481">
        <f t="shared" si="144"/>
        <v>0</v>
      </c>
      <c r="DR84" s="482">
        <f t="shared" si="145"/>
        <v>0</v>
      </c>
      <c r="DS84" s="481">
        <f t="shared" si="146"/>
        <v>0</v>
      </c>
      <c r="DT84" s="482">
        <f t="shared" si="147"/>
        <v>0</v>
      </c>
      <c r="DX84" s="486">
        <f ca="1">MIN(6,CV84+Races!$F$19)*1.8 +  IF(CV84+Races!$F$19&gt;6,(CV84+Races!$F$19-6)*0.2,0) - Races!$N$19</f>
        <v>1.3500000000000005</v>
      </c>
      <c r="DY84" s="487">
        <f ca="1">1.8 * MIN(MAX(CW84+Races!$E$20,CX84+Races!$F$20),6)  +  0.45 * MIN(MIN(CW84+Races!$E$20,CX84+Races!$F$20),6)  +  0.2 * ( MAX(CW84+Races!$E$20-6,0) + MAX(CX84+Races!$F$20-6,0) )  -  Races!$N$20</f>
        <v>1.6874999999999991</v>
      </c>
      <c r="DZ84" s="57">
        <f t="shared" ca="1" si="148"/>
        <v>0</v>
      </c>
      <c r="EA84" s="663">
        <f ca="1">MIN(6,CY84+Races!$F$35)*1.8 +  IF(CY84+Races!$F$35&gt;6,(CY84+Races!$F$35-6)*0.2,0) - Races!$N$19</f>
        <v>-0.45000000000000018</v>
      </c>
      <c r="EB84" s="57">
        <f t="shared" ca="1" si="149"/>
        <v>0</v>
      </c>
      <c r="EC84" s="663">
        <f ca="1">1.8 * MIN(MAX(Races!$E$27,DB84+Races!$F$27),6)  +  0.45 * MIN(MIN(Races!$E$27,DB84+Races!$F$27),6)  +  0.2 * ( MAX(Races!$E$27-6,0) + MAX(DB84+Races!$F$27-6,0) )  -  Races!$N$20</f>
        <v>3.6000000000000005</v>
      </c>
      <c r="ED84" s="57">
        <f t="shared" ca="1" si="150"/>
        <v>0</v>
      </c>
      <c r="EE84" s="663">
        <f>1.8 * MIN(MAX(DC84+Races!$E$47,DD84+Races!$F$47),6)  +  0.45 * MIN(MIN(DC84+Races!$E$47,DD84+Races!$F$47),6)  +  0.2 * ( MAX(DC84+Races!$E$47-6,0) + MAX(DD84+Races!$F$47-6,0) )  -  Races!$N$47</f>
        <v>0</v>
      </c>
      <c r="EF84" s="57">
        <f t="shared" si="151"/>
        <v>0</v>
      </c>
      <c r="EG84" s="663">
        <f ca="1">1.8 * MIN(MAX(DG84+Races!$F$71,Races!$E$71),6)  +  0.45 * MIN(MIN(DG84+Races!$F$71,Races!$E$71),6)  +  0.2 * ( MAX(DG84+Races!$F$71-6,0) + MAX(Races!$E$71-6,0) )  -  Races!$N$71</f>
        <v>1.3499999999999996</v>
      </c>
      <c r="EH84" s="663">
        <f>1.8 * MIN(MAX(DH84+Races!$E$71,Races!$F$71),6)  +  0.45 * MIN(MIN(DH84+Races!$E$71,Races!$F$71),6)  +  0.2 * ( MAX(DH84+Races!$E$71-6,0) + MAX(Races!$F$71-6,0) )  -  Races!$N$71</f>
        <v>0</v>
      </c>
      <c r="EI84" s="57">
        <f t="shared" ca="1" si="152"/>
        <v>0</v>
      </c>
      <c r="EJ84" s="57"/>
      <c r="EK84" s="57"/>
      <c r="EL84" s="57"/>
      <c r="EM84" s="57">
        <f ca="1">Overview!$L$22*E84+Overview!$L$23*F84+Overview!$L$24*G84+Overview!$L$25*H84+Overview!$L$26*I84+Overview!$L$27*J84+Overview!$L$28*K84+Construction!E84*20+Construction!B84*5 + DZ84*$DV$4+EB84*$DV$5+ED84*$DV$6+EF84*$DV$7+EI84*$DV$9</f>
        <v>20900</v>
      </c>
      <c r="EO84" s="734">
        <f>(J84+2*K84)/Construction!E84</f>
        <v>0</v>
      </c>
      <c r="EP84" s="730">
        <f ca="1">EO84*(1+race_wizard_strength+tech_magical_weaponry_wiz*Techs!AV156)</f>
        <v>0</v>
      </c>
      <c r="EQ84" s="16">
        <f>(I84+halfer*H84/3)/Construction!E84</f>
        <v>0</v>
      </c>
    </row>
    <row r="85" spans="1:147" s="16" customFormat="1" x14ac:dyDescent="0.25">
      <c r="A85" s="627">
        <f>Rezone!J85</f>
        <v>83</v>
      </c>
      <c r="B85" s="152">
        <f ca="1">SUM(E85:K85)+SUM(AF77:AG85)+SUM(AH74:AL85)+Z85+Explore!AL85</f>
        <v>5295</v>
      </c>
      <c r="C85" s="97">
        <f ca="1">Population!G85</f>
        <v>0.74159663865546221</v>
      </c>
      <c r="E85" s="156">
        <f t="shared" si="169"/>
        <v>0</v>
      </c>
      <c r="F85" s="170">
        <f t="shared" si="170"/>
        <v>0</v>
      </c>
      <c r="G85" s="170">
        <f t="shared" si="171"/>
        <v>0</v>
      </c>
      <c r="H85" s="170">
        <f t="shared" si="172"/>
        <v>0</v>
      </c>
      <c r="I85" s="170">
        <f t="shared" si="173"/>
        <v>0</v>
      </c>
      <c r="J85" s="170">
        <f t="shared" si="174"/>
        <v>0</v>
      </c>
      <c r="K85" s="157">
        <f t="shared" si="175"/>
        <v>0</v>
      </c>
      <c r="M85" s="64">
        <f ca="1">Production!G85</f>
        <v>20900</v>
      </c>
      <c r="O85" s="234">
        <f t="shared" ca="1" si="112"/>
        <v>0</v>
      </c>
      <c r="P85" s="454">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53"/>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13"/>
        <v>5295</v>
      </c>
      <c r="T85" s="1047">
        <f ca="1">race_defense+Imps!AC85+ROUND(MIN(gt_bonus*Construction!BH85/Construction!$E85,gt_bonus_cap),4)+MAX(IF(Magic!AM85&gt;0,frenzy_bonus,IF(Magic!AQ85&gt;0,blizzard_bonus,IF(Magic!AP85&gt;0,howling_dp_bonus,IF(Magic!AI85&gt;0,ares_call_bonus)))),IF(Magic!AX85&gt;0,MIN(Construction!DF85/Construction!E85,0.2),0))</f>
        <v>0</v>
      </c>
      <c r="U85" s="1041">
        <f t="shared" ca="1" si="154"/>
        <v>0</v>
      </c>
      <c r="V85" s="308">
        <f t="shared" ca="1" si="155"/>
        <v>5295</v>
      </c>
      <c r="W85" s="310">
        <f>Construction!E85</f>
        <v>1000</v>
      </c>
      <c r="X85" s="367"/>
      <c r="Y85" s="146">
        <f t="shared" si="168"/>
        <v>0.4</v>
      </c>
      <c r="Z85" s="166">
        <f ca="1">Z84+Population!Z84 - IF(race="Lux",AF85,SUM(AF85:AK85)) - BE85 + SUM(BF85:BL85) - Explore!AI85</f>
        <v>5295</v>
      </c>
      <c r="AA85" s="164"/>
      <c r="AB85" s="91">
        <f>(Construction!$BA85+Construction!BY85)/(Construction!$E85-Explore!S85*20)</f>
        <v>0</v>
      </c>
      <c r="AC85" s="1515">
        <f ca="1">Imps!AE85</f>
        <v>0</v>
      </c>
      <c r="AD85" s="795">
        <f>Rezone!J85</f>
        <v>83</v>
      </c>
      <c r="AE85" s="587">
        <f>Explore!AA85</f>
        <v>43768.854166666468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14"/>
        <v>0</v>
      </c>
      <c r="AV85" s="164">
        <f t="shared" ca="1" si="115"/>
        <v>0</v>
      </c>
      <c r="AW85" s="164">
        <f t="shared" ca="1" si="156"/>
        <v>0</v>
      </c>
      <c r="AX85" s="164">
        <f t="shared" ca="1" si="157"/>
        <v>0</v>
      </c>
      <c r="AY85" s="164">
        <f t="shared" ca="1" si="158"/>
        <v>0</v>
      </c>
      <c r="AZ85" s="164">
        <f t="shared" ca="1" si="159"/>
        <v>0</v>
      </c>
      <c r="BA85" s="166">
        <f t="shared" ca="1" si="160"/>
        <v>0</v>
      </c>
      <c r="BB85" s="16">
        <v>70</v>
      </c>
      <c r="BC85" s="572">
        <f t="shared" si="176"/>
        <v>43768.854166666468</v>
      </c>
      <c r="BD85" s="148">
        <f t="shared" ca="1" si="162"/>
        <v>5295</v>
      </c>
      <c r="BE85" s="375"/>
      <c r="BF85" s="348"/>
      <c r="BG85" s="348"/>
      <c r="BH85" s="348"/>
      <c r="BI85" s="348"/>
      <c r="BJ85" s="348"/>
      <c r="BK85" s="348"/>
      <c r="BL85" s="357"/>
      <c r="BN85" s="501">
        <f>Construction!BM85/Construction!E85</f>
        <v>0</v>
      </c>
      <c r="BO85" s="171">
        <f>Construction!BD85/Construction!E85</f>
        <v>0</v>
      </c>
      <c r="BP85" s="152">
        <f ca="1">ROUNDUP((1-MIN(AB85*smithy_bonus,smithy_bonus_cap)-AC85)*(1+Techs!AO85*tech_master_of_frugality)*spec_op_plat,0)</f>
        <v>275</v>
      </c>
      <c r="BQ85" s="164">
        <f ca="1">ROUNDUP(IF(OR(race="Gnome",race="Imperial Gnome"),1-AC85,(1-MIN(AB85*smithy_bonus,smithy_bonus_cap)-AC85)*(1+Techs!AO85*tech_master_of_frugality))*spec_op_ore,0)</f>
        <v>25</v>
      </c>
      <c r="BR85" s="164">
        <f t="shared" si="116"/>
        <v>0</v>
      </c>
      <c r="BS85" s="164">
        <f t="shared" si="117"/>
        <v>0</v>
      </c>
      <c r="BT85" s="164">
        <f ca="1">ROUNDUP((1-MIN(AB85*smithy_bonus,smithy_bonus_cap)-AC85)*(1+Techs!AO85*tech_master_of_frugality)*spec_dp_plat,0)</f>
        <v>275</v>
      </c>
      <c r="BU85" s="164">
        <f ca="1">ROUNDUP(IF(OR(race="Gnome",race="Imperial Gnome"),1-AC85,(1-MIN(AB85*smithy_bonus,smithy_bonus_cap)-AC85)*(1+Techs!AO85*tech_master_of_frugality))*spec_dp_ore,0)</f>
        <v>10</v>
      </c>
      <c r="BV85" s="164">
        <f t="shared" ca="1" si="118"/>
        <v>0</v>
      </c>
      <c r="BW85" s="164">
        <f t="shared" ca="1" si="119"/>
        <v>0</v>
      </c>
      <c r="BX85" s="164">
        <f t="shared" ca="1" si="120"/>
        <v>0</v>
      </c>
      <c r="BY85" s="164">
        <f ca="1">ROUNDUP((1-MIN(AB85*smithy_bonus,smithy_bonus_cap)-AC85)*(1+Techs!AO85*tech_master_of_frugality)*elite1_plat,0)</f>
        <v>1000</v>
      </c>
      <c r="BZ85" s="164">
        <f ca="1">ROUNDUP(IF(OR(race="Gnome",race="Imperial Gnome"),1-AC85,(1-MIN(AB85*smithy_bonus,smithy_bonus_cap)-AC85)*(1+Techs!AO85*tech_master_of_frugality))*elite1_ore,0)</f>
        <v>75</v>
      </c>
      <c r="CA85" s="164">
        <f t="shared" ca="1" si="163"/>
        <v>0</v>
      </c>
      <c r="CB85" s="164">
        <f t="shared" ca="1" si="121"/>
        <v>0</v>
      </c>
      <c r="CC85" s="164">
        <f t="shared" ca="1" si="122"/>
        <v>0</v>
      </c>
      <c r="CD85" s="164">
        <f t="shared" ca="1" si="123"/>
        <v>0</v>
      </c>
      <c r="CE85" s="164">
        <f t="shared" ca="1" si="124"/>
        <v>0</v>
      </c>
      <c r="CF85" s="164">
        <f ca="1">ROUNDUP((1-MIN(AB85*smithy_bonus,smithy_bonus_cap)-AC85)*(1+Techs!AO85*tech_master_of_frugality)*elite2_plat,0)</f>
        <v>1250</v>
      </c>
      <c r="CG85" s="164">
        <f ca="1">ROUNDUP(IF(OR(race="Gnome",race="Imperial Gnome"),1-AC85,(1-MIN(AB85*smithy_bonus,smithy_bonus_cap)-AC85)*(1+Techs!AO85*tech_master_of_frugality))*elite2_ore,0)</f>
        <v>100</v>
      </c>
      <c r="CH85" s="164">
        <f t="shared" ca="1" si="164"/>
        <v>0</v>
      </c>
      <c r="CI85" s="164">
        <f t="shared" ca="1" si="125"/>
        <v>0</v>
      </c>
      <c r="CJ85" s="164">
        <f t="shared" ca="1" si="126"/>
        <v>0</v>
      </c>
      <c r="CK85" s="164">
        <f t="shared" ca="1" si="127"/>
        <v>0</v>
      </c>
      <c r="CL85" s="164">
        <f t="shared" ca="1" si="128"/>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4">
        <f ca="1">Construction!DF85/Construction!E85</f>
        <v>0.15</v>
      </c>
      <c r="CR85" s="465">
        <f t="shared" si="177"/>
        <v>0</v>
      </c>
      <c r="CS85" s="465">
        <f>Construction!BK85/Construction!E85</f>
        <v>0.05</v>
      </c>
      <c r="CT85" s="465">
        <f>Construction!BJ85/Construction!E85</f>
        <v>0</v>
      </c>
      <c r="CU85" s="465">
        <f>Construction!AY85/Construction!E85</f>
        <v>0</v>
      </c>
      <c r="CV85" s="480">
        <f t="shared" ca="1" si="129"/>
        <v>0.74999999999999989</v>
      </c>
      <c r="CW85" s="481">
        <f t="shared" ca="1" si="130"/>
        <v>0.74999999999999989</v>
      </c>
      <c r="CX85" s="481">
        <f t="shared" ca="1" si="131"/>
        <v>0.74999999999999989</v>
      </c>
      <c r="CY85" s="482">
        <f t="shared" ca="1" si="132"/>
        <v>0.74999999999999989</v>
      </c>
      <c r="CZ85" s="482">
        <f t="shared" si="133"/>
        <v>0</v>
      </c>
      <c r="DA85" s="482">
        <f t="shared" ca="1" si="134"/>
        <v>2.9999999999999996</v>
      </c>
      <c r="DB85" s="482">
        <f t="shared" ca="1" si="135"/>
        <v>0.74999999999999989</v>
      </c>
      <c r="DC85" s="481">
        <f t="shared" si="136"/>
        <v>0</v>
      </c>
      <c r="DD85" s="842">
        <f t="shared" si="137"/>
        <v>0</v>
      </c>
      <c r="DE85" s="439">
        <f t="shared" si="166"/>
        <v>0</v>
      </c>
      <c r="DF85" s="439">
        <f t="shared" si="167"/>
        <v>0</v>
      </c>
      <c r="DG85" s="480">
        <f t="shared" ca="1" si="138"/>
        <v>0.74999999999999989</v>
      </c>
      <c r="DH85" s="449">
        <f t="shared" si="139"/>
        <v>0</v>
      </c>
      <c r="DI85" s="449">
        <f>MIN(valkyrja_cap,Production!O85/valkyrja_bonus)</f>
        <v>1</v>
      </c>
      <c r="DJ85" s="842">
        <f>MIN(voodoo_magi_cap,Production!O85/voodoo_magi_bonus)</f>
        <v>0.83333333333333337</v>
      </c>
      <c r="DK85" s="842">
        <f>MIN(warlock_cap,Production!O85/warlock_bonus)</f>
        <v>1</v>
      </c>
      <c r="DL85" s="842">
        <f ca="1">MIN(nox_nightshade_cap,Construction!DF85/Construction!E85/nox_nightshade_swamp_bonus)</f>
        <v>1.4999999999999998</v>
      </c>
      <c r="DM85" s="481">
        <f t="shared" si="140"/>
        <v>0</v>
      </c>
      <c r="DN85" s="482">
        <f t="shared" ca="1" si="141"/>
        <v>1.4999999999999998</v>
      </c>
      <c r="DO85" s="482">
        <f t="shared" ca="1" si="142"/>
        <v>1.4999999999999998</v>
      </c>
      <c r="DP85" s="482">
        <f t="shared" si="143"/>
        <v>1</v>
      </c>
      <c r="DQ85" s="481">
        <f t="shared" si="144"/>
        <v>0</v>
      </c>
      <c r="DR85" s="482">
        <f t="shared" si="145"/>
        <v>0</v>
      </c>
      <c r="DS85" s="481">
        <f t="shared" si="146"/>
        <v>0</v>
      </c>
      <c r="DT85" s="482">
        <f t="shared" si="147"/>
        <v>0</v>
      </c>
      <c r="DX85" s="486">
        <f ca="1">MIN(6,CV85+Races!$F$19)*1.8 +  IF(CV85+Races!$F$19&gt;6,(CV85+Races!$F$19-6)*0.2,0) - Races!$N$19</f>
        <v>1.3500000000000005</v>
      </c>
      <c r="DY85" s="487">
        <f ca="1">1.8 * MIN(MAX(CW85+Races!$E$20,CX85+Races!$F$20),6)  +  0.45 * MIN(MIN(CW85+Races!$E$20,CX85+Races!$F$20),6)  +  0.2 * ( MAX(CW85+Races!$E$20-6,0) + MAX(CX85+Races!$F$20-6,0) )  -  Races!$N$20</f>
        <v>1.6874999999999991</v>
      </c>
      <c r="DZ85" s="57">
        <f t="shared" ca="1" si="148"/>
        <v>0</v>
      </c>
      <c r="EA85" s="663">
        <f ca="1">MIN(6,CY85+Races!$F$35)*1.8 +  IF(CY85+Races!$F$35&gt;6,(CY85+Races!$F$35-6)*0.2,0) - Races!$N$19</f>
        <v>-0.45000000000000018</v>
      </c>
      <c r="EB85" s="57">
        <f t="shared" ca="1" si="149"/>
        <v>0</v>
      </c>
      <c r="EC85" s="663">
        <f ca="1">1.8 * MIN(MAX(Races!$E$27,DB85+Races!$F$27),6)  +  0.45 * MIN(MIN(Races!$E$27,DB85+Races!$F$27),6)  +  0.2 * ( MAX(Races!$E$27-6,0) + MAX(DB85+Races!$F$27-6,0) )  -  Races!$N$20</f>
        <v>3.6000000000000005</v>
      </c>
      <c r="ED85" s="57">
        <f t="shared" ca="1" si="150"/>
        <v>0</v>
      </c>
      <c r="EE85" s="663">
        <f>1.8 * MIN(MAX(DC85+Races!$E$47,DD85+Races!$F$47),6)  +  0.45 * MIN(MIN(DC85+Races!$E$47,DD85+Races!$F$47),6)  +  0.2 * ( MAX(DC85+Races!$E$47-6,0) + MAX(DD85+Races!$F$47-6,0) )  -  Races!$N$47</f>
        <v>0</v>
      </c>
      <c r="EF85" s="57">
        <f t="shared" si="151"/>
        <v>0</v>
      </c>
      <c r="EG85" s="663">
        <f ca="1">1.8 * MIN(MAX(DG85+Races!$F$71,Races!$E$71),6)  +  0.45 * MIN(MIN(DG85+Races!$F$71,Races!$E$71),6)  +  0.2 * ( MAX(DG85+Races!$F$71-6,0) + MAX(Races!$E$71-6,0) )  -  Races!$N$71</f>
        <v>1.3499999999999996</v>
      </c>
      <c r="EH85" s="663">
        <f>1.8 * MIN(MAX(DH85+Races!$E$71,Races!$F$71),6)  +  0.45 * MIN(MIN(DH85+Races!$E$71,Races!$F$71),6)  +  0.2 * ( MAX(DH85+Races!$E$71-6,0) + MAX(Races!$F$71-6,0) )  -  Races!$N$71</f>
        <v>0</v>
      </c>
      <c r="EI85" s="57">
        <f t="shared" ca="1" si="152"/>
        <v>0</v>
      </c>
      <c r="EJ85" s="57"/>
      <c r="EK85" s="57"/>
      <c r="EL85" s="57"/>
      <c r="EM85" s="57">
        <f ca="1">Overview!$L$22*E85+Overview!$L$23*F85+Overview!$L$24*G85+Overview!$L$25*H85+Overview!$L$26*I85+Overview!$L$27*J85+Overview!$L$28*K85+Construction!E85*20+Construction!B85*5 + DZ85*$DV$4+EB85*$DV$5+ED85*$DV$6+EF85*$DV$7+EI85*$DV$9</f>
        <v>20900</v>
      </c>
      <c r="EO85" s="734">
        <f>(J85+2*K85)/Construction!E85</f>
        <v>0</v>
      </c>
      <c r="EP85" s="730">
        <f ca="1">EO85*(1+race_wizard_strength+tech_magical_weaponry_wiz*Techs!AV157)</f>
        <v>0</v>
      </c>
      <c r="EQ85" s="16">
        <f>(I85+halfer*H85/3)/Construction!E85</f>
        <v>0</v>
      </c>
    </row>
    <row r="86" spans="1:147" s="170" customFormat="1" x14ac:dyDescent="0.25">
      <c r="A86" s="627">
        <f>Rezone!J86</f>
        <v>84</v>
      </c>
      <c r="B86" s="152">
        <f ca="1">SUM(E86:K86)+SUM(AF78:AG86)+SUM(AH75:AL86)+Z86+Explore!AL86</f>
        <v>5295</v>
      </c>
      <c r="C86" s="171">
        <f ca="1">Population!G86</f>
        <v>0.74159663865546221</v>
      </c>
      <c r="E86" s="156">
        <f t="shared" si="169"/>
        <v>0</v>
      </c>
      <c r="F86" s="170">
        <f t="shared" si="170"/>
        <v>0</v>
      </c>
      <c r="G86" s="170">
        <f t="shared" si="171"/>
        <v>0</v>
      </c>
      <c r="H86" s="170">
        <f t="shared" si="172"/>
        <v>0</v>
      </c>
      <c r="I86" s="170">
        <f t="shared" si="173"/>
        <v>0</v>
      </c>
      <c r="J86" s="170">
        <f t="shared" si="174"/>
        <v>0</v>
      </c>
      <c r="K86" s="157">
        <f t="shared" si="175"/>
        <v>0</v>
      </c>
      <c r="M86" s="160">
        <f ca="1">Production!G86</f>
        <v>20900</v>
      </c>
      <c r="O86" s="234">
        <f t="shared" ca="1" si="112"/>
        <v>0</v>
      </c>
      <c r="P86" s="454">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53"/>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13"/>
        <v>5295</v>
      </c>
      <c r="T86" s="1047">
        <f ca="1">race_defense+Imps!AC86+ROUND(MIN(gt_bonus*Construction!BH86/Construction!$E86,gt_bonus_cap),4)+MAX(IF(Magic!AM86&gt;0,frenzy_bonus,IF(Magic!AQ86&gt;0,blizzard_bonus,IF(Magic!AP86&gt;0,howling_dp_bonus,IF(Magic!AI86&gt;0,ares_call_bonus)))),IF(Magic!AX86&gt;0,MIN(Construction!DF86/Construction!E86,0.2),0))</f>
        <v>0</v>
      </c>
      <c r="U86" s="1041">
        <f t="shared" ca="1" si="154"/>
        <v>0</v>
      </c>
      <c r="V86" s="308">
        <f t="shared" ca="1" si="155"/>
        <v>5295</v>
      </c>
      <c r="W86" s="308">
        <f>Construction!E86</f>
        <v>1000</v>
      </c>
      <c r="X86" s="364"/>
      <c r="Y86" s="232">
        <f t="shared" si="168"/>
        <v>0.4</v>
      </c>
      <c r="Z86" s="166">
        <f ca="1">Z85+Population!Z85 - IF(race="Lux",AF86,SUM(AF86:AK86)) - BE86 + SUM(BF86:BL86) - Explore!AI86</f>
        <v>5295</v>
      </c>
      <c r="AA86" s="164"/>
      <c r="AB86" s="251">
        <f>(Construction!$BA86+Construction!BY86)/(Construction!$E86-Explore!S86*20)</f>
        <v>0</v>
      </c>
      <c r="AC86" s="1515">
        <f ca="1">Imps!AE86</f>
        <v>0</v>
      </c>
      <c r="AD86" s="794">
        <f>Rezone!J86</f>
        <v>84</v>
      </c>
      <c r="AE86" s="587">
        <f>Explore!AA86</f>
        <v>43768.864583333132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14"/>
        <v>0</v>
      </c>
      <c r="AV86" s="164">
        <f t="shared" ca="1" si="115"/>
        <v>0</v>
      </c>
      <c r="AW86" s="164">
        <f t="shared" ca="1" si="156"/>
        <v>0</v>
      </c>
      <c r="AX86" s="164">
        <f t="shared" ca="1" si="157"/>
        <v>0</v>
      </c>
      <c r="AY86" s="164">
        <f t="shared" ca="1" si="158"/>
        <v>0</v>
      </c>
      <c r="AZ86" s="164">
        <f t="shared" ca="1" si="159"/>
        <v>0</v>
      </c>
      <c r="BA86" s="166">
        <f t="shared" ca="1" si="160"/>
        <v>0</v>
      </c>
      <c r="BB86" s="170">
        <v>71</v>
      </c>
      <c r="BC86" s="530">
        <f t="shared" si="176"/>
        <v>43768.864583333132</v>
      </c>
      <c r="BD86" s="233">
        <f t="shared" ca="1" si="162"/>
        <v>5295</v>
      </c>
      <c r="BE86" s="375"/>
      <c r="BF86" s="345"/>
      <c r="BG86" s="345"/>
      <c r="BH86" s="345"/>
      <c r="BI86" s="345"/>
      <c r="BJ86" s="345"/>
      <c r="BK86" s="345"/>
      <c r="BL86" s="353"/>
      <c r="BN86" s="501">
        <f>Construction!BM86/Construction!E86</f>
        <v>0</v>
      </c>
      <c r="BO86" s="171">
        <f>Construction!BD86/Construction!E86</f>
        <v>0</v>
      </c>
      <c r="BP86" s="152">
        <f ca="1">ROUNDUP((1-MIN(AB86*smithy_bonus,smithy_bonus_cap)-AC86)*(1+Techs!AO86*tech_master_of_frugality)*spec_op_plat,0)</f>
        <v>275</v>
      </c>
      <c r="BQ86" s="164">
        <f ca="1">ROUNDUP(IF(OR(race="Gnome",race="Imperial Gnome"),1-AC86,(1-MIN(AB86*smithy_bonus,smithy_bonus_cap)-AC86)*(1+Techs!AO86*tech_master_of_frugality))*spec_op_ore,0)</f>
        <v>25</v>
      </c>
      <c r="BR86" s="164">
        <f t="shared" si="116"/>
        <v>0</v>
      </c>
      <c r="BS86" s="164">
        <f t="shared" si="117"/>
        <v>0</v>
      </c>
      <c r="BT86" s="164">
        <f ca="1">ROUNDUP((1-MIN(AB86*smithy_bonus,smithy_bonus_cap)-AC86)*(1+Techs!AO86*tech_master_of_frugality)*spec_dp_plat,0)</f>
        <v>275</v>
      </c>
      <c r="BU86" s="164">
        <f ca="1">ROUNDUP(IF(OR(race="Gnome",race="Imperial Gnome"),1-AC86,(1-MIN(AB86*smithy_bonus,smithy_bonus_cap)-AC86)*(1+Techs!AO86*tech_master_of_frugality))*spec_dp_ore,0)</f>
        <v>10</v>
      </c>
      <c r="BV86" s="164">
        <f t="shared" ca="1" si="118"/>
        <v>0</v>
      </c>
      <c r="BW86" s="164">
        <f t="shared" ca="1" si="119"/>
        <v>0</v>
      </c>
      <c r="BX86" s="164">
        <f t="shared" ca="1" si="120"/>
        <v>0</v>
      </c>
      <c r="BY86" s="164">
        <f ca="1">ROUNDUP((1-MIN(AB86*smithy_bonus,smithy_bonus_cap)-AC86)*(1+Techs!AO86*tech_master_of_frugality)*elite1_plat,0)</f>
        <v>1000</v>
      </c>
      <c r="BZ86" s="164">
        <f ca="1">ROUNDUP(IF(OR(race="Gnome",race="Imperial Gnome"),1-AC86,(1-MIN(AB86*smithy_bonus,smithy_bonus_cap)-AC86)*(1+Techs!AO86*tech_master_of_frugality))*elite1_ore,0)</f>
        <v>75</v>
      </c>
      <c r="CA86" s="164">
        <f t="shared" ca="1" si="163"/>
        <v>0</v>
      </c>
      <c r="CB86" s="164">
        <f t="shared" ca="1" si="121"/>
        <v>0</v>
      </c>
      <c r="CC86" s="164">
        <f t="shared" ca="1" si="122"/>
        <v>0</v>
      </c>
      <c r="CD86" s="164">
        <f t="shared" ca="1" si="123"/>
        <v>0</v>
      </c>
      <c r="CE86" s="164">
        <f t="shared" ca="1" si="124"/>
        <v>0</v>
      </c>
      <c r="CF86" s="164">
        <f ca="1">ROUNDUP((1-MIN(AB86*smithy_bonus,smithy_bonus_cap)-AC86)*(1+Techs!AO86*tech_master_of_frugality)*elite2_plat,0)</f>
        <v>1250</v>
      </c>
      <c r="CG86" s="164">
        <f ca="1">ROUNDUP(IF(OR(race="Gnome",race="Imperial Gnome"),1-AC86,(1-MIN(AB86*smithy_bonus,smithy_bonus_cap)-AC86)*(1+Techs!AO86*tech_master_of_frugality))*elite2_ore,0)</f>
        <v>100</v>
      </c>
      <c r="CH86" s="164">
        <f t="shared" ca="1" si="164"/>
        <v>0</v>
      </c>
      <c r="CI86" s="164">
        <f t="shared" ca="1" si="125"/>
        <v>0</v>
      </c>
      <c r="CJ86" s="164">
        <f t="shared" ca="1" si="126"/>
        <v>0</v>
      </c>
      <c r="CK86" s="164">
        <f t="shared" ca="1" si="127"/>
        <v>0</v>
      </c>
      <c r="CL86" s="164">
        <f t="shared" ca="1" si="128"/>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0">
        <f ca="1">Construction!DF86/Construction!E86</f>
        <v>0.15</v>
      </c>
      <c r="CR86" s="461">
        <f t="shared" si="177"/>
        <v>0</v>
      </c>
      <c r="CS86" s="461">
        <f>Construction!BK86/Construction!E86</f>
        <v>0.05</v>
      </c>
      <c r="CT86" s="461">
        <f>Construction!BJ86/Construction!E86</f>
        <v>0</v>
      </c>
      <c r="CU86" s="461">
        <f>Construction!AY86/Construction!E86</f>
        <v>0</v>
      </c>
      <c r="CV86" s="480">
        <f t="shared" ca="1" si="129"/>
        <v>0.74999999999999989</v>
      </c>
      <c r="CW86" s="481">
        <f t="shared" ca="1" si="130"/>
        <v>0.74999999999999989</v>
      </c>
      <c r="CX86" s="481">
        <f t="shared" ca="1" si="131"/>
        <v>0.74999999999999989</v>
      </c>
      <c r="CY86" s="482">
        <f t="shared" ca="1" si="132"/>
        <v>0.74999999999999989</v>
      </c>
      <c r="CZ86" s="482">
        <f t="shared" si="133"/>
        <v>0</v>
      </c>
      <c r="DA86" s="482">
        <f t="shared" ca="1" si="134"/>
        <v>2.9999999999999996</v>
      </c>
      <c r="DB86" s="482">
        <f t="shared" ca="1" si="135"/>
        <v>0.74999999999999989</v>
      </c>
      <c r="DC86" s="481">
        <f t="shared" si="136"/>
        <v>0</v>
      </c>
      <c r="DD86" s="842">
        <f t="shared" si="137"/>
        <v>0</v>
      </c>
      <c r="DE86" s="439">
        <f t="shared" si="166"/>
        <v>0</v>
      </c>
      <c r="DF86" s="439">
        <f t="shared" si="167"/>
        <v>0</v>
      </c>
      <c r="DG86" s="480">
        <f t="shared" ca="1" si="138"/>
        <v>0.74999999999999989</v>
      </c>
      <c r="DH86" s="449">
        <f t="shared" si="139"/>
        <v>0</v>
      </c>
      <c r="DI86" s="449">
        <f>MIN(valkyrja_cap,Production!O86/valkyrja_bonus)</f>
        <v>1</v>
      </c>
      <c r="DJ86" s="842">
        <f>MIN(voodoo_magi_cap,Production!O86/voodoo_magi_bonus)</f>
        <v>0.83333333333333337</v>
      </c>
      <c r="DK86" s="842">
        <f>MIN(warlock_cap,Production!O86/warlock_bonus)</f>
        <v>1</v>
      </c>
      <c r="DL86" s="842">
        <f ca="1">MIN(nox_nightshade_cap,Construction!DF86/Construction!E86/nox_nightshade_swamp_bonus)</f>
        <v>1.4999999999999998</v>
      </c>
      <c r="DM86" s="481">
        <f t="shared" si="140"/>
        <v>0</v>
      </c>
      <c r="DN86" s="482">
        <f t="shared" ca="1" si="141"/>
        <v>1.4999999999999998</v>
      </c>
      <c r="DO86" s="482">
        <f t="shared" ca="1" si="142"/>
        <v>1.4999999999999998</v>
      </c>
      <c r="DP86" s="482">
        <f t="shared" si="143"/>
        <v>1</v>
      </c>
      <c r="DQ86" s="481">
        <f t="shared" si="144"/>
        <v>0</v>
      </c>
      <c r="DR86" s="482">
        <f t="shared" si="145"/>
        <v>0</v>
      </c>
      <c r="DS86" s="481">
        <f t="shared" si="146"/>
        <v>0</v>
      </c>
      <c r="DT86" s="482">
        <f t="shared" si="147"/>
        <v>0</v>
      </c>
      <c r="DX86" s="480">
        <f ca="1">MIN(6,CV86+Races!$F$19)*1.8 +  IF(CV86+Races!$F$19&gt;6,(CV86+Races!$F$19-6)*0.2,0) - Races!$N$19</f>
        <v>1.3500000000000005</v>
      </c>
      <c r="DY86" s="481">
        <f ca="1">1.8 * MIN(MAX(CW86+Races!$E$20,CX86+Races!$F$20),6)  +  0.45 * MIN(MIN(CW86+Races!$E$20,CX86+Races!$F$20),6)  +  0.2 * ( MAX(CW86+Races!$E$20-6,0) + MAX(CX86+Races!$F$20-6,0) )  -  Races!$N$20</f>
        <v>1.6874999999999991</v>
      </c>
      <c r="DZ86" s="166">
        <f t="shared" ca="1" si="148"/>
        <v>0</v>
      </c>
      <c r="EA86" s="662">
        <f ca="1">MIN(6,CY86+Races!$F$35)*1.8 +  IF(CY86+Races!$F$35&gt;6,(CY86+Races!$F$35-6)*0.2,0) - Races!$N$19</f>
        <v>-0.45000000000000018</v>
      </c>
      <c r="EB86" s="166">
        <f t="shared" ca="1" si="149"/>
        <v>0</v>
      </c>
      <c r="EC86" s="662">
        <f ca="1">1.8 * MIN(MAX(Races!$E$27,DB86+Races!$F$27),6)  +  0.45 * MIN(MIN(Races!$E$27,DB86+Races!$F$27),6)  +  0.2 * ( MAX(Races!$E$27-6,0) + MAX(DB86+Races!$F$27-6,0) )  -  Races!$N$20</f>
        <v>3.6000000000000005</v>
      </c>
      <c r="ED86" s="166">
        <f t="shared" ca="1" si="150"/>
        <v>0</v>
      </c>
      <c r="EE86" s="662">
        <f>1.8 * MIN(MAX(DC86+Races!$E$47,DD86+Races!$F$47),6)  +  0.45 * MIN(MIN(DC86+Races!$E$47,DD86+Races!$F$47),6)  +  0.2 * ( MAX(DC86+Races!$E$47-6,0) + MAX(DD86+Races!$F$47-6,0) )  -  Races!$N$47</f>
        <v>0</v>
      </c>
      <c r="EF86" s="166">
        <f t="shared" si="151"/>
        <v>0</v>
      </c>
      <c r="EG86" s="662">
        <f ca="1">1.8 * MIN(MAX(DG86+Races!$F$71,Races!$E$71),6)  +  0.45 * MIN(MIN(DG86+Races!$F$71,Races!$E$71),6)  +  0.2 * ( MAX(DG86+Races!$F$71-6,0) + MAX(Races!$E$71-6,0) )  -  Races!$N$71</f>
        <v>1.3499999999999996</v>
      </c>
      <c r="EH86" s="662">
        <f>1.8 * MIN(MAX(DH86+Races!$E$71,Races!$F$71),6)  +  0.45 * MIN(MIN(DH86+Races!$E$71,Races!$F$71),6)  +  0.2 * ( MAX(DH86+Races!$E$71-6,0) + MAX(Races!$F$71-6,0) )  -  Races!$N$71</f>
        <v>0</v>
      </c>
      <c r="EI86" s="166">
        <f t="shared" ca="1" si="152"/>
        <v>0</v>
      </c>
      <c r="EJ86" s="166"/>
      <c r="EK86" s="166"/>
      <c r="EL86" s="166"/>
      <c r="EM86" s="166">
        <f ca="1">Overview!$L$22*E86+Overview!$L$23*F86+Overview!$L$24*G86+Overview!$L$25*H86+Overview!$L$26*I86+Overview!$L$27*J86+Overview!$L$28*K86+Construction!E86*20+Construction!B86*5 + DZ86*$DV$4+EB86*$DV$5+ED86*$DV$6+EF86*$DV$7+EI86*$DV$9</f>
        <v>20900</v>
      </c>
      <c r="EO86" s="733">
        <f>(J86+2*K86)/Construction!E86</f>
        <v>0</v>
      </c>
      <c r="EP86" s="730">
        <f ca="1">EO86*(1+race_wizard_strength+tech_magical_weaponry_wiz*Techs!AV158)</f>
        <v>0</v>
      </c>
      <c r="EQ86" s="170">
        <f>(I86+halfer*H86/3)/Construction!E86</f>
        <v>0</v>
      </c>
    </row>
    <row r="87" spans="1:147" s="163" customFormat="1" x14ac:dyDescent="0.25">
      <c r="A87" s="319">
        <f>Rezone!J87</f>
        <v>85</v>
      </c>
      <c r="B87" s="151">
        <f ca="1">SUM(E87:K87)+SUM(AF79:AG87)+SUM(AH76:AL87)+Z87+Explore!AL87</f>
        <v>5295</v>
      </c>
      <c r="C87" s="162">
        <f ca="1">Population!G87</f>
        <v>0.74159663865546221</v>
      </c>
      <c r="E87" s="184">
        <f t="shared" si="169"/>
        <v>0</v>
      </c>
      <c r="F87" s="163">
        <f t="shared" si="170"/>
        <v>0</v>
      </c>
      <c r="G87" s="163">
        <f t="shared" si="171"/>
        <v>0</v>
      </c>
      <c r="H87" s="163">
        <f t="shared" si="172"/>
        <v>0</v>
      </c>
      <c r="I87" s="163">
        <f t="shared" si="173"/>
        <v>0</v>
      </c>
      <c r="J87" s="163">
        <f t="shared" si="174"/>
        <v>0</v>
      </c>
      <c r="K87" s="185">
        <f t="shared" si="175"/>
        <v>0</v>
      </c>
      <c r="M87" s="203">
        <f ca="1">Production!G87</f>
        <v>20900</v>
      </c>
      <c r="O87" s="227">
        <f t="shared" ca="1" si="112"/>
        <v>0</v>
      </c>
      <c r="P87" s="446">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53"/>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13"/>
        <v>5295</v>
      </c>
      <c r="T87" s="1171">
        <f ca="1">race_defense+Imps!AC87+ROUND(MIN(gt_bonus*Construction!BH87/Construction!$E87,gt_bonus_cap),4)+MAX(IF(Magic!AM87&gt;0,frenzy_bonus,IF(Magic!AQ87&gt;0,blizzard_bonus,IF(Magic!AP87&gt;0,howling_dp_bonus,IF(Magic!AI87&gt;0,ares_call_bonus)))),IF(Magic!AX87&gt;0,MIN(Construction!DF87/Construction!E87,0.2),0))</f>
        <v>0</v>
      </c>
      <c r="U87" s="1042">
        <f t="shared" ca="1" si="154"/>
        <v>0</v>
      </c>
      <c r="V87" s="228">
        <f t="shared" ca="1" si="155"/>
        <v>5295</v>
      </c>
      <c r="W87" s="228">
        <f>Construction!E87</f>
        <v>1000</v>
      </c>
      <c r="X87" s="365"/>
      <c r="Y87" s="230">
        <f t="shared" si="168"/>
        <v>0.4</v>
      </c>
      <c r="Z87" s="158">
        <f ca="1">Z86+Population!Z86 - IF(race="Lux",AF87,SUM(AF87:AK87)) - BE87 + SUM(BF87:BL87) - Explore!AI87</f>
        <v>5295</v>
      </c>
      <c r="AA87" s="153"/>
      <c r="AB87" s="305">
        <f>(Construction!$BA87+Construction!BY87)/(Construction!$E87-Explore!S87*20)</f>
        <v>0</v>
      </c>
      <c r="AC87" s="1517">
        <f ca="1">Imps!AE87</f>
        <v>0</v>
      </c>
      <c r="AD87" s="796">
        <f>Rezone!J87</f>
        <v>85</v>
      </c>
      <c r="AE87" s="586">
        <f>Explore!AA87</f>
        <v>43768.874999999796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14"/>
        <v>0</v>
      </c>
      <c r="AV87" s="153">
        <f t="shared" ca="1" si="115"/>
        <v>0</v>
      </c>
      <c r="AW87" s="153">
        <f t="shared" ca="1" si="156"/>
        <v>0</v>
      </c>
      <c r="AX87" s="153">
        <f t="shared" ca="1" si="157"/>
        <v>0</v>
      </c>
      <c r="AY87" s="153">
        <f t="shared" ca="1" si="158"/>
        <v>0</v>
      </c>
      <c r="AZ87" s="153">
        <f t="shared" ca="1" si="159"/>
        <v>0</v>
      </c>
      <c r="BA87" s="158">
        <f t="shared" ca="1" si="160"/>
        <v>0</v>
      </c>
      <c r="BB87" s="163">
        <v>72</v>
      </c>
      <c r="BC87" s="674">
        <f t="shared" si="176"/>
        <v>43768.874999999796</v>
      </c>
      <c r="BD87" s="231">
        <f t="shared" ca="1" si="162"/>
        <v>5295</v>
      </c>
      <c r="BE87" s="371"/>
      <c r="BF87" s="346"/>
      <c r="BG87" s="346"/>
      <c r="BH87" s="346"/>
      <c r="BI87" s="346"/>
      <c r="BJ87" s="346"/>
      <c r="BK87" s="346"/>
      <c r="BL87" s="372"/>
      <c r="BN87" s="500">
        <f>Construction!BM87/Construction!E87</f>
        <v>0</v>
      </c>
      <c r="BO87" s="162">
        <f>Construction!BD87/Construction!E87</f>
        <v>0</v>
      </c>
      <c r="BP87" s="151">
        <f ca="1">ROUNDUP((1-MIN(AB87*smithy_bonus,smithy_bonus_cap)-AC87)*(1+Techs!AO87*tech_master_of_frugality)*spec_op_plat,0)</f>
        <v>275</v>
      </c>
      <c r="BQ87" s="153">
        <f ca="1">ROUNDUP(IF(OR(race="Gnome",race="Imperial Gnome"),1-AC87,(1-MIN(AB87*smithy_bonus,smithy_bonus_cap)-AC87)*(1+Techs!AO87*tech_master_of_frugality))*spec_op_ore,0)</f>
        <v>25</v>
      </c>
      <c r="BR87" s="153">
        <f t="shared" si="116"/>
        <v>0</v>
      </c>
      <c r="BS87" s="153">
        <f t="shared" si="117"/>
        <v>0</v>
      </c>
      <c r="BT87" s="153">
        <f ca="1">ROUNDUP((1-MIN(AB87*smithy_bonus,smithy_bonus_cap)-AC87)*(1+Techs!AO87*tech_master_of_frugality)*spec_dp_plat,0)</f>
        <v>275</v>
      </c>
      <c r="BU87" s="153">
        <f ca="1">ROUNDUP(IF(OR(race="Gnome",race="Imperial Gnome"),1-AC87,(1-MIN(AB87*smithy_bonus,smithy_bonus_cap)-AC87)*(1+Techs!AO87*tech_master_of_frugality))*spec_dp_ore,0)</f>
        <v>10</v>
      </c>
      <c r="BV87" s="153">
        <f t="shared" ca="1" si="118"/>
        <v>0</v>
      </c>
      <c r="BW87" s="153">
        <f t="shared" ca="1" si="119"/>
        <v>0</v>
      </c>
      <c r="BX87" s="153">
        <f t="shared" ca="1" si="120"/>
        <v>0</v>
      </c>
      <c r="BY87" s="153">
        <f ca="1">ROUNDUP((1-MIN(AB87*smithy_bonus,smithy_bonus_cap)-AC87)*(1+Techs!AO87*tech_master_of_frugality)*elite1_plat,0)</f>
        <v>1000</v>
      </c>
      <c r="BZ87" s="153">
        <f ca="1">ROUNDUP(IF(OR(race="Gnome",race="Imperial Gnome"),1-AC87,(1-MIN(AB87*smithy_bonus,smithy_bonus_cap)-AC87)*(1+Techs!AO87*tech_master_of_frugality))*elite1_ore,0)</f>
        <v>75</v>
      </c>
      <c r="CA87" s="153">
        <f t="shared" ca="1" si="163"/>
        <v>0</v>
      </c>
      <c r="CB87" s="153">
        <f t="shared" ca="1" si="121"/>
        <v>0</v>
      </c>
      <c r="CC87" s="153">
        <f t="shared" ca="1" si="122"/>
        <v>0</v>
      </c>
      <c r="CD87" s="153">
        <f t="shared" ca="1" si="123"/>
        <v>0</v>
      </c>
      <c r="CE87" s="153">
        <f t="shared" ca="1" si="124"/>
        <v>0</v>
      </c>
      <c r="CF87" s="153">
        <f ca="1">ROUNDUP((1-MIN(AB87*smithy_bonus,smithy_bonus_cap)-AC87)*(1+Techs!AO87*tech_master_of_frugality)*elite2_plat,0)</f>
        <v>1250</v>
      </c>
      <c r="CG87" s="153">
        <f ca="1">ROUNDUP(IF(OR(race="Gnome",race="Imperial Gnome"),1-AC87,(1-MIN(AB87*smithy_bonus,smithy_bonus_cap)-AC87)*(1+Techs!AO87*tech_master_of_frugality))*elite2_ore,0)</f>
        <v>100</v>
      </c>
      <c r="CH87" s="153">
        <f t="shared" ca="1" si="164"/>
        <v>0</v>
      </c>
      <c r="CI87" s="153">
        <f t="shared" ca="1" si="125"/>
        <v>0</v>
      </c>
      <c r="CJ87" s="153">
        <f t="shared" ca="1" si="126"/>
        <v>0</v>
      </c>
      <c r="CK87" s="153">
        <f t="shared" ca="1" si="127"/>
        <v>0</v>
      </c>
      <c r="CL87" s="153">
        <f t="shared" ca="1" si="128"/>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8">
        <f ca="1">Construction!DF87/Construction!E87</f>
        <v>0.15</v>
      </c>
      <c r="CR87" s="459">
        <f t="shared" si="177"/>
        <v>0</v>
      </c>
      <c r="CS87" s="459">
        <f>Construction!BK87/Construction!E87</f>
        <v>0.05</v>
      </c>
      <c r="CT87" s="459">
        <f>Construction!BJ87/Construction!E87</f>
        <v>0</v>
      </c>
      <c r="CU87" s="459">
        <f>Construction!AY87/Construction!E87</f>
        <v>0</v>
      </c>
      <c r="CV87" s="477">
        <f t="shared" ca="1" si="129"/>
        <v>0.74999999999999989</v>
      </c>
      <c r="CW87" s="478">
        <f t="shared" ca="1" si="130"/>
        <v>0.74999999999999989</v>
      </c>
      <c r="CX87" s="478">
        <f t="shared" ca="1" si="131"/>
        <v>0.74999999999999989</v>
      </c>
      <c r="CY87" s="479">
        <f t="shared" ca="1" si="132"/>
        <v>0.74999999999999989</v>
      </c>
      <c r="CZ87" s="479">
        <f t="shared" si="133"/>
        <v>0</v>
      </c>
      <c r="DA87" s="479">
        <f t="shared" ca="1" si="134"/>
        <v>2.9999999999999996</v>
      </c>
      <c r="DB87" s="479">
        <f t="shared" ca="1" si="135"/>
        <v>0.74999999999999989</v>
      </c>
      <c r="DC87" s="478">
        <f t="shared" si="136"/>
        <v>0</v>
      </c>
      <c r="DD87" s="844">
        <f t="shared" si="137"/>
        <v>0</v>
      </c>
      <c r="DE87" s="727">
        <f t="shared" si="166"/>
        <v>0</v>
      </c>
      <c r="DF87" s="727">
        <f t="shared" si="167"/>
        <v>0</v>
      </c>
      <c r="DG87" s="477">
        <f t="shared" ca="1" si="138"/>
        <v>0.74999999999999989</v>
      </c>
      <c r="DH87" s="447">
        <f t="shared" si="139"/>
        <v>0</v>
      </c>
      <c r="DI87" s="447">
        <f>MIN(valkyrja_cap,Production!O87/valkyrja_bonus)</f>
        <v>1</v>
      </c>
      <c r="DJ87" s="844">
        <f>MIN(voodoo_magi_cap,Production!O87/voodoo_magi_bonus)</f>
        <v>0.83333333333333337</v>
      </c>
      <c r="DK87" s="844">
        <f>MIN(warlock_cap,Production!O87/warlock_bonus)</f>
        <v>1</v>
      </c>
      <c r="DL87" s="844">
        <f ca="1">MIN(nox_nightshade_cap,Construction!DF87/Construction!E87/nox_nightshade_swamp_bonus)</f>
        <v>1.4999999999999998</v>
      </c>
      <c r="DM87" s="478">
        <f t="shared" si="140"/>
        <v>0</v>
      </c>
      <c r="DN87" s="479">
        <f t="shared" ca="1" si="141"/>
        <v>1.4999999999999998</v>
      </c>
      <c r="DO87" s="479">
        <f t="shared" ca="1" si="142"/>
        <v>1.4999999999999998</v>
      </c>
      <c r="DP87" s="479">
        <f t="shared" si="143"/>
        <v>1</v>
      </c>
      <c r="DQ87" s="478">
        <f t="shared" si="144"/>
        <v>0</v>
      </c>
      <c r="DR87" s="479">
        <f t="shared" si="145"/>
        <v>0</v>
      </c>
      <c r="DS87" s="478">
        <f t="shared" si="146"/>
        <v>0</v>
      </c>
      <c r="DT87" s="479">
        <f t="shared" si="147"/>
        <v>0</v>
      </c>
      <c r="DX87" s="477">
        <f ca="1">MIN(6,CV87+Races!$F$19)*1.8 +  IF(CV87+Races!$F$19&gt;6,(CV87+Races!$F$19-6)*0.2,0) - Races!$N$19</f>
        <v>1.3500000000000005</v>
      </c>
      <c r="DY87" s="478">
        <f ca="1">1.8 * MIN(MAX(CW87+Races!$E$20,CX87+Races!$F$20),6)  +  0.45 * MIN(MIN(CW87+Races!$E$20,CX87+Races!$F$20),6)  +  0.2 * ( MAX(CW87+Races!$E$20-6,0) + MAX(CX87+Races!$F$20-6,0) )  -  Races!$N$20</f>
        <v>1.6874999999999991</v>
      </c>
      <c r="DZ87" s="158">
        <f t="shared" ca="1" si="148"/>
        <v>0</v>
      </c>
      <c r="EA87" s="661">
        <f ca="1">MIN(6,CY87+Races!$F$35)*1.8 +  IF(CY87+Races!$F$35&gt;6,(CY87+Races!$F$35-6)*0.2,0) - Races!$N$19</f>
        <v>-0.45000000000000018</v>
      </c>
      <c r="EB87" s="158">
        <f t="shared" ca="1" si="149"/>
        <v>0</v>
      </c>
      <c r="EC87" s="661">
        <f ca="1">1.8 * MIN(MAX(Races!$E$27,DB87+Races!$F$27),6)  +  0.45 * MIN(MIN(Races!$E$27,DB87+Races!$F$27),6)  +  0.2 * ( MAX(Races!$E$27-6,0) + MAX(DB87+Races!$F$27-6,0) )  -  Races!$N$20</f>
        <v>3.6000000000000005</v>
      </c>
      <c r="ED87" s="158">
        <f t="shared" ca="1" si="150"/>
        <v>0</v>
      </c>
      <c r="EE87" s="661">
        <f>1.8 * MIN(MAX(DC87+Races!$E$47,DD87+Races!$F$47),6)  +  0.45 * MIN(MIN(DC87+Races!$E$47,DD87+Races!$F$47),6)  +  0.2 * ( MAX(DC87+Races!$E$47-6,0) + MAX(DD87+Races!$F$47-6,0) )  -  Races!$N$47</f>
        <v>0</v>
      </c>
      <c r="EF87" s="158">
        <f t="shared" si="151"/>
        <v>0</v>
      </c>
      <c r="EG87" s="661">
        <f ca="1">1.8 * MIN(MAX(DG87+Races!$F$71,Races!$E$71),6)  +  0.45 * MIN(MIN(DG87+Races!$F$71,Races!$E$71),6)  +  0.2 * ( MAX(DG87+Races!$F$71-6,0) + MAX(Races!$E$71-6,0) )  -  Races!$N$71</f>
        <v>1.3499999999999996</v>
      </c>
      <c r="EH87" s="661">
        <f>1.8 * MIN(MAX(DH87+Races!$E$71,Races!$F$71),6)  +  0.45 * MIN(MIN(DH87+Races!$E$71,Races!$F$71),6)  +  0.2 * ( MAX(DH87+Races!$E$71-6,0) + MAX(Races!$F$71-6,0) )  -  Races!$N$71</f>
        <v>0</v>
      </c>
      <c r="EI87" s="158">
        <f t="shared" ca="1" si="152"/>
        <v>0</v>
      </c>
      <c r="EJ87" s="158"/>
      <c r="EK87" s="158"/>
      <c r="EL87" s="158"/>
      <c r="EM87" s="158">
        <f ca="1">Overview!$L$22*E87+Overview!$L$23*F87+Overview!$L$24*G87+Overview!$L$25*H87+Overview!$L$26*I87+Overview!$L$27*J87+Overview!$L$28*K87+Construction!E87*20+Construction!B87*5 + DZ87*$DV$4+EB87*$DV$5+ED87*$DV$6+EF87*$DV$7+EI87*$DV$9</f>
        <v>20900</v>
      </c>
      <c r="EO87" s="735">
        <f>(J87+2*K87)/Construction!E87</f>
        <v>0</v>
      </c>
      <c r="EP87" s="731">
        <f ca="1">EO87*(1+race_wizard_strength+tech_magical_weaponry_wiz*Techs!AV159)</f>
        <v>0</v>
      </c>
      <c r="EQ87" s="163">
        <f>(I87+halfer*H87/3)/Construction!E87</f>
        <v>0</v>
      </c>
    </row>
    <row r="88" spans="1:147" s="170" customFormat="1" x14ac:dyDescent="0.25">
      <c r="A88" s="627">
        <f>Rezone!J88</f>
        <v>86</v>
      </c>
      <c r="B88" s="152">
        <f ca="1">SUM(E88:K88)+SUM(AF80:AG88)+SUM(AH77:AL88)+Z88+Explore!AL88</f>
        <v>5295</v>
      </c>
      <c r="C88" s="171">
        <f ca="1">Population!G88</f>
        <v>0.74159663865546221</v>
      </c>
      <c r="E88" s="156">
        <f t="shared" si="169"/>
        <v>0</v>
      </c>
      <c r="F88" s="170">
        <f t="shared" si="170"/>
        <v>0</v>
      </c>
      <c r="G88" s="170">
        <f t="shared" si="171"/>
        <v>0</v>
      </c>
      <c r="H88" s="170">
        <f t="shared" si="172"/>
        <v>0</v>
      </c>
      <c r="I88" s="170">
        <f t="shared" si="173"/>
        <v>0</v>
      </c>
      <c r="J88" s="170">
        <f t="shared" si="174"/>
        <v>0</v>
      </c>
      <c r="K88" s="157">
        <f t="shared" si="175"/>
        <v>0</v>
      </c>
      <c r="M88" s="160">
        <f ca="1">Production!G88</f>
        <v>20900</v>
      </c>
      <c r="O88" s="234">
        <f t="shared" ca="1" si="112"/>
        <v>0</v>
      </c>
      <c r="P88" s="454">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53"/>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13"/>
        <v>5295</v>
      </c>
      <c r="T88" s="1047">
        <f ca="1">race_defense+Imps!AC88+ROUND(MIN(gt_bonus*Construction!BH88/Construction!$E88,gt_bonus_cap),4)+MAX(IF(Magic!AM88&gt;0,frenzy_bonus,IF(Magic!AQ88&gt;0,blizzard_bonus,IF(Magic!AP88&gt;0,howling_dp_bonus,IF(Magic!AI88&gt;0,ares_call_bonus)))),IF(Magic!AX88&gt;0,MIN(Construction!DF88/Construction!E88,0.2),0))</f>
        <v>0</v>
      </c>
      <c r="U88" s="1041">
        <f t="shared" ca="1" si="154"/>
        <v>0</v>
      </c>
      <c r="V88" s="308">
        <f t="shared" ca="1" si="155"/>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1515">
        <f ca="1">Imps!AE88</f>
        <v>0</v>
      </c>
      <c r="AD88" s="794">
        <f>Rezone!J88</f>
        <v>86</v>
      </c>
      <c r="AE88" s="587">
        <f>Explore!AA88</f>
        <v>43768.885416666461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14"/>
        <v>0</v>
      </c>
      <c r="AV88" s="164">
        <f t="shared" ca="1" si="115"/>
        <v>0</v>
      </c>
      <c r="AW88" s="164">
        <f t="shared" ca="1" si="156"/>
        <v>0</v>
      </c>
      <c r="AX88" s="164">
        <f t="shared" ca="1" si="157"/>
        <v>0</v>
      </c>
      <c r="AY88" s="164">
        <f t="shared" ca="1" si="158"/>
        <v>0</v>
      </c>
      <c r="AZ88" s="164">
        <f t="shared" ca="1" si="159"/>
        <v>0</v>
      </c>
      <c r="BA88" s="166">
        <f t="shared" ca="1" si="160"/>
        <v>0</v>
      </c>
      <c r="BB88" s="170" t="s">
        <v>241</v>
      </c>
      <c r="BC88" s="530">
        <f t="shared" si="176"/>
        <v>43768.885416666461</v>
      </c>
      <c r="BD88" s="233">
        <f t="shared" ca="1" si="162"/>
        <v>5295</v>
      </c>
      <c r="BE88" s="352"/>
      <c r="BF88" s="345"/>
      <c r="BG88" s="345"/>
      <c r="BH88" s="345"/>
      <c r="BI88" s="345"/>
      <c r="BJ88" s="345"/>
      <c r="BK88" s="345"/>
      <c r="BL88" s="353"/>
      <c r="BN88" s="501">
        <f>Construction!BM88/Construction!E88</f>
        <v>0</v>
      </c>
      <c r="BO88" s="171">
        <f>Construction!BD88/Construction!E88</f>
        <v>0</v>
      </c>
      <c r="BP88" s="152">
        <f ca="1">ROUNDUP((1-MIN(AB88*smithy_bonus,smithy_bonus_cap)-AC88)*(1+Techs!AO88*tech_master_of_frugality)*spec_op_plat,0)</f>
        <v>275</v>
      </c>
      <c r="BQ88" s="164">
        <f ca="1">ROUNDUP(IF(OR(race="Gnome",race="Imperial Gnome"),1-AC88,(1-MIN(AB88*smithy_bonus,smithy_bonus_cap)-AC88)*(1+Techs!AO88*tech_master_of_frugality))*spec_op_ore,0)</f>
        <v>25</v>
      </c>
      <c r="BR88" s="164">
        <f t="shared" si="116"/>
        <v>0</v>
      </c>
      <c r="BS88" s="164">
        <f t="shared" si="117"/>
        <v>0</v>
      </c>
      <c r="BT88" s="164">
        <f ca="1">ROUNDUP((1-MIN(AB88*smithy_bonus,smithy_bonus_cap)-AC88)*(1+Techs!AO88*tech_master_of_frugality)*spec_dp_plat,0)</f>
        <v>275</v>
      </c>
      <c r="BU88" s="164">
        <f ca="1">ROUNDUP(IF(OR(race="Gnome",race="Imperial Gnome"),1-AC88,(1-MIN(AB88*smithy_bonus,smithy_bonus_cap)-AC88)*(1+Techs!AO88*tech_master_of_frugality))*spec_dp_ore,0)</f>
        <v>10</v>
      </c>
      <c r="BV88" s="164">
        <f t="shared" ca="1" si="118"/>
        <v>0</v>
      </c>
      <c r="BW88" s="164">
        <f t="shared" ca="1" si="119"/>
        <v>0</v>
      </c>
      <c r="BX88" s="164">
        <f t="shared" ca="1" si="120"/>
        <v>0</v>
      </c>
      <c r="BY88" s="164">
        <f ca="1">ROUNDUP((1-MIN(AB88*smithy_bonus,smithy_bonus_cap)-AC88)*(1+Techs!AO88*tech_master_of_frugality)*elite1_plat,0)</f>
        <v>1000</v>
      </c>
      <c r="BZ88" s="164">
        <f ca="1">ROUNDUP(IF(OR(race="Gnome",race="Imperial Gnome"),1-AC88,(1-MIN(AB88*smithy_bonus,smithy_bonus_cap)-AC88)*(1+Techs!AO88*tech_master_of_frugality))*elite1_ore,0)</f>
        <v>75</v>
      </c>
      <c r="CA88" s="164">
        <f t="shared" ca="1" si="163"/>
        <v>0</v>
      </c>
      <c r="CB88" s="164">
        <f t="shared" ca="1" si="121"/>
        <v>0</v>
      </c>
      <c r="CC88" s="164">
        <f t="shared" ca="1" si="122"/>
        <v>0</v>
      </c>
      <c r="CD88" s="164">
        <f t="shared" ca="1" si="123"/>
        <v>0</v>
      </c>
      <c r="CE88" s="164">
        <f t="shared" ca="1" si="124"/>
        <v>0</v>
      </c>
      <c r="CF88" s="164">
        <f ca="1">ROUNDUP((1-MIN(AB88*smithy_bonus,smithy_bonus_cap)-AC88)*(1+Techs!AO88*tech_master_of_frugality)*elite2_plat,0)</f>
        <v>1250</v>
      </c>
      <c r="CG88" s="164">
        <f ca="1">ROUNDUP(IF(OR(race="Gnome",race="Imperial Gnome"),1-AC88,(1-MIN(AB88*smithy_bonus,smithy_bonus_cap)-AC88)*(1+Techs!AO88*tech_master_of_frugality))*elite2_ore,0)</f>
        <v>100</v>
      </c>
      <c r="CH88" s="164">
        <f t="shared" ca="1" si="164"/>
        <v>0</v>
      </c>
      <c r="CI88" s="164">
        <f t="shared" ca="1" si="125"/>
        <v>0</v>
      </c>
      <c r="CJ88" s="164">
        <f t="shared" ca="1" si="126"/>
        <v>0</v>
      </c>
      <c r="CK88" s="164">
        <f t="shared" ca="1" si="127"/>
        <v>0</v>
      </c>
      <c r="CL88" s="164">
        <f t="shared" ca="1" si="128"/>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0">
        <f ca="1">Construction!DF88/Construction!E88</f>
        <v>0.15</v>
      </c>
      <c r="CR88" s="461">
        <f t="shared" si="177"/>
        <v>0</v>
      </c>
      <c r="CS88" s="461">
        <f>Construction!BK88/Construction!E88</f>
        <v>0.05</v>
      </c>
      <c r="CT88" s="461">
        <f>Construction!BJ88/Construction!E88</f>
        <v>0</v>
      </c>
      <c r="CU88" s="461">
        <f>Construction!AY88/Construction!E88</f>
        <v>0</v>
      </c>
      <c r="CV88" s="480">
        <f t="shared" ca="1" si="129"/>
        <v>0.74999999999999989</v>
      </c>
      <c r="CW88" s="481">
        <f t="shared" ca="1" si="130"/>
        <v>0.74999999999999989</v>
      </c>
      <c r="CX88" s="481">
        <f t="shared" ca="1" si="131"/>
        <v>0.74999999999999989</v>
      </c>
      <c r="CY88" s="482">
        <f t="shared" ca="1" si="132"/>
        <v>0.74999999999999989</v>
      </c>
      <c r="CZ88" s="482">
        <f t="shared" si="133"/>
        <v>0</v>
      </c>
      <c r="DA88" s="482">
        <f t="shared" ca="1" si="134"/>
        <v>2.9999999999999996</v>
      </c>
      <c r="DB88" s="482">
        <f t="shared" ca="1" si="135"/>
        <v>0.74999999999999989</v>
      </c>
      <c r="DC88" s="481">
        <f t="shared" si="136"/>
        <v>0</v>
      </c>
      <c r="DD88" s="842">
        <f t="shared" si="137"/>
        <v>0</v>
      </c>
      <c r="DE88" s="439">
        <f t="shared" si="166"/>
        <v>0</v>
      </c>
      <c r="DF88" s="439">
        <f t="shared" si="167"/>
        <v>0</v>
      </c>
      <c r="DG88" s="480">
        <f t="shared" ca="1" si="138"/>
        <v>0.74999999999999989</v>
      </c>
      <c r="DH88" s="449">
        <f t="shared" si="139"/>
        <v>0</v>
      </c>
      <c r="DI88" s="449">
        <f>MIN(valkyrja_cap,Production!O88/valkyrja_bonus)</f>
        <v>1</v>
      </c>
      <c r="DJ88" s="842">
        <f>MIN(voodoo_magi_cap,Production!O88/voodoo_magi_bonus)</f>
        <v>0.83333333333333337</v>
      </c>
      <c r="DK88" s="842">
        <f>MIN(warlock_cap,Production!O88/warlock_bonus)</f>
        <v>1</v>
      </c>
      <c r="DL88" s="842">
        <f ca="1">MIN(nox_nightshade_cap,Construction!DF88/Construction!E88/nox_nightshade_swamp_bonus)</f>
        <v>1.4999999999999998</v>
      </c>
      <c r="DM88" s="481">
        <f t="shared" si="140"/>
        <v>0</v>
      </c>
      <c r="DN88" s="482">
        <f t="shared" ca="1" si="141"/>
        <v>1.4999999999999998</v>
      </c>
      <c r="DO88" s="482">
        <f t="shared" ca="1" si="142"/>
        <v>1.4999999999999998</v>
      </c>
      <c r="DP88" s="482">
        <f t="shared" si="143"/>
        <v>1</v>
      </c>
      <c r="DQ88" s="481">
        <f t="shared" si="144"/>
        <v>0</v>
      </c>
      <c r="DR88" s="482">
        <f t="shared" si="145"/>
        <v>0</v>
      </c>
      <c r="DS88" s="481">
        <f t="shared" si="146"/>
        <v>0</v>
      </c>
      <c r="DT88" s="482">
        <f t="shared" si="147"/>
        <v>0</v>
      </c>
      <c r="DX88" s="480">
        <f ca="1">MIN(6,CV88+Races!$F$19)*1.8 +  IF(CV88+Races!$F$19&gt;6,(CV88+Races!$F$19-6)*0.2,0) - Races!$N$19</f>
        <v>1.3500000000000005</v>
      </c>
      <c r="DY88" s="481">
        <f ca="1">1.8 * MIN(MAX(CW88+Races!$E$20,CX88+Races!$F$20),6)  +  0.45 * MIN(MIN(CW88+Races!$E$20,CX88+Races!$F$20),6)  +  0.2 * ( MAX(CW88+Races!$E$20-6,0) + MAX(CX88+Races!$F$20-6,0) )  -  Races!$N$20</f>
        <v>1.6874999999999991</v>
      </c>
      <c r="DZ88" s="166">
        <f t="shared" ca="1" si="148"/>
        <v>0</v>
      </c>
      <c r="EA88" s="662">
        <f ca="1">MIN(6,CY88+Races!$F$35)*1.8 +  IF(CY88+Races!$F$35&gt;6,(CY88+Races!$F$35-6)*0.2,0) - Races!$N$19</f>
        <v>-0.45000000000000018</v>
      </c>
      <c r="EB88" s="166">
        <f t="shared" ca="1" si="149"/>
        <v>0</v>
      </c>
      <c r="EC88" s="662">
        <f ca="1">1.8 * MIN(MAX(Races!$E$27,DB88+Races!$F$27),6)  +  0.45 * MIN(MIN(Races!$E$27,DB88+Races!$F$27),6)  +  0.2 * ( MAX(Races!$E$27-6,0) + MAX(DB88+Races!$F$27-6,0) )  -  Races!$N$20</f>
        <v>3.6000000000000005</v>
      </c>
      <c r="ED88" s="166">
        <f t="shared" ca="1" si="150"/>
        <v>0</v>
      </c>
      <c r="EE88" s="662">
        <f>1.8 * MIN(MAX(DC88+Races!$E$47,DD88+Races!$F$47),6)  +  0.45 * MIN(MIN(DC88+Races!$E$47,DD88+Races!$F$47),6)  +  0.2 * ( MAX(DC88+Races!$E$47-6,0) + MAX(DD88+Races!$F$47-6,0) )  -  Races!$N$47</f>
        <v>0</v>
      </c>
      <c r="EF88" s="166">
        <f t="shared" si="151"/>
        <v>0</v>
      </c>
      <c r="EG88" s="662">
        <f ca="1">1.8 * MIN(MAX(DG88+Races!$F$71,Races!$E$71),6)  +  0.45 * MIN(MIN(DG88+Races!$F$71,Races!$E$71),6)  +  0.2 * ( MAX(DG88+Races!$F$71-6,0) + MAX(Races!$E$71-6,0) )  -  Races!$N$71</f>
        <v>1.3499999999999996</v>
      </c>
      <c r="EH88" s="662">
        <f>1.8 * MIN(MAX(DH88+Races!$E$71,Races!$F$71),6)  +  0.45 * MIN(MIN(DH88+Races!$E$71,Races!$F$71),6)  +  0.2 * ( MAX(DH88+Races!$E$71-6,0) + MAX(Races!$F$71-6,0) )  -  Races!$N$71</f>
        <v>0</v>
      </c>
      <c r="EI88" s="166">
        <f t="shared" ca="1" si="152"/>
        <v>0</v>
      </c>
      <c r="EJ88" s="166"/>
      <c r="EK88" s="166"/>
      <c r="EL88" s="166"/>
      <c r="EM88" s="166">
        <f ca="1">Overview!$L$22*E88+Overview!$L$23*F88+Overview!$L$24*G88+Overview!$L$25*H88+Overview!$L$26*I88+Overview!$L$27*J88+Overview!$L$28*K88+Construction!E88*20+Construction!B88*5 + DZ88*$DV$4+EB88*$DV$5+ED88*$DV$6+EF88*$DV$7+EI88*$DV$9</f>
        <v>20900</v>
      </c>
      <c r="EO88" s="733">
        <f>(J88+2*K88)/Construction!E88</f>
        <v>0</v>
      </c>
      <c r="EP88" s="730">
        <f ca="1">EO88*(1+race_wizard_strength+tech_magical_weaponry_wiz*Techs!AV160)</f>
        <v>0</v>
      </c>
      <c r="EQ88" s="170">
        <f>(I88+halfer*H88/3)/Construction!E88</f>
        <v>0</v>
      </c>
    </row>
    <row r="89" spans="1:147" s="170" customFormat="1" x14ac:dyDescent="0.25">
      <c r="A89" s="627">
        <f>Rezone!J89</f>
        <v>87</v>
      </c>
      <c r="B89" s="152">
        <f ca="1">SUM(E89:K89)+SUM(AF81:AG89)+SUM(AH78:AL89)+Z89+Explore!AL89</f>
        <v>5295</v>
      </c>
      <c r="C89" s="171">
        <f ca="1">Population!G89</f>
        <v>0.74159663865546221</v>
      </c>
      <c r="E89" s="156">
        <f t="shared" si="169"/>
        <v>0</v>
      </c>
      <c r="F89" s="170">
        <f t="shared" si="170"/>
        <v>0</v>
      </c>
      <c r="G89" s="170">
        <f t="shared" si="171"/>
        <v>0</v>
      </c>
      <c r="H89" s="170">
        <f t="shared" si="172"/>
        <v>0</v>
      </c>
      <c r="I89" s="170">
        <f t="shared" si="173"/>
        <v>0</v>
      </c>
      <c r="J89" s="170">
        <f t="shared" si="174"/>
        <v>0</v>
      </c>
      <c r="K89" s="157">
        <f t="shared" si="175"/>
        <v>0</v>
      </c>
      <c r="M89" s="160">
        <f ca="1">Production!G89</f>
        <v>20900</v>
      </c>
      <c r="O89" s="234">
        <f t="shared" ca="1" si="112"/>
        <v>0</v>
      </c>
      <c r="P89" s="454">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53"/>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13"/>
        <v>5295</v>
      </c>
      <c r="T89" s="1047">
        <f ca="1">race_defense+Imps!AC89+ROUND(MIN(gt_bonus*Construction!BH89/Construction!$E89,gt_bonus_cap),4)+MAX(IF(Magic!AM89&gt;0,frenzy_bonus,IF(Magic!AQ89&gt;0,blizzard_bonus,IF(Magic!AP89&gt;0,howling_dp_bonus,IF(Magic!AI89&gt;0,ares_call_bonus)))),IF(Magic!AX89&gt;0,MIN(Construction!DF89/Construction!E89,0.2),0))</f>
        <v>0</v>
      </c>
      <c r="U89" s="1041">
        <f t="shared" ca="1" si="154"/>
        <v>0</v>
      </c>
      <c r="V89" s="308">
        <f t="shared" ca="1" si="155"/>
        <v>5295</v>
      </c>
      <c r="W89" s="308">
        <f>Construction!E89</f>
        <v>1000</v>
      </c>
      <c r="X89" s="364"/>
      <c r="Y89" s="232">
        <f t="shared" ref="Y89:Y135" si="178">IF(X89&lt;&gt;"",X89,Y88)</f>
        <v>0.4</v>
      </c>
      <c r="Z89" s="166">
        <f ca="1">Z88+Population!Z88 - IF(race="Lux",AF89,SUM(AF89:AK89)) - BE89 + SUM(BF89:BL89) - Explore!AI89</f>
        <v>5295</v>
      </c>
      <c r="AA89" s="164"/>
      <c r="AB89" s="251">
        <f>(Construction!$BA89+Construction!BY89)/(Construction!$E89-Explore!S89*20)</f>
        <v>0</v>
      </c>
      <c r="AC89" s="1515">
        <f ca="1">Imps!AE89</f>
        <v>0</v>
      </c>
      <c r="AD89" s="794">
        <f>Rezone!J89</f>
        <v>87</v>
      </c>
      <c r="AE89" s="587">
        <f>Explore!AA89</f>
        <v>43768.895833333125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14"/>
        <v>0</v>
      </c>
      <c r="AV89" s="164">
        <f t="shared" ca="1" si="115"/>
        <v>0</v>
      </c>
      <c r="AW89" s="164">
        <f t="shared" ca="1" si="156"/>
        <v>0</v>
      </c>
      <c r="AX89" s="164">
        <f t="shared" ca="1" si="157"/>
        <v>0</v>
      </c>
      <c r="AY89" s="164">
        <f t="shared" ca="1" si="158"/>
        <v>0</v>
      </c>
      <c r="AZ89" s="164">
        <f t="shared" ca="1" si="159"/>
        <v>0</v>
      </c>
      <c r="BA89" s="166">
        <f t="shared" ca="1" si="160"/>
        <v>0</v>
      </c>
      <c r="BB89" s="170">
        <v>15</v>
      </c>
      <c r="BC89" s="530">
        <f t="shared" si="161"/>
        <v>43768.895833333125</v>
      </c>
      <c r="BD89" s="233">
        <f t="shared" ca="1" si="162"/>
        <v>5295</v>
      </c>
      <c r="BE89" s="352"/>
      <c r="BF89" s="345"/>
      <c r="BG89" s="345"/>
      <c r="BH89" s="345"/>
      <c r="BI89" s="345"/>
      <c r="BJ89" s="345"/>
      <c r="BK89" s="345"/>
      <c r="BL89" s="353"/>
      <c r="BN89" s="501">
        <f>Construction!BM89/Construction!E89</f>
        <v>0</v>
      </c>
      <c r="BO89" s="171">
        <f>Construction!BD89/Construction!E89</f>
        <v>0</v>
      </c>
      <c r="BP89" s="152">
        <f ca="1">ROUNDUP((1-MIN(AB89*smithy_bonus,smithy_bonus_cap)-AC89)*(1+Techs!AO89*tech_master_of_frugality)*spec_op_plat,0)</f>
        <v>275</v>
      </c>
      <c r="BQ89" s="164">
        <f ca="1">ROUNDUP(IF(OR(race="Gnome",race="Imperial Gnome"),1-AC89,(1-MIN(AB89*smithy_bonus,smithy_bonus_cap)-AC89)*(1+Techs!AO89*tech_master_of_frugality))*spec_op_ore,0)</f>
        <v>25</v>
      </c>
      <c r="BR89" s="164">
        <f t="shared" si="116"/>
        <v>0</v>
      </c>
      <c r="BS89" s="164">
        <f t="shared" si="117"/>
        <v>0</v>
      </c>
      <c r="BT89" s="164">
        <f ca="1">ROUNDUP((1-MIN(AB89*smithy_bonus,smithy_bonus_cap)-AC89)*(1+Techs!AO89*tech_master_of_frugality)*spec_dp_plat,0)</f>
        <v>275</v>
      </c>
      <c r="BU89" s="164">
        <f ca="1">ROUNDUP(IF(OR(race="Gnome",race="Imperial Gnome"),1-AC89,(1-MIN(AB89*smithy_bonus,smithy_bonus_cap)-AC89)*(1+Techs!AO89*tech_master_of_frugality))*spec_dp_ore,0)</f>
        <v>10</v>
      </c>
      <c r="BV89" s="164">
        <f t="shared" ca="1" si="118"/>
        <v>0</v>
      </c>
      <c r="BW89" s="164">
        <f t="shared" ca="1" si="119"/>
        <v>0</v>
      </c>
      <c r="BX89" s="164">
        <f t="shared" ca="1" si="120"/>
        <v>0</v>
      </c>
      <c r="BY89" s="164">
        <f ca="1">ROUNDUP((1-MIN(AB89*smithy_bonus,smithy_bonus_cap)-AC89)*(1+Techs!AO89*tech_master_of_frugality)*elite1_plat,0)</f>
        <v>1000</v>
      </c>
      <c r="BZ89" s="164">
        <f ca="1">ROUNDUP(IF(OR(race="Gnome",race="Imperial Gnome"),1-AC89,(1-MIN(AB89*smithy_bonus,smithy_bonus_cap)-AC89)*(1+Techs!AO89*tech_master_of_frugality))*elite1_ore,0)</f>
        <v>75</v>
      </c>
      <c r="CA89" s="164">
        <f t="shared" ca="1" si="163"/>
        <v>0</v>
      </c>
      <c r="CB89" s="164">
        <f t="shared" ca="1" si="121"/>
        <v>0</v>
      </c>
      <c r="CC89" s="164">
        <f t="shared" ca="1" si="122"/>
        <v>0</v>
      </c>
      <c r="CD89" s="164">
        <f t="shared" ca="1" si="123"/>
        <v>0</v>
      </c>
      <c r="CE89" s="164">
        <f t="shared" ca="1" si="124"/>
        <v>0</v>
      </c>
      <c r="CF89" s="164">
        <f ca="1">ROUNDUP((1-MIN(AB89*smithy_bonus,smithy_bonus_cap)-AC89)*(1+Techs!AO89*tech_master_of_frugality)*elite2_plat,0)</f>
        <v>1250</v>
      </c>
      <c r="CG89" s="164">
        <f ca="1">ROUNDUP(IF(OR(race="Gnome",race="Imperial Gnome"),1-AC89,(1-MIN(AB89*smithy_bonus,smithy_bonus_cap)-AC89)*(1+Techs!AO89*tech_master_of_frugality))*elite2_ore,0)</f>
        <v>100</v>
      </c>
      <c r="CH89" s="164">
        <f t="shared" ca="1" si="164"/>
        <v>0</v>
      </c>
      <c r="CI89" s="164">
        <f t="shared" ca="1" si="125"/>
        <v>0</v>
      </c>
      <c r="CJ89" s="164">
        <f t="shared" ca="1" si="126"/>
        <v>0</v>
      </c>
      <c r="CK89" s="164">
        <f t="shared" ca="1" si="127"/>
        <v>0</v>
      </c>
      <c r="CL89" s="164">
        <f t="shared" ca="1" si="128"/>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0">
        <f ca="1">Construction!DF89/Construction!E89</f>
        <v>0.15</v>
      </c>
      <c r="CR89" s="461">
        <f t="shared" si="165"/>
        <v>0</v>
      </c>
      <c r="CS89" s="461">
        <f>Construction!BK89/Construction!E89</f>
        <v>0.05</v>
      </c>
      <c r="CT89" s="461">
        <f>Construction!BJ89/Construction!E89</f>
        <v>0</v>
      </c>
      <c r="CU89" s="461">
        <f>Construction!AY89/Construction!E89</f>
        <v>0</v>
      </c>
      <c r="CV89" s="480">
        <f t="shared" ca="1" si="129"/>
        <v>0.74999999999999989</v>
      </c>
      <c r="CW89" s="481">
        <f t="shared" ca="1" si="130"/>
        <v>0.74999999999999989</v>
      </c>
      <c r="CX89" s="481">
        <f t="shared" ca="1" si="131"/>
        <v>0.74999999999999989</v>
      </c>
      <c r="CY89" s="482">
        <f t="shared" ca="1" si="132"/>
        <v>0.74999999999999989</v>
      </c>
      <c r="CZ89" s="482">
        <f t="shared" si="133"/>
        <v>0</v>
      </c>
      <c r="DA89" s="482">
        <f t="shared" ca="1" si="134"/>
        <v>2.9999999999999996</v>
      </c>
      <c r="DB89" s="482">
        <f t="shared" ca="1" si="135"/>
        <v>0.74999999999999989</v>
      </c>
      <c r="DC89" s="481">
        <f t="shared" si="136"/>
        <v>0</v>
      </c>
      <c r="DD89" s="842">
        <f t="shared" si="137"/>
        <v>0</v>
      </c>
      <c r="DE89" s="439">
        <f t="shared" si="166"/>
        <v>0</v>
      </c>
      <c r="DF89" s="439">
        <f t="shared" si="167"/>
        <v>0</v>
      </c>
      <c r="DG89" s="480">
        <f t="shared" ca="1" si="138"/>
        <v>0.74999999999999989</v>
      </c>
      <c r="DH89" s="449">
        <f t="shared" si="139"/>
        <v>0</v>
      </c>
      <c r="DI89" s="449">
        <f>MIN(valkyrja_cap,Production!O89/valkyrja_bonus)</f>
        <v>1</v>
      </c>
      <c r="DJ89" s="842">
        <f>MIN(voodoo_magi_cap,Production!O89/voodoo_magi_bonus)</f>
        <v>0.83333333333333337</v>
      </c>
      <c r="DK89" s="842">
        <f>MIN(warlock_cap,Production!O89/warlock_bonus)</f>
        <v>1</v>
      </c>
      <c r="DL89" s="842">
        <f ca="1">MIN(nox_nightshade_cap,Construction!DF89/Construction!E89/nox_nightshade_swamp_bonus)</f>
        <v>1.4999999999999998</v>
      </c>
      <c r="DM89" s="481">
        <f t="shared" si="140"/>
        <v>0</v>
      </c>
      <c r="DN89" s="482">
        <f t="shared" ca="1" si="141"/>
        <v>1.4999999999999998</v>
      </c>
      <c r="DO89" s="482">
        <f t="shared" ca="1" si="142"/>
        <v>1.4999999999999998</v>
      </c>
      <c r="DP89" s="482">
        <f t="shared" si="143"/>
        <v>1</v>
      </c>
      <c r="DQ89" s="481">
        <f t="shared" si="144"/>
        <v>0</v>
      </c>
      <c r="DR89" s="482">
        <f t="shared" si="145"/>
        <v>0</v>
      </c>
      <c r="DS89" s="481">
        <f t="shared" si="146"/>
        <v>0</v>
      </c>
      <c r="DT89" s="482">
        <f t="shared" si="147"/>
        <v>0</v>
      </c>
      <c r="DX89" s="480">
        <f ca="1">MIN(6,CV89+Races!$F$19)*1.8 +  IF(CV89+Races!$F$19&gt;6,(CV89+Races!$F$19-6)*0.2,0) - Races!$N$19</f>
        <v>1.3500000000000005</v>
      </c>
      <c r="DY89" s="481">
        <f ca="1">1.8 * MIN(MAX(CW89+Races!$E$20,CX89+Races!$F$20),6)  +  0.45 * MIN(MIN(CW89+Races!$E$20,CX89+Races!$F$20),6)  +  0.2 * ( MAX(CW89+Races!$E$20-6,0) + MAX(CX89+Races!$F$20-6,0) )  -  Races!$N$20</f>
        <v>1.6874999999999991</v>
      </c>
      <c r="DZ89" s="166">
        <f t="shared" ca="1" si="148"/>
        <v>0</v>
      </c>
      <c r="EA89" s="662">
        <f ca="1">MIN(6,CY89+Races!$F$35)*1.8 +  IF(CY89+Races!$F$35&gt;6,(CY89+Races!$F$35-6)*0.2,0) - Races!$N$19</f>
        <v>-0.45000000000000018</v>
      </c>
      <c r="EB89" s="166">
        <f t="shared" ca="1" si="149"/>
        <v>0</v>
      </c>
      <c r="EC89" s="662">
        <f ca="1">1.8 * MIN(MAX(Races!$E$27,DB89+Races!$F$27),6)  +  0.45 * MIN(MIN(Races!$E$27,DB89+Races!$F$27),6)  +  0.2 * ( MAX(Races!$E$27-6,0) + MAX(DB89+Races!$F$27-6,0) )  -  Races!$N$20</f>
        <v>3.6000000000000005</v>
      </c>
      <c r="ED89" s="166">
        <f t="shared" ca="1" si="150"/>
        <v>0</v>
      </c>
      <c r="EE89" s="662">
        <f>1.8 * MIN(MAX(DC89+Races!$E$47,DD89+Races!$F$47),6)  +  0.45 * MIN(MIN(DC89+Races!$E$47,DD89+Races!$F$47),6)  +  0.2 * ( MAX(DC89+Races!$E$47-6,0) + MAX(DD89+Races!$F$47-6,0) )  -  Races!$N$47</f>
        <v>0</v>
      </c>
      <c r="EF89" s="166">
        <f t="shared" si="151"/>
        <v>0</v>
      </c>
      <c r="EG89" s="662">
        <f ca="1">1.8 * MIN(MAX(DG89+Races!$F$71,Races!$E$71),6)  +  0.45 * MIN(MIN(DG89+Races!$F$71,Races!$E$71),6)  +  0.2 * ( MAX(DG89+Races!$F$71-6,0) + MAX(Races!$E$71-6,0) )  -  Races!$N$71</f>
        <v>1.3499999999999996</v>
      </c>
      <c r="EH89" s="662">
        <f>1.8 * MIN(MAX(DH89+Races!$E$71,Races!$F$71),6)  +  0.45 * MIN(MIN(DH89+Races!$E$71,Races!$F$71),6)  +  0.2 * ( MAX(DH89+Races!$E$71-6,0) + MAX(Races!$F$71-6,0) )  -  Races!$N$71</f>
        <v>0</v>
      </c>
      <c r="EI89" s="166">
        <f t="shared" ca="1" si="152"/>
        <v>0</v>
      </c>
      <c r="EJ89" s="166"/>
      <c r="EK89" s="166"/>
      <c r="EL89" s="166"/>
      <c r="EM89" s="166">
        <f ca="1">Overview!$L$22*E89+Overview!$L$23*F89+Overview!$L$24*G89+Overview!$L$25*H89+Overview!$L$26*I89+Overview!$L$27*J89+Overview!$L$28*K89+Construction!E89*20+Construction!B89*5 + DZ89*$DV$4+EB89*$DV$5+ED89*$DV$6+EF89*$DV$7+EI89*$DV$9</f>
        <v>20900</v>
      </c>
      <c r="EO89" s="733">
        <f>(J89+2*K89)/Construction!E89</f>
        <v>0</v>
      </c>
      <c r="EP89" s="730">
        <f ca="1">EO89*(1+race_wizard_strength+tech_magical_weaponry_wiz*Techs!AV161)</f>
        <v>0</v>
      </c>
      <c r="EQ89" s="170">
        <f>(I89+halfer*H89/3)/Construction!E89</f>
        <v>0</v>
      </c>
    </row>
    <row r="90" spans="1:147" s="16" customFormat="1" x14ac:dyDescent="0.25">
      <c r="A90" s="627">
        <f>Rezone!J90</f>
        <v>88</v>
      </c>
      <c r="B90" s="56">
        <f ca="1">SUM(E90:K90)+SUM(AF82:AG90)+SUM(AH79:AL90)+Z90+Explore!AL90</f>
        <v>5295</v>
      </c>
      <c r="C90" s="97">
        <f ca="1">Population!G90</f>
        <v>0.74159663865546221</v>
      </c>
      <c r="E90" s="52">
        <f t="shared" si="169"/>
        <v>0</v>
      </c>
      <c r="F90" s="16">
        <f t="shared" si="170"/>
        <v>0</v>
      </c>
      <c r="G90" s="16">
        <f t="shared" si="171"/>
        <v>0</v>
      </c>
      <c r="H90" s="16">
        <f t="shared" si="172"/>
        <v>0</v>
      </c>
      <c r="I90" s="16">
        <f t="shared" si="173"/>
        <v>0</v>
      </c>
      <c r="J90" s="16">
        <f t="shared" si="174"/>
        <v>0</v>
      </c>
      <c r="K90" s="53">
        <f t="shared" si="175"/>
        <v>0</v>
      </c>
      <c r="M90" s="64">
        <f ca="1">Production!G90</f>
        <v>20900</v>
      </c>
      <c r="O90" s="234">
        <f t="shared" ca="1" si="112"/>
        <v>0</v>
      </c>
      <c r="P90" s="454">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53"/>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13"/>
        <v>5295</v>
      </c>
      <c r="T90" s="1047">
        <f ca="1">race_defense+Imps!AC90+ROUND(MIN(gt_bonus*Construction!BH90/Construction!$E90,gt_bonus_cap),4)+MAX(IF(Magic!AM90&gt;0,frenzy_bonus,IF(Magic!AQ90&gt;0,blizzard_bonus,IF(Magic!AP90&gt;0,howling_dp_bonus,IF(Magic!AI90&gt;0,ares_call_bonus)))),IF(Magic!AX90&gt;0,MIN(Construction!DF90/Construction!E90,0.2),0))</f>
        <v>0</v>
      </c>
      <c r="U90" s="1041">
        <f t="shared" ca="1" si="154"/>
        <v>0</v>
      </c>
      <c r="V90" s="308">
        <f t="shared" ca="1" si="155"/>
        <v>5295</v>
      </c>
      <c r="W90" s="310">
        <f>Construction!E90</f>
        <v>1000</v>
      </c>
      <c r="X90" s="367"/>
      <c r="Y90" s="146">
        <f t="shared" si="178"/>
        <v>0.4</v>
      </c>
      <c r="Z90" s="166">
        <f ca="1">Z89+Population!Z89 - IF(race="Lux",AF90,SUM(AF90:AK90)) - BE90 + SUM(BF90:BL90) - Explore!AI90</f>
        <v>5295</v>
      </c>
      <c r="AA90" s="164"/>
      <c r="AB90" s="91">
        <f>(Construction!$BA90+Construction!BY90)/(Construction!$E90-Explore!S90*20)</f>
        <v>0</v>
      </c>
      <c r="AC90" s="1515">
        <f ca="1">Imps!AE90</f>
        <v>0</v>
      </c>
      <c r="AD90" s="795">
        <f>Rezone!J90</f>
        <v>88</v>
      </c>
      <c r="AE90" s="587">
        <f>Explore!AA90</f>
        <v>43768.906249999789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14"/>
        <v>0</v>
      </c>
      <c r="AV90" s="164">
        <f t="shared" ca="1" si="115"/>
        <v>0</v>
      </c>
      <c r="AW90" s="164">
        <f t="shared" ca="1" si="156"/>
        <v>0</v>
      </c>
      <c r="AX90" s="164">
        <f t="shared" ca="1" si="157"/>
        <v>0</v>
      </c>
      <c r="AY90" s="164">
        <f t="shared" ca="1" si="158"/>
        <v>0</v>
      </c>
      <c r="AZ90" s="164">
        <f t="shared" ca="1" si="159"/>
        <v>0</v>
      </c>
      <c r="BA90" s="166">
        <f t="shared" ca="1" si="160"/>
        <v>0</v>
      </c>
      <c r="BB90" s="16">
        <v>16</v>
      </c>
      <c r="BC90" s="572">
        <f t="shared" si="161"/>
        <v>43768.906249999789</v>
      </c>
      <c r="BD90" s="148">
        <f t="shared" ca="1" si="162"/>
        <v>5295</v>
      </c>
      <c r="BE90" s="356"/>
      <c r="BF90" s="348"/>
      <c r="BG90" s="348"/>
      <c r="BH90" s="348"/>
      <c r="BI90" s="348"/>
      <c r="BJ90" s="348"/>
      <c r="BK90" s="348"/>
      <c r="BL90" s="357"/>
      <c r="BN90" s="501">
        <f>Construction!BM90/Construction!E90</f>
        <v>0</v>
      </c>
      <c r="BO90" s="171">
        <f>Construction!BD90/Construction!E90</f>
        <v>0</v>
      </c>
      <c r="BP90" s="152">
        <f ca="1">ROUNDUP((1-MIN(AB90*smithy_bonus,smithy_bonus_cap)-AC90)*(1+Techs!AO90*tech_master_of_frugality)*spec_op_plat,0)</f>
        <v>275</v>
      </c>
      <c r="BQ90" s="164">
        <f ca="1">ROUNDUP(IF(OR(race="Gnome",race="Imperial Gnome"),1-AC90,(1-MIN(AB90*smithy_bonus,smithy_bonus_cap)-AC90)*(1+Techs!AO90*tech_master_of_frugality))*spec_op_ore,0)</f>
        <v>25</v>
      </c>
      <c r="BR90" s="164">
        <f t="shared" si="116"/>
        <v>0</v>
      </c>
      <c r="BS90" s="164">
        <f t="shared" si="117"/>
        <v>0</v>
      </c>
      <c r="BT90" s="164">
        <f ca="1">ROUNDUP((1-MIN(AB90*smithy_bonus,smithy_bonus_cap)-AC90)*(1+Techs!AO90*tech_master_of_frugality)*spec_dp_plat,0)</f>
        <v>275</v>
      </c>
      <c r="BU90" s="164">
        <f ca="1">ROUNDUP(IF(OR(race="Gnome",race="Imperial Gnome"),1-AC90,(1-MIN(AB90*smithy_bonus,smithy_bonus_cap)-AC90)*(1+Techs!AO90*tech_master_of_frugality))*spec_dp_ore,0)</f>
        <v>10</v>
      </c>
      <c r="BV90" s="164">
        <f t="shared" ca="1" si="118"/>
        <v>0</v>
      </c>
      <c r="BW90" s="164">
        <f t="shared" ca="1" si="119"/>
        <v>0</v>
      </c>
      <c r="BX90" s="164">
        <f t="shared" ca="1" si="120"/>
        <v>0</v>
      </c>
      <c r="BY90" s="164">
        <f ca="1">ROUNDUP((1-MIN(AB90*smithy_bonus,smithy_bonus_cap)-AC90)*(1+Techs!AO90*tech_master_of_frugality)*elite1_plat,0)</f>
        <v>1000</v>
      </c>
      <c r="BZ90" s="164">
        <f ca="1">ROUNDUP(IF(OR(race="Gnome",race="Imperial Gnome"),1-AC90,(1-MIN(AB90*smithy_bonus,smithy_bonus_cap)-AC90)*(1+Techs!AO90*tech_master_of_frugality))*elite1_ore,0)</f>
        <v>75</v>
      </c>
      <c r="CA90" s="164">
        <f t="shared" ca="1" si="163"/>
        <v>0</v>
      </c>
      <c r="CB90" s="164">
        <f t="shared" ca="1" si="121"/>
        <v>0</v>
      </c>
      <c r="CC90" s="164">
        <f t="shared" ca="1" si="122"/>
        <v>0</v>
      </c>
      <c r="CD90" s="164">
        <f t="shared" ca="1" si="123"/>
        <v>0</v>
      </c>
      <c r="CE90" s="164">
        <f t="shared" ca="1" si="124"/>
        <v>0</v>
      </c>
      <c r="CF90" s="164">
        <f ca="1">ROUNDUP((1-MIN(AB90*smithy_bonus,smithy_bonus_cap)-AC90)*(1+Techs!AO90*tech_master_of_frugality)*elite2_plat,0)</f>
        <v>1250</v>
      </c>
      <c r="CG90" s="164">
        <f ca="1">ROUNDUP(IF(OR(race="Gnome",race="Imperial Gnome"),1-AC90,(1-MIN(AB90*smithy_bonus,smithy_bonus_cap)-AC90)*(1+Techs!AO90*tech_master_of_frugality))*elite2_ore,0)</f>
        <v>100</v>
      </c>
      <c r="CH90" s="164">
        <f t="shared" ca="1" si="164"/>
        <v>0</v>
      </c>
      <c r="CI90" s="164">
        <f t="shared" ca="1" si="125"/>
        <v>0</v>
      </c>
      <c r="CJ90" s="164">
        <f t="shared" ca="1" si="126"/>
        <v>0</v>
      </c>
      <c r="CK90" s="164">
        <f t="shared" ca="1" si="127"/>
        <v>0</v>
      </c>
      <c r="CL90" s="164">
        <f t="shared" ca="1" si="128"/>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4">
        <f ca="1">Construction!DF90/Construction!E90</f>
        <v>0.15</v>
      </c>
      <c r="CR90" s="465">
        <f t="shared" si="165"/>
        <v>0</v>
      </c>
      <c r="CS90" s="465">
        <f>Construction!BK90/Construction!E90</f>
        <v>0.05</v>
      </c>
      <c r="CT90" s="465">
        <f>Construction!BJ90/Construction!E90</f>
        <v>0</v>
      </c>
      <c r="CU90" s="465">
        <f>Construction!AY90/Construction!E90</f>
        <v>0</v>
      </c>
      <c r="CV90" s="480">
        <f t="shared" ca="1" si="129"/>
        <v>0.74999999999999989</v>
      </c>
      <c r="CW90" s="481">
        <f t="shared" ca="1" si="130"/>
        <v>0.74999999999999989</v>
      </c>
      <c r="CX90" s="481">
        <f t="shared" ca="1" si="131"/>
        <v>0.74999999999999989</v>
      </c>
      <c r="CY90" s="482">
        <f t="shared" ca="1" si="132"/>
        <v>0.74999999999999989</v>
      </c>
      <c r="CZ90" s="482">
        <f t="shared" si="133"/>
        <v>0</v>
      </c>
      <c r="DA90" s="482">
        <f t="shared" ca="1" si="134"/>
        <v>2.9999999999999996</v>
      </c>
      <c r="DB90" s="482">
        <f t="shared" ca="1" si="135"/>
        <v>0.74999999999999989</v>
      </c>
      <c r="DC90" s="481">
        <f t="shared" si="136"/>
        <v>0</v>
      </c>
      <c r="DD90" s="842">
        <f t="shared" si="137"/>
        <v>0</v>
      </c>
      <c r="DE90" s="439">
        <f t="shared" si="166"/>
        <v>0</v>
      </c>
      <c r="DF90" s="439">
        <f t="shared" si="167"/>
        <v>0</v>
      </c>
      <c r="DG90" s="480">
        <f t="shared" ca="1" si="138"/>
        <v>0.74999999999999989</v>
      </c>
      <c r="DH90" s="449">
        <f t="shared" si="139"/>
        <v>0</v>
      </c>
      <c r="DI90" s="449">
        <f>MIN(valkyrja_cap,Production!O90/valkyrja_bonus)</f>
        <v>1</v>
      </c>
      <c r="DJ90" s="842">
        <f>MIN(voodoo_magi_cap,Production!O90/voodoo_magi_bonus)</f>
        <v>0.83333333333333337</v>
      </c>
      <c r="DK90" s="842">
        <f>MIN(warlock_cap,Production!O90/warlock_bonus)</f>
        <v>1</v>
      </c>
      <c r="DL90" s="842">
        <f ca="1">MIN(nox_nightshade_cap,Construction!DF90/Construction!E90/nox_nightshade_swamp_bonus)</f>
        <v>1.4999999999999998</v>
      </c>
      <c r="DM90" s="481">
        <f t="shared" si="140"/>
        <v>0</v>
      </c>
      <c r="DN90" s="482">
        <f t="shared" ca="1" si="141"/>
        <v>1.4999999999999998</v>
      </c>
      <c r="DO90" s="482">
        <f t="shared" ca="1" si="142"/>
        <v>1.4999999999999998</v>
      </c>
      <c r="DP90" s="482">
        <f t="shared" si="143"/>
        <v>1</v>
      </c>
      <c r="DQ90" s="481">
        <f t="shared" si="144"/>
        <v>0</v>
      </c>
      <c r="DR90" s="482">
        <f t="shared" si="145"/>
        <v>0</v>
      </c>
      <c r="DS90" s="481">
        <f t="shared" si="146"/>
        <v>0</v>
      </c>
      <c r="DT90" s="482">
        <f t="shared" si="147"/>
        <v>0</v>
      </c>
      <c r="DX90" s="486">
        <f ca="1">MIN(6,CV90+Races!$F$19)*1.8 +  IF(CV90+Races!$F$19&gt;6,(CV90+Races!$F$19-6)*0.2,0) - Races!$N$19</f>
        <v>1.3500000000000005</v>
      </c>
      <c r="DY90" s="487">
        <f ca="1">1.8 * MIN(MAX(CW90+Races!$E$20,CX90+Races!$F$20),6)  +  0.45 * MIN(MIN(CW90+Races!$E$20,CX90+Races!$F$20),6)  +  0.2 * ( MAX(CW90+Races!$E$20-6,0) + MAX(CX90+Races!$F$20-6,0) )  -  Races!$N$20</f>
        <v>1.6874999999999991</v>
      </c>
      <c r="DZ90" s="57">
        <f t="shared" ca="1" si="148"/>
        <v>0</v>
      </c>
      <c r="EA90" s="663">
        <f ca="1">MIN(6,CY90+Races!$F$35)*1.8 +  IF(CY90+Races!$F$35&gt;6,(CY90+Races!$F$35-6)*0.2,0) - Races!$N$19</f>
        <v>-0.45000000000000018</v>
      </c>
      <c r="EB90" s="57">
        <f t="shared" ca="1" si="149"/>
        <v>0</v>
      </c>
      <c r="EC90" s="663">
        <f ca="1">1.8 * MIN(MAX(Races!$E$27,DB90+Races!$F$27),6)  +  0.45 * MIN(MIN(Races!$E$27,DB90+Races!$F$27),6)  +  0.2 * ( MAX(Races!$E$27-6,0) + MAX(DB90+Races!$F$27-6,0) )  -  Races!$N$20</f>
        <v>3.6000000000000005</v>
      </c>
      <c r="ED90" s="57">
        <f t="shared" ca="1" si="150"/>
        <v>0</v>
      </c>
      <c r="EE90" s="663">
        <f>1.8 * MIN(MAX(DC90+Races!$E$47,DD90+Races!$F$47),6)  +  0.45 * MIN(MIN(DC90+Races!$E$47,DD90+Races!$F$47),6)  +  0.2 * ( MAX(DC90+Races!$E$47-6,0) + MAX(DD90+Races!$F$47-6,0) )  -  Races!$N$47</f>
        <v>0</v>
      </c>
      <c r="EF90" s="57">
        <f t="shared" si="151"/>
        <v>0</v>
      </c>
      <c r="EG90" s="663">
        <f ca="1">1.8 * MIN(MAX(DG90+Races!$F$71,Races!$E$71),6)  +  0.45 * MIN(MIN(DG90+Races!$F$71,Races!$E$71),6)  +  0.2 * ( MAX(DG90+Races!$F$71-6,0) + MAX(Races!$E$71-6,0) )  -  Races!$N$71</f>
        <v>1.3499999999999996</v>
      </c>
      <c r="EH90" s="663">
        <f>1.8 * MIN(MAX(DH90+Races!$E$71,Races!$F$71),6)  +  0.45 * MIN(MIN(DH90+Races!$E$71,Races!$F$71),6)  +  0.2 * ( MAX(DH90+Races!$E$71-6,0) + MAX(Races!$F$71-6,0) )  -  Races!$N$71</f>
        <v>0</v>
      </c>
      <c r="EI90" s="57">
        <f t="shared" ca="1" si="152"/>
        <v>0</v>
      </c>
      <c r="EJ90" s="57"/>
      <c r="EK90" s="57"/>
      <c r="EL90" s="57"/>
      <c r="EM90" s="57">
        <f ca="1">Overview!$L$22*E90+Overview!$L$23*F90+Overview!$L$24*G90+Overview!$L$25*H90+Overview!$L$26*I90+Overview!$L$27*J90+Overview!$L$28*K90+Construction!E90*20+Construction!B90*5 + DZ90*$DV$4+EB90*$DV$5+ED90*$DV$6+EF90*$DV$7+EI90*$DV$9</f>
        <v>20900</v>
      </c>
      <c r="EO90" s="734">
        <f>(J90+2*K90)/Construction!E90</f>
        <v>0</v>
      </c>
      <c r="EP90" s="730">
        <f ca="1">EO90*(1+race_wizard_strength+tech_magical_weaponry_wiz*Techs!AV162)</f>
        <v>0</v>
      </c>
      <c r="EQ90" s="16">
        <f>(I90+halfer*H90/3)/Construction!E90</f>
        <v>0</v>
      </c>
    </row>
    <row r="91" spans="1:147" s="16" customFormat="1" x14ac:dyDescent="0.25">
      <c r="A91" s="627">
        <f>Rezone!J91</f>
        <v>89</v>
      </c>
      <c r="B91" s="56">
        <f ca="1">SUM(E91:K91)+SUM(AF83:AG91)+SUM(AH80:AL91)+Z91+Explore!AL91</f>
        <v>5295</v>
      </c>
      <c r="C91" s="97">
        <f ca="1">Population!G91</f>
        <v>0.74159663865546221</v>
      </c>
      <c r="E91" s="52">
        <f t="shared" si="169"/>
        <v>0</v>
      </c>
      <c r="F91" s="16">
        <f t="shared" si="170"/>
        <v>0</v>
      </c>
      <c r="G91" s="16">
        <f t="shared" si="171"/>
        <v>0</v>
      </c>
      <c r="H91" s="16">
        <f t="shared" si="172"/>
        <v>0</v>
      </c>
      <c r="I91" s="16">
        <f t="shared" si="173"/>
        <v>0</v>
      </c>
      <c r="J91" s="16">
        <f t="shared" si="174"/>
        <v>0</v>
      </c>
      <c r="K91" s="53">
        <f t="shared" si="175"/>
        <v>0</v>
      </c>
      <c r="M91" s="64">
        <f ca="1">Production!G91</f>
        <v>20900</v>
      </c>
      <c r="O91" s="234">
        <f t="shared" ca="1" si="112"/>
        <v>0</v>
      </c>
      <c r="P91" s="454">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53"/>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13"/>
        <v>5295</v>
      </c>
      <c r="T91" s="1047">
        <f ca="1">race_defense+Imps!AC91+ROUND(MIN(gt_bonus*Construction!BH91/Construction!$E91,gt_bonus_cap),4)+MAX(IF(Magic!AM91&gt;0,frenzy_bonus,IF(Magic!AQ91&gt;0,blizzard_bonus,IF(Magic!AP91&gt;0,howling_dp_bonus,IF(Magic!AI91&gt;0,ares_call_bonus)))),IF(Magic!AX91&gt;0,MIN(Construction!DF91/Construction!E91,0.2),0))</f>
        <v>0</v>
      </c>
      <c r="U91" s="1041">
        <f t="shared" ca="1" si="154"/>
        <v>0</v>
      </c>
      <c r="V91" s="308">
        <f t="shared" ca="1" si="155"/>
        <v>5295</v>
      </c>
      <c r="W91" s="310">
        <f>Construction!E91</f>
        <v>1000</v>
      </c>
      <c r="X91" s="367"/>
      <c r="Y91" s="146">
        <f t="shared" si="178"/>
        <v>0.4</v>
      </c>
      <c r="Z91" s="166">
        <f ca="1">Z90+Population!Z90 - IF(race="Lux",AF91,SUM(AF91:AK91)) - BE91 + SUM(BF91:BL91) - Explore!AI91</f>
        <v>5295</v>
      </c>
      <c r="AA91" s="164"/>
      <c r="AB91" s="91">
        <f>(Construction!$BA91+Construction!BY91)/(Construction!$E91-Explore!S91*20)</f>
        <v>0</v>
      </c>
      <c r="AC91" s="1515">
        <f ca="1">Imps!AE91</f>
        <v>0</v>
      </c>
      <c r="AD91" s="795">
        <f>Rezone!J91</f>
        <v>89</v>
      </c>
      <c r="AE91" s="587">
        <f>Explore!AA91</f>
        <v>43768.916666666453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14"/>
        <v>0</v>
      </c>
      <c r="AV91" s="164">
        <f t="shared" ca="1" si="115"/>
        <v>0</v>
      </c>
      <c r="AW91" s="164">
        <f t="shared" ca="1" si="156"/>
        <v>0</v>
      </c>
      <c r="AX91" s="164">
        <f t="shared" ca="1" si="157"/>
        <v>0</v>
      </c>
      <c r="AY91" s="164">
        <f t="shared" ca="1" si="158"/>
        <v>0</v>
      </c>
      <c r="AZ91" s="164">
        <f t="shared" ca="1" si="159"/>
        <v>0</v>
      </c>
      <c r="BA91" s="166">
        <f t="shared" ca="1" si="160"/>
        <v>0</v>
      </c>
      <c r="BB91" s="16">
        <v>17</v>
      </c>
      <c r="BC91" s="572">
        <f t="shared" si="161"/>
        <v>43768.916666666453</v>
      </c>
      <c r="BD91" s="148">
        <f t="shared" ca="1" si="162"/>
        <v>5295</v>
      </c>
      <c r="BE91" s="356"/>
      <c r="BF91" s="348"/>
      <c r="BG91" s="348"/>
      <c r="BH91" s="348"/>
      <c r="BI91" s="348"/>
      <c r="BJ91" s="348"/>
      <c r="BK91" s="348"/>
      <c r="BL91" s="357"/>
      <c r="BN91" s="501">
        <f>Construction!BM91/Construction!E91</f>
        <v>0</v>
      </c>
      <c r="BO91" s="171">
        <f>Construction!BD91/Construction!E91</f>
        <v>0</v>
      </c>
      <c r="BP91" s="152">
        <f ca="1">ROUNDUP((1-MIN(AB91*smithy_bonus,smithy_bonus_cap)-AC91)*(1+Techs!AO91*tech_master_of_frugality)*spec_op_plat,0)</f>
        <v>275</v>
      </c>
      <c r="BQ91" s="164">
        <f ca="1">ROUNDUP(IF(OR(race="Gnome",race="Imperial Gnome"),1-AC91,(1-MIN(AB91*smithy_bonus,smithy_bonus_cap)-AC91)*(1+Techs!AO91*tech_master_of_frugality))*spec_op_ore,0)</f>
        <v>25</v>
      </c>
      <c r="BR91" s="164">
        <f t="shared" si="116"/>
        <v>0</v>
      </c>
      <c r="BS91" s="164">
        <f t="shared" si="117"/>
        <v>0</v>
      </c>
      <c r="BT91" s="164">
        <f ca="1">ROUNDUP((1-MIN(AB91*smithy_bonus,smithy_bonus_cap)-AC91)*(1+Techs!AO91*tech_master_of_frugality)*spec_dp_plat,0)</f>
        <v>275</v>
      </c>
      <c r="BU91" s="164">
        <f ca="1">ROUNDUP(IF(OR(race="Gnome",race="Imperial Gnome"),1-AC91,(1-MIN(AB91*smithy_bonus,smithy_bonus_cap)-AC91)*(1+Techs!AO91*tech_master_of_frugality))*spec_dp_ore,0)</f>
        <v>10</v>
      </c>
      <c r="BV91" s="164">
        <f t="shared" ca="1" si="118"/>
        <v>0</v>
      </c>
      <c r="BW91" s="164">
        <f t="shared" ca="1" si="119"/>
        <v>0</v>
      </c>
      <c r="BX91" s="164">
        <f t="shared" ca="1" si="120"/>
        <v>0</v>
      </c>
      <c r="BY91" s="164">
        <f ca="1">ROUNDUP((1-MIN(AB91*smithy_bonus,smithy_bonus_cap)-AC91)*(1+Techs!AO91*tech_master_of_frugality)*elite1_plat,0)</f>
        <v>1000</v>
      </c>
      <c r="BZ91" s="164">
        <f ca="1">ROUNDUP(IF(OR(race="Gnome",race="Imperial Gnome"),1-AC91,(1-MIN(AB91*smithy_bonus,smithy_bonus_cap)-AC91)*(1+Techs!AO91*tech_master_of_frugality))*elite1_ore,0)</f>
        <v>75</v>
      </c>
      <c r="CA91" s="164">
        <f t="shared" ca="1" si="163"/>
        <v>0</v>
      </c>
      <c r="CB91" s="164">
        <f t="shared" ca="1" si="121"/>
        <v>0</v>
      </c>
      <c r="CC91" s="164">
        <f t="shared" ca="1" si="122"/>
        <v>0</v>
      </c>
      <c r="CD91" s="164">
        <f t="shared" ca="1" si="123"/>
        <v>0</v>
      </c>
      <c r="CE91" s="164">
        <f t="shared" ca="1" si="124"/>
        <v>0</v>
      </c>
      <c r="CF91" s="164">
        <f ca="1">ROUNDUP((1-MIN(AB91*smithy_bonus,smithy_bonus_cap)-AC91)*(1+Techs!AO91*tech_master_of_frugality)*elite2_plat,0)</f>
        <v>1250</v>
      </c>
      <c r="CG91" s="164">
        <f ca="1">ROUNDUP(IF(OR(race="Gnome",race="Imperial Gnome"),1-AC91,(1-MIN(AB91*smithy_bonus,smithy_bonus_cap)-AC91)*(1+Techs!AO91*tech_master_of_frugality))*elite2_ore,0)</f>
        <v>100</v>
      </c>
      <c r="CH91" s="164">
        <f t="shared" ca="1" si="164"/>
        <v>0</v>
      </c>
      <c r="CI91" s="164">
        <f t="shared" ca="1" si="125"/>
        <v>0</v>
      </c>
      <c r="CJ91" s="164">
        <f t="shared" ca="1" si="126"/>
        <v>0</v>
      </c>
      <c r="CK91" s="164">
        <f t="shared" ca="1" si="127"/>
        <v>0</v>
      </c>
      <c r="CL91" s="164">
        <f t="shared" ca="1" si="128"/>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4">
        <f ca="1">Construction!DF91/Construction!E91</f>
        <v>0.15</v>
      </c>
      <c r="CR91" s="465">
        <f t="shared" si="165"/>
        <v>0</v>
      </c>
      <c r="CS91" s="465">
        <f>Construction!BK91/Construction!E91</f>
        <v>0.05</v>
      </c>
      <c r="CT91" s="465">
        <f>Construction!BJ91/Construction!E91</f>
        <v>0</v>
      </c>
      <c r="CU91" s="465">
        <f>Construction!AY91/Construction!E91</f>
        <v>0</v>
      </c>
      <c r="CV91" s="480">
        <f t="shared" ca="1" si="129"/>
        <v>0.74999999999999989</v>
      </c>
      <c r="CW91" s="481">
        <f t="shared" ca="1" si="130"/>
        <v>0.74999999999999989</v>
      </c>
      <c r="CX91" s="481">
        <f t="shared" ca="1" si="131"/>
        <v>0.74999999999999989</v>
      </c>
      <c r="CY91" s="482">
        <f t="shared" ca="1" si="132"/>
        <v>0.74999999999999989</v>
      </c>
      <c r="CZ91" s="482">
        <f t="shared" si="133"/>
        <v>0</v>
      </c>
      <c r="DA91" s="482">
        <f t="shared" ca="1" si="134"/>
        <v>2.9999999999999996</v>
      </c>
      <c r="DB91" s="482">
        <f t="shared" ca="1" si="135"/>
        <v>0.74999999999999989</v>
      </c>
      <c r="DC91" s="481">
        <f t="shared" si="136"/>
        <v>0</v>
      </c>
      <c r="DD91" s="842">
        <f t="shared" si="137"/>
        <v>0</v>
      </c>
      <c r="DE91" s="439">
        <f t="shared" si="166"/>
        <v>0</v>
      </c>
      <c r="DF91" s="439">
        <f t="shared" si="167"/>
        <v>0</v>
      </c>
      <c r="DG91" s="480">
        <f t="shared" ca="1" si="138"/>
        <v>0.74999999999999989</v>
      </c>
      <c r="DH91" s="449">
        <f t="shared" si="139"/>
        <v>0</v>
      </c>
      <c r="DI91" s="449">
        <f>MIN(valkyrja_cap,Production!O91/valkyrja_bonus)</f>
        <v>1</v>
      </c>
      <c r="DJ91" s="842">
        <f>MIN(voodoo_magi_cap,Production!O91/voodoo_magi_bonus)</f>
        <v>0.83333333333333337</v>
      </c>
      <c r="DK91" s="842">
        <f>MIN(warlock_cap,Production!O91/warlock_bonus)</f>
        <v>1</v>
      </c>
      <c r="DL91" s="842">
        <f ca="1">MIN(nox_nightshade_cap,Construction!DF91/Construction!E91/nox_nightshade_swamp_bonus)</f>
        <v>1.4999999999999998</v>
      </c>
      <c r="DM91" s="481">
        <f t="shared" si="140"/>
        <v>0</v>
      </c>
      <c r="DN91" s="482">
        <f t="shared" ca="1" si="141"/>
        <v>1.4999999999999998</v>
      </c>
      <c r="DO91" s="482">
        <f t="shared" ca="1" si="142"/>
        <v>1.4999999999999998</v>
      </c>
      <c r="DP91" s="482">
        <f t="shared" si="143"/>
        <v>1</v>
      </c>
      <c r="DQ91" s="481">
        <f t="shared" si="144"/>
        <v>0</v>
      </c>
      <c r="DR91" s="482">
        <f t="shared" si="145"/>
        <v>0</v>
      </c>
      <c r="DS91" s="481">
        <f t="shared" si="146"/>
        <v>0</v>
      </c>
      <c r="DT91" s="482">
        <f t="shared" si="147"/>
        <v>0</v>
      </c>
      <c r="DX91" s="486">
        <f ca="1">MIN(6,CV91+Races!$F$19)*1.8 +  IF(CV91+Races!$F$19&gt;6,(CV91+Races!$F$19-6)*0.2,0) - Races!$N$19</f>
        <v>1.3500000000000005</v>
      </c>
      <c r="DY91" s="487">
        <f ca="1">1.8 * MIN(MAX(CW91+Races!$E$20,CX91+Races!$F$20),6)  +  0.45 * MIN(MIN(CW91+Races!$E$20,CX91+Races!$F$20),6)  +  0.2 * ( MAX(CW91+Races!$E$20-6,0) + MAX(CX91+Races!$F$20-6,0) )  -  Races!$N$20</f>
        <v>1.6874999999999991</v>
      </c>
      <c r="DZ91" s="57">
        <f t="shared" ca="1" si="148"/>
        <v>0</v>
      </c>
      <c r="EA91" s="663">
        <f ca="1">MIN(6,CY91+Races!$F$35)*1.8 +  IF(CY91+Races!$F$35&gt;6,(CY91+Races!$F$35-6)*0.2,0) - Races!$N$19</f>
        <v>-0.45000000000000018</v>
      </c>
      <c r="EB91" s="57">
        <f t="shared" ca="1" si="149"/>
        <v>0</v>
      </c>
      <c r="EC91" s="663">
        <f ca="1">1.8 * MIN(MAX(Races!$E$27,DB91+Races!$F$27),6)  +  0.45 * MIN(MIN(Races!$E$27,DB91+Races!$F$27),6)  +  0.2 * ( MAX(Races!$E$27-6,0) + MAX(DB91+Races!$F$27-6,0) )  -  Races!$N$20</f>
        <v>3.6000000000000005</v>
      </c>
      <c r="ED91" s="57">
        <f t="shared" ca="1" si="150"/>
        <v>0</v>
      </c>
      <c r="EE91" s="663">
        <f>1.8 * MIN(MAX(DC91+Races!$E$47,DD91+Races!$F$47),6)  +  0.45 * MIN(MIN(DC91+Races!$E$47,DD91+Races!$F$47),6)  +  0.2 * ( MAX(DC91+Races!$E$47-6,0) + MAX(DD91+Races!$F$47-6,0) )  -  Races!$N$47</f>
        <v>0</v>
      </c>
      <c r="EF91" s="57">
        <f t="shared" si="151"/>
        <v>0</v>
      </c>
      <c r="EG91" s="663">
        <f ca="1">1.8 * MIN(MAX(DG91+Races!$F$71,Races!$E$71),6)  +  0.45 * MIN(MIN(DG91+Races!$F$71,Races!$E$71),6)  +  0.2 * ( MAX(DG91+Races!$F$71-6,0) + MAX(Races!$E$71-6,0) )  -  Races!$N$71</f>
        <v>1.3499999999999996</v>
      </c>
      <c r="EH91" s="663">
        <f>1.8 * MIN(MAX(DH91+Races!$E$71,Races!$F$71),6)  +  0.45 * MIN(MIN(DH91+Races!$E$71,Races!$F$71),6)  +  0.2 * ( MAX(DH91+Races!$E$71-6,0) + MAX(Races!$F$71-6,0) )  -  Races!$N$71</f>
        <v>0</v>
      </c>
      <c r="EI91" s="57">
        <f t="shared" ca="1" si="152"/>
        <v>0</v>
      </c>
      <c r="EJ91" s="57"/>
      <c r="EK91" s="57"/>
      <c r="EL91" s="57"/>
      <c r="EM91" s="57">
        <f ca="1">Overview!$L$22*E91+Overview!$L$23*F91+Overview!$L$24*G91+Overview!$L$25*H91+Overview!$L$26*I91+Overview!$L$27*J91+Overview!$L$28*K91+Construction!E91*20+Construction!B91*5 + DZ91*$DV$4+EB91*$DV$5+ED91*$DV$6+EF91*$DV$7+EI91*$DV$9</f>
        <v>20900</v>
      </c>
      <c r="EO91" s="734">
        <f>(J91+2*K91)/Construction!E91</f>
        <v>0</v>
      </c>
      <c r="EP91" s="730">
        <f ca="1">EO91*(1+race_wizard_strength+tech_magical_weaponry_wiz*Techs!AV163)</f>
        <v>0</v>
      </c>
      <c r="EQ91" s="16">
        <f>(I91+halfer*H91/3)/Construction!E91</f>
        <v>0</v>
      </c>
    </row>
    <row r="92" spans="1:147" s="16" customFormat="1" x14ac:dyDescent="0.25">
      <c r="A92" s="627">
        <f>Rezone!J92</f>
        <v>90</v>
      </c>
      <c r="B92" s="56">
        <f ca="1">SUM(E92:K92)+SUM(AF84:AG92)+SUM(AH81:AL92)+Z92+Explore!AL92</f>
        <v>5295</v>
      </c>
      <c r="C92" s="97">
        <f ca="1">Population!G92</f>
        <v>0.74159663865546221</v>
      </c>
      <c r="E92" s="52">
        <f t="shared" si="169"/>
        <v>0</v>
      </c>
      <c r="F92" s="16">
        <f t="shared" si="170"/>
        <v>0</v>
      </c>
      <c r="G92" s="16">
        <f t="shared" si="171"/>
        <v>0</v>
      </c>
      <c r="H92" s="16">
        <f t="shared" si="172"/>
        <v>0</v>
      </c>
      <c r="I92" s="16">
        <f t="shared" si="173"/>
        <v>0</v>
      </c>
      <c r="J92" s="16">
        <f t="shared" si="174"/>
        <v>0</v>
      </c>
      <c r="K92" s="53">
        <f t="shared" si="175"/>
        <v>0</v>
      </c>
      <c r="M92" s="64">
        <f ca="1">Production!G92</f>
        <v>20900</v>
      </c>
      <c r="O92" s="234">
        <f t="shared" ca="1" si="112"/>
        <v>0</v>
      </c>
      <c r="P92" s="454">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53"/>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13"/>
        <v>5295</v>
      </c>
      <c r="T92" s="1047">
        <f ca="1">race_defense+Imps!AC92+ROUND(MIN(gt_bonus*Construction!BH92/Construction!$E92,gt_bonus_cap),4)+MAX(IF(Magic!AM92&gt;0,frenzy_bonus,IF(Magic!AQ92&gt;0,blizzard_bonus,IF(Magic!AP92&gt;0,howling_dp_bonus,IF(Magic!AI92&gt;0,ares_call_bonus)))),IF(Magic!AX92&gt;0,MIN(Construction!DF92/Construction!E92,0.2),0))</f>
        <v>0</v>
      </c>
      <c r="U92" s="1041">
        <f t="shared" ca="1" si="154"/>
        <v>0</v>
      </c>
      <c r="V92" s="308">
        <f t="shared" ca="1" si="155"/>
        <v>5295</v>
      </c>
      <c r="W92" s="310">
        <f>Construction!E92</f>
        <v>1000</v>
      </c>
      <c r="X92" s="367"/>
      <c r="Y92" s="146">
        <f t="shared" si="178"/>
        <v>0.4</v>
      </c>
      <c r="Z92" s="166">
        <f ca="1">Z91+Population!Z91 - IF(race="Lux",AF92,SUM(AF92:AK92)) - BE92 + SUM(BF92:BL92) - Explore!AI92</f>
        <v>5295</v>
      </c>
      <c r="AA92" s="164"/>
      <c r="AB92" s="91">
        <f>(Construction!$BA92+Construction!BY92)/(Construction!$E92-Explore!S92*20)</f>
        <v>0</v>
      </c>
      <c r="AC92" s="1515">
        <f ca="1">Imps!AE92</f>
        <v>0</v>
      </c>
      <c r="AD92" s="795">
        <f>Rezone!J92</f>
        <v>90</v>
      </c>
      <c r="AE92" s="587">
        <f>Explore!AA92</f>
        <v>43768.927083333117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14"/>
        <v>0</v>
      </c>
      <c r="AV92" s="164">
        <f t="shared" ca="1" si="115"/>
        <v>0</v>
      </c>
      <c r="AW92" s="164">
        <f t="shared" ca="1" si="156"/>
        <v>0</v>
      </c>
      <c r="AX92" s="164">
        <f t="shared" ca="1" si="157"/>
        <v>0</v>
      </c>
      <c r="AY92" s="164">
        <f t="shared" ca="1" si="158"/>
        <v>0</v>
      </c>
      <c r="AZ92" s="164">
        <f t="shared" ca="1" si="159"/>
        <v>0</v>
      </c>
      <c r="BA92" s="166">
        <f t="shared" ca="1" si="160"/>
        <v>0</v>
      </c>
      <c r="BB92" s="16">
        <v>18</v>
      </c>
      <c r="BC92" s="572">
        <f t="shared" si="161"/>
        <v>43768.927083333117</v>
      </c>
      <c r="BD92" s="148">
        <f t="shared" ca="1" si="162"/>
        <v>5295</v>
      </c>
      <c r="BE92" s="356"/>
      <c r="BF92" s="348"/>
      <c r="BG92" s="348"/>
      <c r="BH92" s="348"/>
      <c r="BI92" s="348"/>
      <c r="BJ92" s="348"/>
      <c r="BK92" s="348"/>
      <c r="BL92" s="357"/>
      <c r="BN92" s="501">
        <f>Construction!BM92/Construction!E92</f>
        <v>0</v>
      </c>
      <c r="BO92" s="171">
        <f>Construction!BD92/Construction!E92</f>
        <v>0</v>
      </c>
      <c r="BP92" s="152">
        <f ca="1">ROUNDUP((1-MIN(AB92*smithy_bonus,smithy_bonus_cap)-AC92)*(1+Techs!AO92*tech_master_of_frugality)*spec_op_plat,0)</f>
        <v>275</v>
      </c>
      <c r="BQ92" s="164">
        <f ca="1">ROUNDUP(IF(OR(race="Gnome",race="Imperial Gnome"),1-AC92,(1-MIN(AB92*smithy_bonus,smithy_bonus_cap)-AC92)*(1+Techs!AO92*tech_master_of_frugality))*spec_op_ore,0)</f>
        <v>25</v>
      </c>
      <c r="BR92" s="164">
        <f t="shared" si="116"/>
        <v>0</v>
      </c>
      <c r="BS92" s="164">
        <f t="shared" si="117"/>
        <v>0</v>
      </c>
      <c r="BT92" s="164">
        <f ca="1">ROUNDUP((1-MIN(AB92*smithy_bonus,smithy_bonus_cap)-AC92)*(1+Techs!AO92*tech_master_of_frugality)*spec_dp_plat,0)</f>
        <v>275</v>
      </c>
      <c r="BU92" s="164">
        <f ca="1">ROUNDUP(IF(OR(race="Gnome",race="Imperial Gnome"),1-AC92,(1-MIN(AB92*smithy_bonus,smithy_bonus_cap)-AC92)*(1+Techs!AO92*tech_master_of_frugality))*spec_dp_ore,0)</f>
        <v>10</v>
      </c>
      <c r="BV92" s="164">
        <f t="shared" ca="1" si="118"/>
        <v>0</v>
      </c>
      <c r="BW92" s="164">
        <f t="shared" ca="1" si="119"/>
        <v>0</v>
      </c>
      <c r="BX92" s="164">
        <f t="shared" ca="1" si="120"/>
        <v>0</v>
      </c>
      <c r="BY92" s="164">
        <f ca="1">ROUNDUP((1-MIN(AB92*smithy_bonus,smithy_bonus_cap)-AC92)*(1+Techs!AO92*tech_master_of_frugality)*elite1_plat,0)</f>
        <v>1000</v>
      </c>
      <c r="BZ92" s="164">
        <f ca="1">ROUNDUP(IF(OR(race="Gnome",race="Imperial Gnome"),1-AC92,(1-MIN(AB92*smithy_bonus,smithy_bonus_cap)-AC92)*(1+Techs!AO92*tech_master_of_frugality))*elite1_ore,0)</f>
        <v>75</v>
      </c>
      <c r="CA92" s="164">
        <f t="shared" ca="1" si="163"/>
        <v>0</v>
      </c>
      <c r="CB92" s="164">
        <f t="shared" ca="1" si="121"/>
        <v>0</v>
      </c>
      <c r="CC92" s="164">
        <f t="shared" ca="1" si="122"/>
        <v>0</v>
      </c>
      <c r="CD92" s="164">
        <f t="shared" ca="1" si="123"/>
        <v>0</v>
      </c>
      <c r="CE92" s="164">
        <f t="shared" ca="1" si="124"/>
        <v>0</v>
      </c>
      <c r="CF92" s="164">
        <f ca="1">ROUNDUP((1-MIN(AB92*smithy_bonus,smithy_bonus_cap)-AC92)*(1+Techs!AO92*tech_master_of_frugality)*elite2_plat,0)</f>
        <v>1250</v>
      </c>
      <c r="CG92" s="164">
        <f ca="1">ROUNDUP(IF(OR(race="Gnome",race="Imperial Gnome"),1-AC92,(1-MIN(AB92*smithy_bonus,smithy_bonus_cap)-AC92)*(1+Techs!AO92*tech_master_of_frugality))*elite2_ore,0)</f>
        <v>100</v>
      </c>
      <c r="CH92" s="164">
        <f t="shared" ca="1" si="164"/>
        <v>0</v>
      </c>
      <c r="CI92" s="164">
        <f t="shared" ca="1" si="125"/>
        <v>0</v>
      </c>
      <c r="CJ92" s="164">
        <f t="shared" ca="1" si="126"/>
        <v>0</v>
      </c>
      <c r="CK92" s="164">
        <f t="shared" ca="1" si="127"/>
        <v>0</v>
      </c>
      <c r="CL92" s="164">
        <f t="shared" ca="1" si="128"/>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4">
        <f ca="1">Construction!DF92/Construction!E92</f>
        <v>0.15</v>
      </c>
      <c r="CR92" s="465">
        <f t="shared" si="165"/>
        <v>0</v>
      </c>
      <c r="CS92" s="465">
        <f>Construction!BK92/Construction!E92</f>
        <v>0.05</v>
      </c>
      <c r="CT92" s="465">
        <f>Construction!BJ92/Construction!E92</f>
        <v>0</v>
      </c>
      <c r="CU92" s="465">
        <f>Construction!AY92/Construction!E92</f>
        <v>0</v>
      </c>
      <c r="CV92" s="480">
        <f t="shared" ca="1" si="129"/>
        <v>0.74999999999999989</v>
      </c>
      <c r="CW92" s="481">
        <f t="shared" ca="1" si="130"/>
        <v>0.74999999999999989</v>
      </c>
      <c r="CX92" s="481">
        <f t="shared" ca="1" si="131"/>
        <v>0.74999999999999989</v>
      </c>
      <c r="CY92" s="482">
        <f t="shared" ca="1" si="132"/>
        <v>0.74999999999999989</v>
      </c>
      <c r="CZ92" s="482">
        <f t="shared" si="133"/>
        <v>0</v>
      </c>
      <c r="DA92" s="482">
        <f t="shared" ca="1" si="134"/>
        <v>2.9999999999999996</v>
      </c>
      <c r="DB92" s="482">
        <f t="shared" ca="1" si="135"/>
        <v>0.74999999999999989</v>
      </c>
      <c r="DC92" s="481">
        <f t="shared" si="136"/>
        <v>0</v>
      </c>
      <c r="DD92" s="842">
        <f t="shared" si="137"/>
        <v>0</v>
      </c>
      <c r="DE92" s="439">
        <f t="shared" si="166"/>
        <v>0</v>
      </c>
      <c r="DF92" s="439">
        <f t="shared" si="167"/>
        <v>0</v>
      </c>
      <c r="DG92" s="480">
        <f t="shared" ca="1" si="138"/>
        <v>0.74999999999999989</v>
      </c>
      <c r="DH92" s="449">
        <f t="shared" si="139"/>
        <v>0</v>
      </c>
      <c r="DI92" s="449">
        <f>MIN(valkyrja_cap,Production!O92/valkyrja_bonus)</f>
        <v>1</v>
      </c>
      <c r="DJ92" s="842">
        <f>MIN(voodoo_magi_cap,Production!O92/voodoo_magi_bonus)</f>
        <v>0.83333333333333337</v>
      </c>
      <c r="DK92" s="842">
        <f>MIN(warlock_cap,Production!O92/warlock_bonus)</f>
        <v>1</v>
      </c>
      <c r="DL92" s="842">
        <f ca="1">MIN(nox_nightshade_cap,Construction!DF92/Construction!E92/nox_nightshade_swamp_bonus)</f>
        <v>1.4999999999999998</v>
      </c>
      <c r="DM92" s="481">
        <f t="shared" si="140"/>
        <v>0</v>
      </c>
      <c r="DN92" s="482">
        <f t="shared" ca="1" si="141"/>
        <v>1.4999999999999998</v>
      </c>
      <c r="DO92" s="482">
        <f t="shared" ca="1" si="142"/>
        <v>1.4999999999999998</v>
      </c>
      <c r="DP92" s="482">
        <f t="shared" si="143"/>
        <v>1</v>
      </c>
      <c r="DQ92" s="481">
        <f t="shared" si="144"/>
        <v>0</v>
      </c>
      <c r="DR92" s="482">
        <f t="shared" si="145"/>
        <v>0</v>
      </c>
      <c r="DS92" s="481">
        <f t="shared" si="146"/>
        <v>0</v>
      </c>
      <c r="DT92" s="482">
        <f t="shared" si="147"/>
        <v>0</v>
      </c>
      <c r="DX92" s="486">
        <f ca="1">MIN(6,CV92+Races!$F$19)*1.8 +  IF(CV92+Races!$F$19&gt;6,(CV92+Races!$F$19-6)*0.2,0) - Races!$N$19</f>
        <v>1.3500000000000005</v>
      </c>
      <c r="DY92" s="487">
        <f ca="1">1.8 * MIN(MAX(CW92+Races!$E$20,CX92+Races!$F$20),6)  +  0.45 * MIN(MIN(CW92+Races!$E$20,CX92+Races!$F$20),6)  +  0.2 * ( MAX(CW92+Races!$E$20-6,0) + MAX(CX92+Races!$F$20-6,0) )  -  Races!$N$20</f>
        <v>1.6874999999999991</v>
      </c>
      <c r="DZ92" s="57">
        <f t="shared" ca="1" si="148"/>
        <v>0</v>
      </c>
      <c r="EA92" s="663">
        <f ca="1">MIN(6,CY92+Races!$F$35)*1.8 +  IF(CY92+Races!$F$35&gt;6,(CY92+Races!$F$35-6)*0.2,0) - Races!$N$19</f>
        <v>-0.45000000000000018</v>
      </c>
      <c r="EB92" s="57">
        <f t="shared" ca="1" si="149"/>
        <v>0</v>
      </c>
      <c r="EC92" s="663">
        <f ca="1">1.8 * MIN(MAX(Races!$E$27,DB92+Races!$F$27),6)  +  0.45 * MIN(MIN(Races!$E$27,DB92+Races!$F$27),6)  +  0.2 * ( MAX(Races!$E$27-6,0) + MAX(DB92+Races!$F$27-6,0) )  -  Races!$N$20</f>
        <v>3.6000000000000005</v>
      </c>
      <c r="ED92" s="57">
        <f t="shared" ca="1" si="150"/>
        <v>0</v>
      </c>
      <c r="EE92" s="663">
        <f>1.8 * MIN(MAX(DC92+Races!$E$47,DD92+Races!$F$47),6)  +  0.45 * MIN(MIN(DC92+Races!$E$47,DD92+Races!$F$47),6)  +  0.2 * ( MAX(DC92+Races!$E$47-6,0) + MAX(DD92+Races!$F$47-6,0) )  -  Races!$N$47</f>
        <v>0</v>
      </c>
      <c r="EF92" s="57">
        <f t="shared" si="151"/>
        <v>0</v>
      </c>
      <c r="EG92" s="663">
        <f ca="1">1.8 * MIN(MAX(DG92+Races!$F$71,Races!$E$71),6)  +  0.45 * MIN(MIN(DG92+Races!$F$71,Races!$E$71),6)  +  0.2 * ( MAX(DG92+Races!$F$71-6,0) + MAX(Races!$E$71-6,0) )  -  Races!$N$71</f>
        <v>1.3499999999999996</v>
      </c>
      <c r="EH92" s="663">
        <f>1.8 * MIN(MAX(DH92+Races!$E$71,Races!$F$71),6)  +  0.45 * MIN(MIN(DH92+Races!$E$71,Races!$F$71),6)  +  0.2 * ( MAX(DH92+Races!$E$71-6,0) + MAX(Races!$F$71-6,0) )  -  Races!$N$71</f>
        <v>0</v>
      </c>
      <c r="EI92" s="57">
        <f t="shared" ca="1" si="152"/>
        <v>0</v>
      </c>
      <c r="EJ92" s="57"/>
      <c r="EK92" s="57"/>
      <c r="EL92" s="57"/>
      <c r="EM92" s="57">
        <f ca="1">Overview!$L$22*E92+Overview!$L$23*F92+Overview!$L$24*G92+Overview!$L$25*H92+Overview!$L$26*I92+Overview!$L$27*J92+Overview!$L$28*K92+Construction!E92*20+Construction!B92*5 + DZ92*$DV$4+EB92*$DV$5+ED92*$DV$6+EF92*$DV$7+EI92*$DV$9</f>
        <v>20900</v>
      </c>
      <c r="EO92" s="734">
        <f>(J92+2*K92)/Construction!E92</f>
        <v>0</v>
      </c>
      <c r="EP92" s="730">
        <f ca="1">EO92*(1+race_wizard_strength+tech_magical_weaponry_wiz*Techs!AV164)</f>
        <v>0</v>
      </c>
      <c r="EQ92" s="16">
        <f>(I92+halfer*H92/3)/Construction!E92</f>
        <v>0</v>
      </c>
    </row>
    <row r="93" spans="1:147" s="16" customFormat="1" x14ac:dyDescent="0.25">
      <c r="A93" s="627">
        <f>Rezone!J93</f>
        <v>91</v>
      </c>
      <c r="B93" s="56">
        <f ca="1">SUM(E93:K93)+SUM(AF85:AG93)+SUM(AH82:AL93)+Z93+Explore!AL93</f>
        <v>5295</v>
      </c>
      <c r="C93" s="97">
        <f ca="1">Population!G93</f>
        <v>0.74159663865546221</v>
      </c>
      <c r="E93" s="52">
        <f t="shared" si="169"/>
        <v>0</v>
      </c>
      <c r="F93" s="16">
        <f t="shared" si="170"/>
        <v>0</v>
      </c>
      <c r="G93" s="16">
        <f t="shared" si="171"/>
        <v>0</v>
      </c>
      <c r="H93" s="16">
        <f t="shared" si="172"/>
        <v>0</v>
      </c>
      <c r="I93" s="16">
        <f t="shared" si="173"/>
        <v>0</v>
      </c>
      <c r="J93" s="16">
        <f t="shared" si="174"/>
        <v>0</v>
      </c>
      <c r="K93" s="53">
        <f t="shared" si="175"/>
        <v>0</v>
      </c>
      <c r="M93" s="64">
        <f ca="1">Production!G93</f>
        <v>20900</v>
      </c>
      <c r="O93" s="234">
        <f t="shared" ca="1" si="112"/>
        <v>0</v>
      </c>
      <c r="P93" s="454">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53"/>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13"/>
        <v>5295</v>
      </c>
      <c r="T93" s="1047">
        <f ca="1">race_defense+Imps!AC93+ROUND(MIN(gt_bonus*Construction!BH93/Construction!$E93,gt_bonus_cap),4)+MAX(IF(Magic!AM93&gt;0,frenzy_bonus,IF(Magic!AQ93&gt;0,blizzard_bonus,IF(Magic!AP93&gt;0,howling_dp_bonus,IF(Magic!AI93&gt;0,ares_call_bonus)))),IF(Magic!AX93&gt;0,MIN(Construction!DF93/Construction!E93,0.2),0))</f>
        <v>0</v>
      </c>
      <c r="U93" s="1041">
        <f t="shared" ca="1" si="154"/>
        <v>0</v>
      </c>
      <c r="V93" s="308">
        <f t="shared" ca="1" si="155"/>
        <v>5295</v>
      </c>
      <c r="W93" s="310">
        <f>Construction!E93</f>
        <v>1000</v>
      </c>
      <c r="X93" s="367"/>
      <c r="Y93" s="146">
        <f t="shared" si="178"/>
        <v>0.4</v>
      </c>
      <c r="Z93" s="166">
        <f ca="1">Z92+Population!Z92 - IF(race="Lux",AF93,SUM(AF93:AK93)) - BE93 + SUM(BF93:BL93) - Explore!AI93</f>
        <v>5295</v>
      </c>
      <c r="AA93" s="164"/>
      <c r="AB93" s="91">
        <f>(Construction!$BA93+Construction!BY93)/(Construction!$E93-Explore!S93*20)</f>
        <v>0</v>
      </c>
      <c r="AC93" s="1515">
        <f ca="1">Imps!AE93</f>
        <v>0</v>
      </c>
      <c r="AD93" s="795">
        <f>Rezone!J93</f>
        <v>91</v>
      </c>
      <c r="AE93" s="587">
        <f>Explore!AA93</f>
        <v>43768.937499999782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14"/>
        <v>0</v>
      </c>
      <c r="AV93" s="164">
        <f t="shared" ca="1" si="115"/>
        <v>0</v>
      </c>
      <c r="AW93" s="164">
        <f t="shared" ca="1" si="156"/>
        <v>0</v>
      </c>
      <c r="AX93" s="164">
        <f t="shared" ca="1" si="157"/>
        <v>0</v>
      </c>
      <c r="AY93" s="164">
        <f t="shared" ca="1" si="158"/>
        <v>0</v>
      </c>
      <c r="AZ93" s="164">
        <f t="shared" ca="1" si="159"/>
        <v>0</v>
      </c>
      <c r="BA93" s="166">
        <f t="shared" ca="1" si="160"/>
        <v>0</v>
      </c>
      <c r="BB93" s="16">
        <v>19</v>
      </c>
      <c r="BC93" s="572">
        <f t="shared" si="161"/>
        <v>43768.937499999782</v>
      </c>
      <c r="BD93" s="148">
        <f t="shared" ca="1" si="162"/>
        <v>5295</v>
      </c>
      <c r="BE93" s="356"/>
      <c r="BF93" s="348"/>
      <c r="BG93" s="348"/>
      <c r="BH93" s="348"/>
      <c r="BI93" s="348"/>
      <c r="BJ93" s="348"/>
      <c r="BK93" s="348"/>
      <c r="BL93" s="357"/>
      <c r="BN93" s="501">
        <f>Construction!BM93/Construction!E93</f>
        <v>0</v>
      </c>
      <c r="BO93" s="171">
        <f>Construction!BD93/Construction!E93</f>
        <v>0</v>
      </c>
      <c r="BP93" s="152">
        <f ca="1">ROUNDUP((1-MIN(AB93*smithy_bonus,smithy_bonus_cap)-AC93)*(1+Techs!AO93*tech_master_of_frugality)*spec_op_plat,0)</f>
        <v>275</v>
      </c>
      <c r="BQ93" s="164">
        <f ca="1">ROUNDUP(IF(OR(race="Gnome",race="Imperial Gnome"),1-AC93,(1-MIN(AB93*smithy_bonus,smithy_bonus_cap)-AC93)*(1+Techs!AO93*tech_master_of_frugality))*spec_op_ore,0)</f>
        <v>25</v>
      </c>
      <c r="BR93" s="164">
        <f t="shared" si="116"/>
        <v>0</v>
      </c>
      <c r="BS93" s="164">
        <f t="shared" si="117"/>
        <v>0</v>
      </c>
      <c r="BT93" s="164">
        <f ca="1">ROUNDUP((1-MIN(AB93*smithy_bonus,smithy_bonus_cap)-AC93)*(1+Techs!AO93*tech_master_of_frugality)*spec_dp_plat,0)</f>
        <v>275</v>
      </c>
      <c r="BU93" s="164">
        <f ca="1">ROUNDUP(IF(OR(race="Gnome",race="Imperial Gnome"),1-AC93,(1-MIN(AB93*smithy_bonus,smithy_bonus_cap)-AC93)*(1+Techs!AO93*tech_master_of_frugality))*spec_dp_ore,0)</f>
        <v>10</v>
      </c>
      <c r="BV93" s="164">
        <f t="shared" ca="1" si="118"/>
        <v>0</v>
      </c>
      <c r="BW93" s="164">
        <f t="shared" ca="1" si="119"/>
        <v>0</v>
      </c>
      <c r="BX93" s="164">
        <f t="shared" ca="1" si="120"/>
        <v>0</v>
      </c>
      <c r="BY93" s="164">
        <f ca="1">ROUNDUP((1-MIN(AB93*smithy_bonus,smithy_bonus_cap)-AC93)*(1+Techs!AO93*tech_master_of_frugality)*elite1_plat,0)</f>
        <v>1000</v>
      </c>
      <c r="BZ93" s="164">
        <f ca="1">ROUNDUP(IF(OR(race="Gnome",race="Imperial Gnome"),1-AC93,(1-MIN(AB93*smithy_bonus,smithy_bonus_cap)-AC93)*(1+Techs!AO93*tech_master_of_frugality))*elite1_ore,0)</f>
        <v>75</v>
      </c>
      <c r="CA93" s="164">
        <f t="shared" ca="1" si="163"/>
        <v>0</v>
      </c>
      <c r="CB93" s="164">
        <f t="shared" ca="1" si="121"/>
        <v>0</v>
      </c>
      <c r="CC93" s="164">
        <f t="shared" ca="1" si="122"/>
        <v>0</v>
      </c>
      <c r="CD93" s="164">
        <f t="shared" ca="1" si="123"/>
        <v>0</v>
      </c>
      <c r="CE93" s="164">
        <f t="shared" ca="1" si="124"/>
        <v>0</v>
      </c>
      <c r="CF93" s="164">
        <f ca="1">ROUNDUP((1-MIN(AB93*smithy_bonus,smithy_bonus_cap)-AC93)*(1+Techs!AO93*tech_master_of_frugality)*elite2_plat,0)</f>
        <v>1250</v>
      </c>
      <c r="CG93" s="164">
        <f ca="1">ROUNDUP(IF(OR(race="Gnome",race="Imperial Gnome"),1-AC93,(1-MIN(AB93*smithy_bonus,smithy_bonus_cap)-AC93)*(1+Techs!AO93*tech_master_of_frugality))*elite2_ore,0)</f>
        <v>100</v>
      </c>
      <c r="CH93" s="164">
        <f t="shared" ca="1" si="164"/>
        <v>0</v>
      </c>
      <c r="CI93" s="164">
        <f t="shared" ca="1" si="125"/>
        <v>0</v>
      </c>
      <c r="CJ93" s="164">
        <f t="shared" ca="1" si="126"/>
        <v>0</v>
      </c>
      <c r="CK93" s="164">
        <f t="shared" ca="1" si="127"/>
        <v>0</v>
      </c>
      <c r="CL93" s="164">
        <f t="shared" ca="1" si="128"/>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4">
        <f ca="1">Construction!DF93/Construction!E93</f>
        <v>0.15</v>
      </c>
      <c r="CR93" s="465">
        <f t="shared" si="165"/>
        <v>0</v>
      </c>
      <c r="CS93" s="465">
        <f>Construction!BK93/Construction!E93</f>
        <v>0.05</v>
      </c>
      <c r="CT93" s="465">
        <f>Construction!BJ93/Construction!E93</f>
        <v>0</v>
      </c>
      <c r="CU93" s="465">
        <f>Construction!AY93/Construction!E93</f>
        <v>0</v>
      </c>
      <c r="CV93" s="480">
        <f t="shared" ca="1" si="129"/>
        <v>0.74999999999999989</v>
      </c>
      <c r="CW93" s="481">
        <f t="shared" ca="1" si="130"/>
        <v>0.74999999999999989</v>
      </c>
      <c r="CX93" s="481">
        <f t="shared" ca="1" si="131"/>
        <v>0.74999999999999989</v>
      </c>
      <c r="CY93" s="482">
        <f t="shared" ca="1" si="132"/>
        <v>0.74999999999999989</v>
      </c>
      <c r="CZ93" s="482">
        <f t="shared" si="133"/>
        <v>0</v>
      </c>
      <c r="DA93" s="482">
        <f t="shared" ca="1" si="134"/>
        <v>2.9999999999999996</v>
      </c>
      <c r="DB93" s="482">
        <f t="shared" ca="1" si="135"/>
        <v>0.74999999999999989</v>
      </c>
      <c r="DC93" s="481">
        <f t="shared" si="136"/>
        <v>0</v>
      </c>
      <c r="DD93" s="842">
        <f t="shared" si="137"/>
        <v>0</v>
      </c>
      <c r="DE93" s="439">
        <f t="shared" si="166"/>
        <v>0</v>
      </c>
      <c r="DF93" s="439">
        <f t="shared" si="167"/>
        <v>0</v>
      </c>
      <c r="DG93" s="480">
        <f t="shared" ca="1" si="138"/>
        <v>0.74999999999999989</v>
      </c>
      <c r="DH93" s="449">
        <f t="shared" si="139"/>
        <v>0</v>
      </c>
      <c r="DI93" s="449">
        <f>MIN(valkyrja_cap,Production!O93/valkyrja_bonus)</f>
        <v>1</v>
      </c>
      <c r="DJ93" s="842">
        <f>MIN(voodoo_magi_cap,Production!O93/voodoo_magi_bonus)</f>
        <v>0.83333333333333337</v>
      </c>
      <c r="DK93" s="842">
        <f>MIN(warlock_cap,Production!O93/warlock_bonus)</f>
        <v>1</v>
      </c>
      <c r="DL93" s="842">
        <f ca="1">MIN(nox_nightshade_cap,Construction!DF93/Construction!E93/nox_nightshade_swamp_bonus)</f>
        <v>1.4999999999999998</v>
      </c>
      <c r="DM93" s="481">
        <f t="shared" si="140"/>
        <v>0</v>
      </c>
      <c r="DN93" s="482">
        <f t="shared" ca="1" si="141"/>
        <v>1.4999999999999998</v>
      </c>
      <c r="DO93" s="482">
        <f t="shared" ca="1" si="142"/>
        <v>1.4999999999999998</v>
      </c>
      <c r="DP93" s="482">
        <f t="shared" si="143"/>
        <v>1</v>
      </c>
      <c r="DQ93" s="481">
        <f t="shared" si="144"/>
        <v>0</v>
      </c>
      <c r="DR93" s="482">
        <f t="shared" si="145"/>
        <v>0</v>
      </c>
      <c r="DS93" s="481">
        <f t="shared" si="146"/>
        <v>0</v>
      </c>
      <c r="DT93" s="482">
        <f t="shared" si="147"/>
        <v>0</v>
      </c>
      <c r="DX93" s="486">
        <f ca="1">MIN(6,CV93+Races!$F$19)*1.8 +  IF(CV93+Races!$F$19&gt;6,(CV93+Races!$F$19-6)*0.2,0) - Races!$N$19</f>
        <v>1.3500000000000005</v>
      </c>
      <c r="DY93" s="487">
        <f ca="1">1.8 * MIN(MAX(CW93+Races!$E$20,CX93+Races!$F$20),6)  +  0.45 * MIN(MIN(CW93+Races!$E$20,CX93+Races!$F$20),6)  +  0.2 * ( MAX(CW93+Races!$E$20-6,0) + MAX(CX93+Races!$F$20-6,0) )  -  Races!$N$20</f>
        <v>1.6874999999999991</v>
      </c>
      <c r="DZ93" s="57">
        <f t="shared" ca="1" si="148"/>
        <v>0</v>
      </c>
      <c r="EA93" s="663">
        <f ca="1">MIN(6,CY93+Races!$F$35)*1.8 +  IF(CY93+Races!$F$35&gt;6,(CY93+Races!$F$35-6)*0.2,0) - Races!$N$19</f>
        <v>-0.45000000000000018</v>
      </c>
      <c r="EB93" s="57">
        <f t="shared" ca="1" si="149"/>
        <v>0</v>
      </c>
      <c r="EC93" s="663">
        <f ca="1">1.8 * MIN(MAX(Races!$E$27,DB93+Races!$F$27),6)  +  0.45 * MIN(MIN(Races!$E$27,DB93+Races!$F$27),6)  +  0.2 * ( MAX(Races!$E$27-6,0) + MAX(DB93+Races!$F$27-6,0) )  -  Races!$N$20</f>
        <v>3.6000000000000005</v>
      </c>
      <c r="ED93" s="57">
        <f t="shared" ca="1" si="150"/>
        <v>0</v>
      </c>
      <c r="EE93" s="663">
        <f>1.8 * MIN(MAX(DC93+Races!$E$47,DD93+Races!$F$47),6)  +  0.45 * MIN(MIN(DC93+Races!$E$47,DD93+Races!$F$47),6)  +  0.2 * ( MAX(DC93+Races!$E$47-6,0) + MAX(DD93+Races!$F$47-6,0) )  -  Races!$N$47</f>
        <v>0</v>
      </c>
      <c r="EF93" s="57">
        <f t="shared" si="151"/>
        <v>0</v>
      </c>
      <c r="EG93" s="663">
        <f ca="1">1.8 * MIN(MAX(DG93+Races!$F$71,Races!$E$71),6)  +  0.45 * MIN(MIN(DG93+Races!$F$71,Races!$E$71),6)  +  0.2 * ( MAX(DG93+Races!$F$71-6,0) + MAX(Races!$E$71-6,0) )  -  Races!$N$71</f>
        <v>1.3499999999999996</v>
      </c>
      <c r="EH93" s="663">
        <f>1.8 * MIN(MAX(DH93+Races!$E$71,Races!$F$71),6)  +  0.45 * MIN(MIN(DH93+Races!$E$71,Races!$F$71),6)  +  0.2 * ( MAX(DH93+Races!$E$71-6,0) + MAX(Races!$F$71-6,0) )  -  Races!$N$71</f>
        <v>0</v>
      </c>
      <c r="EI93" s="57">
        <f t="shared" ca="1" si="152"/>
        <v>0</v>
      </c>
      <c r="EJ93" s="57"/>
      <c r="EK93" s="57"/>
      <c r="EL93" s="57"/>
      <c r="EM93" s="57">
        <f ca="1">Overview!$L$22*E93+Overview!$L$23*F93+Overview!$L$24*G93+Overview!$L$25*H93+Overview!$L$26*I93+Overview!$L$27*J93+Overview!$L$28*K93+Construction!E93*20+Construction!B93*5 + DZ93*$DV$4+EB93*$DV$5+ED93*$DV$6+EF93*$DV$7+EI93*$DV$9</f>
        <v>20900</v>
      </c>
      <c r="EO93" s="734">
        <f>(J93+2*K93)/Construction!E93</f>
        <v>0</v>
      </c>
      <c r="EP93" s="730">
        <f ca="1">EO93*(1+race_wizard_strength+tech_magical_weaponry_wiz*Techs!AV165)</f>
        <v>0</v>
      </c>
      <c r="EQ93" s="16">
        <f>(I93+halfer*H93/3)/Construction!E93</f>
        <v>0</v>
      </c>
    </row>
    <row r="94" spans="1:147" s="16" customFormat="1" x14ac:dyDescent="0.25">
      <c r="A94" s="627">
        <f>Rezone!J94</f>
        <v>92</v>
      </c>
      <c r="B94" s="56">
        <f ca="1">SUM(E94:K94)+SUM(AF86:AG94)+SUM(AH83:AL94)+Z94+Explore!AL94</f>
        <v>5295</v>
      </c>
      <c r="C94" s="97">
        <f ca="1">Population!G94</f>
        <v>0.74159663865546221</v>
      </c>
      <c r="E94" s="52">
        <f t="shared" si="169"/>
        <v>0</v>
      </c>
      <c r="F94" s="16">
        <f t="shared" si="170"/>
        <v>0</v>
      </c>
      <c r="G94" s="16">
        <f t="shared" si="171"/>
        <v>0</v>
      </c>
      <c r="H94" s="16">
        <f t="shared" si="172"/>
        <v>0</v>
      </c>
      <c r="I94" s="16">
        <f t="shared" si="173"/>
        <v>0</v>
      </c>
      <c r="J94" s="16">
        <f t="shared" si="174"/>
        <v>0</v>
      </c>
      <c r="K94" s="53">
        <f t="shared" si="175"/>
        <v>0</v>
      </c>
      <c r="M94" s="64">
        <f ca="1">Production!G94</f>
        <v>20900</v>
      </c>
      <c r="O94" s="234">
        <f t="shared" ca="1" si="112"/>
        <v>0</v>
      </c>
      <c r="P94" s="454">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53"/>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13"/>
        <v>5295</v>
      </c>
      <c r="T94" s="1047">
        <f ca="1">race_defense+Imps!AC94+ROUND(MIN(gt_bonus*Construction!BH94/Construction!$E94,gt_bonus_cap),4)+MAX(IF(Magic!AM94&gt;0,frenzy_bonus,IF(Magic!AQ94&gt;0,blizzard_bonus,IF(Magic!AP94&gt;0,howling_dp_bonus,IF(Magic!AI94&gt;0,ares_call_bonus)))),IF(Magic!AX94&gt;0,MIN(Construction!DF94/Construction!E94,0.2),0))</f>
        <v>0</v>
      </c>
      <c r="U94" s="1041">
        <f t="shared" ca="1" si="154"/>
        <v>0</v>
      </c>
      <c r="V94" s="308">
        <f t="shared" ca="1" si="155"/>
        <v>5295</v>
      </c>
      <c r="W94" s="310">
        <f>Construction!E94</f>
        <v>1000</v>
      </c>
      <c r="X94" s="367"/>
      <c r="Y94" s="146">
        <f t="shared" si="178"/>
        <v>0.4</v>
      </c>
      <c r="Z94" s="166">
        <f ca="1">Z93+Population!Z93 - IF(race="Lux",AF94,SUM(AF94:AK94)) - BE94 + SUM(BF94:BL94) - Explore!AI94</f>
        <v>5295</v>
      </c>
      <c r="AA94" s="164"/>
      <c r="AB94" s="91">
        <f>(Construction!$BA94+Construction!BY94)/(Construction!$E94-Explore!S94*20)</f>
        <v>0</v>
      </c>
      <c r="AC94" s="1515">
        <f ca="1">Imps!AE94</f>
        <v>0</v>
      </c>
      <c r="AD94" s="795">
        <f>Rezone!J94</f>
        <v>92</v>
      </c>
      <c r="AE94" s="587">
        <f>Explore!AA94</f>
        <v>43768.947916666446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14"/>
        <v>0</v>
      </c>
      <c r="AV94" s="164">
        <f t="shared" ca="1" si="115"/>
        <v>0</v>
      </c>
      <c r="AW94" s="164">
        <f t="shared" ca="1" si="156"/>
        <v>0</v>
      </c>
      <c r="AX94" s="164">
        <f t="shared" ca="1" si="157"/>
        <v>0</v>
      </c>
      <c r="AY94" s="164">
        <f t="shared" ca="1" si="158"/>
        <v>0</v>
      </c>
      <c r="AZ94" s="164">
        <f t="shared" ca="1" si="159"/>
        <v>0</v>
      </c>
      <c r="BA94" s="166">
        <f t="shared" ca="1" si="160"/>
        <v>0</v>
      </c>
      <c r="BB94" s="16">
        <v>20</v>
      </c>
      <c r="BC94" s="572">
        <f t="shared" si="161"/>
        <v>43768.947916666446</v>
      </c>
      <c r="BD94" s="148">
        <f t="shared" ca="1" si="162"/>
        <v>5295</v>
      </c>
      <c r="BE94" s="356"/>
      <c r="BF94" s="348"/>
      <c r="BG94" s="348"/>
      <c r="BH94" s="348"/>
      <c r="BI94" s="348"/>
      <c r="BJ94" s="348"/>
      <c r="BK94" s="348"/>
      <c r="BL94" s="357"/>
      <c r="BN94" s="501">
        <f>Construction!BM94/Construction!E94</f>
        <v>0</v>
      </c>
      <c r="BO94" s="171">
        <f>Construction!BD94/Construction!E94</f>
        <v>0</v>
      </c>
      <c r="BP94" s="152">
        <f ca="1">ROUNDUP((1-MIN(AB94*smithy_bonus,smithy_bonus_cap)-AC94)*(1+Techs!AO94*tech_master_of_frugality)*spec_op_plat,0)</f>
        <v>275</v>
      </c>
      <c r="BQ94" s="164">
        <f ca="1">ROUNDUP(IF(OR(race="Gnome",race="Imperial Gnome"),1-AC94,(1-MIN(AB94*smithy_bonus,smithy_bonus_cap)-AC94)*(1+Techs!AO94*tech_master_of_frugality))*spec_op_ore,0)</f>
        <v>25</v>
      </c>
      <c r="BR94" s="164">
        <f t="shared" si="116"/>
        <v>0</v>
      </c>
      <c r="BS94" s="164">
        <f t="shared" si="117"/>
        <v>0</v>
      </c>
      <c r="BT94" s="164">
        <f ca="1">ROUNDUP((1-MIN(AB94*smithy_bonus,smithy_bonus_cap)-AC94)*(1+Techs!AO94*tech_master_of_frugality)*spec_dp_plat,0)</f>
        <v>275</v>
      </c>
      <c r="BU94" s="164">
        <f ca="1">ROUNDUP(IF(OR(race="Gnome",race="Imperial Gnome"),1-AC94,(1-MIN(AB94*smithy_bonus,smithy_bonus_cap)-AC94)*(1+Techs!AO94*tech_master_of_frugality))*spec_dp_ore,0)</f>
        <v>10</v>
      </c>
      <c r="BV94" s="164">
        <f t="shared" ca="1" si="118"/>
        <v>0</v>
      </c>
      <c r="BW94" s="164">
        <f t="shared" ca="1" si="119"/>
        <v>0</v>
      </c>
      <c r="BX94" s="164">
        <f t="shared" ca="1" si="120"/>
        <v>0</v>
      </c>
      <c r="BY94" s="164">
        <f ca="1">ROUNDUP((1-MIN(AB94*smithy_bonus,smithy_bonus_cap)-AC94)*(1+Techs!AO94*tech_master_of_frugality)*elite1_plat,0)</f>
        <v>1000</v>
      </c>
      <c r="BZ94" s="164">
        <f ca="1">ROUNDUP(IF(OR(race="Gnome",race="Imperial Gnome"),1-AC94,(1-MIN(AB94*smithy_bonus,smithy_bonus_cap)-AC94)*(1+Techs!AO94*tech_master_of_frugality))*elite1_ore,0)</f>
        <v>75</v>
      </c>
      <c r="CA94" s="164">
        <f t="shared" ca="1" si="163"/>
        <v>0</v>
      </c>
      <c r="CB94" s="164">
        <f t="shared" ca="1" si="121"/>
        <v>0</v>
      </c>
      <c r="CC94" s="164">
        <f t="shared" ca="1" si="122"/>
        <v>0</v>
      </c>
      <c r="CD94" s="164">
        <f t="shared" ca="1" si="123"/>
        <v>0</v>
      </c>
      <c r="CE94" s="164">
        <f t="shared" ca="1" si="124"/>
        <v>0</v>
      </c>
      <c r="CF94" s="164">
        <f ca="1">ROUNDUP((1-MIN(AB94*smithy_bonus,smithy_bonus_cap)-AC94)*(1+Techs!AO94*tech_master_of_frugality)*elite2_plat,0)</f>
        <v>1250</v>
      </c>
      <c r="CG94" s="164">
        <f ca="1">ROUNDUP(IF(OR(race="Gnome",race="Imperial Gnome"),1-AC94,(1-MIN(AB94*smithy_bonus,smithy_bonus_cap)-AC94)*(1+Techs!AO94*tech_master_of_frugality))*elite2_ore,0)</f>
        <v>100</v>
      </c>
      <c r="CH94" s="164">
        <f t="shared" ca="1" si="164"/>
        <v>0</v>
      </c>
      <c r="CI94" s="164">
        <f t="shared" ca="1" si="125"/>
        <v>0</v>
      </c>
      <c r="CJ94" s="164">
        <f t="shared" ca="1" si="126"/>
        <v>0</v>
      </c>
      <c r="CK94" s="164">
        <f t="shared" ca="1" si="127"/>
        <v>0</v>
      </c>
      <c r="CL94" s="164">
        <f t="shared" ca="1" si="128"/>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4">
        <f ca="1">Construction!DF94/Construction!E94</f>
        <v>0.15</v>
      </c>
      <c r="CR94" s="465">
        <f t="shared" si="165"/>
        <v>0</v>
      </c>
      <c r="CS94" s="465">
        <f>Construction!BK94/Construction!E94</f>
        <v>0.05</v>
      </c>
      <c r="CT94" s="465">
        <f>Construction!BJ94/Construction!E94</f>
        <v>0</v>
      </c>
      <c r="CU94" s="465">
        <f>Construction!AY94/Construction!E94</f>
        <v>0</v>
      </c>
      <c r="CV94" s="480">
        <f t="shared" ca="1" si="129"/>
        <v>0.74999999999999989</v>
      </c>
      <c r="CW94" s="481">
        <f t="shared" ca="1" si="130"/>
        <v>0.74999999999999989</v>
      </c>
      <c r="CX94" s="481">
        <f t="shared" ca="1" si="131"/>
        <v>0.74999999999999989</v>
      </c>
      <c r="CY94" s="482">
        <f t="shared" ca="1" si="132"/>
        <v>0.74999999999999989</v>
      </c>
      <c r="CZ94" s="482">
        <f t="shared" si="133"/>
        <v>0</v>
      </c>
      <c r="DA94" s="482">
        <f t="shared" ca="1" si="134"/>
        <v>2.9999999999999996</v>
      </c>
      <c r="DB94" s="482">
        <f t="shared" ca="1" si="135"/>
        <v>0.74999999999999989</v>
      </c>
      <c r="DC94" s="481">
        <f t="shared" si="136"/>
        <v>0</v>
      </c>
      <c r="DD94" s="842">
        <f t="shared" si="137"/>
        <v>0</v>
      </c>
      <c r="DE94" s="439">
        <f t="shared" si="166"/>
        <v>0</v>
      </c>
      <c r="DF94" s="439">
        <f t="shared" si="167"/>
        <v>0</v>
      </c>
      <c r="DG94" s="480">
        <f t="shared" ca="1" si="138"/>
        <v>0.74999999999999989</v>
      </c>
      <c r="DH94" s="449">
        <f t="shared" si="139"/>
        <v>0</v>
      </c>
      <c r="DI94" s="449">
        <f>MIN(valkyrja_cap,Production!O94/valkyrja_bonus)</f>
        <v>1</v>
      </c>
      <c r="DJ94" s="842">
        <f>MIN(voodoo_magi_cap,Production!O94/voodoo_magi_bonus)</f>
        <v>0.83333333333333337</v>
      </c>
      <c r="DK94" s="842">
        <f>MIN(warlock_cap,Production!O94/warlock_bonus)</f>
        <v>1</v>
      </c>
      <c r="DL94" s="842">
        <f ca="1">MIN(nox_nightshade_cap,Construction!DF94/Construction!E94/nox_nightshade_swamp_bonus)</f>
        <v>1.4999999999999998</v>
      </c>
      <c r="DM94" s="481">
        <f t="shared" si="140"/>
        <v>0</v>
      </c>
      <c r="DN94" s="482">
        <f t="shared" ca="1" si="141"/>
        <v>1.4999999999999998</v>
      </c>
      <c r="DO94" s="482">
        <f t="shared" ca="1" si="142"/>
        <v>1.4999999999999998</v>
      </c>
      <c r="DP94" s="482">
        <f t="shared" si="143"/>
        <v>1</v>
      </c>
      <c r="DQ94" s="481">
        <f t="shared" si="144"/>
        <v>0</v>
      </c>
      <c r="DR94" s="482">
        <f t="shared" si="145"/>
        <v>0</v>
      </c>
      <c r="DS94" s="481">
        <f t="shared" si="146"/>
        <v>0</v>
      </c>
      <c r="DT94" s="482">
        <f t="shared" si="147"/>
        <v>0</v>
      </c>
      <c r="DX94" s="486">
        <f ca="1">MIN(6,CV94+Races!$F$19)*1.8 +  IF(CV94+Races!$F$19&gt;6,(CV94+Races!$F$19-6)*0.2,0) - Races!$N$19</f>
        <v>1.3500000000000005</v>
      </c>
      <c r="DY94" s="487">
        <f ca="1">1.8 * MIN(MAX(CW94+Races!$E$20,CX94+Races!$F$20),6)  +  0.45 * MIN(MIN(CW94+Races!$E$20,CX94+Races!$F$20),6)  +  0.2 * ( MAX(CW94+Races!$E$20-6,0) + MAX(CX94+Races!$F$20-6,0) )  -  Races!$N$20</f>
        <v>1.6874999999999991</v>
      </c>
      <c r="DZ94" s="57">
        <f t="shared" ca="1" si="148"/>
        <v>0</v>
      </c>
      <c r="EA94" s="663">
        <f ca="1">MIN(6,CY94+Races!$F$35)*1.8 +  IF(CY94+Races!$F$35&gt;6,(CY94+Races!$F$35-6)*0.2,0) - Races!$N$19</f>
        <v>-0.45000000000000018</v>
      </c>
      <c r="EB94" s="57">
        <f t="shared" ca="1" si="149"/>
        <v>0</v>
      </c>
      <c r="EC94" s="663">
        <f ca="1">1.8 * MIN(MAX(Races!$E$27,DB94+Races!$F$27),6)  +  0.45 * MIN(MIN(Races!$E$27,DB94+Races!$F$27),6)  +  0.2 * ( MAX(Races!$E$27-6,0) + MAX(DB94+Races!$F$27-6,0) )  -  Races!$N$20</f>
        <v>3.6000000000000005</v>
      </c>
      <c r="ED94" s="57">
        <f t="shared" ca="1" si="150"/>
        <v>0</v>
      </c>
      <c r="EE94" s="663">
        <f>1.8 * MIN(MAX(DC94+Races!$E$47,DD94+Races!$F$47),6)  +  0.45 * MIN(MIN(DC94+Races!$E$47,DD94+Races!$F$47),6)  +  0.2 * ( MAX(DC94+Races!$E$47-6,0) + MAX(DD94+Races!$F$47-6,0) )  -  Races!$N$47</f>
        <v>0</v>
      </c>
      <c r="EF94" s="57">
        <f t="shared" si="151"/>
        <v>0</v>
      </c>
      <c r="EG94" s="663">
        <f ca="1">1.8 * MIN(MAX(DG94+Races!$F$71,Races!$E$71),6)  +  0.45 * MIN(MIN(DG94+Races!$F$71,Races!$E$71),6)  +  0.2 * ( MAX(DG94+Races!$F$71-6,0) + MAX(Races!$E$71-6,0) )  -  Races!$N$71</f>
        <v>1.3499999999999996</v>
      </c>
      <c r="EH94" s="663">
        <f>1.8 * MIN(MAX(DH94+Races!$E$71,Races!$F$71),6)  +  0.45 * MIN(MIN(DH94+Races!$E$71,Races!$F$71),6)  +  0.2 * ( MAX(DH94+Races!$E$71-6,0) + MAX(Races!$F$71-6,0) )  -  Races!$N$71</f>
        <v>0</v>
      </c>
      <c r="EI94" s="57">
        <f t="shared" ca="1" si="152"/>
        <v>0</v>
      </c>
      <c r="EJ94" s="57"/>
      <c r="EK94" s="57"/>
      <c r="EL94" s="57"/>
      <c r="EM94" s="57">
        <f ca="1">Overview!$L$22*E94+Overview!$L$23*F94+Overview!$L$24*G94+Overview!$L$25*H94+Overview!$L$26*I94+Overview!$L$27*J94+Overview!$L$28*K94+Construction!E94*20+Construction!B94*5 + DZ94*$DV$4+EB94*$DV$5+ED94*$DV$6+EF94*$DV$7+EI94*$DV$9</f>
        <v>20900</v>
      </c>
      <c r="EO94" s="734">
        <f>(J94+2*K94)/Construction!E94</f>
        <v>0</v>
      </c>
      <c r="EP94" s="730">
        <f ca="1">EO94*(1+race_wizard_strength+tech_magical_weaponry_wiz*Techs!AV166)</f>
        <v>0</v>
      </c>
      <c r="EQ94" s="16">
        <f>(I94+halfer*H94/3)/Construction!E94</f>
        <v>0</v>
      </c>
    </row>
    <row r="95" spans="1:147" s="16" customFormat="1" x14ac:dyDescent="0.25">
      <c r="A95" s="627">
        <f>Rezone!J95</f>
        <v>93</v>
      </c>
      <c r="B95" s="56">
        <f ca="1">SUM(E95:K95)+SUM(AF87:AG95)+SUM(AH84:AL95)+Z95+Explore!AL95</f>
        <v>5295</v>
      </c>
      <c r="C95" s="97">
        <f ca="1">Population!G95</f>
        <v>0.74159663865546221</v>
      </c>
      <c r="E95" s="52">
        <f t="shared" si="169"/>
        <v>0</v>
      </c>
      <c r="F95" s="16">
        <f t="shared" si="170"/>
        <v>0</v>
      </c>
      <c r="G95" s="16">
        <f t="shared" si="171"/>
        <v>0</v>
      </c>
      <c r="H95" s="16">
        <f t="shared" si="172"/>
        <v>0</v>
      </c>
      <c r="I95" s="16">
        <f t="shared" si="173"/>
        <v>0</v>
      </c>
      <c r="J95" s="16">
        <f t="shared" si="174"/>
        <v>0</v>
      </c>
      <c r="K95" s="53">
        <f t="shared" si="175"/>
        <v>0</v>
      </c>
      <c r="M95" s="64">
        <f ca="1">Production!G95</f>
        <v>20900</v>
      </c>
      <c r="O95" s="234">
        <f t="shared" ca="1" si="112"/>
        <v>0</v>
      </c>
      <c r="P95" s="454">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53"/>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13"/>
        <v>5295</v>
      </c>
      <c r="T95" s="1047">
        <f ca="1">race_defense+Imps!AC95+ROUND(MIN(gt_bonus*Construction!BH95/Construction!$E95,gt_bonus_cap),4)+MAX(IF(Magic!AM95&gt;0,frenzy_bonus,IF(Magic!AQ95&gt;0,blizzard_bonus,IF(Magic!AP95&gt;0,howling_dp_bonus,IF(Magic!AI95&gt;0,ares_call_bonus)))),IF(Magic!AX95&gt;0,MIN(Construction!DF95/Construction!E95,0.2),0))</f>
        <v>0</v>
      </c>
      <c r="U95" s="1041">
        <f t="shared" ca="1" si="154"/>
        <v>0</v>
      </c>
      <c r="V95" s="308">
        <f t="shared" ca="1" si="155"/>
        <v>5295</v>
      </c>
      <c r="W95" s="310">
        <f>Construction!E95</f>
        <v>1000</v>
      </c>
      <c r="X95" s="367"/>
      <c r="Y95" s="146">
        <f t="shared" si="178"/>
        <v>0.4</v>
      </c>
      <c r="Z95" s="166">
        <f ca="1">Z94+Population!Z94 - IF(race="Lux",AF95,SUM(AF95:AK95)) - BE95 + SUM(BF95:BL95) - Explore!AI95</f>
        <v>5295</v>
      </c>
      <c r="AA95" s="164"/>
      <c r="AB95" s="91">
        <f>(Construction!$BA95+Construction!BY95)/(Construction!$E95-Explore!S95*20)</f>
        <v>0</v>
      </c>
      <c r="AC95" s="1515">
        <f ca="1">Imps!AE95</f>
        <v>0</v>
      </c>
      <c r="AD95" s="795">
        <f>Rezone!J95</f>
        <v>93</v>
      </c>
      <c r="AE95" s="587">
        <f>Explore!AA95</f>
        <v>43768.95833333311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14"/>
        <v>0</v>
      </c>
      <c r="AV95" s="164">
        <f t="shared" ca="1" si="115"/>
        <v>0</v>
      </c>
      <c r="AW95" s="164">
        <f t="shared" ca="1" si="156"/>
        <v>0</v>
      </c>
      <c r="AX95" s="164">
        <f t="shared" ca="1" si="157"/>
        <v>0</v>
      </c>
      <c r="AY95" s="164">
        <f t="shared" ca="1" si="158"/>
        <v>0</v>
      </c>
      <c r="AZ95" s="164">
        <f t="shared" ca="1" si="159"/>
        <v>0</v>
      </c>
      <c r="BA95" s="166">
        <f t="shared" ca="1" si="160"/>
        <v>0</v>
      </c>
      <c r="BB95" s="16">
        <v>21</v>
      </c>
      <c r="BC95" s="572">
        <f t="shared" si="161"/>
        <v>43768.95833333311</v>
      </c>
      <c r="BD95" s="148">
        <f t="shared" ca="1" si="162"/>
        <v>5295</v>
      </c>
      <c r="BE95" s="356"/>
      <c r="BF95" s="348"/>
      <c r="BG95" s="348"/>
      <c r="BH95" s="348"/>
      <c r="BI95" s="348"/>
      <c r="BJ95" s="348"/>
      <c r="BK95" s="348"/>
      <c r="BL95" s="357"/>
      <c r="BN95" s="501">
        <f>Construction!BM95/Construction!E95</f>
        <v>0</v>
      </c>
      <c r="BO95" s="171">
        <f>Construction!BD95/Construction!E95</f>
        <v>0</v>
      </c>
      <c r="BP95" s="152">
        <f ca="1">ROUNDUP((1-MIN(AB95*smithy_bonus,smithy_bonus_cap)-AC95)*(1+Techs!AO95*tech_master_of_frugality)*spec_op_plat,0)</f>
        <v>275</v>
      </c>
      <c r="BQ95" s="164">
        <f ca="1">ROUNDUP(IF(OR(race="Gnome",race="Imperial Gnome"),1-AC95,(1-MIN(AB95*smithy_bonus,smithy_bonus_cap)-AC95)*(1+Techs!AO95*tech_master_of_frugality))*spec_op_ore,0)</f>
        <v>25</v>
      </c>
      <c r="BR95" s="164">
        <f t="shared" si="116"/>
        <v>0</v>
      </c>
      <c r="BS95" s="164">
        <f t="shared" si="117"/>
        <v>0</v>
      </c>
      <c r="BT95" s="164">
        <f ca="1">ROUNDUP((1-MIN(AB95*smithy_bonus,smithy_bonus_cap)-AC95)*(1+Techs!AO95*tech_master_of_frugality)*spec_dp_plat,0)</f>
        <v>275</v>
      </c>
      <c r="BU95" s="164">
        <f ca="1">ROUNDUP(IF(OR(race="Gnome",race="Imperial Gnome"),1-AC95,(1-MIN(AB95*smithy_bonus,smithy_bonus_cap)-AC95)*(1+Techs!AO95*tech_master_of_frugality))*spec_dp_ore,0)</f>
        <v>10</v>
      </c>
      <c r="BV95" s="164">
        <f t="shared" ca="1" si="118"/>
        <v>0</v>
      </c>
      <c r="BW95" s="164">
        <f t="shared" ca="1" si="119"/>
        <v>0</v>
      </c>
      <c r="BX95" s="164">
        <f t="shared" ca="1" si="120"/>
        <v>0</v>
      </c>
      <c r="BY95" s="164">
        <f ca="1">ROUNDUP((1-MIN(AB95*smithy_bonus,smithy_bonus_cap)-AC95)*(1+Techs!AO95*tech_master_of_frugality)*elite1_plat,0)</f>
        <v>1000</v>
      </c>
      <c r="BZ95" s="164">
        <f ca="1">ROUNDUP(IF(OR(race="Gnome",race="Imperial Gnome"),1-AC95,(1-MIN(AB95*smithy_bonus,smithy_bonus_cap)-AC95)*(1+Techs!AO95*tech_master_of_frugality))*elite1_ore,0)</f>
        <v>75</v>
      </c>
      <c r="CA95" s="164">
        <f t="shared" ca="1" si="163"/>
        <v>0</v>
      </c>
      <c r="CB95" s="164">
        <f t="shared" ca="1" si="121"/>
        <v>0</v>
      </c>
      <c r="CC95" s="164">
        <f t="shared" ca="1" si="122"/>
        <v>0</v>
      </c>
      <c r="CD95" s="164">
        <f t="shared" ca="1" si="123"/>
        <v>0</v>
      </c>
      <c r="CE95" s="164">
        <f t="shared" ca="1" si="124"/>
        <v>0</v>
      </c>
      <c r="CF95" s="164">
        <f ca="1">ROUNDUP((1-MIN(AB95*smithy_bonus,smithy_bonus_cap)-AC95)*(1+Techs!AO95*tech_master_of_frugality)*elite2_plat,0)</f>
        <v>1250</v>
      </c>
      <c r="CG95" s="164">
        <f ca="1">ROUNDUP(IF(OR(race="Gnome",race="Imperial Gnome"),1-AC95,(1-MIN(AB95*smithy_bonus,smithy_bonus_cap)-AC95)*(1+Techs!AO95*tech_master_of_frugality))*elite2_ore,0)</f>
        <v>100</v>
      </c>
      <c r="CH95" s="164">
        <f t="shared" ca="1" si="164"/>
        <v>0</v>
      </c>
      <c r="CI95" s="164">
        <f t="shared" ca="1" si="125"/>
        <v>0</v>
      </c>
      <c r="CJ95" s="164">
        <f t="shared" ca="1" si="126"/>
        <v>0</v>
      </c>
      <c r="CK95" s="164">
        <f t="shared" ca="1" si="127"/>
        <v>0</v>
      </c>
      <c r="CL95" s="164">
        <f t="shared" ca="1" si="128"/>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4">
        <f ca="1">Construction!DF95/Construction!E95</f>
        <v>0.15</v>
      </c>
      <c r="CR95" s="465">
        <f t="shared" si="165"/>
        <v>0</v>
      </c>
      <c r="CS95" s="465">
        <f>Construction!BK95/Construction!E95</f>
        <v>0.05</v>
      </c>
      <c r="CT95" s="465">
        <f>Construction!BJ95/Construction!E95</f>
        <v>0</v>
      </c>
      <c r="CU95" s="465">
        <f>Construction!AY95/Construction!E95</f>
        <v>0</v>
      </c>
      <c r="CV95" s="480">
        <f t="shared" ca="1" si="129"/>
        <v>0.74999999999999989</v>
      </c>
      <c r="CW95" s="481">
        <f t="shared" ca="1" si="130"/>
        <v>0.74999999999999989</v>
      </c>
      <c r="CX95" s="481">
        <f t="shared" ca="1" si="131"/>
        <v>0.74999999999999989</v>
      </c>
      <c r="CY95" s="482">
        <f t="shared" ca="1" si="132"/>
        <v>0.74999999999999989</v>
      </c>
      <c r="CZ95" s="482">
        <f t="shared" si="133"/>
        <v>0</v>
      </c>
      <c r="DA95" s="482">
        <f t="shared" ca="1" si="134"/>
        <v>2.9999999999999996</v>
      </c>
      <c r="DB95" s="482">
        <f t="shared" ca="1" si="135"/>
        <v>0.74999999999999989</v>
      </c>
      <c r="DC95" s="481">
        <f t="shared" si="136"/>
        <v>0</v>
      </c>
      <c r="DD95" s="842">
        <f t="shared" si="137"/>
        <v>0</v>
      </c>
      <c r="DE95" s="439">
        <f t="shared" si="166"/>
        <v>0</v>
      </c>
      <c r="DF95" s="439">
        <f t="shared" si="167"/>
        <v>0</v>
      </c>
      <c r="DG95" s="480">
        <f t="shared" ca="1" si="138"/>
        <v>0.74999999999999989</v>
      </c>
      <c r="DH95" s="449">
        <f t="shared" si="139"/>
        <v>0</v>
      </c>
      <c r="DI95" s="449">
        <f>MIN(valkyrja_cap,Production!O95/valkyrja_bonus)</f>
        <v>1</v>
      </c>
      <c r="DJ95" s="842">
        <f>MIN(voodoo_magi_cap,Production!O95/voodoo_magi_bonus)</f>
        <v>0.83333333333333337</v>
      </c>
      <c r="DK95" s="842">
        <f>MIN(warlock_cap,Production!O95/warlock_bonus)</f>
        <v>1</v>
      </c>
      <c r="DL95" s="842">
        <f ca="1">MIN(nox_nightshade_cap,Construction!DF95/Construction!E95/nox_nightshade_swamp_bonus)</f>
        <v>1.4999999999999998</v>
      </c>
      <c r="DM95" s="481">
        <f t="shared" si="140"/>
        <v>0</v>
      </c>
      <c r="DN95" s="482">
        <f t="shared" ca="1" si="141"/>
        <v>1.4999999999999998</v>
      </c>
      <c r="DO95" s="482">
        <f t="shared" ca="1" si="142"/>
        <v>1.4999999999999998</v>
      </c>
      <c r="DP95" s="482">
        <f t="shared" si="143"/>
        <v>1</v>
      </c>
      <c r="DQ95" s="481">
        <f t="shared" si="144"/>
        <v>0</v>
      </c>
      <c r="DR95" s="482">
        <f t="shared" si="145"/>
        <v>0</v>
      </c>
      <c r="DS95" s="481">
        <f t="shared" si="146"/>
        <v>0</v>
      </c>
      <c r="DT95" s="482">
        <f t="shared" si="147"/>
        <v>0</v>
      </c>
      <c r="DX95" s="486">
        <f ca="1">MIN(6,CV95+Races!$F$19)*1.8 +  IF(CV95+Races!$F$19&gt;6,(CV95+Races!$F$19-6)*0.2,0) - Races!$N$19</f>
        <v>1.3500000000000005</v>
      </c>
      <c r="DY95" s="487">
        <f ca="1">1.8 * MIN(MAX(CW95+Races!$E$20,CX95+Races!$F$20),6)  +  0.45 * MIN(MIN(CW95+Races!$E$20,CX95+Races!$F$20),6)  +  0.2 * ( MAX(CW95+Races!$E$20-6,0) + MAX(CX95+Races!$F$20-6,0) )  -  Races!$N$20</f>
        <v>1.6874999999999991</v>
      </c>
      <c r="DZ95" s="57">
        <f t="shared" ca="1" si="148"/>
        <v>0</v>
      </c>
      <c r="EA95" s="663">
        <f ca="1">MIN(6,CY95+Races!$F$35)*1.8 +  IF(CY95+Races!$F$35&gt;6,(CY95+Races!$F$35-6)*0.2,0) - Races!$N$19</f>
        <v>-0.45000000000000018</v>
      </c>
      <c r="EB95" s="57">
        <f t="shared" ca="1" si="149"/>
        <v>0</v>
      </c>
      <c r="EC95" s="663">
        <f ca="1">1.8 * MIN(MAX(Races!$E$27,DB95+Races!$F$27),6)  +  0.45 * MIN(MIN(Races!$E$27,DB95+Races!$F$27),6)  +  0.2 * ( MAX(Races!$E$27-6,0) + MAX(DB95+Races!$F$27-6,0) )  -  Races!$N$20</f>
        <v>3.6000000000000005</v>
      </c>
      <c r="ED95" s="57">
        <f t="shared" ca="1" si="150"/>
        <v>0</v>
      </c>
      <c r="EE95" s="663">
        <f>1.8 * MIN(MAX(DC95+Races!$E$47,DD95+Races!$F$47),6)  +  0.45 * MIN(MIN(DC95+Races!$E$47,DD95+Races!$F$47),6)  +  0.2 * ( MAX(DC95+Races!$E$47-6,0) + MAX(DD95+Races!$F$47-6,0) )  -  Races!$N$47</f>
        <v>0</v>
      </c>
      <c r="EF95" s="57">
        <f t="shared" si="151"/>
        <v>0</v>
      </c>
      <c r="EG95" s="663">
        <f ca="1">1.8 * MIN(MAX(DG95+Races!$F$71,Races!$E$71),6)  +  0.45 * MIN(MIN(DG95+Races!$F$71,Races!$E$71),6)  +  0.2 * ( MAX(DG95+Races!$F$71-6,0) + MAX(Races!$E$71-6,0) )  -  Races!$N$71</f>
        <v>1.3499999999999996</v>
      </c>
      <c r="EH95" s="663">
        <f>1.8 * MIN(MAX(DH95+Races!$E$71,Races!$F$71),6)  +  0.45 * MIN(MIN(DH95+Races!$E$71,Races!$F$71),6)  +  0.2 * ( MAX(DH95+Races!$E$71-6,0) + MAX(Races!$F$71-6,0) )  -  Races!$N$71</f>
        <v>0</v>
      </c>
      <c r="EI95" s="57">
        <f t="shared" ca="1" si="152"/>
        <v>0</v>
      </c>
      <c r="EJ95" s="57"/>
      <c r="EK95" s="57"/>
      <c r="EL95" s="57"/>
      <c r="EM95" s="57">
        <f ca="1">Overview!$L$22*E95+Overview!$L$23*F95+Overview!$L$24*G95+Overview!$L$25*H95+Overview!$L$26*I95+Overview!$L$27*J95+Overview!$L$28*K95+Construction!E95*20+Construction!B95*5 + DZ95*$DV$4+EB95*$DV$5+ED95*$DV$6+EF95*$DV$7+EI95*$DV$9</f>
        <v>20900</v>
      </c>
      <c r="EO95" s="734">
        <f>(J95+2*K95)/Construction!E95</f>
        <v>0</v>
      </c>
      <c r="EP95" s="730">
        <f ca="1">EO95*(1+race_wizard_strength+tech_magical_weaponry_wiz*Techs!AV167)</f>
        <v>0</v>
      </c>
      <c r="EQ95" s="16">
        <f>(I95+halfer*H95/3)/Construction!E95</f>
        <v>0</v>
      </c>
    </row>
    <row r="96" spans="1:147" s="16" customFormat="1" x14ac:dyDescent="0.25">
      <c r="A96" s="627">
        <f>Rezone!J96</f>
        <v>94</v>
      </c>
      <c r="B96" s="56">
        <f ca="1">SUM(E96:K96)+SUM(AF88:AG96)+SUM(AH85:AL96)+Z96+Explore!AL96</f>
        <v>5295</v>
      </c>
      <c r="C96" s="97">
        <f ca="1">Population!G96</f>
        <v>0.74159663865546221</v>
      </c>
      <c r="E96" s="52">
        <f t="shared" si="169"/>
        <v>0</v>
      </c>
      <c r="F96" s="16">
        <f t="shared" si="170"/>
        <v>0</v>
      </c>
      <c r="G96" s="16">
        <f t="shared" si="171"/>
        <v>0</v>
      </c>
      <c r="H96" s="16">
        <f t="shared" si="172"/>
        <v>0</v>
      </c>
      <c r="I96" s="16">
        <f t="shared" si="173"/>
        <v>0</v>
      </c>
      <c r="J96" s="16">
        <f t="shared" si="174"/>
        <v>0</v>
      </c>
      <c r="K96" s="53">
        <f t="shared" si="175"/>
        <v>0</v>
      </c>
      <c r="M96" s="64">
        <f ca="1">Production!G96</f>
        <v>20900</v>
      </c>
      <c r="O96" s="234">
        <f t="shared" ca="1" si="112"/>
        <v>0</v>
      </c>
      <c r="P96" s="454">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53"/>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13"/>
        <v>5295</v>
      </c>
      <c r="T96" s="1047">
        <f ca="1">race_defense+Imps!AC96+ROUND(MIN(gt_bonus*Construction!BH96/Construction!$E96,gt_bonus_cap),4)+MAX(IF(Magic!AM96&gt;0,frenzy_bonus,IF(Magic!AQ96&gt;0,blizzard_bonus,IF(Magic!AP96&gt;0,howling_dp_bonus,IF(Magic!AI96&gt;0,ares_call_bonus)))),IF(Magic!AX96&gt;0,MIN(Construction!DF96/Construction!E96,0.2),0))</f>
        <v>0</v>
      </c>
      <c r="U96" s="1041">
        <f t="shared" ca="1" si="154"/>
        <v>0</v>
      </c>
      <c r="V96" s="308">
        <f t="shared" ca="1" si="155"/>
        <v>5295</v>
      </c>
      <c r="W96" s="310">
        <f>Construction!E96</f>
        <v>1000</v>
      </c>
      <c r="X96" s="367"/>
      <c r="Y96" s="146">
        <f t="shared" si="178"/>
        <v>0.4</v>
      </c>
      <c r="Z96" s="166">
        <f ca="1">Z95+Population!Z95 - IF(race="Lux",AF96,SUM(AF96:AK96)) - BE96 + SUM(BF96:BL96) - Explore!AI96</f>
        <v>5295</v>
      </c>
      <c r="AA96" s="164"/>
      <c r="AB96" s="91">
        <f>(Construction!$BA96+Construction!BY96)/(Construction!$E96-Explore!S96*20)</f>
        <v>0</v>
      </c>
      <c r="AC96" s="1515">
        <f ca="1">Imps!AE96</f>
        <v>0</v>
      </c>
      <c r="AD96" s="795">
        <f>Rezone!J96</f>
        <v>94</v>
      </c>
      <c r="AE96" s="587">
        <f>Explore!AA96</f>
        <v>43768.968749999774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14"/>
        <v>0</v>
      </c>
      <c r="AV96" s="164">
        <f t="shared" ca="1" si="115"/>
        <v>0</v>
      </c>
      <c r="AW96" s="164">
        <f t="shared" ca="1" si="156"/>
        <v>0</v>
      </c>
      <c r="AX96" s="164">
        <f t="shared" ca="1" si="157"/>
        <v>0</v>
      </c>
      <c r="AY96" s="164">
        <f t="shared" ca="1" si="158"/>
        <v>0</v>
      </c>
      <c r="AZ96" s="164">
        <f t="shared" ca="1" si="159"/>
        <v>0</v>
      </c>
      <c r="BA96" s="166">
        <f t="shared" ca="1" si="160"/>
        <v>0</v>
      </c>
      <c r="BB96" s="16">
        <v>22</v>
      </c>
      <c r="BC96" s="572">
        <f t="shared" si="161"/>
        <v>43768.968749999774</v>
      </c>
      <c r="BD96" s="148">
        <f t="shared" ca="1" si="162"/>
        <v>5295</v>
      </c>
      <c r="BE96" s="356"/>
      <c r="BF96" s="348"/>
      <c r="BG96" s="348"/>
      <c r="BH96" s="348"/>
      <c r="BI96" s="348"/>
      <c r="BJ96" s="348"/>
      <c r="BK96" s="348"/>
      <c r="BL96" s="357"/>
      <c r="BN96" s="501">
        <f>Construction!BM96/Construction!E96</f>
        <v>0</v>
      </c>
      <c r="BO96" s="171">
        <f>Construction!BD96/Construction!E96</f>
        <v>0</v>
      </c>
      <c r="BP96" s="152">
        <f ca="1">ROUNDUP((1-MIN(AB96*smithy_bonus,smithy_bonus_cap)-AC96)*(1+Techs!AO96*tech_master_of_frugality)*spec_op_plat,0)</f>
        <v>275</v>
      </c>
      <c r="BQ96" s="164">
        <f ca="1">ROUNDUP(IF(OR(race="Gnome",race="Imperial Gnome"),1-AC96,(1-MIN(AB96*smithy_bonus,smithy_bonus_cap)-AC96)*(1+Techs!AO96*tech_master_of_frugality))*spec_op_ore,0)</f>
        <v>25</v>
      </c>
      <c r="BR96" s="164">
        <f t="shared" si="116"/>
        <v>0</v>
      </c>
      <c r="BS96" s="164">
        <f t="shared" si="117"/>
        <v>0</v>
      </c>
      <c r="BT96" s="164">
        <f ca="1">ROUNDUP((1-MIN(AB96*smithy_bonus,smithy_bonus_cap)-AC96)*(1+Techs!AO96*tech_master_of_frugality)*spec_dp_plat,0)</f>
        <v>275</v>
      </c>
      <c r="BU96" s="164">
        <f ca="1">ROUNDUP(IF(OR(race="Gnome",race="Imperial Gnome"),1-AC96,(1-MIN(AB96*smithy_bonus,smithy_bonus_cap)-AC96)*(1+Techs!AO96*tech_master_of_frugality))*spec_dp_ore,0)</f>
        <v>10</v>
      </c>
      <c r="BV96" s="164">
        <f t="shared" ca="1" si="118"/>
        <v>0</v>
      </c>
      <c r="BW96" s="164">
        <f t="shared" ca="1" si="119"/>
        <v>0</v>
      </c>
      <c r="BX96" s="164">
        <f t="shared" ca="1" si="120"/>
        <v>0</v>
      </c>
      <c r="BY96" s="164">
        <f ca="1">ROUNDUP((1-MIN(AB96*smithy_bonus,smithy_bonus_cap)-AC96)*(1+Techs!AO96*tech_master_of_frugality)*elite1_plat,0)</f>
        <v>1000</v>
      </c>
      <c r="BZ96" s="164">
        <f ca="1">ROUNDUP(IF(OR(race="Gnome",race="Imperial Gnome"),1-AC96,(1-MIN(AB96*smithy_bonus,smithy_bonus_cap)-AC96)*(1+Techs!AO96*tech_master_of_frugality))*elite1_ore,0)</f>
        <v>75</v>
      </c>
      <c r="CA96" s="164">
        <f t="shared" ca="1" si="163"/>
        <v>0</v>
      </c>
      <c r="CB96" s="164">
        <f t="shared" ca="1" si="121"/>
        <v>0</v>
      </c>
      <c r="CC96" s="164">
        <f t="shared" ca="1" si="122"/>
        <v>0</v>
      </c>
      <c r="CD96" s="164">
        <f t="shared" ca="1" si="123"/>
        <v>0</v>
      </c>
      <c r="CE96" s="164">
        <f t="shared" ca="1" si="124"/>
        <v>0</v>
      </c>
      <c r="CF96" s="164">
        <f ca="1">ROUNDUP((1-MIN(AB96*smithy_bonus,smithy_bonus_cap)-AC96)*(1+Techs!AO96*tech_master_of_frugality)*elite2_plat,0)</f>
        <v>1250</v>
      </c>
      <c r="CG96" s="164">
        <f ca="1">ROUNDUP(IF(OR(race="Gnome",race="Imperial Gnome"),1-AC96,(1-MIN(AB96*smithy_bonus,smithy_bonus_cap)-AC96)*(1+Techs!AO96*tech_master_of_frugality))*elite2_ore,0)</f>
        <v>100</v>
      </c>
      <c r="CH96" s="164">
        <f t="shared" ca="1" si="164"/>
        <v>0</v>
      </c>
      <c r="CI96" s="164">
        <f t="shared" ca="1" si="125"/>
        <v>0</v>
      </c>
      <c r="CJ96" s="164">
        <f t="shared" ca="1" si="126"/>
        <v>0</v>
      </c>
      <c r="CK96" s="164">
        <f t="shared" ca="1" si="127"/>
        <v>0</v>
      </c>
      <c r="CL96" s="164">
        <f t="shared" ca="1" si="128"/>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4">
        <f ca="1">Construction!DF96/Construction!E96</f>
        <v>0.15</v>
      </c>
      <c r="CR96" s="465">
        <f t="shared" si="165"/>
        <v>0</v>
      </c>
      <c r="CS96" s="465">
        <f>Construction!BK96/Construction!E96</f>
        <v>0.05</v>
      </c>
      <c r="CT96" s="465">
        <f>Construction!BJ96/Construction!E96</f>
        <v>0</v>
      </c>
      <c r="CU96" s="465">
        <f>Construction!AY96/Construction!E96</f>
        <v>0</v>
      </c>
      <c r="CV96" s="480">
        <f t="shared" ca="1" si="129"/>
        <v>0.74999999999999989</v>
      </c>
      <c r="CW96" s="481">
        <f t="shared" ca="1" si="130"/>
        <v>0.74999999999999989</v>
      </c>
      <c r="CX96" s="481">
        <f t="shared" ca="1" si="131"/>
        <v>0.74999999999999989</v>
      </c>
      <c r="CY96" s="482">
        <f t="shared" ca="1" si="132"/>
        <v>0.74999999999999989</v>
      </c>
      <c r="CZ96" s="482">
        <f t="shared" si="133"/>
        <v>0</v>
      </c>
      <c r="DA96" s="482">
        <f t="shared" ca="1" si="134"/>
        <v>2.9999999999999996</v>
      </c>
      <c r="DB96" s="482">
        <f t="shared" ca="1" si="135"/>
        <v>0.74999999999999989</v>
      </c>
      <c r="DC96" s="481">
        <f t="shared" si="136"/>
        <v>0</v>
      </c>
      <c r="DD96" s="842">
        <f t="shared" si="137"/>
        <v>0</v>
      </c>
      <c r="DE96" s="439">
        <f t="shared" si="166"/>
        <v>0</v>
      </c>
      <c r="DF96" s="439">
        <f t="shared" si="167"/>
        <v>0</v>
      </c>
      <c r="DG96" s="480">
        <f t="shared" ca="1" si="138"/>
        <v>0.74999999999999989</v>
      </c>
      <c r="DH96" s="449">
        <f t="shared" si="139"/>
        <v>0</v>
      </c>
      <c r="DI96" s="449">
        <f>MIN(valkyrja_cap,Production!O96/valkyrja_bonus)</f>
        <v>1</v>
      </c>
      <c r="DJ96" s="842">
        <f>MIN(voodoo_magi_cap,Production!O96/voodoo_magi_bonus)</f>
        <v>0.83333333333333337</v>
      </c>
      <c r="DK96" s="842">
        <f>MIN(warlock_cap,Production!O96/warlock_bonus)</f>
        <v>1</v>
      </c>
      <c r="DL96" s="842">
        <f ca="1">MIN(nox_nightshade_cap,Construction!DF96/Construction!E96/nox_nightshade_swamp_bonus)</f>
        <v>1.4999999999999998</v>
      </c>
      <c r="DM96" s="481">
        <f t="shared" si="140"/>
        <v>0</v>
      </c>
      <c r="DN96" s="482">
        <f t="shared" ca="1" si="141"/>
        <v>1.4999999999999998</v>
      </c>
      <c r="DO96" s="482">
        <f t="shared" ca="1" si="142"/>
        <v>1.4999999999999998</v>
      </c>
      <c r="DP96" s="482">
        <f t="shared" si="143"/>
        <v>1</v>
      </c>
      <c r="DQ96" s="481">
        <f t="shared" si="144"/>
        <v>0</v>
      </c>
      <c r="DR96" s="482">
        <f t="shared" si="145"/>
        <v>0</v>
      </c>
      <c r="DS96" s="481">
        <f t="shared" si="146"/>
        <v>0</v>
      </c>
      <c r="DT96" s="482">
        <f t="shared" si="147"/>
        <v>0</v>
      </c>
      <c r="DX96" s="486">
        <f ca="1">MIN(6,CV96+Races!$F$19)*1.8 +  IF(CV96+Races!$F$19&gt;6,(CV96+Races!$F$19-6)*0.2,0) - Races!$N$19</f>
        <v>1.3500000000000005</v>
      </c>
      <c r="DY96" s="487">
        <f ca="1">1.8 * MIN(MAX(CW96+Races!$E$20,CX96+Races!$F$20),6)  +  0.45 * MIN(MIN(CW96+Races!$E$20,CX96+Races!$F$20),6)  +  0.2 * ( MAX(CW96+Races!$E$20-6,0) + MAX(CX96+Races!$F$20-6,0) )  -  Races!$N$20</f>
        <v>1.6874999999999991</v>
      </c>
      <c r="DZ96" s="57">
        <f t="shared" ca="1" si="148"/>
        <v>0</v>
      </c>
      <c r="EA96" s="663">
        <f ca="1">MIN(6,CY96+Races!$F$35)*1.8 +  IF(CY96+Races!$F$35&gt;6,(CY96+Races!$F$35-6)*0.2,0) - Races!$N$19</f>
        <v>-0.45000000000000018</v>
      </c>
      <c r="EB96" s="57">
        <f t="shared" ca="1" si="149"/>
        <v>0</v>
      </c>
      <c r="EC96" s="663">
        <f ca="1">1.8 * MIN(MAX(Races!$E$27,DB96+Races!$F$27),6)  +  0.45 * MIN(MIN(Races!$E$27,DB96+Races!$F$27),6)  +  0.2 * ( MAX(Races!$E$27-6,0) + MAX(DB96+Races!$F$27-6,0) )  -  Races!$N$20</f>
        <v>3.6000000000000005</v>
      </c>
      <c r="ED96" s="57">
        <f t="shared" ca="1" si="150"/>
        <v>0</v>
      </c>
      <c r="EE96" s="663">
        <f>1.8 * MIN(MAX(DC96+Races!$E$47,DD96+Races!$F$47),6)  +  0.45 * MIN(MIN(DC96+Races!$E$47,DD96+Races!$F$47),6)  +  0.2 * ( MAX(DC96+Races!$E$47-6,0) + MAX(DD96+Races!$F$47-6,0) )  -  Races!$N$47</f>
        <v>0</v>
      </c>
      <c r="EF96" s="57">
        <f t="shared" si="151"/>
        <v>0</v>
      </c>
      <c r="EG96" s="663">
        <f ca="1">1.8 * MIN(MAX(DG96+Races!$F$71,Races!$E$71),6)  +  0.45 * MIN(MIN(DG96+Races!$F$71,Races!$E$71),6)  +  0.2 * ( MAX(DG96+Races!$F$71-6,0) + MAX(Races!$E$71-6,0) )  -  Races!$N$71</f>
        <v>1.3499999999999996</v>
      </c>
      <c r="EH96" s="663">
        <f>1.8 * MIN(MAX(DH96+Races!$E$71,Races!$F$71),6)  +  0.45 * MIN(MIN(DH96+Races!$E$71,Races!$F$71),6)  +  0.2 * ( MAX(DH96+Races!$E$71-6,0) + MAX(Races!$F$71-6,0) )  -  Races!$N$71</f>
        <v>0</v>
      </c>
      <c r="EI96" s="57">
        <f t="shared" ca="1" si="152"/>
        <v>0</v>
      </c>
      <c r="EJ96" s="57"/>
      <c r="EK96" s="57"/>
      <c r="EL96" s="57"/>
      <c r="EM96" s="57">
        <f ca="1">Overview!$L$22*E96+Overview!$L$23*F96+Overview!$L$24*G96+Overview!$L$25*H96+Overview!$L$26*I96+Overview!$L$27*J96+Overview!$L$28*K96+Construction!E96*20+Construction!B96*5 + DZ96*$DV$4+EB96*$DV$5+ED96*$DV$6+EF96*$DV$7+EI96*$DV$9</f>
        <v>20900</v>
      </c>
      <c r="EO96" s="734">
        <f>(J96+2*K96)/Construction!E96</f>
        <v>0</v>
      </c>
      <c r="EP96" s="730">
        <f ca="1">EO96*(1+race_wizard_strength+tech_magical_weaponry_wiz*Techs!AV168)</f>
        <v>0</v>
      </c>
      <c r="EQ96" s="16">
        <f>(I96+halfer*H96/3)/Construction!E96</f>
        <v>0</v>
      </c>
    </row>
    <row r="97" spans="1:147" s="16" customFormat="1" x14ac:dyDescent="0.25">
      <c r="A97" s="627">
        <f>Rezone!J97</f>
        <v>95</v>
      </c>
      <c r="B97" s="56">
        <f ca="1">SUM(E97:K97)+SUM(AF89:AG97)+SUM(AH86:AL97)+Z97+Explore!AL97</f>
        <v>5295</v>
      </c>
      <c r="C97" s="97">
        <f ca="1">Population!G97</f>
        <v>0.74159663865546221</v>
      </c>
      <c r="E97" s="52">
        <f t="shared" si="169"/>
        <v>0</v>
      </c>
      <c r="F97" s="16">
        <f t="shared" si="170"/>
        <v>0</v>
      </c>
      <c r="G97" s="16">
        <f t="shared" si="171"/>
        <v>0</v>
      </c>
      <c r="H97" s="16">
        <f t="shared" si="172"/>
        <v>0</v>
      </c>
      <c r="I97" s="16">
        <f t="shared" si="173"/>
        <v>0</v>
      </c>
      <c r="J97" s="16">
        <f t="shared" si="174"/>
        <v>0</v>
      </c>
      <c r="K97" s="53">
        <f t="shared" si="175"/>
        <v>0</v>
      </c>
      <c r="M97" s="64">
        <f ca="1">Production!G97</f>
        <v>20900</v>
      </c>
      <c r="O97" s="234">
        <f t="shared" ca="1" si="112"/>
        <v>0</v>
      </c>
      <c r="P97" s="454">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53"/>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13"/>
        <v>5295</v>
      </c>
      <c r="T97" s="1047">
        <f ca="1">race_defense+Imps!AC97+ROUND(MIN(gt_bonus*Construction!BH97/Construction!$E97,gt_bonus_cap),4)+MAX(IF(Magic!AM97&gt;0,frenzy_bonus,IF(Magic!AQ97&gt;0,blizzard_bonus,IF(Magic!AP97&gt;0,howling_dp_bonus,IF(Magic!AI97&gt;0,ares_call_bonus)))),IF(Magic!AX97&gt;0,MIN(Construction!DF97/Construction!E97,0.2),0))</f>
        <v>0</v>
      </c>
      <c r="U97" s="1041">
        <f t="shared" ca="1" si="154"/>
        <v>0</v>
      </c>
      <c r="V97" s="308">
        <f t="shared" ca="1" si="155"/>
        <v>5295</v>
      </c>
      <c r="W97" s="310">
        <f>Construction!E97</f>
        <v>1000</v>
      </c>
      <c r="X97" s="367"/>
      <c r="Y97" s="146">
        <f t="shared" si="178"/>
        <v>0.4</v>
      </c>
      <c r="Z97" s="166">
        <f ca="1">Z96+Population!Z96 - IF(race="Lux",AF97,SUM(AF97:AK97)) - BE97 + SUM(BF97:BL97) - Explore!AI97</f>
        <v>5295</v>
      </c>
      <c r="AA97" s="164"/>
      <c r="AB97" s="91">
        <f>(Construction!$BA97+Construction!BY97)/(Construction!$E97-Explore!S97*20)</f>
        <v>0</v>
      </c>
      <c r="AC97" s="1515">
        <f ca="1">Imps!AE97</f>
        <v>0</v>
      </c>
      <c r="AD97" s="795">
        <f>Rezone!J97</f>
        <v>95</v>
      </c>
      <c r="AE97" s="587">
        <f>Explore!AA97</f>
        <v>43768.979166666439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14"/>
        <v>0</v>
      </c>
      <c r="AV97" s="164">
        <f t="shared" ca="1" si="115"/>
        <v>0</v>
      </c>
      <c r="AW97" s="164">
        <f t="shared" ca="1" si="156"/>
        <v>0</v>
      </c>
      <c r="AX97" s="164">
        <f t="shared" ca="1" si="157"/>
        <v>0</v>
      </c>
      <c r="AY97" s="164">
        <f t="shared" ca="1" si="158"/>
        <v>0</v>
      </c>
      <c r="AZ97" s="164">
        <f t="shared" ca="1" si="159"/>
        <v>0</v>
      </c>
      <c r="BA97" s="166">
        <f t="shared" ca="1" si="160"/>
        <v>0</v>
      </c>
      <c r="BB97" s="16">
        <v>23</v>
      </c>
      <c r="BC97" s="572">
        <f t="shared" si="161"/>
        <v>43768.979166666439</v>
      </c>
      <c r="BD97" s="148">
        <f t="shared" ca="1" si="162"/>
        <v>5295</v>
      </c>
      <c r="BE97" s="356"/>
      <c r="BF97" s="348"/>
      <c r="BG97" s="348"/>
      <c r="BH97" s="348"/>
      <c r="BI97" s="348"/>
      <c r="BJ97" s="348"/>
      <c r="BK97" s="348"/>
      <c r="BL97" s="357"/>
      <c r="BN97" s="501">
        <f>Construction!BM97/Construction!E97</f>
        <v>0</v>
      </c>
      <c r="BO97" s="171">
        <f>Construction!BD97/Construction!E97</f>
        <v>0</v>
      </c>
      <c r="BP97" s="152">
        <f ca="1">ROUNDUP((1-MIN(AB97*smithy_bonus,smithy_bonus_cap)-AC97)*(1+Techs!AO97*tech_master_of_frugality)*spec_op_plat,0)</f>
        <v>275</v>
      </c>
      <c r="BQ97" s="164">
        <f ca="1">ROUNDUP(IF(OR(race="Gnome",race="Imperial Gnome"),1-AC97,(1-MIN(AB97*smithy_bonus,smithy_bonus_cap)-AC97)*(1+Techs!AO97*tech_master_of_frugality))*spec_op_ore,0)</f>
        <v>25</v>
      </c>
      <c r="BR97" s="164">
        <f t="shared" si="116"/>
        <v>0</v>
      </c>
      <c r="BS97" s="164">
        <f t="shared" si="117"/>
        <v>0</v>
      </c>
      <c r="BT97" s="164">
        <f ca="1">ROUNDUP((1-MIN(AB97*smithy_bonus,smithy_bonus_cap)-AC97)*(1+Techs!AO97*tech_master_of_frugality)*spec_dp_plat,0)</f>
        <v>275</v>
      </c>
      <c r="BU97" s="164">
        <f ca="1">ROUNDUP(IF(OR(race="Gnome",race="Imperial Gnome"),1-AC97,(1-MIN(AB97*smithy_bonus,smithy_bonus_cap)-AC97)*(1+Techs!AO97*tech_master_of_frugality))*spec_dp_ore,0)</f>
        <v>10</v>
      </c>
      <c r="BV97" s="164">
        <f t="shared" ca="1" si="118"/>
        <v>0</v>
      </c>
      <c r="BW97" s="164">
        <f t="shared" ca="1" si="119"/>
        <v>0</v>
      </c>
      <c r="BX97" s="164">
        <f t="shared" ca="1" si="120"/>
        <v>0</v>
      </c>
      <c r="BY97" s="164">
        <f ca="1">ROUNDUP((1-MIN(AB97*smithy_bonus,smithy_bonus_cap)-AC97)*(1+Techs!AO97*tech_master_of_frugality)*elite1_plat,0)</f>
        <v>1000</v>
      </c>
      <c r="BZ97" s="164">
        <f ca="1">ROUNDUP(IF(OR(race="Gnome",race="Imperial Gnome"),1-AC97,(1-MIN(AB97*smithy_bonus,smithy_bonus_cap)-AC97)*(1+Techs!AO97*tech_master_of_frugality))*elite1_ore,0)</f>
        <v>75</v>
      </c>
      <c r="CA97" s="164">
        <f t="shared" ca="1" si="163"/>
        <v>0</v>
      </c>
      <c r="CB97" s="164">
        <f t="shared" ca="1" si="121"/>
        <v>0</v>
      </c>
      <c r="CC97" s="164">
        <f t="shared" ca="1" si="122"/>
        <v>0</v>
      </c>
      <c r="CD97" s="164">
        <f t="shared" ca="1" si="123"/>
        <v>0</v>
      </c>
      <c r="CE97" s="164">
        <f t="shared" ca="1" si="124"/>
        <v>0</v>
      </c>
      <c r="CF97" s="164">
        <f ca="1">ROUNDUP((1-MIN(AB97*smithy_bonus,smithy_bonus_cap)-AC97)*(1+Techs!AO97*tech_master_of_frugality)*elite2_plat,0)</f>
        <v>1250</v>
      </c>
      <c r="CG97" s="164">
        <f ca="1">ROUNDUP(IF(OR(race="Gnome",race="Imperial Gnome"),1-AC97,(1-MIN(AB97*smithy_bonus,smithy_bonus_cap)-AC97)*(1+Techs!AO97*tech_master_of_frugality))*elite2_ore,0)</f>
        <v>100</v>
      </c>
      <c r="CH97" s="164">
        <f t="shared" ca="1" si="164"/>
        <v>0</v>
      </c>
      <c r="CI97" s="164">
        <f t="shared" ca="1" si="125"/>
        <v>0</v>
      </c>
      <c r="CJ97" s="164">
        <f t="shared" ca="1" si="126"/>
        <v>0</v>
      </c>
      <c r="CK97" s="164">
        <f t="shared" ca="1" si="127"/>
        <v>0</v>
      </c>
      <c r="CL97" s="164">
        <f t="shared" ca="1" si="128"/>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4">
        <f ca="1">Construction!DF97/Construction!E97</f>
        <v>0.15</v>
      </c>
      <c r="CR97" s="465">
        <f t="shared" si="165"/>
        <v>0</v>
      </c>
      <c r="CS97" s="465">
        <f>Construction!BK97/Construction!E97</f>
        <v>0.05</v>
      </c>
      <c r="CT97" s="465">
        <f>Construction!BJ97/Construction!E97</f>
        <v>0</v>
      </c>
      <c r="CU97" s="465">
        <f>Construction!AY97/Construction!E97</f>
        <v>0</v>
      </c>
      <c r="CV97" s="480">
        <f t="shared" ca="1" si="129"/>
        <v>0.74999999999999989</v>
      </c>
      <c r="CW97" s="481">
        <f t="shared" ca="1" si="130"/>
        <v>0.74999999999999989</v>
      </c>
      <c r="CX97" s="481">
        <f t="shared" ca="1" si="131"/>
        <v>0.74999999999999989</v>
      </c>
      <c r="CY97" s="482">
        <f t="shared" ca="1" si="132"/>
        <v>0.74999999999999989</v>
      </c>
      <c r="CZ97" s="482">
        <f t="shared" si="133"/>
        <v>0</v>
      </c>
      <c r="DA97" s="482">
        <f t="shared" ca="1" si="134"/>
        <v>2.9999999999999996</v>
      </c>
      <c r="DB97" s="482">
        <f t="shared" ca="1" si="135"/>
        <v>0.74999999999999989</v>
      </c>
      <c r="DC97" s="481">
        <f t="shared" si="136"/>
        <v>0</v>
      </c>
      <c r="DD97" s="842">
        <f t="shared" si="137"/>
        <v>0</v>
      </c>
      <c r="DE97" s="439">
        <f t="shared" si="166"/>
        <v>0</v>
      </c>
      <c r="DF97" s="439">
        <f t="shared" si="167"/>
        <v>0</v>
      </c>
      <c r="DG97" s="480">
        <f t="shared" ca="1" si="138"/>
        <v>0.74999999999999989</v>
      </c>
      <c r="DH97" s="449">
        <f t="shared" si="139"/>
        <v>0</v>
      </c>
      <c r="DI97" s="449">
        <f>MIN(valkyrja_cap,Production!O97/valkyrja_bonus)</f>
        <v>1</v>
      </c>
      <c r="DJ97" s="842">
        <f>MIN(voodoo_magi_cap,Production!O97/voodoo_magi_bonus)</f>
        <v>0.83333333333333337</v>
      </c>
      <c r="DK97" s="842">
        <f>MIN(warlock_cap,Production!O97/warlock_bonus)</f>
        <v>1</v>
      </c>
      <c r="DL97" s="842">
        <f ca="1">MIN(nox_nightshade_cap,Construction!DF97/Construction!E97/nox_nightshade_swamp_bonus)</f>
        <v>1.4999999999999998</v>
      </c>
      <c r="DM97" s="481">
        <f t="shared" si="140"/>
        <v>0</v>
      </c>
      <c r="DN97" s="482">
        <f t="shared" ca="1" si="141"/>
        <v>1.4999999999999998</v>
      </c>
      <c r="DO97" s="482">
        <f t="shared" ca="1" si="142"/>
        <v>1.4999999999999998</v>
      </c>
      <c r="DP97" s="482">
        <f t="shared" si="143"/>
        <v>1</v>
      </c>
      <c r="DQ97" s="481">
        <f t="shared" si="144"/>
        <v>0</v>
      </c>
      <c r="DR97" s="482">
        <f t="shared" si="145"/>
        <v>0</v>
      </c>
      <c r="DS97" s="481">
        <f t="shared" si="146"/>
        <v>0</v>
      </c>
      <c r="DT97" s="482">
        <f t="shared" si="147"/>
        <v>0</v>
      </c>
      <c r="DX97" s="486">
        <f ca="1">MIN(6,CV97+Races!$F$19)*1.8 +  IF(CV97+Races!$F$19&gt;6,(CV97+Races!$F$19-6)*0.2,0) - Races!$N$19</f>
        <v>1.3500000000000005</v>
      </c>
      <c r="DY97" s="487">
        <f ca="1">1.8 * MIN(MAX(CW97+Races!$E$20,CX97+Races!$F$20),6)  +  0.45 * MIN(MIN(CW97+Races!$E$20,CX97+Races!$F$20),6)  +  0.2 * ( MAX(CW97+Races!$E$20-6,0) + MAX(CX97+Races!$F$20-6,0) )  -  Races!$N$20</f>
        <v>1.6874999999999991</v>
      </c>
      <c r="DZ97" s="57">
        <f t="shared" ca="1" si="148"/>
        <v>0</v>
      </c>
      <c r="EA97" s="663">
        <f ca="1">MIN(6,CY97+Races!$F$35)*1.8 +  IF(CY97+Races!$F$35&gt;6,(CY97+Races!$F$35-6)*0.2,0) - Races!$N$19</f>
        <v>-0.45000000000000018</v>
      </c>
      <c r="EB97" s="57">
        <f t="shared" ca="1" si="149"/>
        <v>0</v>
      </c>
      <c r="EC97" s="663">
        <f ca="1">1.8 * MIN(MAX(Races!$E$27,DB97+Races!$F$27),6)  +  0.45 * MIN(MIN(Races!$E$27,DB97+Races!$F$27),6)  +  0.2 * ( MAX(Races!$E$27-6,0) + MAX(DB97+Races!$F$27-6,0) )  -  Races!$N$20</f>
        <v>3.6000000000000005</v>
      </c>
      <c r="ED97" s="57">
        <f t="shared" ca="1" si="150"/>
        <v>0</v>
      </c>
      <c r="EE97" s="663">
        <f>1.8 * MIN(MAX(DC97+Races!$E$47,DD97+Races!$F$47),6)  +  0.45 * MIN(MIN(DC97+Races!$E$47,DD97+Races!$F$47),6)  +  0.2 * ( MAX(DC97+Races!$E$47-6,0) + MAX(DD97+Races!$F$47-6,0) )  -  Races!$N$47</f>
        <v>0</v>
      </c>
      <c r="EF97" s="57">
        <f t="shared" si="151"/>
        <v>0</v>
      </c>
      <c r="EG97" s="663">
        <f ca="1">1.8 * MIN(MAX(DG97+Races!$F$71,Races!$E$71),6)  +  0.45 * MIN(MIN(DG97+Races!$F$71,Races!$E$71),6)  +  0.2 * ( MAX(DG97+Races!$F$71-6,0) + MAX(Races!$E$71-6,0) )  -  Races!$N$71</f>
        <v>1.3499999999999996</v>
      </c>
      <c r="EH97" s="663">
        <f>1.8 * MIN(MAX(DH97+Races!$E$71,Races!$F$71),6)  +  0.45 * MIN(MIN(DH97+Races!$E$71,Races!$F$71),6)  +  0.2 * ( MAX(DH97+Races!$E$71-6,0) + MAX(Races!$F$71-6,0) )  -  Races!$N$71</f>
        <v>0</v>
      </c>
      <c r="EI97" s="57">
        <f t="shared" ca="1" si="152"/>
        <v>0</v>
      </c>
      <c r="EJ97" s="57"/>
      <c r="EK97" s="57"/>
      <c r="EL97" s="57"/>
      <c r="EM97" s="57">
        <f ca="1">Overview!$L$22*E97+Overview!$L$23*F97+Overview!$L$24*G97+Overview!$L$25*H97+Overview!$L$26*I97+Overview!$L$27*J97+Overview!$L$28*K97+Construction!E97*20+Construction!B97*5 + DZ97*$DV$4+EB97*$DV$5+ED97*$DV$6+EF97*$DV$7+EI97*$DV$9</f>
        <v>20900</v>
      </c>
      <c r="EO97" s="734">
        <f>(J97+2*K97)/Construction!E97</f>
        <v>0</v>
      </c>
      <c r="EP97" s="730">
        <f ca="1">EO97*(1+race_wizard_strength+tech_magical_weaponry_wiz*Techs!AV169)</f>
        <v>0</v>
      </c>
      <c r="EQ97" s="16">
        <f>(I97+halfer*H97/3)/Construction!E97</f>
        <v>0</v>
      </c>
    </row>
    <row r="98" spans="1:147" s="170" customFormat="1" ht="13.8" thickBot="1" x14ac:dyDescent="0.3">
      <c r="A98" s="627">
        <f>Rezone!J98</f>
        <v>96</v>
      </c>
      <c r="B98" s="152">
        <f ca="1">SUM(E98:K98)+SUM(AF90:AG98)+SUM(AH87:AL98)+Z98+Explore!AL98</f>
        <v>5295</v>
      </c>
      <c r="C98" s="171">
        <f ca="1">Population!G98</f>
        <v>0.74159663865546221</v>
      </c>
      <c r="E98" s="156">
        <f t="shared" si="169"/>
        <v>0</v>
      </c>
      <c r="F98" s="170">
        <f t="shared" si="170"/>
        <v>0</v>
      </c>
      <c r="G98" s="170">
        <f t="shared" si="171"/>
        <v>0</v>
      </c>
      <c r="H98" s="170">
        <f t="shared" si="172"/>
        <v>0</v>
      </c>
      <c r="I98" s="170">
        <f t="shared" si="173"/>
        <v>0</v>
      </c>
      <c r="J98" s="170">
        <f t="shared" si="174"/>
        <v>0</v>
      </c>
      <c r="K98" s="157">
        <f t="shared" si="175"/>
        <v>0</v>
      </c>
      <c r="M98" s="160">
        <f ca="1">Production!G98</f>
        <v>20900</v>
      </c>
      <c r="O98" s="234">
        <f t="shared" ca="1" si="112"/>
        <v>0</v>
      </c>
      <c r="P98" s="454">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53"/>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13"/>
        <v>5295</v>
      </c>
      <c r="T98" s="1047">
        <f ca="1">race_defense+Imps!AC98+ROUND(MIN(gt_bonus*Construction!BH98/Construction!$E98,gt_bonus_cap),4)+MAX(IF(Magic!AM98&gt;0,frenzy_bonus,IF(Magic!AQ98&gt;0,blizzard_bonus,IF(Magic!AP98&gt;0,howling_dp_bonus,IF(Magic!AI98&gt;0,ares_call_bonus)))),IF(Magic!AX98&gt;0,MIN(Construction!DF98/Construction!E98,0.2),0))</f>
        <v>0</v>
      </c>
      <c r="U98" s="1041">
        <f t="shared" ca="1" si="154"/>
        <v>0</v>
      </c>
      <c r="V98" s="308">
        <f t="shared" ca="1" si="155"/>
        <v>5295</v>
      </c>
      <c r="W98" s="308">
        <f>Construction!E98</f>
        <v>1000</v>
      </c>
      <c r="X98" s="364"/>
      <c r="Y98" s="232">
        <f t="shared" si="178"/>
        <v>0.4</v>
      </c>
      <c r="Z98" s="166">
        <f ca="1">Z97+Population!Z97 - IF(race="Lux",AF98,SUM(AF98:AK98)) - BE98 + SUM(BF98:BL98) - Explore!AI98</f>
        <v>5295</v>
      </c>
      <c r="AA98" s="164"/>
      <c r="AB98" s="251">
        <f>(Construction!$BA98+Construction!BY98)/(Construction!$E98-Explore!S98*20)</f>
        <v>0</v>
      </c>
      <c r="AC98" s="1515">
        <f ca="1">Imps!AE98</f>
        <v>0</v>
      </c>
      <c r="AD98" s="794">
        <f>Rezone!J98</f>
        <v>96</v>
      </c>
      <c r="AE98" s="587">
        <f>Explore!AA98</f>
        <v>43768.989583333103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14"/>
        <v>0</v>
      </c>
      <c r="AV98" s="164">
        <f t="shared" ca="1" si="115"/>
        <v>0</v>
      </c>
      <c r="AW98" s="164">
        <f t="shared" ca="1" si="156"/>
        <v>0</v>
      </c>
      <c r="AX98" s="164">
        <f t="shared" ca="1" si="157"/>
        <v>0</v>
      </c>
      <c r="AY98" s="164">
        <f t="shared" ca="1" si="158"/>
        <v>0</v>
      </c>
      <c r="AZ98" s="164">
        <f t="shared" ca="1" si="159"/>
        <v>0</v>
      </c>
      <c r="BA98" s="166">
        <f t="shared" ca="1" si="160"/>
        <v>0</v>
      </c>
      <c r="BB98" s="170">
        <v>24</v>
      </c>
      <c r="BC98" s="530">
        <f t="shared" si="161"/>
        <v>43768.989583333103</v>
      </c>
      <c r="BD98" s="233">
        <f t="shared" ca="1" si="162"/>
        <v>5295</v>
      </c>
      <c r="BE98" s="352"/>
      <c r="BF98" s="345"/>
      <c r="BG98" s="345"/>
      <c r="BH98" s="345"/>
      <c r="BI98" s="345"/>
      <c r="BJ98" s="345"/>
      <c r="BK98" s="345"/>
      <c r="BL98" s="353"/>
      <c r="BN98" s="501">
        <f>Construction!BM98/Construction!E98</f>
        <v>0</v>
      </c>
      <c r="BO98" s="171">
        <f>Construction!BD98/Construction!E98</f>
        <v>0</v>
      </c>
      <c r="BP98" s="152">
        <f ca="1">ROUNDUP((1-MIN(AB98*smithy_bonus,smithy_bonus_cap)-AC98)*(1+Techs!AO98*tech_master_of_frugality)*spec_op_plat,0)</f>
        <v>275</v>
      </c>
      <c r="BQ98" s="164">
        <f ca="1">ROUNDUP(IF(OR(race="Gnome",race="Imperial Gnome"),1-AC98,(1-MIN(AB98*smithy_bonus,smithy_bonus_cap)-AC98)*(1+Techs!AO98*tech_master_of_frugality))*spec_op_ore,0)</f>
        <v>25</v>
      </c>
      <c r="BR98" s="164">
        <f t="shared" si="116"/>
        <v>0</v>
      </c>
      <c r="BS98" s="164">
        <f t="shared" si="117"/>
        <v>0</v>
      </c>
      <c r="BT98" s="164">
        <f ca="1">ROUNDUP((1-MIN(AB98*smithy_bonus,smithy_bonus_cap)-AC98)*(1+Techs!AO98*tech_master_of_frugality)*spec_dp_plat,0)</f>
        <v>275</v>
      </c>
      <c r="BU98" s="164">
        <f ca="1">ROUNDUP(IF(OR(race="Gnome",race="Imperial Gnome"),1-AC98,(1-MIN(AB98*smithy_bonus,smithy_bonus_cap)-AC98)*(1+Techs!AO98*tech_master_of_frugality))*spec_dp_ore,0)</f>
        <v>10</v>
      </c>
      <c r="BV98" s="164">
        <f t="shared" ca="1" si="118"/>
        <v>0</v>
      </c>
      <c r="BW98" s="164">
        <f t="shared" ca="1" si="119"/>
        <v>0</v>
      </c>
      <c r="BX98" s="164">
        <f t="shared" ca="1" si="120"/>
        <v>0</v>
      </c>
      <c r="BY98" s="164">
        <f ca="1">ROUNDUP((1-MIN(AB98*smithy_bonus,smithy_bonus_cap)-AC98)*(1+Techs!AO98*tech_master_of_frugality)*elite1_plat,0)</f>
        <v>1000</v>
      </c>
      <c r="BZ98" s="164">
        <f ca="1">ROUNDUP(IF(OR(race="Gnome",race="Imperial Gnome"),1-AC98,(1-MIN(AB98*smithy_bonus,smithy_bonus_cap)-AC98)*(1+Techs!AO98*tech_master_of_frugality))*elite1_ore,0)</f>
        <v>75</v>
      </c>
      <c r="CA98" s="164">
        <f t="shared" ca="1" si="163"/>
        <v>0</v>
      </c>
      <c r="CB98" s="164">
        <f t="shared" ca="1" si="121"/>
        <v>0</v>
      </c>
      <c r="CC98" s="164">
        <f t="shared" ca="1" si="122"/>
        <v>0</v>
      </c>
      <c r="CD98" s="164">
        <f t="shared" ca="1" si="123"/>
        <v>0</v>
      </c>
      <c r="CE98" s="164">
        <f t="shared" ca="1" si="124"/>
        <v>0</v>
      </c>
      <c r="CF98" s="164">
        <f ca="1">ROUNDUP((1-MIN(AB98*smithy_bonus,smithy_bonus_cap)-AC98)*(1+Techs!AO98*tech_master_of_frugality)*elite2_plat,0)</f>
        <v>1250</v>
      </c>
      <c r="CG98" s="164">
        <f ca="1">ROUNDUP(IF(OR(race="Gnome",race="Imperial Gnome"),1-AC98,(1-MIN(AB98*smithy_bonus,smithy_bonus_cap)-AC98)*(1+Techs!AO98*tech_master_of_frugality))*elite2_ore,0)</f>
        <v>100</v>
      </c>
      <c r="CH98" s="164">
        <f t="shared" ca="1" si="164"/>
        <v>0</v>
      </c>
      <c r="CI98" s="164">
        <f t="shared" ca="1" si="125"/>
        <v>0</v>
      </c>
      <c r="CJ98" s="164">
        <f t="shared" ca="1" si="126"/>
        <v>0</v>
      </c>
      <c r="CK98" s="164">
        <f t="shared" ca="1" si="127"/>
        <v>0</v>
      </c>
      <c r="CL98" s="164">
        <f t="shared" ca="1" si="128"/>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0">
        <f ca="1">Construction!DF98/Construction!E98</f>
        <v>0.15</v>
      </c>
      <c r="CR98" s="461">
        <f t="shared" si="165"/>
        <v>0</v>
      </c>
      <c r="CS98" s="461">
        <f>Construction!BK98/Construction!E98</f>
        <v>0.05</v>
      </c>
      <c r="CT98" s="461">
        <f>Construction!BJ98/Construction!E98</f>
        <v>0</v>
      </c>
      <c r="CU98" s="461">
        <f>Construction!AY98/Construction!E98</f>
        <v>0</v>
      </c>
      <c r="CV98" s="480">
        <f t="shared" ca="1" si="129"/>
        <v>0.74999999999999989</v>
      </c>
      <c r="CW98" s="481">
        <f t="shared" ca="1" si="130"/>
        <v>0.74999999999999989</v>
      </c>
      <c r="CX98" s="481">
        <f t="shared" ca="1" si="131"/>
        <v>0.74999999999999989</v>
      </c>
      <c r="CY98" s="482">
        <f t="shared" ca="1" si="132"/>
        <v>0.74999999999999989</v>
      </c>
      <c r="CZ98" s="482">
        <f t="shared" si="133"/>
        <v>0</v>
      </c>
      <c r="DA98" s="482">
        <f t="shared" ca="1" si="134"/>
        <v>2.9999999999999996</v>
      </c>
      <c r="DB98" s="482">
        <f t="shared" ca="1" si="135"/>
        <v>0.74999999999999989</v>
      </c>
      <c r="DC98" s="481">
        <f t="shared" si="136"/>
        <v>0</v>
      </c>
      <c r="DD98" s="842">
        <f t="shared" si="137"/>
        <v>0</v>
      </c>
      <c r="DE98" s="439">
        <f t="shared" si="166"/>
        <v>0</v>
      </c>
      <c r="DF98" s="439">
        <f t="shared" si="167"/>
        <v>0</v>
      </c>
      <c r="DG98" s="480">
        <f t="shared" ca="1" si="138"/>
        <v>0.74999999999999989</v>
      </c>
      <c r="DH98" s="449">
        <f t="shared" si="139"/>
        <v>0</v>
      </c>
      <c r="DI98" s="449">
        <f>MIN(valkyrja_cap,Production!O98/valkyrja_bonus)</f>
        <v>1</v>
      </c>
      <c r="DJ98" s="842">
        <f>MIN(voodoo_magi_cap,Production!O98/voodoo_magi_bonus)</f>
        <v>0.83333333333333337</v>
      </c>
      <c r="DK98" s="842">
        <f>MIN(warlock_cap,Production!O98/warlock_bonus)</f>
        <v>1</v>
      </c>
      <c r="DL98" s="842">
        <f ca="1">MIN(nox_nightshade_cap,Construction!DF98/Construction!E98/nox_nightshade_swamp_bonus)</f>
        <v>1.4999999999999998</v>
      </c>
      <c r="DM98" s="481">
        <f t="shared" si="140"/>
        <v>0</v>
      </c>
      <c r="DN98" s="482">
        <f t="shared" ca="1" si="141"/>
        <v>1.4999999999999998</v>
      </c>
      <c r="DO98" s="482">
        <f t="shared" ca="1" si="142"/>
        <v>1.4999999999999998</v>
      </c>
      <c r="DP98" s="482">
        <f t="shared" si="143"/>
        <v>1</v>
      </c>
      <c r="DQ98" s="481">
        <f t="shared" si="144"/>
        <v>0</v>
      </c>
      <c r="DR98" s="482">
        <f t="shared" si="145"/>
        <v>0</v>
      </c>
      <c r="DS98" s="481">
        <f t="shared" si="146"/>
        <v>0</v>
      </c>
      <c r="DT98" s="482">
        <f t="shared" si="147"/>
        <v>0</v>
      </c>
      <c r="DX98" s="480">
        <f ca="1">MIN(6,CV98+Races!$F$19)*1.8 +  IF(CV98+Races!$F$19&gt;6,(CV98+Races!$F$19-6)*0.2,0) - Races!$N$19</f>
        <v>1.3500000000000005</v>
      </c>
      <c r="DY98" s="481">
        <f ca="1">1.8 * MIN(MAX(CW98+Races!$E$20,CX98+Races!$F$20),6)  +  0.45 * MIN(MIN(CW98+Races!$E$20,CX98+Races!$F$20),6)  +  0.2 * ( MAX(CW98+Races!$E$20-6,0) + MAX(CX98+Races!$F$20-6,0) )  -  Races!$N$20</f>
        <v>1.6874999999999991</v>
      </c>
      <c r="DZ98" s="166">
        <f t="shared" ca="1" si="148"/>
        <v>0</v>
      </c>
      <c r="EA98" s="662">
        <f ca="1">MIN(6,CY98+Races!$F$35)*1.8 +  IF(CY98+Races!$F$35&gt;6,(CY98+Races!$F$35-6)*0.2,0) - Races!$N$19</f>
        <v>-0.45000000000000018</v>
      </c>
      <c r="EB98" s="166">
        <f t="shared" ca="1" si="149"/>
        <v>0</v>
      </c>
      <c r="EC98" s="662">
        <f ca="1">1.8 * MIN(MAX(Races!$E$27,DB98+Races!$F$27),6)  +  0.45 * MIN(MIN(Races!$E$27,DB98+Races!$F$27),6)  +  0.2 * ( MAX(Races!$E$27-6,0) + MAX(DB98+Races!$F$27-6,0) )  -  Races!$N$20</f>
        <v>3.6000000000000005</v>
      </c>
      <c r="ED98" s="166">
        <f t="shared" ca="1" si="150"/>
        <v>0</v>
      </c>
      <c r="EE98" s="662">
        <f>1.8 * MIN(MAX(DC98+Races!$E$47,DD98+Races!$F$47),6)  +  0.45 * MIN(MIN(DC98+Races!$E$47,DD98+Races!$F$47),6)  +  0.2 * ( MAX(DC98+Races!$E$47-6,0) + MAX(DD98+Races!$F$47-6,0) )  -  Races!$N$47</f>
        <v>0</v>
      </c>
      <c r="EF98" s="166">
        <f t="shared" si="151"/>
        <v>0</v>
      </c>
      <c r="EG98" s="662">
        <f ca="1">1.8 * MIN(MAX(DG98+Races!$F$71,Races!$E$71),6)  +  0.45 * MIN(MIN(DG98+Races!$F$71,Races!$E$71),6)  +  0.2 * ( MAX(DG98+Races!$F$71-6,0) + MAX(Races!$E$71-6,0) )  -  Races!$N$71</f>
        <v>1.3499999999999996</v>
      </c>
      <c r="EH98" s="662">
        <f>1.8 * MIN(MAX(DH98+Races!$E$71,Races!$F$71),6)  +  0.45 * MIN(MIN(DH98+Races!$E$71,Races!$F$71),6)  +  0.2 * ( MAX(DH98+Races!$E$71-6,0) + MAX(Races!$F$71-6,0) )  -  Races!$N$71</f>
        <v>0</v>
      </c>
      <c r="EI98" s="166">
        <f t="shared" ca="1" si="152"/>
        <v>0</v>
      </c>
      <c r="EJ98" s="166"/>
      <c r="EK98" s="166"/>
      <c r="EL98" s="166"/>
      <c r="EM98" s="166">
        <f ca="1">Overview!$L$22*E98+Overview!$L$23*F98+Overview!$L$24*G98+Overview!$L$25*H98+Overview!$L$26*I98+Overview!$L$27*J98+Overview!$L$28*K98+Construction!E98*20+Construction!B98*5 + DZ98*$DV$4+EB98*$DV$5+ED98*$DV$6+EF98*$DV$7+EI98*$DV$9</f>
        <v>20900</v>
      </c>
      <c r="EO98" s="733">
        <f>(J98+2*K98)/Construction!E98</f>
        <v>0</v>
      </c>
      <c r="EP98" s="730">
        <f ca="1">EO98*(1+race_wizard_strength+tech_magical_weaponry_wiz*Techs!AV170)</f>
        <v>0</v>
      </c>
      <c r="EQ98" s="170">
        <f>(I98+halfer*H98/3)/Construction!E98</f>
        <v>0</v>
      </c>
    </row>
    <row r="99" spans="1:147" s="173" customFormat="1" ht="13.8" thickBot="1" x14ac:dyDescent="0.3">
      <c r="A99" s="548">
        <f>Rezone!J99</f>
        <v>97</v>
      </c>
      <c r="B99" s="175">
        <f ca="1">SUM(E99:K99)+SUM(AF91:AG99)+SUM(AH88:AL99)+Z99+Explore!AL99</f>
        <v>5295</v>
      </c>
      <c r="C99" s="183">
        <f ca="1">Population!G99</f>
        <v>0.74159663865546221</v>
      </c>
      <c r="E99" s="177">
        <f t="shared" si="169"/>
        <v>0</v>
      </c>
      <c r="F99" s="173">
        <f t="shared" si="170"/>
        <v>0</v>
      </c>
      <c r="G99" s="173">
        <f t="shared" si="171"/>
        <v>0</v>
      </c>
      <c r="H99" s="173">
        <f t="shared" si="172"/>
        <v>0</v>
      </c>
      <c r="I99" s="173">
        <f t="shared" si="173"/>
        <v>0</v>
      </c>
      <c r="J99" s="173">
        <f t="shared" si="174"/>
        <v>0</v>
      </c>
      <c r="K99" s="178">
        <f t="shared" si="175"/>
        <v>0</v>
      </c>
      <c r="M99" s="181">
        <f ca="1">Production!G99</f>
        <v>20900</v>
      </c>
      <c r="O99" s="237">
        <f t="shared" ref="O99:O135" ca="1" si="179">E99*(spec_op+spirit*DR99)+G99*(elite1_op+dark_elf*DC99+beast*DN99+sacred*DP99+spirit*DS99+halfer*CZ99+norse*DI99)+H99*(elite2_op+icekin*DH99+woodie*CW99+ants*DM99+beast*DO99+sacred*DQ99+undead*DT99+lizzie*DA99)+kobold*DF99</f>
        <v>0</v>
      </c>
      <c r="P99" s="455">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53"/>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80">R99+Z99*IF(race="Ants",0.1,IF(race="Growth",0.01,1))</f>
        <v>5295</v>
      </c>
      <c r="T99" s="1172">
        <f ca="1">race_defense+Imps!AC99+ROUND(MIN(gt_bonus*Construction!BH99/Construction!$E99,gt_bonus_cap),4)+MAX(IF(Magic!AM99&gt;0,frenzy_bonus,IF(Magic!AQ99&gt;0,blizzard_bonus,IF(Magic!AP99&gt;0,howling_dp_bonus,IF(Magic!AI99&gt;0,ares_call_bonus)))),IF(Magic!AX99&gt;0,MIN(Construction!DF99/Construction!E99,0.2),0))</f>
        <v>0</v>
      </c>
      <c r="U99" s="1043">
        <f t="shared" ca="1" si="154"/>
        <v>0</v>
      </c>
      <c r="V99" s="309">
        <f t="shared" ca="1" si="155"/>
        <v>5295</v>
      </c>
      <c r="W99" s="309">
        <f>Construction!E99</f>
        <v>1000</v>
      </c>
      <c r="X99" s="366"/>
      <c r="Y99" s="239">
        <f t="shared" si="178"/>
        <v>0.4</v>
      </c>
      <c r="Z99" s="179">
        <f ca="1">Z98+Population!Z98 - IF(race="Lux",AF99,SUM(AF99:AK99)) - BE99 + SUM(BF99:BL99) - Explore!AI99</f>
        <v>5295</v>
      </c>
      <c r="AA99" s="174"/>
      <c r="AB99" s="261">
        <f>(Construction!$BA99+Construction!BY99)/(Construction!$E99-Explore!S99*20)</f>
        <v>0</v>
      </c>
      <c r="AC99" s="1522">
        <f ca="1">Imps!AE99</f>
        <v>0</v>
      </c>
      <c r="AD99" s="797">
        <f>Rezone!J99</f>
        <v>97</v>
      </c>
      <c r="AE99" s="588">
        <f>Explore!AA99</f>
        <v>43768.999999999767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81">$AF99*BP99+$AG99*BT99+$AH99*BY99+$AI99*CF99+AJ99*CM99+AK99*CN99+AL99*CO99</f>
        <v>0</v>
      </c>
      <c r="AV99" s="174">
        <f t="shared" ref="AV99:AV135" ca="1" si="182">$AF99*BQ99+$AG99*BU99+$AH99*BZ99+$AI99*CG99</f>
        <v>0</v>
      </c>
      <c r="AW99" s="174">
        <f t="shared" ca="1" si="156"/>
        <v>0</v>
      </c>
      <c r="AX99" s="174">
        <f t="shared" ca="1" si="157"/>
        <v>0</v>
      </c>
      <c r="AY99" s="174">
        <f t="shared" ca="1" si="158"/>
        <v>0</v>
      </c>
      <c r="AZ99" s="174">
        <f t="shared" ca="1" si="159"/>
        <v>0</v>
      </c>
      <c r="BA99" s="179">
        <f t="shared" ca="1" si="160"/>
        <v>0</v>
      </c>
      <c r="BB99" s="173">
        <v>25</v>
      </c>
      <c r="BC99" s="571">
        <f t="shared" si="161"/>
        <v>43768.999999999767</v>
      </c>
      <c r="BD99" s="240">
        <f t="shared" ca="1" si="162"/>
        <v>5295</v>
      </c>
      <c r="BE99" s="354"/>
      <c r="BF99" s="347"/>
      <c r="BG99" s="347"/>
      <c r="BH99" s="347"/>
      <c r="BI99" s="347"/>
      <c r="BJ99" s="347"/>
      <c r="BK99" s="347"/>
      <c r="BL99" s="355"/>
      <c r="BN99" s="502">
        <f>Construction!BM99/Construction!E99</f>
        <v>0</v>
      </c>
      <c r="BO99" s="183">
        <f>Construction!BD99/Construction!E99</f>
        <v>0</v>
      </c>
      <c r="BP99" s="175">
        <f ca="1">ROUNDUP((1-MIN(AB99*smithy_bonus,smithy_bonus_cap)-AC99)*(1+Techs!AO99*tech_master_of_frugality)*spec_op_plat,0)</f>
        <v>275</v>
      </c>
      <c r="BQ99" s="174">
        <f ca="1">ROUNDUP(IF(OR(race="Gnome",race="Imperial Gnome"),1-AC99,(1-MIN(AB99*smithy_bonus,smithy_bonus_cap)-AC99)*(1+Techs!AO99*tech_master_of_frugality))*spec_op_ore,0)</f>
        <v>25</v>
      </c>
      <c r="BR99" s="174">
        <f t="shared" si="116"/>
        <v>0</v>
      </c>
      <c r="BS99" s="174">
        <f t="shared" si="117"/>
        <v>0</v>
      </c>
      <c r="BT99" s="174">
        <f ca="1">ROUNDUP((1-MIN(AB99*smithy_bonus,smithy_bonus_cap)-AC99)*(1+Techs!AO99*tech_master_of_frugality)*spec_dp_plat,0)</f>
        <v>275</v>
      </c>
      <c r="BU99" s="174">
        <f ca="1">ROUNDUP(IF(OR(race="Gnome",race="Imperial Gnome"),1-AC99,(1-MIN(AB99*smithy_bonus,smithy_bonus_cap)-AC99)*(1+Techs!AO99*tech_master_of_frugality))*spec_dp_ore,0)</f>
        <v>10</v>
      </c>
      <c r="BV99" s="174">
        <f t="shared" ca="1" si="118"/>
        <v>0</v>
      </c>
      <c r="BW99" s="174">
        <f t="shared" ca="1" si="119"/>
        <v>0</v>
      </c>
      <c r="BX99" s="174">
        <f t="shared" ca="1" si="120"/>
        <v>0</v>
      </c>
      <c r="BY99" s="174">
        <f ca="1">ROUNDUP((1-MIN(AB99*smithy_bonus,smithy_bonus_cap)-AC99)*(1+Techs!AO99*tech_master_of_frugality)*elite1_plat,0)</f>
        <v>1000</v>
      </c>
      <c r="BZ99" s="174">
        <f ca="1">ROUNDUP(IF(OR(race="Gnome",race="Imperial Gnome"),1-AC99,(1-MIN(AB99*smithy_bonus,smithy_bonus_cap)-AC99)*(1+Techs!AO99*tech_master_of_frugality))*elite1_ore,0)</f>
        <v>75</v>
      </c>
      <c r="CA99" s="174">
        <f t="shared" ca="1" si="163"/>
        <v>0</v>
      </c>
      <c r="CB99" s="174">
        <f t="shared" ca="1" si="121"/>
        <v>0</v>
      </c>
      <c r="CC99" s="174">
        <f t="shared" ca="1" si="122"/>
        <v>0</v>
      </c>
      <c r="CD99" s="174">
        <f t="shared" ca="1" si="123"/>
        <v>0</v>
      </c>
      <c r="CE99" s="174">
        <f t="shared" ca="1" si="124"/>
        <v>0</v>
      </c>
      <c r="CF99" s="174">
        <f ca="1">ROUNDUP((1-MIN(AB99*smithy_bonus,smithy_bonus_cap)-AC99)*(1+Techs!AO99*tech_master_of_frugality)*elite2_plat,0)</f>
        <v>1250</v>
      </c>
      <c r="CG99" s="174">
        <f ca="1">ROUNDUP(IF(OR(race="Gnome",race="Imperial Gnome"),1-AC99,(1-MIN(AB99*smithy_bonus,smithy_bonus_cap)-AC99)*(1+Techs!AO99*tech_master_of_frugality))*elite2_ore,0)</f>
        <v>100</v>
      </c>
      <c r="CH99" s="174">
        <f t="shared" ca="1" si="164"/>
        <v>0</v>
      </c>
      <c r="CI99" s="174">
        <f t="shared" ca="1" si="125"/>
        <v>0</v>
      </c>
      <c r="CJ99" s="174">
        <f t="shared" ca="1" si="126"/>
        <v>0</v>
      </c>
      <c r="CK99" s="174">
        <f t="shared" ca="1" si="127"/>
        <v>0</v>
      </c>
      <c r="CL99" s="174">
        <f t="shared" ca="1" si="128"/>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2">
        <f ca="1">Construction!DF99/Construction!E99</f>
        <v>0.15</v>
      </c>
      <c r="CR99" s="463">
        <f t="shared" si="165"/>
        <v>0</v>
      </c>
      <c r="CS99" s="463">
        <f>Construction!BK99/Construction!E99</f>
        <v>0.05</v>
      </c>
      <c r="CT99" s="463">
        <f>Construction!BJ99/Construction!E99</f>
        <v>0</v>
      </c>
      <c r="CU99" s="463">
        <f>Construction!AY99/Construction!E99</f>
        <v>0</v>
      </c>
      <c r="CV99" s="483">
        <f t="shared" ref="CV99:CV135" ca="1" si="183">IF(mystic_cap="none",CQ99/mystic_bonus,MIN(mystic_cap,CQ99/mystic_bonus))</f>
        <v>0.74999999999999989</v>
      </c>
      <c r="CW99" s="484">
        <f t="shared" ref="CW99:CW135" ca="1" si="184">IF(druid_op_cap="none",CQ99/druid_op_bonus,MIN(druid_op_cap,CQ99/druid_op_bonus))</f>
        <v>0.74999999999999989</v>
      </c>
      <c r="CX99" s="484">
        <f t="shared" ref="CX99:CX135" ca="1" si="185">IF(druid_dp_cap="none",CQ99/druid_dp_bonus,MIN(druid_dp_cap,CQ99/druid_dp_bonus))</f>
        <v>0.74999999999999989</v>
      </c>
      <c r="CY99" s="485">
        <f t="shared" ref="CY99:CY135" ca="1" si="186">MIN(dryad_cap,CQ99/dryad_bonus)</f>
        <v>0.74999999999999989</v>
      </c>
      <c r="CZ99" s="485">
        <f t="shared" ref="CZ99:CZ135" si="187">MIN(staff_cap,EQ99*staff_bonus)</f>
        <v>0</v>
      </c>
      <c r="DA99" s="485">
        <f t="shared" ref="DA99:DA135" ca="1" si="188">MIN(lizardman_cap,CQ99/lizardman_bonus)</f>
        <v>2.9999999999999996</v>
      </c>
      <c r="DB99" s="485">
        <f t="shared" ref="DB99:DB135" ca="1" si="189">MIN(rocka_cap,CQ99/rocka_bonus)</f>
        <v>0.74999999999999989</v>
      </c>
      <c r="DC99" s="484">
        <f t="shared" ref="DC99:DC135" si="190">MIN(adept_op_cap,CR99/adept_op_bonus)</f>
        <v>0</v>
      </c>
      <c r="DD99" s="845">
        <f t="shared" ref="DD99:DD135" si="191">MIN(adept_dp_cap,CR99/adept_dp_bonus)</f>
        <v>0</v>
      </c>
      <c r="DE99" s="440">
        <f t="shared" si="166"/>
        <v>0</v>
      </c>
      <c r="DF99" s="440">
        <f t="shared" si="167"/>
        <v>0</v>
      </c>
      <c r="DG99" s="483">
        <f t="shared" ref="DG99:DG135" ca="1" si="192">MIN(frost_mage_cap,CQ99/frost_mage_bonus)</f>
        <v>0.74999999999999989</v>
      </c>
      <c r="DH99" s="450">
        <f t="shared" ref="DH99:DH135" si="193">MIN(ice_elem_cap,EO99*ice_elem_bonus)</f>
        <v>0</v>
      </c>
      <c r="DI99" s="450">
        <f>MIN(valkyrja_cap,Production!O99/valkyrja_bonus)</f>
        <v>1</v>
      </c>
      <c r="DJ99" s="845">
        <f>MIN(voodoo_magi_cap,Production!O99/voodoo_magi_bonus)</f>
        <v>0.83333333333333337</v>
      </c>
      <c r="DK99" s="845">
        <f>MIN(warlock_cap,Production!O99/warlock_bonus)</f>
        <v>1</v>
      </c>
      <c r="DL99" s="845">
        <f ca="1">MIN(nox_nightshade_cap,Construction!DF99/Construction!E99/nox_nightshade_swamp_bonus)</f>
        <v>1.4999999999999998</v>
      </c>
      <c r="DM99" s="484">
        <f t="shared" ref="DM99:DM135" si="194">MIN(flying_ant_cap,BO99/flying_ant_bonus)</f>
        <v>0</v>
      </c>
      <c r="DN99" s="485">
        <f t="shared" ref="DN99:DN135" ca="1" si="195">MIN(goat_witch_cap,CQ99/goat_witch_bonus)</f>
        <v>1.4999999999999998</v>
      </c>
      <c r="DO99" s="485">
        <f t="shared" ref="DO99:DO135" ca="1" si="196">MIN(minotaur_cap,CQ99/minotaur_bonus)</f>
        <v>1.4999999999999998</v>
      </c>
      <c r="DP99" s="485">
        <f t="shared" ref="DP99:DP135" si="197">MIN(fanatic_cap,CS99/fanatic_bonus)</f>
        <v>1</v>
      </c>
      <c r="DQ99" s="484">
        <f t="shared" ref="DQ99:DQ135" si="198">MIN(holy_warrior_cap,CT99/holy_warrior_bonus)</f>
        <v>0</v>
      </c>
      <c r="DR99" s="485">
        <f t="shared" ref="DR99:DR135" si="199">MIN(banshee_cap,CU99/banshee_bonus)</f>
        <v>0</v>
      </c>
      <c r="DS99" s="484">
        <f t="shared" ref="DS99:DS135" si="200">MIN(phantom_cap,CU99/phantom_bonus)</f>
        <v>0</v>
      </c>
      <c r="DT99" s="485">
        <f t="shared" ref="DT99:DT135" si="201">MIN(wraith_cap,EO99*wraith_bonus)</f>
        <v>0</v>
      </c>
      <c r="DX99" s="483">
        <f ca="1">MIN(6,CV99+Races!$F$19)*1.8 +  IF(CV99+Races!$F$19&gt;6,(CV99+Races!$F$19-6)*0.2,0) - Races!$N$19</f>
        <v>1.3500000000000005</v>
      </c>
      <c r="DY99" s="484">
        <f ca="1">1.8 * MIN(MAX(CW99+Races!$E$20,CX99+Races!$F$20),6)  +  0.45 * MIN(MIN(CW99+Races!$E$20,CX99+Races!$F$20),6)  +  0.2 * ( MAX(CW99+Races!$E$20-6,0) + MAX(CX99+Races!$F$20-6,0) )  -  Races!$N$20</f>
        <v>1.6874999999999991</v>
      </c>
      <c r="DZ99" s="179">
        <f t="shared" ref="DZ99:DZ130" ca="1" si="202">DX99*G99+DY99*H99</f>
        <v>0</v>
      </c>
      <c r="EA99" s="664">
        <f ca="1">MIN(6,CY99+Races!$F$35)*1.8 +  IF(CY99+Races!$F$35&gt;6,(CY99+Races!$F$35-6)*0.2,0) - Races!$N$19</f>
        <v>-0.45000000000000018</v>
      </c>
      <c r="EB99" s="179">
        <f t="shared" ref="EB99:EB135" ca="1" si="203">$DV$5*(DX99*G99)</f>
        <v>0</v>
      </c>
      <c r="EC99" s="664">
        <f ca="1">1.8 * MIN(MAX(Races!$E$27,DB99+Races!$F$27),6)  +  0.45 * MIN(MIN(Races!$E$27,DB99+Races!$F$27),6)  +  0.2 * ( MAX(Races!$E$27-6,0) + MAX(DB99+Races!$F$27-6,0) )  -  Races!$N$20</f>
        <v>3.6000000000000005</v>
      </c>
      <c r="ED99" s="179">
        <f t="shared" ref="ED99:ED130" ca="1" si="204">$DV$6*(EC99*G99)</f>
        <v>0</v>
      </c>
      <c r="EE99" s="664">
        <f>1.8 * MIN(MAX(DC99+Races!$E$47,DD99+Races!$F$47),6)  +  0.45 * MIN(MIN(DC99+Races!$E$47,DD99+Races!$F$47),6)  +  0.2 * ( MAX(DC99+Races!$E$47-6,0) + MAX(DD99+Races!$F$47-6,0) )  -  Races!$N$47</f>
        <v>0</v>
      </c>
      <c r="EF99" s="179">
        <f t="shared" ref="EF99:EF130" si="205">$DV$7*(EE99*G99)</f>
        <v>0</v>
      </c>
      <c r="EG99" s="664">
        <f ca="1">1.8 * MIN(MAX(DG99+Races!$F$71,Races!$E$71),6)  +  0.45 * MIN(MIN(DG99+Races!$F$71,Races!$E$71),6)  +  0.2 * ( MAX(DG99+Races!$F$71-6,0) + MAX(Races!$E$71-6,0) )  -  Races!$N$71</f>
        <v>1.3499999999999996</v>
      </c>
      <c r="EH99" s="664">
        <f>1.8 * MIN(MAX(DH99+Races!$E$71,Races!$F$71),6)  +  0.45 * MIN(MIN(DH99+Races!$E$71,Races!$F$71),6)  +  0.2 * ( MAX(DH99+Races!$E$71-6,0) + MAX(Races!$F$71-6,0) )  -  Races!$N$71</f>
        <v>0</v>
      </c>
      <c r="EI99" s="179">
        <f t="shared" ref="EI99:EI130" ca="1" si="206">EG99*G99+EH99*H99</f>
        <v>0</v>
      </c>
      <c r="EJ99" s="179"/>
      <c r="EK99" s="179"/>
      <c r="EL99" s="179"/>
      <c r="EM99" s="179">
        <f ca="1">Overview!$L$22*E99+Overview!$L$23*F99+Overview!$L$24*G99+Overview!$L$25*H99+Overview!$L$26*I99+Overview!$L$27*J99+Overview!$L$28*K99+Construction!E99*20+Construction!B99*5 + DZ99*$DV$4+EB99*$DV$5+ED99*$DV$6+EF99*$DV$7+EI99*$DV$9</f>
        <v>20900</v>
      </c>
      <c r="EO99" s="736">
        <f>(J99+2*K99)/Construction!E99</f>
        <v>0</v>
      </c>
      <c r="EP99" s="732">
        <f ca="1">EO99*(1+race_wizard_strength+tech_magical_weaponry_wiz*Techs!AV171)</f>
        <v>0</v>
      </c>
      <c r="EQ99" s="173">
        <f>(I99+halfer*H99/3)/Construction!E99</f>
        <v>0</v>
      </c>
    </row>
    <row r="100" spans="1:147" s="170" customFormat="1" x14ac:dyDescent="0.25">
      <c r="A100" s="627">
        <f>Rezone!J100</f>
        <v>98</v>
      </c>
      <c r="B100" s="152">
        <f ca="1">SUM(E100:K100)+SUM(AF92:AG100)+SUM(AH89:AL100)+Z100+Explore!AL100</f>
        <v>5295</v>
      </c>
      <c r="C100" s="171">
        <f ca="1">Population!G100</f>
        <v>0.74159663865546221</v>
      </c>
      <c r="E100" s="156">
        <f t="shared" si="169"/>
        <v>0</v>
      </c>
      <c r="F100" s="170">
        <f t="shared" si="170"/>
        <v>0</v>
      </c>
      <c r="G100" s="170">
        <f t="shared" si="171"/>
        <v>0</v>
      </c>
      <c r="H100" s="170">
        <f t="shared" si="172"/>
        <v>0</v>
      </c>
      <c r="I100" s="170">
        <f t="shared" si="173"/>
        <v>0</v>
      </c>
      <c r="J100" s="170">
        <f t="shared" si="174"/>
        <v>0</v>
      </c>
      <c r="K100" s="157">
        <f t="shared" si="175"/>
        <v>0</v>
      </c>
      <c r="M100" s="160">
        <f ca="1">Production!G100</f>
        <v>20900</v>
      </c>
      <c r="O100" s="234">
        <f t="shared" ca="1" si="179"/>
        <v>0</v>
      </c>
      <c r="P100" s="454">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53"/>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80"/>
        <v>5295</v>
      </c>
      <c r="T100" s="1047">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1">
        <f t="shared" ca="1" si="154"/>
        <v>0</v>
      </c>
      <c r="V100" s="308">
        <f t="shared" ca="1" si="155"/>
        <v>5295</v>
      </c>
      <c r="W100" s="308">
        <f>Construction!E100</f>
        <v>1000</v>
      </c>
      <c r="X100" s="364"/>
      <c r="Y100" s="232">
        <f t="shared" si="178"/>
        <v>0.4</v>
      </c>
      <c r="Z100" s="166">
        <f ca="1">Z99+Population!Z99 - IF(race="Lux",AF100,SUM(AF100:AK100)) - BE100 + SUM(BF100:BL100) - Explore!AI100</f>
        <v>5295</v>
      </c>
      <c r="AA100" s="164"/>
      <c r="AB100" s="251">
        <f>(Construction!$BA100+Construction!BY100)/(Construction!$E100-Explore!S100*20)</f>
        <v>0</v>
      </c>
      <c r="AC100" s="1515">
        <f ca="1">Imps!AE100</f>
        <v>0</v>
      </c>
      <c r="AD100" s="794">
        <f>Rezone!J100</f>
        <v>98</v>
      </c>
      <c r="AE100" s="587">
        <f>Explore!AA100</f>
        <v>43769.010416666431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81"/>
        <v>0</v>
      </c>
      <c r="AV100" s="164">
        <f t="shared" ca="1" si="182"/>
        <v>0</v>
      </c>
      <c r="AW100" s="164">
        <f t="shared" ca="1" si="156"/>
        <v>0</v>
      </c>
      <c r="AX100" s="164">
        <f t="shared" ca="1" si="157"/>
        <v>0</v>
      </c>
      <c r="AY100" s="164">
        <f t="shared" ca="1" si="158"/>
        <v>0</v>
      </c>
      <c r="AZ100" s="164">
        <f t="shared" ca="1" si="159"/>
        <v>0</v>
      </c>
      <c r="BA100" s="166">
        <f t="shared" ca="1" si="160"/>
        <v>0</v>
      </c>
      <c r="BB100" s="170">
        <v>26</v>
      </c>
      <c r="BC100" s="530">
        <f t="shared" si="161"/>
        <v>43769.010416666431</v>
      </c>
      <c r="BD100" s="233">
        <f t="shared" ca="1" si="162"/>
        <v>5295</v>
      </c>
      <c r="BE100" s="352"/>
      <c r="BF100" s="345"/>
      <c r="BG100" s="345"/>
      <c r="BH100" s="345"/>
      <c r="BI100" s="345"/>
      <c r="BJ100" s="345"/>
      <c r="BK100" s="345"/>
      <c r="BL100" s="353"/>
      <c r="BN100" s="501">
        <f>Construction!BM100/Construction!E100</f>
        <v>0</v>
      </c>
      <c r="BO100" s="171">
        <f>Construction!BD100/Construction!E100</f>
        <v>0</v>
      </c>
      <c r="BP100" s="152">
        <f ca="1">ROUNDUP((1-MIN(AB100*smithy_bonus,smithy_bonus_cap)-AC100)*(1+Techs!AO100*tech_master_of_frugality)*spec_op_plat,0)</f>
        <v>275</v>
      </c>
      <c r="BQ100" s="164">
        <f ca="1">ROUNDUP(IF(OR(race="Gnome",race="Imperial Gnome"),1-AC100,(1-MIN(AB100*smithy_bonus,smithy_bonus_cap)-AC100)*(1+Techs!AO100*tech_master_of_frugality))*spec_op_ore,0)</f>
        <v>25</v>
      </c>
      <c r="BR100" s="164">
        <f t="shared" si="116"/>
        <v>0</v>
      </c>
      <c r="BS100" s="164">
        <f t="shared" si="117"/>
        <v>0</v>
      </c>
      <c r="BT100" s="164">
        <f ca="1">ROUNDUP((1-MIN(AB100*smithy_bonus,smithy_bonus_cap)-AC100)*(1+Techs!AO100*tech_master_of_frugality)*spec_dp_plat,0)</f>
        <v>275</v>
      </c>
      <c r="BU100" s="164">
        <f ca="1">ROUNDUP(IF(OR(race="Gnome",race="Imperial Gnome"),1-AC100,(1-MIN(AB100*smithy_bonus,smithy_bonus_cap)-AC100)*(1+Techs!AO100*tech_master_of_frugality))*spec_dp_ore,0)</f>
        <v>10</v>
      </c>
      <c r="BV100" s="164">
        <f t="shared" ca="1" si="118"/>
        <v>0</v>
      </c>
      <c r="BW100" s="164">
        <f t="shared" ca="1" si="119"/>
        <v>0</v>
      </c>
      <c r="BX100" s="164">
        <f t="shared" ca="1" si="120"/>
        <v>0</v>
      </c>
      <c r="BY100" s="164">
        <f ca="1">ROUNDUP((1-MIN(AB100*smithy_bonus,smithy_bonus_cap)-AC100)*(1+Techs!AO100*tech_master_of_frugality)*elite1_plat,0)</f>
        <v>1000</v>
      </c>
      <c r="BZ100" s="164">
        <f ca="1">ROUNDUP(IF(OR(race="Gnome",race="Imperial Gnome"),1-AC100,(1-MIN(AB100*smithy_bonus,smithy_bonus_cap)-AC100)*(1+Techs!AO100*tech_master_of_frugality))*elite1_ore,0)</f>
        <v>75</v>
      </c>
      <c r="CA100" s="164">
        <f t="shared" ca="1" si="163"/>
        <v>0</v>
      </c>
      <c r="CB100" s="164">
        <f t="shared" ca="1" si="121"/>
        <v>0</v>
      </c>
      <c r="CC100" s="164">
        <f t="shared" ca="1" si="122"/>
        <v>0</v>
      </c>
      <c r="CD100" s="164">
        <f t="shared" ca="1" si="123"/>
        <v>0</v>
      </c>
      <c r="CE100" s="164">
        <f t="shared" ca="1" si="124"/>
        <v>0</v>
      </c>
      <c r="CF100" s="164">
        <f ca="1">ROUNDUP((1-MIN(AB100*smithy_bonus,smithy_bonus_cap)-AC100)*(1+Techs!AO100*tech_master_of_frugality)*elite2_plat,0)</f>
        <v>1250</v>
      </c>
      <c r="CG100" s="164">
        <f ca="1">ROUNDUP(IF(OR(race="Gnome",race="Imperial Gnome"),1-AC100,(1-MIN(AB100*smithy_bonus,smithy_bonus_cap)-AC100)*(1+Techs!AO100*tech_master_of_frugality))*elite2_ore,0)</f>
        <v>100</v>
      </c>
      <c r="CH100" s="164">
        <f t="shared" ca="1" si="164"/>
        <v>0</v>
      </c>
      <c r="CI100" s="164">
        <f t="shared" ca="1" si="125"/>
        <v>0</v>
      </c>
      <c r="CJ100" s="164">
        <f t="shared" ca="1" si="126"/>
        <v>0</v>
      </c>
      <c r="CK100" s="164">
        <f t="shared" ca="1" si="127"/>
        <v>0</v>
      </c>
      <c r="CL100" s="164">
        <f t="shared" ca="1" si="128"/>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0">
        <f ca="1">Construction!DF100/Construction!E100</f>
        <v>0.15</v>
      </c>
      <c r="CR100" s="461">
        <f t="shared" si="165"/>
        <v>0</v>
      </c>
      <c r="CS100" s="461">
        <f>Construction!BK100/Construction!E100</f>
        <v>0.05</v>
      </c>
      <c r="CT100" s="461">
        <f>Construction!BJ100/Construction!E100</f>
        <v>0</v>
      </c>
      <c r="CU100" s="461">
        <f>Construction!AY100/Construction!E100</f>
        <v>0</v>
      </c>
      <c r="CV100" s="480">
        <f t="shared" ca="1" si="183"/>
        <v>0.74999999999999989</v>
      </c>
      <c r="CW100" s="481">
        <f t="shared" ca="1" si="184"/>
        <v>0.74999999999999989</v>
      </c>
      <c r="CX100" s="481">
        <f t="shared" ca="1" si="185"/>
        <v>0.74999999999999989</v>
      </c>
      <c r="CY100" s="482">
        <f t="shared" ca="1" si="186"/>
        <v>0.74999999999999989</v>
      </c>
      <c r="CZ100" s="482">
        <f t="shared" si="187"/>
        <v>0</v>
      </c>
      <c r="DA100" s="482">
        <f t="shared" ca="1" si="188"/>
        <v>2.9999999999999996</v>
      </c>
      <c r="DB100" s="482">
        <f t="shared" ca="1" si="189"/>
        <v>0.74999999999999989</v>
      </c>
      <c r="DC100" s="481">
        <f t="shared" si="190"/>
        <v>0</v>
      </c>
      <c r="DD100" s="842">
        <f t="shared" si="191"/>
        <v>0</v>
      </c>
      <c r="DE100" s="439">
        <f t="shared" si="166"/>
        <v>0</v>
      </c>
      <c r="DF100" s="439">
        <f t="shared" si="167"/>
        <v>0</v>
      </c>
      <c r="DG100" s="480">
        <f t="shared" ca="1" si="192"/>
        <v>0.74999999999999989</v>
      </c>
      <c r="DH100" s="449">
        <f t="shared" si="193"/>
        <v>0</v>
      </c>
      <c r="DI100" s="449">
        <f>MIN(valkyrja_cap,Production!O100/valkyrja_bonus)</f>
        <v>1</v>
      </c>
      <c r="DJ100" s="842">
        <f>MIN(voodoo_magi_cap,Production!O100/voodoo_magi_bonus)</f>
        <v>0.83333333333333337</v>
      </c>
      <c r="DK100" s="842">
        <f>MIN(warlock_cap,Production!O100/warlock_bonus)</f>
        <v>1</v>
      </c>
      <c r="DL100" s="842">
        <f ca="1">MIN(nox_nightshade_cap,Construction!DF100/Construction!E100/nox_nightshade_swamp_bonus)</f>
        <v>1.4999999999999998</v>
      </c>
      <c r="DM100" s="481">
        <f t="shared" si="194"/>
        <v>0</v>
      </c>
      <c r="DN100" s="482">
        <f t="shared" ca="1" si="195"/>
        <v>1.4999999999999998</v>
      </c>
      <c r="DO100" s="482">
        <f t="shared" ca="1" si="196"/>
        <v>1.4999999999999998</v>
      </c>
      <c r="DP100" s="482">
        <f t="shared" si="197"/>
        <v>1</v>
      </c>
      <c r="DQ100" s="481">
        <f t="shared" si="198"/>
        <v>0</v>
      </c>
      <c r="DR100" s="482">
        <f t="shared" si="199"/>
        <v>0</v>
      </c>
      <c r="DS100" s="481">
        <f t="shared" si="200"/>
        <v>0</v>
      </c>
      <c r="DT100" s="482">
        <f t="shared" si="201"/>
        <v>0</v>
      </c>
      <c r="DX100" s="480">
        <f ca="1">MIN(6,CV100+Races!$F$19)*1.8 +  IF(CV100+Races!$F$19&gt;6,(CV100+Races!$F$19-6)*0.2,0) - Races!$N$19</f>
        <v>1.3500000000000005</v>
      </c>
      <c r="DY100" s="481">
        <f ca="1">1.8 * MIN(MAX(CW100+Races!$E$20,CX100+Races!$F$20),6)  +  0.45 * MIN(MIN(CW100+Races!$E$20,CX100+Races!$F$20),6)  +  0.2 * ( MAX(CW100+Races!$E$20-6,0) + MAX(CX100+Races!$F$20-6,0) )  -  Races!$N$20</f>
        <v>1.6874999999999991</v>
      </c>
      <c r="DZ100" s="166">
        <f t="shared" ca="1" si="202"/>
        <v>0</v>
      </c>
      <c r="EA100" s="662">
        <f ca="1">MIN(6,CY100+Races!$F$35)*1.8 +  IF(CY100+Races!$F$35&gt;6,(CY100+Races!$F$35-6)*0.2,0) - Races!$N$19</f>
        <v>-0.45000000000000018</v>
      </c>
      <c r="EB100" s="166">
        <f t="shared" ca="1" si="203"/>
        <v>0</v>
      </c>
      <c r="EC100" s="662">
        <f ca="1">1.8 * MIN(MAX(Races!$E$27,DB100+Races!$F$27),6)  +  0.45 * MIN(MIN(Races!$E$27,DB100+Races!$F$27),6)  +  0.2 * ( MAX(Races!$E$27-6,0) + MAX(DB100+Races!$F$27-6,0) )  -  Races!$N$20</f>
        <v>3.6000000000000005</v>
      </c>
      <c r="ED100" s="166">
        <f t="shared" ca="1" si="204"/>
        <v>0</v>
      </c>
      <c r="EE100" s="662">
        <f>1.8 * MIN(MAX(DC100+Races!$E$47,DD100+Races!$F$47),6)  +  0.45 * MIN(MIN(DC100+Races!$E$47,DD100+Races!$F$47),6)  +  0.2 * ( MAX(DC100+Races!$E$47-6,0) + MAX(DD100+Races!$F$47-6,0) )  -  Races!$N$47</f>
        <v>0</v>
      </c>
      <c r="EF100" s="166">
        <f t="shared" si="205"/>
        <v>0</v>
      </c>
      <c r="EG100" s="662">
        <f ca="1">1.8 * MIN(MAX(DG100+Races!$F$71,Races!$E$71),6)  +  0.45 * MIN(MIN(DG100+Races!$F$71,Races!$E$71),6)  +  0.2 * ( MAX(DG100+Races!$F$71-6,0) + MAX(Races!$E$71-6,0) )  -  Races!$N$71</f>
        <v>1.3499999999999996</v>
      </c>
      <c r="EH100" s="662">
        <f>1.8 * MIN(MAX(DH100+Races!$E$71,Races!$F$71),6)  +  0.45 * MIN(MIN(DH100+Races!$E$71,Races!$F$71),6)  +  0.2 * ( MAX(DH100+Races!$E$71-6,0) + MAX(Races!$F$71-6,0) )  -  Races!$N$71</f>
        <v>0</v>
      </c>
      <c r="EI100" s="166">
        <f t="shared" ca="1" si="206"/>
        <v>0</v>
      </c>
      <c r="EJ100" s="166"/>
      <c r="EK100" s="166"/>
      <c r="EL100" s="166"/>
      <c r="EM100" s="166">
        <f ca="1">Overview!$L$22*E100+Overview!$L$23*F100+Overview!$L$24*G100+Overview!$L$25*H100+Overview!$L$26*I100+Overview!$L$27*J100+Overview!$L$28*K100+Construction!E100*20+Construction!B100*5 + DZ100*$DV$4+EB100*$DV$5+ED100*$DV$6+EF100*$DV$7+EI100*$DV$9</f>
        <v>20900</v>
      </c>
      <c r="EO100" s="733">
        <f>(J100+2*K100)/Construction!E100</f>
        <v>0</v>
      </c>
      <c r="EP100" s="730">
        <f ca="1">EO100*(1+race_wizard_strength+tech_magical_weaponry_wiz*Techs!AV172)</f>
        <v>0</v>
      </c>
      <c r="EQ100" s="170">
        <f>(I100+halfer*H100/3)/Construction!E100</f>
        <v>0</v>
      </c>
    </row>
    <row r="101" spans="1:147" s="170" customFormat="1" x14ac:dyDescent="0.25">
      <c r="A101" s="627">
        <f>Rezone!J101</f>
        <v>99</v>
      </c>
      <c r="B101" s="152">
        <f ca="1">SUM(E101:K101)+SUM(AF93:AG101)+SUM(AH90:AL101)+Z101+Explore!AL101</f>
        <v>5295</v>
      </c>
      <c r="C101" s="171">
        <f ca="1">Population!G101</f>
        <v>0.74159663865546221</v>
      </c>
      <c r="E101" s="156">
        <f t="shared" si="169"/>
        <v>0</v>
      </c>
      <c r="F101" s="170">
        <f t="shared" si="170"/>
        <v>0</v>
      </c>
      <c r="G101" s="170">
        <f t="shared" si="171"/>
        <v>0</v>
      </c>
      <c r="H101" s="170">
        <f t="shared" si="172"/>
        <v>0</v>
      </c>
      <c r="I101" s="170">
        <f t="shared" si="173"/>
        <v>0</v>
      </c>
      <c r="J101" s="170">
        <f t="shared" si="174"/>
        <v>0</v>
      </c>
      <c r="K101" s="157">
        <f t="shared" si="175"/>
        <v>0</v>
      </c>
      <c r="M101" s="160">
        <f ca="1">Production!G101</f>
        <v>20900</v>
      </c>
      <c r="O101" s="234">
        <f t="shared" ca="1" si="179"/>
        <v>0</v>
      </c>
      <c r="P101" s="454">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53"/>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80"/>
        <v>5295</v>
      </c>
      <c r="T101" s="1047">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1">
        <f t="shared" ca="1" si="154"/>
        <v>0</v>
      </c>
      <c r="V101" s="308">
        <f t="shared" ca="1" si="155"/>
        <v>5295</v>
      </c>
      <c r="W101" s="308">
        <f>Construction!E101</f>
        <v>1000</v>
      </c>
      <c r="X101" s="364"/>
      <c r="Y101" s="232">
        <f t="shared" si="178"/>
        <v>0.4</v>
      </c>
      <c r="Z101" s="166">
        <f ca="1">Z100+Population!Z100 - IF(race="Lux",AF101,SUM(AF101:AK101)) - BE101 + SUM(BF101:BL101) - Explore!AI101</f>
        <v>5295</v>
      </c>
      <c r="AA101" s="164"/>
      <c r="AB101" s="251">
        <f>(Construction!$BA101+Construction!BY101)/(Construction!$E101-Explore!S101*20)</f>
        <v>0</v>
      </c>
      <c r="AC101" s="1515">
        <f ca="1">Imps!AE101</f>
        <v>0</v>
      </c>
      <c r="AD101" s="794">
        <f>Rezone!J101</f>
        <v>99</v>
      </c>
      <c r="AE101" s="587">
        <f>Explore!AA101</f>
        <v>43769.020833333096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81"/>
        <v>0</v>
      </c>
      <c r="AV101" s="164">
        <f t="shared" ca="1" si="182"/>
        <v>0</v>
      </c>
      <c r="AW101" s="164">
        <f t="shared" ca="1" si="156"/>
        <v>0</v>
      </c>
      <c r="AX101" s="164">
        <f t="shared" ca="1" si="157"/>
        <v>0</v>
      </c>
      <c r="AY101" s="164">
        <f t="shared" ca="1" si="158"/>
        <v>0</v>
      </c>
      <c r="AZ101" s="164">
        <f t="shared" ca="1" si="159"/>
        <v>0</v>
      </c>
      <c r="BA101" s="166">
        <f t="shared" ca="1" si="160"/>
        <v>0</v>
      </c>
      <c r="BB101" s="170">
        <v>27</v>
      </c>
      <c r="BC101" s="530">
        <f t="shared" si="161"/>
        <v>43769.020833333096</v>
      </c>
      <c r="BD101" s="233">
        <f t="shared" ca="1" si="162"/>
        <v>5295</v>
      </c>
      <c r="BE101" s="352"/>
      <c r="BF101" s="345"/>
      <c r="BG101" s="345"/>
      <c r="BH101" s="345"/>
      <c r="BI101" s="345"/>
      <c r="BJ101" s="345"/>
      <c r="BK101" s="345"/>
      <c r="BL101" s="353"/>
      <c r="BN101" s="501">
        <f>Construction!BM101/Construction!E101</f>
        <v>0</v>
      </c>
      <c r="BO101" s="171">
        <f>Construction!BD101/Construction!E101</f>
        <v>0</v>
      </c>
      <c r="BP101" s="152">
        <f ca="1">ROUNDUP((1-MIN(AB101*smithy_bonus,smithy_bonus_cap)-AC101)*(1+Techs!AO101*tech_master_of_frugality)*spec_op_plat,0)</f>
        <v>275</v>
      </c>
      <c r="BQ101" s="164">
        <f ca="1">ROUNDUP(IF(OR(race="Gnome",race="Imperial Gnome"),1-AC101,(1-MIN(AB101*smithy_bonus,smithy_bonus_cap)-AC101)*(1+Techs!AO101*tech_master_of_frugality))*spec_op_ore,0)</f>
        <v>25</v>
      </c>
      <c r="BR101" s="164">
        <f t="shared" si="116"/>
        <v>0</v>
      </c>
      <c r="BS101" s="164">
        <f t="shared" si="117"/>
        <v>0</v>
      </c>
      <c r="BT101" s="164">
        <f ca="1">ROUNDUP((1-MIN(AB101*smithy_bonus,smithy_bonus_cap)-AC101)*(1+Techs!AO101*tech_master_of_frugality)*spec_dp_plat,0)</f>
        <v>275</v>
      </c>
      <c r="BU101" s="164">
        <f ca="1">ROUNDUP(IF(OR(race="Gnome",race="Imperial Gnome"),1-AC101,(1-MIN(AB101*smithy_bonus,smithy_bonus_cap)-AC101)*(1+Techs!AO101*tech_master_of_frugality))*spec_dp_ore,0)</f>
        <v>10</v>
      </c>
      <c r="BV101" s="164">
        <f t="shared" ca="1" si="118"/>
        <v>0</v>
      </c>
      <c r="BW101" s="164">
        <f t="shared" ca="1" si="119"/>
        <v>0</v>
      </c>
      <c r="BX101" s="164">
        <f t="shared" ca="1" si="120"/>
        <v>0</v>
      </c>
      <c r="BY101" s="164">
        <f ca="1">ROUNDUP((1-MIN(AB101*smithy_bonus,smithy_bonus_cap)-AC101)*(1+Techs!AO101*tech_master_of_frugality)*elite1_plat,0)</f>
        <v>1000</v>
      </c>
      <c r="BZ101" s="164">
        <f ca="1">ROUNDUP(IF(OR(race="Gnome",race="Imperial Gnome"),1-AC101,(1-MIN(AB101*smithy_bonus,smithy_bonus_cap)-AC101)*(1+Techs!AO101*tech_master_of_frugality))*elite1_ore,0)</f>
        <v>75</v>
      </c>
      <c r="CA101" s="164">
        <f t="shared" ca="1" si="163"/>
        <v>0</v>
      </c>
      <c r="CB101" s="164">
        <f t="shared" ca="1" si="121"/>
        <v>0</v>
      </c>
      <c r="CC101" s="164">
        <f t="shared" ca="1" si="122"/>
        <v>0</v>
      </c>
      <c r="CD101" s="164">
        <f t="shared" ca="1" si="123"/>
        <v>0</v>
      </c>
      <c r="CE101" s="164">
        <f t="shared" ca="1" si="124"/>
        <v>0</v>
      </c>
      <c r="CF101" s="164">
        <f ca="1">ROUNDUP((1-MIN(AB101*smithy_bonus,smithy_bonus_cap)-AC101)*(1+Techs!AO101*tech_master_of_frugality)*elite2_plat,0)</f>
        <v>1250</v>
      </c>
      <c r="CG101" s="164">
        <f ca="1">ROUNDUP(IF(OR(race="Gnome",race="Imperial Gnome"),1-AC101,(1-MIN(AB101*smithy_bonus,smithy_bonus_cap)-AC101)*(1+Techs!AO101*tech_master_of_frugality))*elite2_ore,0)</f>
        <v>100</v>
      </c>
      <c r="CH101" s="164">
        <f t="shared" ca="1" si="164"/>
        <v>0</v>
      </c>
      <c r="CI101" s="164">
        <f t="shared" ca="1" si="125"/>
        <v>0</v>
      </c>
      <c r="CJ101" s="164">
        <f t="shared" ca="1" si="126"/>
        <v>0</v>
      </c>
      <c r="CK101" s="164">
        <f t="shared" ca="1" si="127"/>
        <v>0</v>
      </c>
      <c r="CL101" s="164">
        <f t="shared" ca="1" si="128"/>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0">
        <f ca="1">Construction!DF101/Construction!E101</f>
        <v>0.15</v>
      </c>
      <c r="CR101" s="461">
        <f t="shared" si="165"/>
        <v>0</v>
      </c>
      <c r="CS101" s="461">
        <f>Construction!BK101/Construction!E101</f>
        <v>0.05</v>
      </c>
      <c r="CT101" s="461">
        <f>Construction!BJ101/Construction!E101</f>
        <v>0</v>
      </c>
      <c r="CU101" s="461">
        <f>Construction!AY101/Construction!E101</f>
        <v>0</v>
      </c>
      <c r="CV101" s="480">
        <f t="shared" ca="1" si="183"/>
        <v>0.74999999999999989</v>
      </c>
      <c r="CW101" s="481">
        <f t="shared" ca="1" si="184"/>
        <v>0.74999999999999989</v>
      </c>
      <c r="CX101" s="481">
        <f t="shared" ca="1" si="185"/>
        <v>0.74999999999999989</v>
      </c>
      <c r="CY101" s="482">
        <f t="shared" ca="1" si="186"/>
        <v>0.74999999999999989</v>
      </c>
      <c r="CZ101" s="482">
        <f t="shared" si="187"/>
        <v>0</v>
      </c>
      <c r="DA101" s="482">
        <f t="shared" ca="1" si="188"/>
        <v>2.9999999999999996</v>
      </c>
      <c r="DB101" s="482">
        <f t="shared" ca="1" si="189"/>
        <v>0.74999999999999989</v>
      </c>
      <c r="DC101" s="481">
        <f t="shared" si="190"/>
        <v>0</v>
      </c>
      <c r="DD101" s="842">
        <f t="shared" si="191"/>
        <v>0</v>
      </c>
      <c r="DE101" s="439">
        <f t="shared" si="166"/>
        <v>0</v>
      </c>
      <c r="DF101" s="439">
        <f t="shared" si="167"/>
        <v>0</v>
      </c>
      <c r="DG101" s="480">
        <f t="shared" ca="1" si="192"/>
        <v>0.74999999999999989</v>
      </c>
      <c r="DH101" s="449">
        <f t="shared" si="193"/>
        <v>0</v>
      </c>
      <c r="DI101" s="449">
        <f>MIN(valkyrja_cap,Production!O101/valkyrja_bonus)</f>
        <v>1</v>
      </c>
      <c r="DJ101" s="842">
        <f>MIN(voodoo_magi_cap,Production!O101/voodoo_magi_bonus)</f>
        <v>0.83333333333333337</v>
      </c>
      <c r="DK101" s="842">
        <f>MIN(warlock_cap,Production!O101/warlock_bonus)</f>
        <v>1</v>
      </c>
      <c r="DL101" s="842">
        <f ca="1">MIN(nox_nightshade_cap,Construction!DF101/Construction!E101/nox_nightshade_swamp_bonus)</f>
        <v>1.4999999999999998</v>
      </c>
      <c r="DM101" s="481">
        <f t="shared" si="194"/>
        <v>0</v>
      </c>
      <c r="DN101" s="482">
        <f t="shared" ca="1" si="195"/>
        <v>1.4999999999999998</v>
      </c>
      <c r="DO101" s="482">
        <f t="shared" ca="1" si="196"/>
        <v>1.4999999999999998</v>
      </c>
      <c r="DP101" s="482">
        <f t="shared" si="197"/>
        <v>1</v>
      </c>
      <c r="DQ101" s="481">
        <f t="shared" si="198"/>
        <v>0</v>
      </c>
      <c r="DR101" s="482">
        <f t="shared" si="199"/>
        <v>0</v>
      </c>
      <c r="DS101" s="481">
        <f t="shared" si="200"/>
        <v>0</v>
      </c>
      <c r="DT101" s="482">
        <f t="shared" si="201"/>
        <v>0</v>
      </c>
      <c r="DX101" s="480">
        <f ca="1">MIN(6,CV101+Races!$F$19)*1.8 +  IF(CV101+Races!$F$19&gt;6,(CV101+Races!$F$19-6)*0.2,0) - Races!$N$19</f>
        <v>1.3500000000000005</v>
      </c>
      <c r="DY101" s="481">
        <f ca="1">1.8 * MIN(MAX(CW101+Races!$E$20,CX101+Races!$F$20),6)  +  0.45 * MIN(MIN(CW101+Races!$E$20,CX101+Races!$F$20),6)  +  0.2 * ( MAX(CW101+Races!$E$20-6,0) + MAX(CX101+Races!$F$20-6,0) )  -  Races!$N$20</f>
        <v>1.6874999999999991</v>
      </c>
      <c r="DZ101" s="166">
        <f t="shared" ca="1" si="202"/>
        <v>0</v>
      </c>
      <c r="EA101" s="662">
        <f ca="1">MIN(6,CY101+Races!$F$35)*1.8 +  IF(CY101+Races!$F$35&gt;6,(CY101+Races!$F$35-6)*0.2,0) - Races!$N$19</f>
        <v>-0.45000000000000018</v>
      </c>
      <c r="EB101" s="166">
        <f t="shared" ca="1" si="203"/>
        <v>0</v>
      </c>
      <c r="EC101" s="662">
        <f ca="1">1.8 * MIN(MAX(Races!$E$27,DB101+Races!$F$27),6)  +  0.45 * MIN(MIN(Races!$E$27,DB101+Races!$F$27),6)  +  0.2 * ( MAX(Races!$E$27-6,0) + MAX(DB101+Races!$F$27-6,0) )  -  Races!$N$20</f>
        <v>3.6000000000000005</v>
      </c>
      <c r="ED101" s="166">
        <f t="shared" ca="1" si="204"/>
        <v>0</v>
      </c>
      <c r="EE101" s="662">
        <f>1.8 * MIN(MAX(DC101+Races!$E$47,DD101+Races!$F$47),6)  +  0.45 * MIN(MIN(DC101+Races!$E$47,DD101+Races!$F$47),6)  +  0.2 * ( MAX(DC101+Races!$E$47-6,0) + MAX(DD101+Races!$F$47-6,0) )  -  Races!$N$47</f>
        <v>0</v>
      </c>
      <c r="EF101" s="166">
        <f t="shared" si="205"/>
        <v>0</v>
      </c>
      <c r="EG101" s="662">
        <f ca="1">1.8 * MIN(MAX(DG101+Races!$F$71,Races!$E$71),6)  +  0.45 * MIN(MIN(DG101+Races!$F$71,Races!$E$71),6)  +  0.2 * ( MAX(DG101+Races!$F$71-6,0) + MAX(Races!$E$71-6,0) )  -  Races!$N$71</f>
        <v>1.3499999999999996</v>
      </c>
      <c r="EH101" s="662">
        <f>1.8 * MIN(MAX(DH101+Races!$E$71,Races!$F$71),6)  +  0.45 * MIN(MIN(DH101+Races!$E$71,Races!$F$71),6)  +  0.2 * ( MAX(DH101+Races!$E$71-6,0) + MAX(Races!$F$71-6,0) )  -  Races!$N$71</f>
        <v>0</v>
      </c>
      <c r="EI101" s="166">
        <f t="shared" ca="1" si="206"/>
        <v>0</v>
      </c>
      <c r="EJ101" s="166"/>
      <c r="EK101" s="166"/>
      <c r="EL101" s="166"/>
      <c r="EM101" s="166">
        <f ca="1">Overview!$L$22*E101+Overview!$L$23*F101+Overview!$L$24*G101+Overview!$L$25*H101+Overview!$L$26*I101+Overview!$L$27*J101+Overview!$L$28*K101+Construction!E101*20+Construction!B101*5 + DZ101*$DV$4+EB101*$DV$5+ED101*$DV$6+EF101*$DV$7+EI101*$DV$9</f>
        <v>20900</v>
      </c>
      <c r="EO101" s="733">
        <f>(J101+2*K101)/Construction!E101</f>
        <v>0</v>
      </c>
      <c r="EP101" s="730">
        <f ca="1">EO101*(1+race_wizard_strength+tech_magical_weaponry_wiz*Techs!AV173)</f>
        <v>0</v>
      </c>
      <c r="EQ101" s="170">
        <f>(I101+halfer*H101/3)/Construction!E101</f>
        <v>0</v>
      </c>
    </row>
    <row r="102" spans="1:147" s="16" customFormat="1" x14ac:dyDescent="0.25">
      <c r="A102" s="627">
        <f>Rezone!J102</f>
        <v>100</v>
      </c>
      <c r="B102" s="56">
        <f ca="1">SUM(E102:K102)+SUM(AF94:AG102)+SUM(AH91:AL102)+Z102+Explore!AL102</f>
        <v>5295</v>
      </c>
      <c r="C102" s="97">
        <f ca="1">Population!G102</f>
        <v>0.74159663865546221</v>
      </c>
      <c r="E102" s="52">
        <f t="shared" si="169"/>
        <v>0</v>
      </c>
      <c r="F102" s="16">
        <f t="shared" si="170"/>
        <v>0</v>
      </c>
      <c r="G102" s="16">
        <f t="shared" si="171"/>
        <v>0</v>
      </c>
      <c r="H102" s="16">
        <f t="shared" si="172"/>
        <v>0</v>
      </c>
      <c r="I102" s="16">
        <f t="shared" si="173"/>
        <v>0</v>
      </c>
      <c r="J102" s="16">
        <f t="shared" si="174"/>
        <v>0</v>
      </c>
      <c r="K102" s="53">
        <f t="shared" si="175"/>
        <v>0</v>
      </c>
      <c r="M102" s="64">
        <f ca="1">Production!G102</f>
        <v>20900</v>
      </c>
      <c r="O102" s="234">
        <f t="shared" ca="1" si="179"/>
        <v>0</v>
      </c>
      <c r="P102" s="454">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53"/>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80"/>
        <v>5295</v>
      </c>
      <c r="T102" s="1047">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1">
        <f t="shared" ca="1" si="154"/>
        <v>0</v>
      </c>
      <c r="V102" s="308">
        <f t="shared" ca="1" si="155"/>
        <v>5295</v>
      </c>
      <c r="W102" s="310">
        <f>Construction!E102</f>
        <v>1000</v>
      </c>
      <c r="X102" s="367"/>
      <c r="Y102" s="146">
        <f t="shared" si="178"/>
        <v>0.4</v>
      </c>
      <c r="Z102" s="166">
        <f ca="1">Z101+Population!Z101 - IF(race="Lux",AF102,SUM(AF102:AK102)) - BE102 + SUM(BF102:BL102) - Explore!AI102</f>
        <v>5295</v>
      </c>
      <c r="AA102" s="164"/>
      <c r="AB102" s="91">
        <f>(Construction!$BA102+Construction!BY102)/(Construction!$E102-Explore!S102*20)</f>
        <v>0</v>
      </c>
      <c r="AC102" s="1516">
        <f ca="1">Imps!AE102</f>
        <v>0</v>
      </c>
      <c r="AD102" s="795">
        <f>Rezone!J102</f>
        <v>100</v>
      </c>
      <c r="AE102" s="587">
        <f>Explore!AA102</f>
        <v>43769.03124999976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81"/>
        <v>0</v>
      </c>
      <c r="AV102" s="164">
        <f t="shared" ca="1" si="182"/>
        <v>0</v>
      </c>
      <c r="AW102" s="164">
        <f t="shared" ca="1" si="156"/>
        <v>0</v>
      </c>
      <c r="AX102" s="164">
        <f t="shared" ca="1" si="157"/>
        <v>0</v>
      </c>
      <c r="AY102" s="164">
        <f t="shared" ca="1" si="158"/>
        <v>0</v>
      </c>
      <c r="AZ102" s="164">
        <f t="shared" ca="1" si="159"/>
        <v>0</v>
      </c>
      <c r="BA102" s="166">
        <f t="shared" ca="1" si="160"/>
        <v>0</v>
      </c>
      <c r="BB102" s="16">
        <v>28</v>
      </c>
      <c r="BC102" s="572">
        <f t="shared" si="161"/>
        <v>43769.03124999976</v>
      </c>
      <c r="BD102" s="148">
        <f t="shared" ca="1" si="162"/>
        <v>5295</v>
      </c>
      <c r="BE102" s="356"/>
      <c r="BF102" s="348"/>
      <c r="BG102" s="348"/>
      <c r="BH102" s="348"/>
      <c r="BI102" s="348"/>
      <c r="BJ102" s="348"/>
      <c r="BK102" s="348"/>
      <c r="BL102" s="357"/>
      <c r="BN102" s="501">
        <f>Construction!BM102/Construction!E102</f>
        <v>0</v>
      </c>
      <c r="BO102" s="171">
        <f>Construction!BD102/Construction!E102</f>
        <v>0</v>
      </c>
      <c r="BP102" s="152">
        <f ca="1">ROUNDUP((1-MIN(AB102*smithy_bonus,smithy_bonus_cap)-AC102)*(1+Techs!AO102*tech_master_of_frugality)*spec_op_plat,0)</f>
        <v>275</v>
      </c>
      <c r="BQ102" s="164">
        <f ca="1">ROUNDUP(IF(OR(race="Gnome",race="Imperial Gnome"),1-AC102,(1-MIN(AB102*smithy_bonus,smithy_bonus_cap)-AC102)*(1+Techs!AO102*tech_master_of_frugality))*spec_op_ore,0)</f>
        <v>25</v>
      </c>
      <c r="BR102" s="164">
        <f t="shared" si="116"/>
        <v>0</v>
      </c>
      <c r="BS102" s="164">
        <f t="shared" si="117"/>
        <v>0</v>
      </c>
      <c r="BT102" s="164">
        <f ca="1">ROUNDUP((1-MIN(AB102*smithy_bonus,smithy_bonus_cap)-AC102)*(1+Techs!AO102*tech_master_of_frugality)*spec_dp_plat,0)</f>
        <v>275</v>
      </c>
      <c r="BU102" s="164">
        <f ca="1">ROUNDUP(IF(OR(race="Gnome",race="Imperial Gnome"),1-AC102,(1-MIN(AB102*smithy_bonus,smithy_bonus_cap)-AC102)*(1+Techs!AO102*tech_master_of_frugality))*spec_dp_ore,0)</f>
        <v>10</v>
      </c>
      <c r="BV102" s="164">
        <f t="shared" ca="1" si="118"/>
        <v>0</v>
      </c>
      <c r="BW102" s="164">
        <f t="shared" ca="1" si="119"/>
        <v>0</v>
      </c>
      <c r="BX102" s="164">
        <f t="shared" ca="1" si="120"/>
        <v>0</v>
      </c>
      <c r="BY102" s="164">
        <f ca="1">ROUNDUP((1-MIN(AB102*smithy_bonus,smithy_bonus_cap)-AC102)*(1+Techs!AO102*tech_master_of_frugality)*elite1_plat,0)</f>
        <v>1000</v>
      </c>
      <c r="BZ102" s="164">
        <f ca="1">ROUNDUP(IF(OR(race="Gnome",race="Imperial Gnome"),1-AC102,(1-MIN(AB102*smithy_bonus,smithy_bonus_cap)-AC102)*(1+Techs!AO102*tech_master_of_frugality))*elite1_ore,0)</f>
        <v>75</v>
      </c>
      <c r="CA102" s="164">
        <f t="shared" ca="1" si="163"/>
        <v>0</v>
      </c>
      <c r="CB102" s="164">
        <f t="shared" ca="1" si="121"/>
        <v>0</v>
      </c>
      <c r="CC102" s="164">
        <f t="shared" ca="1" si="122"/>
        <v>0</v>
      </c>
      <c r="CD102" s="164">
        <f t="shared" ca="1" si="123"/>
        <v>0</v>
      </c>
      <c r="CE102" s="164">
        <f t="shared" ca="1" si="124"/>
        <v>0</v>
      </c>
      <c r="CF102" s="164">
        <f ca="1">ROUNDUP((1-MIN(AB102*smithy_bonus,smithy_bonus_cap)-AC102)*(1+Techs!AO102*tech_master_of_frugality)*elite2_plat,0)</f>
        <v>1250</v>
      </c>
      <c r="CG102" s="164">
        <f ca="1">ROUNDUP(IF(OR(race="Gnome",race="Imperial Gnome"),1-AC102,(1-MIN(AB102*smithy_bonus,smithy_bonus_cap)-AC102)*(1+Techs!AO102*tech_master_of_frugality))*elite2_ore,0)</f>
        <v>100</v>
      </c>
      <c r="CH102" s="164">
        <f t="shared" ca="1" si="164"/>
        <v>0</v>
      </c>
      <c r="CI102" s="164">
        <f t="shared" ca="1" si="125"/>
        <v>0</v>
      </c>
      <c r="CJ102" s="164">
        <f t="shared" ca="1" si="126"/>
        <v>0</v>
      </c>
      <c r="CK102" s="164">
        <f t="shared" ca="1" si="127"/>
        <v>0</v>
      </c>
      <c r="CL102" s="164">
        <f t="shared" ca="1" si="128"/>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4">
        <f ca="1">Construction!DF102/Construction!E102</f>
        <v>0.15</v>
      </c>
      <c r="CR102" s="465">
        <f t="shared" si="165"/>
        <v>0</v>
      </c>
      <c r="CS102" s="465">
        <f>Construction!BK102/Construction!E102</f>
        <v>0.05</v>
      </c>
      <c r="CT102" s="465">
        <f>Construction!BJ102/Construction!E102</f>
        <v>0</v>
      </c>
      <c r="CU102" s="465">
        <f>Construction!AY102/Construction!E102</f>
        <v>0</v>
      </c>
      <c r="CV102" s="480">
        <f t="shared" ca="1" si="183"/>
        <v>0.74999999999999989</v>
      </c>
      <c r="CW102" s="481">
        <f t="shared" ca="1" si="184"/>
        <v>0.74999999999999989</v>
      </c>
      <c r="CX102" s="481">
        <f t="shared" ca="1" si="185"/>
        <v>0.74999999999999989</v>
      </c>
      <c r="CY102" s="482">
        <f t="shared" ca="1" si="186"/>
        <v>0.74999999999999989</v>
      </c>
      <c r="CZ102" s="482">
        <f t="shared" si="187"/>
        <v>0</v>
      </c>
      <c r="DA102" s="482">
        <f t="shared" ca="1" si="188"/>
        <v>2.9999999999999996</v>
      </c>
      <c r="DB102" s="482">
        <f t="shared" ca="1" si="189"/>
        <v>0.74999999999999989</v>
      </c>
      <c r="DC102" s="481">
        <f t="shared" si="190"/>
        <v>0</v>
      </c>
      <c r="DD102" s="842">
        <f t="shared" si="191"/>
        <v>0</v>
      </c>
      <c r="DE102" s="439">
        <f t="shared" si="166"/>
        <v>0</v>
      </c>
      <c r="DF102" s="439">
        <f t="shared" si="167"/>
        <v>0</v>
      </c>
      <c r="DG102" s="480">
        <f t="shared" ca="1" si="192"/>
        <v>0.74999999999999989</v>
      </c>
      <c r="DH102" s="449">
        <f t="shared" si="193"/>
        <v>0</v>
      </c>
      <c r="DI102" s="449">
        <f>MIN(valkyrja_cap,Production!O102/valkyrja_bonus)</f>
        <v>1</v>
      </c>
      <c r="DJ102" s="842">
        <f>MIN(voodoo_magi_cap,Production!O102/voodoo_magi_bonus)</f>
        <v>0.83333333333333337</v>
      </c>
      <c r="DK102" s="842">
        <f>MIN(warlock_cap,Production!O102/warlock_bonus)</f>
        <v>1</v>
      </c>
      <c r="DL102" s="842">
        <f ca="1">MIN(nox_nightshade_cap,Construction!DF102/Construction!E102/nox_nightshade_swamp_bonus)</f>
        <v>1.4999999999999998</v>
      </c>
      <c r="DM102" s="481">
        <f t="shared" si="194"/>
        <v>0</v>
      </c>
      <c r="DN102" s="482">
        <f t="shared" ca="1" si="195"/>
        <v>1.4999999999999998</v>
      </c>
      <c r="DO102" s="482">
        <f t="shared" ca="1" si="196"/>
        <v>1.4999999999999998</v>
      </c>
      <c r="DP102" s="482">
        <f t="shared" si="197"/>
        <v>1</v>
      </c>
      <c r="DQ102" s="481">
        <f t="shared" si="198"/>
        <v>0</v>
      </c>
      <c r="DR102" s="482">
        <f t="shared" si="199"/>
        <v>0</v>
      </c>
      <c r="DS102" s="481">
        <f t="shared" si="200"/>
        <v>0</v>
      </c>
      <c r="DT102" s="482">
        <f t="shared" si="201"/>
        <v>0</v>
      </c>
      <c r="DX102" s="486">
        <f ca="1">MIN(6,CV102+Races!$F$19)*1.8 +  IF(CV102+Races!$F$19&gt;6,(CV102+Races!$F$19-6)*0.2,0) - Races!$N$19</f>
        <v>1.3500000000000005</v>
      </c>
      <c r="DY102" s="487">
        <f ca="1">1.8 * MIN(MAX(CW102+Races!$E$20,CX102+Races!$F$20),6)  +  0.45 * MIN(MIN(CW102+Races!$E$20,CX102+Races!$F$20),6)  +  0.2 * ( MAX(CW102+Races!$E$20-6,0) + MAX(CX102+Races!$F$20-6,0) )  -  Races!$N$20</f>
        <v>1.6874999999999991</v>
      </c>
      <c r="DZ102" s="57">
        <f t="shared" ca="1" si="202"/>
        <v>0</v>
      </c>
      <c r="EA102" s="663">
        <f ca="1">MIN(6,CY102+Races!$F$35)*1.8 +  IF(CY102+Races!$F$35&gt;6,(CY102+Races!$F$35-6)*0.2,0) - Races!$N$19</f>
        <v>-0.45000000000000018</v>
      </c>
      <c r="EB102" s="57">
        <f t="shared" ca="1" si="203"/>
        <v>0</v>
      </c>
      <c r="EC102" s="663">
        <f ca="1">1.8 * MIN(MAX(Races!$E$27,DB102+Races!$F$27),6)  +  0.45 * MIN(MIN(Races!$E$27,DB102+Races!$F$27),6)  +  0.2 * ( MAX(Races!$E$27-6,0) + MAX(DB102+Races!$F$27-6,0) )  -  Races!$N$20</f>
        <v>3.6000000000000005</v>
      </c>
      <c r="ED102" s="57">
        <f t="shared" ca="1" si="204"/>
        <v>0</v>
      </c>
      <c r="EE102" s="663">
        <f>1.8 * MIN(MAX(DC102+Races!$E$47,DD102+Races!$F$47),6)  +  0.45 * MIN(MIN(DC102+Races!$E$47,DD102+Races!$F$47),6)  +  0.2 * ( MAX(DC102+Races!$E$47-6,0) + MAX(DD102+Races!$F$47-6,0) )  -  Races!$N$47</f>
        <v>0</v>
      </c>
      <c r="EF102" s="57">
        <f t="shared" si="205"/>
        <v>0</v>
      </c>
      <c r="EG102" s="663">
        <f ca="1">1.8 * MIN(MAX(DG102+Races!$F$71,Races!$E$71),6)  +  0.45 * MIN(MIN(DG102+Races!$F$71,Races!$E$71),6)  +  0.2 * ( MAX(DG102+Races!$F$71-6,0) + MAX(Races!$E$71-6,0) )  -  Races!$N$71</f>
        <v>1.3499999999999996</v>
      </c>
      <c r="EH102" s="663">
        <f>1.8 * MIN(MAX(DH102+Races!$E$71,Races!$F$71),6)  +  0.45 * MIN(MIN(DH102+Races!$E$71,Races!$F$71),6)  +  0.2 * ( MAX(DH102+Races!$E$71-6,0) + MAX(Races!$F$71-6,0) )  -  Races!$N$71</f>
        <v>0</v>
      </c>
      <c r="EI102" s="57">
        <f t="shared" ca="1" si="206"/>
        <v>0</v>
      </c>
      <c r="EJ102" s="57"/>
      <c r="EK102" s="57"/>
      <c r="EL102" s="57"/>
      <c r="EM102" s="57">
        <f ca="1">Overview!$L$22*E102+Overview!$L$23*F102+Overview!$L$24*G102+Overview!$L$25*H102+Overview!$L$26*I102+Overview!$L$27*J102+Overview!$L$28*K102+Construction!E102*20+Construction!B102*5 + DZ102*$DV$4+EB102*$DV$5+ED102*$DV$6+EF102*$DV$7+EI102*$DV$9</f>
        <v>20900</v>
      </c>
      <c r="EO102" s="734">
        <f>(J102+2*K102)/Construction!E102</f>
        <v>0</v>
      </c>
      <c r="EP102" s="730">
        <f ca="1">EO102*(1+race_wizard_strength+tech_magical_weaponry_wiz*Techs!AV174)</f>
        <v>0</v>
      </c>
      <c r="EQ102" s="16">
        <f>(I102+halfer*H102/3)/Construction!E102</f>
        <v>0</v>
      </c>
    </row>
    <row r="103" spans="1:147" s="16" customFormat="1" x14ac:dyDescent="0.25">
      <c r="A103" s="627">
        <f>Rezone!J103</f>
        <v>101</v>
      </c>
      <c r="B103" s="56">
        <f ca="1">SUM(E103:K103)+SUM(AF95:AG103)+SUM(AH92:AL103)+Z103+Explore!AL103</f>
        <v>5295</v>
      </c>
      <c r="C103" s="97">
        <f ca="1">Population!G103</f>
        <v>0.74159663865546221</v>
      </c>
      <c r="E103" s="52">
        <f t="shared" si="169"/>
        <v>0</v>
      </c>
      <c r="F103" s="16">
        <f t="shared" si="170"/>
        <v>0</v>
      </c>
      <c r="G103" s="16">
        <f t="shared" si="171"/>
        <v>0</v>
      </c>
      <c r="H103" s="16">
        <f t="shared" si="172"/>
        <v>0</v>
      </c>
      <c r="I103" s="16">
        <f t="shared" si="173"/>
        <v>0</v>
      </c>
      <c r="J103" s="16">
        <f t="shared" si="174"/>
        <v>0</v>
      </c>
      <c r="K103" s="53">
        <f t="shared" si="175"/>
        <v>0</v>
      </c>
      <c r="M103" s="64">
        <f ca="1">Production!G103</f>
        <v>20900</v>
      </c>
      <c r="O103" s="234">
        <f t="shared" ca="1" si="179"/>
        <v>0</v>
      </c>
      <c r="P103" s="454">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53"/>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80"/>
        <v>5295</v>
      </c>
      <c r="T103" s="1047">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1">
        <f t="shared" ca="1" si="154"/>
        <v>0</v>
      </c>
      <c r="V103" s="308">
        <f t="shared" ca="1" si="155"/>
        <v>5295</v>
      </c>
      <c r="W103" s="310">
        <f>Construction!E103</f>
        <v>1000</v>
      </c>
      <c r="X103" s="367"/>
      <c r="Y103" s="146">
        <f t="shared" si="178"/>
        <v>0.4</v>
      </c>
      <c r="Z103" s="166">
        <f ca="1">Z102+Population!Z102 - IF(race="Lux",AF103,SUM(AF103:AK103)) - BE103 + SUM(BF103:BL103) - Explore!AI103</f>
        <v>5295</v>
      </c>
      <c r="AA103" s="164"/>
      <c r="AB103" s="91">
        <f>(Construction!$BA103+Construction!BY103)/(Construction!$E103-Explore!S103*20)</f>
        <v>0</v>
      </c>
      <c r="AC103" s="1516">
        <f ca="1">Imps!AE103</f>
        <v>0</v>
      </c>
      <c r="AD103" s="795">
        <f>Rezone!J103</f>
        <v>101</v>
      </c>
      <c r="AE103" s="587">
        <f>Explore!AA103</f>
        <v>43769.041666666424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81"/>
        <v>0</v>
      </c>
      <c r="AV103" s="164">
        <f t="shared" ca="1" si="182"/>
        <v>0</v>
      </c>
      <c r="AW103" s="164">
        <f t="shared" ca="1" si="156"/>
        <v>0</v>
      </c>
      <c r="AX103" s="164">
        <f t="shared" ca="1" si="157"/>
        <v>0</v>
      </c>
      <c r="AY103" s="164">
        <f t="shared" ca="1" si="158"/>
        <v>0</v>
      </c>
      <c r="AZ103" s="164">
        <f t="shared" ca="1" si="159"/>
        <v>0</v>
      </c>
      <c r="BA103" s="166">
        <f t="shared" ca="1" si="160"/>
        <v>0</v>
      </c>
      <c r="BB103" s="16">
        <v>29</v>
      </c>
      <c r="BC103" s="572">
        <f t="shared" si="161"/>
        <v>43769.041666666424</v>
      </c>
      <c r="BD103" s="148">
        <f t="shared" ca="1" si="162"/>
        <v>5295</v>
      </c>
      <c r="BE103" s="356"/>
      <c r="BF103" s="348"/>
      <c r="BG103" s="348"/>
      <c r="BH103" s="348"/>
      <c r="BI103" s="348"/>
      <c r="BJ103" s="348"/>
      <c r="BK103" s="348"/>
      <c r="BL103" s="357"/>
      <c r="BN103" s="501">
        <f>Construction!BM103/Construction!E103</f>
        <v>0</v>
      </c>
      <c r="BO103" s="171">
        <f>Construction!BD103/Construction!E103</f>
        <v>0</v>
      </c>
      <c r="BP103" s="152">
        <f ca="1">ROUNDUP((1-MIN(AB103*smithy_bonus,smithy_bonus_cap)-AC103)*(1+Techs!AO103*tech_master_of_frugality)*spec_op_plat,0)</f>
        <v>275</v>
      </c>
      <c r="BQ103" s="164">
        <f ca="1">ROUNDUP(IF(OR(race="Gnome",race="Imperial Gnome"),1-AC103,(1-MIN(AB103*smithy_bonus,smithy_bonus_cap)-AC103)*(1+Techs!AO103*tech_master_of_frugality))*spec_op_ore,0)</f>
        <v>25</v>
      </c>
      <c r="BR103" s="164">
        <f t="shared" si="116"/>
        <v>0</v>
      </c>
      <c r="BS103" s="164">
        <f t="shared" si="117"/>
        <v>0</v>
      </c>
      <c r="BT103" s="164">
        <f ca="1">ROUNDUP((1-MIN(AB103*smithy_bonus,smithy_bonus_cap)-AC103)*(1+Techs!AO103*tech_master_of_frugality)*spec_dp_plat,0)</f>
        <v>275</v>
      </c>
      <c r="BU103" s="164">
        <f ca="1">ROUNDUP(IF(OR(race="Gnome",race="Imperial Gnome"),1-AC103,(1-MIN(AB103*smithy_bonus,smithy_bonus_cap)-AC103)*(1+Techs!AO103*tech_master_of_frugality))*spec_dp_ore,0)</f>
        <v>10</v>
      </c>
      <c r="BV103" s="164">
        <f t="shared" ca="1" si="118"/>
        <v>0</v>
      </c>
      <c r="BW103" s="164">
        <f t="shared" ca="1" si="119"/>
        <v>0</v>
      </c>
      <c r="BX103" s="164">
        <f t="shared" ca="1" si="120"/>
        <v>0</v>
      </c>
      <c r="BY103" s="164">
        <f ca="1">ROUNDUP((1-MIN(AB103*smithy_bonus,smithy_bonus_cap)-AC103)*(1+Techs!AO103*tech_master_of_frugality)*elite1_plat,0)</f>
        <v>1000</v>
      </c>
      <c r="BZ103" s="164">
        <f ca="1">ROUNDUP(IF(OR(race="Gnome",race="Imperial Gnome"),1-AC103,(1-MIN(AB103*smithy_bonus,smithy_bonus_cap)-AC103)*(1+Techs!AO103*tech_master_of_frugality))*elite1_ore,0)</f>
        <v>75</v>
      </c>
      <c r="CA103" s="164">
        <f t="shared" ca="1" si="163"/>
        <v>0</v>
      </c>
      <c r="CB103" s="164">
        <f t="shared" ca="1" si="121"/>
        <v>0</v>
      </c>
      <c r="CC103" s="164">
        <f t="shared" ca="1" si="122"/>
        <v>0</v>
      </c>
      <c r="CD103" s="164">
        <f t="shared" ca="1" si="123"/>
        <v>0</v>
      </c>
      <c r="CE103" s="164">
        <f t="shared" ca="1" si="124"/>
        <v>0</v>
      </c>
      <c r="CF103" s="164">
        <f ca="1">ROUNDUP((1-MIN(AB103*smithy_bonus,smithy_bonus_cap)-AC103)*(1+Techs!AO103*tech_master_of_frugality)*elite2_plat,0)</f>
        <v>1250</v>
      </c>
      <c r="CG103" s="164">
        <f ca="1">ROUNDUP(IF(OR(race="Gnome",race="Imperial Gnome"),1-AC103,(1-MIN(AB103*smithy_bonus,smithy_bonus_cap)-AC103)*(1+Techs!AO103*tech_master_of_frugality))*elite2_ore,0)</f>
        <v>100</v>
      </c>
      <c r="CH103" s="164">
        <f t="shared" ca="1" si="164"/>
        <v>0</v>
      </c>
      <c r="CI103" s="164">
        <f t="shared" ca="1" si="125"/>
        <v>0</v>
      </c>
      <c r="CJ103" s="164">
        <f t="shared" ca="1" si="126"/>
        <v>0</v>
      </c>
      <c r="CK103" s="164">
        <f t="shared" ca="1" si="127"/>
        <v>0</v>
      </c>
      <c r="CL103" s="164">
        <f t="shared" ca="1" si="128"/>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4">
        <f ca="1">Construction!DF103/Construction!E103</f>
        <v>0.15</v>
      </c>
      <c r="CR103" s="465">
        <f t="shared" si="165"/>
        <v>0</v>
      </c>
      <c r="CS103" s="465">
        <f>Construction!BK103/Construction!E103</f>
        <v>0.05</v>
      </c>
      <c r="CT103" s="465">
        <f>Construction!BJ103/Construction!E103</f>
        <v>0</v>
      </c>
      <c r="CU103" s="465">
        <f>Construction!AY103/Construction!E103</f>
        <v>0</v>
      </c>
      <c r="CV103" s="480">
        <f t="shared" ca="1" si="183"/>
        <v>0.74999999999999989</v>
      </c>
      <c r="CW103" s="481">
        <f t="shared" ca="1" si="184"/>
        <v>0.74999999999999989</v>
      </c>
      <c r="CX103" s="481">
        <f t="shared" ca="1" si="185"/>
        <v>0.74999999999999989</v>
      </c>
      <c r="CY103" s="482">
        <f t="shared" ca="1" si="186"/>
        <v>0.74999999999999989</v>
      </c>
      <c r="CZ103" s="482">
        <f t="shared" si="187"/>
        <v>0</v>
      </c>
      <c r="DA103" s="482">
        <f t="shared" ca="1" si="188"/>
        <v>2.9999999999999996</v>
      </c>
      <c r="DB103" s="482">
        <f t="shared" ca="1" si="189"/>
        <v>0.74999999999999989</v>
      </c>
      <c r="DC103" s="481">
        <f t="shared" si="190"/>
        <v>0</v>
      </c>
      <c r="DD103" s="842">
        <f t="shared" si="191"/>
        <v>0</v>
      </c>
      <c r="DE103" s="439">
        <f t="shared" si="166"/>
        <v>0</v>
      </c>
      <c r="DF103" s="439">
        <f t="shared" si="167"/>
        <v>0</v>
      </c>
      <c r="DG103" s="480">
        <f t="shared" ca="1" si="192"/>
        <v>0.74999999999999989</v>
      </c>
      <c r="DH103" s="449">
        <f t="shared" si="193"/>
        <v>0</v>
      </c>
      <c r="DI103" s="449">
        <f>MIN(valkyrja_cap,Production!O103/valkyrja_bonus)</f>
        <v>1</v>
      </c>
      <c r="DJ103" s="842">
        <f>MIN(voodoo_magi_cap,Production!O103/voodoo_magi_bonus)</f>
        <v>0.83333333333333337</v>
      </c>
      <c r="DK103" s="842">
        <f>MIN(warlock_cap,Production!O103/warlock_bonus)</f>
        <v>1</v>
      </c>
      <c r="DL103" s="842">
        <f ca="1">MIN(nox_nightshade_cap,Construction!DF103/Construction!E103/nox_nightshade_swamp_bonus)</f>
        <v>1.4999999999999998</v>
      </c>
      <c r="DM103" s="481">
        <f t="shared" si="194"/>
        <v>0</v>
      </c>
      <c r="DN103" s="482">
        <f t="shared" ca="1" si="195"/>
        <v>1.4999999999999998</v>
      </c>
      <c r="DO103" s="482">
        <f t="shared" ca="1" si="196"/>
        <v>1.4999999999999998</v>
      </c>
      <c r="DP103" s="482">
        <f t="shared" si="197"/>
        <v>1</v>
      </c>
      <c r="DQ103" s="481">
        <f t="shared" si="198"/>
        <v>0</v>
      </c>
      <c r="DR103" s="482">
        <f t="shared" si="199"/>
        <v>0</v>
      </c>
      <c r="DS103" s="481">
        <f t="shared" si="200"/>
        <v>0</v>
      </c>
      <c r="DT103" s="482">
        <f t="shared" si="201"/>
        <v>0</v>
      </c>
      <c r="DX103" s="486">
        <f ca="1">MIN(6,CV103+Races!$F$19)*1.8 +  IF(CV103+Races!$F$19&gt;6,(CV103+Races!$F$19-6)*0.2,0) - Races!$N$19</f>
        <v>1.3500000000000005</v>
      </c>
      <c r="DY103" s="487">
        <f ca="1">1.8 * MIN(MAX(CW103+Races!$E$20,CX103+Races!$F$20),6)  +  0.45 * MIN(MIN(CW103+Races!$E$20,CX103+Races!$F$20),6)  +  0.2 * ( MAX(CW103+Races!$E$20-6,0) + MAX(CX103+Races!$F$20-6,0) )  -  Races!$N$20</f>
        <v>1.6874999999999991</v>
      </c>
      <c r="DZ103" s="57">
        <f t="shared" ca="1" si="202"/>
        <v>0</v>
      </c>
      <c r="EA103" s="663">
        <f ca="1">MIN(6,CY103+Races!$F$35)*1.8 +  IF(CY103+Races!$F$35&gt;6,(CY103+Races!$F$35-6)*0.2,0) - Races!$N$19</f>
        <v>-0.45000000000000018</v>
      </c>
      <c r="EB103" s="57">
        <f t="shared" ca="1" si="203"/>
        <v>0</v>
      </c>
      <c r="EC103" s="663">
        <f ca="1">1.8 * MIN(MAX(Races!$E$27,DB103+Races!$F$27),6)  +  0.45 * MIN(MIN(Races!$E$27,DB103+Races!$F$27),6)  +  0.2 * ( MAX(Races!$E$27-6,0) + MAX(DB103+Races!$F$27-6,0) )  -  Races!$N$20</f>
        <v>3.6000000000000005</v>
      </c>
      <c r="ED103" s="57">
        <f t="shared" ca="1" si="204"/>
        <v>0</v>
      </c>
      <c r="EE103" s="663">
        <f>1.8 * MIN(MAX(DC103+Races!$E$47,DD103+Races!$F$47),6)  +  0.45 * MIN(MIN(DC103+Races!$E$47,DD103+Races!$F$47),6)  +  0.2 * ( MAX(DC103+Races!$E$47-6,0) + MAX(DD103+Races!$F$47-6,0) )  -  Races!$N$47</f>
        <v>0</v>
      </c>
      <c r="EF103" s="57">
        <f t="shared" si="205"/>
        <v>0</v>
      </c>
      <c r="EG103" s="663">
        <f ca="1">1.8 * MIN(MAX(DG103+Races!$F$71,Races!$E$71),6)  +  0.45 * MIN(MIN(DG103+Races!$F$71,Races!$E$71),6)  +  0.2 * ( MAX(DG103+Races!$F$71-6,0) + MAX(Races!$E$71-6,0) )  -  Races!$N$71</f>
        <v>1.3499999999999996</v>
      </c>
      <c r="EH103" s="663">
        <f>1.8 * MIN(MAX(DH103+Races!$E$71,Races!$F$71),6)  +  0.45 * MIN(MIN(DH103+Races!$E$71,Races!$F$71),6)  +  0.2 * ( MAX(DH103+Races!$E$71-6,0) + MAX(Races!$F$71-6,0) )  -  Races!$N$71</f>
        <v>0</v>
      </c>
      <c r="EI103" s="57">
        <f t="shared" ca="1" si="206"/>
        <v>0</v>
      </c>
      <c r="EJ103" s="57"/>
      <c r="EK103" s="57"/>
      <c r="EL103" s="57"/>
      <c r="EM103" s="57">
        <f ca="1">Overview!$L$22*E103+Overview!$L$23*F103+Overview!$L$24*G103+Overview!$L$25*H103+Overview!$L$26*I103+Overview!$L$27*J103+Overview!$L$28*K103+Construction!E103*20+Construction!B103*5 + DZ103*$DV$4+EB103*$DV$5+ED103*$DV$6+EF103*$DV$7+EI103*$DV$9</f>
        <v>20900</v>
      </c>
      <c r="EO103" s="734">
        <f>(J103+2*K103)/Construction!E103</f>
        <v>0</v>
      </c>
      <c r="EP103" s="730">
        <f ca="1">EO103*(1+race_wizard_strength+tech_magical_weaponry_wiz*Techs!AV175)</f>
        <v>0</v>
      </c>
      <c r="EQ103" s="16">
        <f>(I103+halfer*H103/3)/Construction!E103</f>
        <v>0</v>
      </c>
    </row>
    <row r="104" spans="1:147" s="16" customFormat="1" x14ac:dyDescent="0.25">
      <c r="A104" s="627">
        <f>Rezone!J104</f>
        <v>102</v>
      </c>
      <c r="B104" s="56">
        <f ca="1">SUM(E104:K104)+SUM(AF96:AG104)+SUM(AH93:AL104)+Z104+Explore!AL104</f>
        <v>5295</v>
      </c>
      <c r="C104" s="97">
        <f ca="1">Population!G104</f>
        <v>0.74159663865546221</v>
      </c>
      <c r="E104" s="52">
        <f t="shared" si="169"/>
        <v>0</v>
      </c>
      <c r="F104" s="16">
        <f t="shared" si="170"/>
        <v>0</v>
      </c>
      <c r="G104" s="16">
        <f t="shared" si="171"/>
        <v>0</v>
      </c>
      <c r="H104" s="16">
        <f t="shared" si="172"/>
        <v>0</v>
      </c>
      <c r="I104" s="16">
        <f t="shared" si="173"/>
        <v>0</v>
      </c>
      <c r="J104" s="16">
        <f t="shared" si="174"/>
        <v>0</v>
      </c>
      <c r="K104" s="53">
        <f t="shared" si="175"/>
        <v>0</v>
      </c>
      <c r="M104" s="64">
        <f ca="1">Production!G104</f>
        <v>20900</v>
      </c>
      <c r="O104" s="234">
        <f t="shared" ca="1" si="179"/>
        <v>0</v>
      </c>
      <c r="P104" s="454">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53"/>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80"/>
        <v>5295</v>
      </c>
      <c r="T104" s="1047">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1">
        <f t="shared" ca="1" si="154"/>
        <v>0</v>
      </c>
      <c r="V104" s="308">
        <f t="shared" ca="1" si="155"/>
        <v>5295</v>
      </c>
      <c r="W104" s="310">
        <f>Construction!E104</f>
        <v>1000</v>
      </c>
      <c r="X104" s="367"/>
      <c r="Y104" s="146">
        <f t="shared" si="178"/>
        <v>0.4</v>
      </c>
      <c r="Z104" s="166">
        <f ca="1">Z103+Population!Z103 - IF(race="Lux",AF104,SUM(AF104:AK104)) - BE104 + SUM(BF104:BL104) - Explore!AI104</f>
        <v>5295</v>
      </c>
      <c r="AA104" s="164"/>
      <c r="AB104" s="91">
        <f>(Construction!$BA104+Construction!BY104)/(Construction!$E104-Explore!S104*20)</f>
        <v>0</v>
      </c>
      <c r="AC104" s="1516">
        <f ca="1">Imps!AE104</f>
        <v>0</v>
      </c>
      <c r="AD104" s="795">
        <f>Rezone!J104</f>
        <v>102</v>
      </c>
      <c r="AE104" s="587">
        <f>Explore!AA104</f>
        <v>43769.052083333088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81"/>
        <v>0</v>
      </c>
      <c r="AV104" s="164">
        <f t="shared" ca="1" si="182"/>
        <v>0</v>
      </c>
      <c r="AW104" s="164">
        <f t="shared" ca="1" si="156"/>
        <v>0</v>
      </c>
      <c r="AX104" s="164">
        <f t="shared" ca="1" si="157"/>
        <v>0</v>
      </c>
      <c r="AY104" s="164">
        <f t="shared" ca="1" si="158"/>
        <v>0</v>
      </c>
      <c r="AZ104" s="164">
        <f t="shared" ca="1" si="159"/>
        <v>0</v>
      </c>
      <c r="BA104" s="166">
        <f t="shared" ca="1" si="160"/>
        <v>0</v>
      </c>
      <c r="BB104" s="16">
        <v>30</v>
      </c>
      <c r="BC104" s="572">
        <f t="shared" si="161"/>
        <v>43769.052083333088</v>
      </c>
      <c r="BD104" s="148">
        <f t="shared" ca="1" si="162"/>
        <v>5295</v>
      </c>
      <c r="BE104" s="356"/>
      <c r="BF104" s="348"/>
      <c r="BG104" s="348"/>
      <c r="BH104" s="348"/>
      <c r="BI104" s="348"/>
      <c r="BJ104" s="348"/>
      <c r="BK104" s="348"/>
      <c r="BL104" s="357"/>
      <c r="BN104" s="501">
        <f>Construction!BM104/Construction!E104</f>
        <v>0</v>
      </c>
      <c r="BO104" s="171">
        <f>Construction!BD104/Construction!E104</f>
        <v>0</v>
      </c>
      <c r="BP104" s="152">
        <f ca="1">ROUNDUP((1-MIN(AB104*smithy_bonus,smithy_bonus_cap)-AC104)*(1+Techs!AO104*tech_master_of_frugality)*spec_op_plat,0)</f>
        <v>275</v>
      </c>
      <c r="BQ104" s="164">
        <f ca="1">ROUNDUP(IF(OR(race="Gnome",race="Imperial Gnome"),1-AC104,(1-MIN(AB104*smithy_bonus,smithy_bonus_cap)-AC104)*(1+Techs!AO104*tech_master_of_frugality))*spec_op_ore,0)</f>
        <v>25</v>
      </c>
      <c r="BR104" s="164">
        <f t="shared" si="116"/>
        <v>0</v>
      </c>
      <c r="BS104" s="164">
        <f t="shared" si="117"/>
        <v>0</v>
      </c>
      <c r="BT104" s="164">
        <f ca="1">ROUNDUP((1-MIN(AB104*smithy_bonus,smithy_bonus_cap)-AC104)*(1+Techs!AO104*tech_master_of_frugality)*spec_dp_plat,0)</f>
        <v>275</v>
      </c>
      <c r="BU104" s="164">
        <f ca="1">ROUNDUP(IF(OR(race="Gnome",race="Imperial Gnome"),1-AC104,(1-MIN(AB104*smithy_bonus,smithy_bonus_cap)-AC104)*(1+Techs!AO104*tech_master_of_frugality))*spec_dp_ore,0)</f>
        <v>10</v>
      </c>
      <c r="BV104" s="164">
        <f t="shared" ca="1" si="118"/>
        <v>0</v>
      </c>
      <c r="BW104" s="164">
        <f t="shared" ca="1" si="119"/>
        <v>0</v>
      </c>
      <c r="BX104" s="164">
        <f t="shared" ca="1" si="120"/>
        <v>0</v>
      </c>
      <c r="BY104" s="164">
        <f ca="1">ROUNDUP((1-MIN(AB104*smithy_bonus,smithy_bonus_cap)-AC104)*(1+Techs!AO104*tech_master_of_frugality)*elite1_plat,0)</f>
        <v>1000</v>
      </c>
      <c r="BZ104" s="164">
        <f ca="1">ROUNDUP(IF(OR(race="Gnome",race="Imperial Gnome"),1-AC104,(1-MIN(AB104*smithy_bonus,smithy_bonus_cap)-AC104)*(1+Techs!AO104*tech_master_of_frugality))*elite1_ore,0)</f>
        <v>75</v>
      </c>
      <c r="CA104" s="164">
        <f t="shared" ca="1" si="163"/>
        <v>0</v>
      </c>
      <c r="CB104" s="164">
        <f t="shared" ca="1" si="121"/>
        <v>0</v>
      </c>
      <c r="CC104" s="164">
        <f t="shared" ca="1" si="122"/>
        <v>0</v>
      </c>
      <c r="CD104" s="164">
        <f t="shared" ca="1" si="123"/>
        <v>0</v>
      </c>
      <c r="CE104" s="164">
        <f t="shared" ca="1" si="124"/>
        <v>0</v>
      </c>
      <c r="CF104" s="164">
        <f ca="1">ROUNDUP((1-MIN(AB104*smithy_bonus,smithy_bonus_cap)-AC104)*(1+Techs!AO104*tech_master_of_frugality)*elite2_plat,0)</f>
        <v>1250</v>
      </c>
      <c r="CG104" s="164">
        <f ca="1">ROUNDUP(IF(OR(race="Gnome",race="Imperial Gnome"),1-AC104,(1-MIN(AB104*smithy_bonus,smithy_bonus_cap)-AC104)*(1+Techs!AO104*tech_master_of_frugality))*elite2_ore,0)</f>
        <v>100</v>
      </c>
      <c r="CH104" s="164">
        <f t="shared" ca="1" si="164"/>
        <v>0</v>
      </c>
      <c r="CI104" s="164">
        <f t="shared" ca="1" si="125"/>
        <v>0</v>
      </c>
      <c r="CJ104" s="164">
        <f t="shared" ca="1" si="126"/>
        <v>0</v>
      </c>
      <c r="CK104" s="164">
        <f t="shared" ca="1" si="127"/>
        <v>0</v>
      </c>
      <c r="CL104" s="164">
        <f t="shared" ca="1" si="128"/>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4">
        <f ca="1">Construction!DF104/Construction!E104</f>
        <v>0.15</v>
      </c>
      <c r="CR104" s="465">
        <f t="shared" si="165"/>
        <v>0</v>
      </c>
      <c r="CS104" s="465">
        <f>Construction!BK104/Construction!E104</f>
        <v>0.05</v>
      </c>
      <c r="CT104" s="465">
        <f>Construction!BJ104/Construction!E104</f>
        <v>0</v>
      </c>
      <c r="CU104" s="465">
        <f>Construction!AY104/Construction!E104</f>
        <v>0</v>
      </c>
      <c r="CV104" s="480">
        <f t="shared" ca="1" si="183"/>
        <v>0.74999999999999989</v>
      </c>
      <c r="CW104" s="481">
        <f t="shared" ca="1" si="184"/>
        <v>0.74999999999999989</v>
      </c>
      <c r="CX104" s="481">
        <f t="shared" ca="1" si="185"/>
        <v>0.74999999999999989</v>
      </c>
      <c r="CY104" s="482">
        <f t="shared" ca="1" si="186"/>
        <v>0.74999999999999989</v>
      </c>
      <c r="CZ104" s="482">
        <f t="shared" si="187"/>
        <v>0</v>
      </c>
      <c r="DA104" s="482">
        <f t="shared" ca="1" si="188"/>
        <v>2.9999999999999996</v>
      </c>
      <c r="DB104" s="482">
        <f t="shared" ca="1" si="189"/>
        <v>0.74999999999999989</v>
      </c>
      <c r="DC104" s="481">
        <f t="shared" si="190"/>
        <v>0</v>
      </c>
      <c r="DD104" s="842">
        <f t="shared" si="191"/>
        <v>0</v>
      </c>
      <c r="DE104" s="439">
        <f t="shared" si="166"/>
        <v>0</v>
      </c>
      <c r="DF104" s="439">
        <f t="shared" si="167"/>
        <v>0</v>
      </c>
      <c r="DG104" s="480">
        <f t="shared" ca="1" si="192"/>
        <v>0.74999999999999989</v>
      </c>
      <c r="DH104" s="449">
        <f t="shared" si="193"/>
        <v>0</v>
      </c>
      <c r="DI104" s="449">
        <f>MIN(valkyrja_cap,Production!O104/valkyrja_bonus)</f>
        <v>1</v>
      </c>
      <c r="DJ104" s="842">
        <f>MIN(voodoo_magi_cap,Production!O104/voodoo_magi_bonus)</f>
        <v>0.83333333333333337</v>
      </c>
      <c r="DK104" s="842">
        <f>MIN(warlock_cap,Production!O104/warlock_bonus)</f>
        <v>1</v>
      </c>
      <c r="DL104" s="842">
        <f ca="1">MIN(nox_nightshade_cap,Construction!DF104/Construction!E104/nox_nightshade_swamp_bonus)</f>
        <v>1.4999999999999998</v>
      </c>
      <c r="DM104" s="481">
        <f t="shared" si="194"/>
        <v>0</v>
      </c>
      <c r="DN104" s="482">
        <f t="shared" ca="1" si="195"/>
        <v>1.4999999999999998</v>
      </c>
      <c r="DO104" s="482">
        <f t="shared" ca="1" si="196"/>
        <v>1.4999999999999998</v>
      </c>
      <c r="DP104" s="482">
        <f t="shared" si="197"/>
        <v>1</v>
      </c>
      <c r="DQ104" s="481">
        <f t="shared" si="198"/>
        <v>0</v>
      </c>
      <c r="DR104" s="482">
        <f t="shared" si="199"/>
        <v>0</v>
      </c>
      <c r="DS104" s="481">
        <f t="shared" si="200"/>
        <v>0</v>
      </c>
      <c r="DT104" s="482">
        <f t="shared" si="201"/>
        <v>0</v>
      </c>
      <c r="DX104" s="486">
        <f ca="1">MIN(6,CV104+Races!$F$19)*1.8 +  IF(CV104+Races!$F$19&gt;6,(CV104+Races!$F$19-6)*0.2,0) - Races!$N$19</f>
        <v>1.3500000000000005</v>
      </c>
      <c r="DY104" s="487">
        <f ca="1">1.8 * MIN(MAX(CW104+Races!$E$20,CX104+Races!$F$20),6)  +  0.45 * MIN(MIN(CW104+Races!$E$20,CX104+Races!$F$20),6)  +  0.2 * ( MAX(CW104+Races!$E$20-6,0) + MAX(CX104+Races!$F$20-6,0) )  -  Races!$N$20</f>
        <v>1.6874999999999991</v>
      </c>
      <c r="DZ104" s="57">
        <f t="shared" ca="1" si="202"/>
        <v>0</v>
      </c>
      <c r="EA104" s="663">
        <f ca="1">MIN(6,CY104+Races!$F$35)*1.8 +  IF(CY104+Races!$F$35&gt;6,(CY104+Races!$F$35-6)*0.2,0) - Races!$N$19</f>
        <v>-0.45000000000000018</v>
      </c>
      <c r="EB104" s="57">
        <f t="shared" ca="1" si="203"/>
        <v>0</v>
      </c>
      <c r="EC104" s="663">
        <f ca="1">1.8 * MIN(MAX(Races!$E$27,DB104+Races!$F$27),6)  +  0.45 * MIN(MIN(Races!$E$27,DB104+Races!$F$27),6)  +  0.2 * ( MAX(Races!$E$27-6,0) + MAX(DB104+Races!$F$27-6,0) )  -  Races!$N$20</f>
        <v>3.6000000000000005</v>
      </c>
      <c r="ED104" s="57">
        <f t="shared" ca="1" si="204"/>
        <v>0</v>
      </c>
      <c r="EE104" s="663">
        <f>1.8 * MIN(MAX(DC104+Races!$E$47,DD104+Races!$F$47),6)  +  0.45 * MIN(MIN(DC104+Races!$E$47,DD104+Races!$F$47),6)  +  0.2 * ( MAX(DC104+Races!$E$47-6,0) + MAX(DD104+Races!$F$47-6,0) )  -  Races!$N$47</f>
        <v>0</v>
      </c>
      <c r="EF104" s="57">
        <f t="shared" si="205"/>
        <v>0</v>
      </c>
      <c r="EG104" s="663">
        <f ca="1">1.8 * MIN(MAX(DG104+Races!$F$71,Races!$E$71),6)  +  0.45 * MIN(MIN(DG104+Races!$F$71,Races!$E$71),6)  +  0.2 * ( MAX(DG104+Races!$F$71-6,0) + MAX(Races!$E$71-6,0) )  -  Races!$N$71</f>
        <v>1.3499999999999996</v>
      </c>
      <c r="EH104" s="663">
        <f>1.8 * MIN(MAX(DH104+Races!$E$71,Races!$F$71),6)  +  0.45 * MIN(MIN(DH104+Races!$E$71,Races!$F$71),6)  +  0.2 * ( MAX(DH104+Races!$E$71-6,0) + MAX(Races!$F$71-6,0) )  -  Races!$N$71</f>
        <v>0</v>
      </c>
      <c r="EI104" s="57">
        <f t="shared" ca="1" si="206"/>
        <v>0</v>
      </c>
      <c r="EJ104" s="57"/>
      <c r="EK104" s="57"/>
      <c r="EL104" s="57"/>
      <c r="EM104" s="57">
        <f ca="1">Overview!$L$22*E104+Overview!$L$23*F104+Overview!$L$24*G104+Overview!$L$25*H104+Overview!$L$26*I104+Overview!$L$27*J104+Overview!$L$28*K104+Construction!E104*20+Construction!B104*5 + DZ104*$DV$4+EB104*$DV$5+ED104*$DV$6+EF104*$DV$7+EI104*$DV$9</f>
        <v>20900</v>
      </c>
      <c r="EO104" s="734">
        <f>(J104+2*K104)/Construction!E104</f>
        <v>0</v>
      </c>
      <c r="EP104" s="730">
        <f ca="1">EO104*(1+race_wizard_strength+tech_magical_weaponry_wiz*Techs!AV176)</f>
        <v>0</v>
      </c>
      <c r="EQ104" s="16">
        <f>(I104+halfer*H104/3)/Construction!E104</f>
        <v>0</v>
      </c>
    </row>
    <row r="105" spans="1:147" s="16" customFormat="1" x14ac:dyDescent="0.25">
      <c r="A105" s="627">
        <f>Rezone!J105</f>
        <v>103</v>
      </c>
      <c r="B105" s="56">
        <f ca="1">SUM(E105:K105)+SUM(AF97:AG105)+SUM(AH94:AL105)+Z105+Explore!AL105</f>
        <v>5295</v>
      </c>
      <c r="C105" s="97">
        <f ca="1">Population!G105</f>
        <v>0.74159663865546221</v>
      </c>
      <c r="E105" s="52">
        <f t="shared" si="169"/>
        <v>0</v>
      </c>
      <c r="F105" s="16">
        <f t="shared" si="170"/>
        <v>0</v>
      </c>
      <c r="G105" s="16">
        <f t="shared" si="171"/>
        <v>0</v>
      </c>
      <c r="H105" s="16">
        <f t="shared" si="172"/>
        <v>0</v>
      </c>
      <c r="I105" s="16">
        <f t="shared" si="173"/>
        <v>0</v>
      </c>
      <c r="J105" s="16">
        <f t="shared" si="174"/>
        <v>0</v>
      </c>
      <c r="K105" s="53">
        <f t="shared" si="175"/>
        <v>0</v>
      </c>
      <c r="M105" s="64">
        <f ca="1">Production!G105</f>
        <v>20900</v>
      </c>
      <c r="O105" s="234">
        <f t="shared" ca="1" si="179"/>
        <v>0</v>
      </c>
      <c r="P105" s="454">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53"/>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80"/>
        <v>5295</v>
      </c>
      <c r="T105" s="1047">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1">
        <f t="shared" ca="1" si="154"/>
        <v>0</v>
      </c>
      <c r="V105" s="308">
        <f t="shared" ca="1" si="155"/>
        <v>5295</v>
      </c>
      <c r="W105" s="310">
        <f>Construction!E105</f>
        <v>1000</v>
      </c>
      <c r="X105" s="367"/>
      <c r="Y105" s="146">
        <f t="shared" si="178"/>
        <v>0.4</v>
      </c>
      <c r="Z105" s="166">
        <f ca="1">Z104+Population!Z104 - IF(race="Lux",AF105,SUM(AF105:AK105)) - BE105 + SUM(BF105:BL105) - Explore!AI105</f>
        <v>5295</v>
      </c>
      <c r="AA105" s="164"/>
      <c r="AB105" s="91">
        <f>(Construction!$BA105+Construction!BY105)/(Construction!$E105-Explore!S105*20)</f>
        <v>0</v>
      </c>
      <c r="AC105" s="1516">
        <f ca="1">Imps!AE105</f>
        <v>0</v>
      </c>
      <c r="AD105" s="795">
        <f>Rezone!J105</f>
        <v>103</v>
      </c>
      <c r="AE105" s="587">
        <f>Explore!AA105</f>
        <v>43769.062499999753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81"/>
        <v>0</v>
      </c>
      <c r="AV105" s="164">
        <f t="shared" ca="1" si="182"/>
        <v>0</v>
      </c>
      <c r="AW105" s="164">
        <f t="shared" ca="1" si="156"/>
        <v>0</v>
      </c>
      <c r="AX105" s="164">
        <f t="shared" ca="1" si="157"/>
        <v>0</v>
      </c>
      <c r="AY105" s="164">
        <f t="shared" ca="1" si="158"/>
        <v>0</v>
      </c>
      <c r="AZ105" s="164">
        <f t="shared" ca="1" si="159"/>
        <v>0</v>
      </c>
      <c r="BA105" s="166">
        <f t="shared" ca="1" si="160"/>
        <v>0</v>
      </c>
      <c r="BB105" s="16">
        <v>31</v>
      </c>
      <c r="BC105" s="572">
        <f t="shared" si="161"/>
        <v>43769.062499999753</v>
      </c>
      <c r="BD105" s="148">
        <f t="shared" ca="1" si="162"/>
        <v>5295</v>
      </c>
      <c r="BE105" s="356"/>
      <c r="BF105" s="348"/>
      <c r="BG105" s="348"/>
      <c r="BH105" s="348"/>
      <c r="BI105" s="348"/>
      <c r="BJ105" s="348"/>
      <c r="BK105" s="348"/>
      <c r="BL105" s="357"/>
      <c r="BN105" s="501">
        <f>Construction!BM105/Construction!E105</f>
        <v>0</v>
      </c>
      <c r="BO105" s="171">
        <f>Construction!BD105/Construction!E105</f>
        <v>0</v>
      </c>
      <c r="BP105" s="152">
        <f ca="1">ROUNDUP((1-MIN(AB105*smithy_bonus,smithy_bonus_cap)-AC105)*(1+Techs!AO105*tech_master_of_frugality)*spec_op_plat,0)</f>
        <v>275</v>
      </c>
      <c r="BQ105" s="164">
        <f ca="1">ROUNDUP(IF(OR(race="Gnome",race="Imperial Gnome"),1-AC105,(1-MIN(AB105*smithy_bonus,smithy_bonus_cap)-AC105)*(1+Techs!AO105*tech_master_of_frugality))*spec_op_ore,0)</f>
        <v>25</v>
      </c>
      <c r="BR105" s="164">
        <f t="shared" si="116"/>
        <v>0</v>
      </c>
      <c r="BS105" s="164">
        <f t="shared" si="117"/>
        <v>0</v>
      </c>
      <c r="BT105" s="164">
        <f ca="1">ROUNDUP((1-MIN(AB105*smithy_bonus,smithy_bonus_cap)-AC105)*(1+Techs!AO105*tech_master_of_frugality)*spec_dp_plat,0)</f>
        <v>275</v>
      </c>
      <c r="BU105" s="164">
        <f ca="1">ROUNDUP(IF(OR(race="Gnome",race="Imperial Gnome"),1-AC105,(1-MIN(AB105*smithy_bonus,smithy_bonus_cap)-AC105)*(1+Techs!AO105*tech_master_of_frugality))*spec_dp_ore,0)</f>
        <v>10</v>
      </c>
      <c r="BV105" s="164">
        <f t="shared" ca="1" si="118"/>
        <v>0</v>
      </c>
      <c r="BW105" s="164">
        <f t="shared" ca="1" si="119"/>
        <v>0</v>
      </c>
      <c r="BX105" s="164">
        <f t="shared" ca="1" si="120"/>
        <v>0</v>
      </c>
      <c r="BY105" s="164">
        <f ca="1">ROUNDUP((1-MIN(AB105*smithy_bonus,smithy_bonus_cap)-AC105)*(1+Techs!AO105*tech_master_of_frugality)*elite1_plat,0)</f>
        <v>1000</v>
      </c>
      <c r="BZ105" s="164">
        <f ca="1">ROUNDUP(IF(OR(race="Gnome",race="Imperial Gnome"),1-AC105,(1-MIN(AB105*smithy_bonus,smithy_bonus_cap)-AC105)*(1+Techs!AO105*tech_master_of_frugality))*elite1_ore,0)</f>
        <v>75</v>
      </c>
      <c r="CA105" s="164">
        <f t="shared" ca="1" si="163"/>
        <v>0</v>
      </c>
      <c r="CB105" s="164">
        <f t="shared" ca="1" si="121"/>
        <v>0</v>
      </c>
      <c r="CC105" s="164">
        <f t="shared" ca="1" si="122"/>
        <v>0</v>
      </c>
      <c r="CD105" s="164">
        <f t="shared" ca="1" si="123"/>
        <v>0</v>
      </c>
      <c r="CE105" s="164">
        <f t="shared" ca="1" si="124"/>
        <v>0</v>
      </c>
      <c r="CF105" s="164">
        <f ca="1">ROUNDUP((1-MIN(AB105*smithy_bonus,smithy_bonus_cap)-AC105)*(1+Techs!AO105*tech_master_of_frugality)*elite2_plat,0)</f>
        <v>1250</v>
      </c>
      <c r="CG105" s="164">
        <f ca="1">ROUNDUP(IF(OR(race="Gnome",race="Imperial Gnome"),1-AC105,(1-MIN(AB105*smithy_bonus,smithy_bonus_cap)-AC105)*(1+Techs!AO105*tech_master_of_frugality))*elite2_ore,0)</f>
        <v>100</v>
      </c>
      <c r="CH105" s="164">
        <f t="shared" ca="1" si="164"/>
        <v>0</v>
      </c>
      <c r="CI105" s="164">
        <f t="shared" ca="1" si="125"/>
        <v>0</v>
      </c>
      <c r="CJ105" s="164">
        <f t="shared" ca="1" si="126"/>
        <v>0</v>
      </c>
      <c r="CK105" s="164">
        <f t="shared" ca="1" si="127"/>
        <v>0</v>
      </c>
      <c r="CL105" s="164">
        <f t="shared" ca="1" si="128"/>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4">
        <f ca="1">Construction!DF105/Construction!E105</f>
        <v>0.15</v>
      </c>
      <c r="CR105" s="465">
        <f t="shared" si="165"/>
        <v>0</v>
      </c>
      <c r="CS105" s="465">
        <f>Construction!BK105/Construction!E105</f>
        <v>0.05</v>
      </c>
      <c r="CT105" s="465">
        <f>Construction!BJ105/Construction!E105</f>
        <v>0</v>
      </c>
      <c r="CU105" s="465">
        <f>Construction!AY105/Construction!E105</f>
        <v>0</v>
      </c>
      <c r="CV105" s="480">
        <f t="shared" ca="1" si="183"/>
        <v>0.74999999999999989</v>
      </c>
      <c r="CW105" s="481">
        <f t="shared" ca="1" si="184"/>
        <v>0.74999999999999989</v>
      </c>
      <c r="CX105" s="481">
        <f t="shared" ca="1" si="185"/>
        <v>0.74999999999999989</v>
      </c>
      <c r="CY105" s="482">
        <f t="shared" ca="1" si="186"/>
        <v>0.74999999999999989</v>
      </c>
      <c r="CZ105" s="482">
        <f t="shared" si="187"/>
        <v>0</v>
      </c>
      <c r="DA105" s="482">
        <f t="shared" ca="1" si="188"/>
        <v>2.9999999999999996</v>
      </c>
      <c r="DB105" s="482">
        <f t="shared" ca="1" si="189"/>
        <v>0.74999999999999989</v>
      </c>
      <c r="DC105" s="481">
        <f t="shared" si="190"/>
        <v>0</v>
      </c>
      <c r="DD105" s="842">
        <f t="shared" si="191"/>
        <v>0</v>
      </c>
      <c r="DE105" s="439">
        <f t="shared" si="166"/>
        <v>0</v>
      </c>
      <c r="DF105" s="439">
        <f t="shared" si="167"/>
        <v>0</v>
      </c>
      <c r="DG105" s="480">
        <f t="shared" ca="1" si="192"/>
        <v>0.74999999999999989</v>
      </c>
      <c r="DH105" s="449">
        <f t="shared" si="193"/>
        <v>0</v>
      </c>
      <c r="DI105" s="449">
        <f>MIN(valkyrja_cap,Production!O105/valkyrja_bonus)</f>
        <v>1</v>
      </c>
      <c r="DJ105" s="842">
        <f>MIN(voodoo_magi_cap,Production!O105/voodoo_magi_bonus)</f>
        <v>0.83333333333333337</v>
      </c>
      <c r="DK105" s="842">
        <f>MIN(warlock_cap,Production!O105/warlock_bonus)</f>
        <v>1</v>
      </c>
      <c r="DL105" s="842">
        <f ca="1">MIN(nox_nightshade_cap,Construction!DF105/Construction!E105/nox_nightshade_swamp_bonus)</f>
        <v>1.4999999999999998</v>
      </c>
      <c r="DM105" s="481">
        <f t="shared" si="194"/>
        <v>0</v>
      </c>
      <c r="DN105" s="482">
        <f t="shared" ca="1" si="195"/>
        <v>1.4999999999999998</v>
      </c>
      <c r="DO105" s="482">
        <f t="shared" ca="1" si="196"/>
        <v>1.4999999999999998</v>
      </c>
      <c r="DP105" s="482">
        <f t="shared" si="197"/>
        <v>1</v>
      </c>
      <c r="DQ105" s="481">
        <f t="shared" si="198"/>
        <v>0</v>
      </c>
      <c r="DR105" s="482">
        <f t="shared" si="199"/>
        <v>0</v>
      </c>
      <c r="DS105" s="481">
        <f t="shared" si="200"/>
        <v>0</v>
      </c>
      <c r="DT105" s="482">
        <f t="shared" si="201"/>
        <v>0</v>
      </c>
      <c r="DX105" s="486">
        <f ca="1">MIN(6,CV105+Races!$F$19)*1.8 +  IF(CV105+Races!$F$19&gt;6,(CV105+Races!$F$19-6)*0.2,0) - Races!$N$19</f>
        <v>1.3500000000000005</v>
      </c>
      <c r="DY105" s="487">
        <f ca="1">1.8 * MIN(MAX(CW105+Races!$E$20,CX105+Races!$F$20),6)  +  0.45 * MIN(MIN(CW105+Races!$E$20,CX105+Races!$F$20),6)  +  0.2 * ( MAX(CW105+Races!$E$20-6,0) + MAX(CX105+Races!$F$20-6,0) )  -  Races!$N$20</f>
        <v>1.6874999999999991</v>
      </c>
      <c r="DZ105" s="57">
        <f t="shared" ca="1" si="202"/>
        <v>0</v>
      </c>
      <c r="EA105" s="663">
        <f ca="1">MIN(6,CY105+Races!$F$35)*1.8 +  IF(CY105+Races!$F$35&gt;6,(CY105+Races!$F$35-6)*0.2,0) - Races!$N$19</f>
        <v>-0.45000000000000018</v>
      </c>
      <c r="EB105" s="57">
        <f t="shared" ca="1" si="203"/>
        <v>0</v>
      </c>
      <c r="EC105" s="663">
        <f ca="1">1.8 * MIN(MAX(Races!$E$27,DB105+Races!$F$27),6)  +  0.45 * MIN(MIN(Races!$E$27,DB105+Races!$F$27),6)  +  0.2 * ( MAX(Races!$E$27-6,0) + MAX(DB105+Races!$F$27-6,0) )  -  Races!$N$20</f>
        <v>3.6000000000000005</v>
      </c>
      <c r="ED105" s="57">
        <f t="shared" ca="1" si="204"/>
        <v>0</v>
      </c>
      <c r="EE105" s="663">
        <f>1.8 * MIN(MAX(DC105+Races!$E$47,DD105+Races!$F$47),6)  +  0.45 * MIN(MIN(DC105+Races!$E$47,DD105+Races!$F$47),6)  +  0.2 * ( MAX(DC105+Races!$E$47-6,0) + MAX(DD105+Races!$F$47-6,0) )  -  Races!$N$47</f>
        <v>0</v>
      </c>
      <c r="EF105" s="57">
        <f t="shared" si="205"/>
        <v>0</v>
      </c>
      <c r="EG105" s="663">
        <f ca="1">1.8 * MIN(MAX(DG105+Races!$F$71,Races!$E$71),6)  +  0.45 * MIN(MIN(DG105+Races!$F$71,Races!$E$71),6)  +  0.2 * ( MAX(DG105+Races!$F$71-6,0) + MAX(Races!$E$71-6,0) )  -  Races!$N$71</f>
        <v>1.3499999999999996</v>
      </c>
      <c r="EH105" s="663">
        <f>1.8 * MIN(MAX(DH105+Races!$E$71,Races!$F$71),6)  +  0.45 * MIN(MIN(DH105+Races!$E$71,Races!$F$71),6)  +  0.2 * ( MAX(DH105+Races!$E$71-6,0) + MAX(Races!$F$71-6,0) )  -  Races!$N$71</f>
        <v>0</v>
      </c>
      <c r="EI105" s="57">
        <f t="shared" ca="1" si="206"/>
        <v>0</v>
      </c>
      <c r="EJ105" s="57"/>
      <c r="EK105" s="57"/>
      <c r="EL105" s="57"/>
      <c r="EM105" s="57">
        <f ca="1">Overview!$L$22*E105+Overview!$L$23*F105+Overview!$L$24*G105+Overview!$L$25*H105+Overview!$L$26*I105+Overview!$L$27*J105+Overview!$L$28*K105+Construction!E105*20+Construction!B105*5 + DZ105*$DV$4+EB105*$DV$5+ED105*$DV$6+EF105*$DV$7+EI105*$DV$9</f>
        <v>20900</v>
      </c>
      <c r="EO105" s="734">
        <f>(J105+2*K105)/Construction!E105</f>
        <v>0</v>
      </c>
      <c r="EP105" s="730">
        <f ca="1">EO105*(1+race_wizard_strength+tech_magical_weaponry_wiz*Techs!AV177)</f>
        <v>0</v>
      </c>
      <c r="EQ105" s="16">
        <f>(I105+halfer*H105/3)/Construction!E105</f>
        <v>0</v>
      </c>
    </row>
    <row r="106" spans="1:147" s="16" customFormat="1" x14ac:dyDescent="0.25">
      <c r="A106" s="627">
        <f>Rezone!J106</f>
        <v>104</v>
      </c>
      <c r="B106" s="56">
        <f ca="1">SUM(E106:K106)+SUM(AF98:AG106)+SUM(AH95:AL106)+Z106+Explore!AL106</f>
        <v>5295</v>
      </c>
      <c r="C106" s="97">
        <f ca="1">Population!G106</f>
        <v>0.74159663865546221</v>
      </c>
      <c r="E106" s="52">
        <f t="shared" si="169"/>
        <v>0</v>
      </c>
      <c r="F106" s="16">
        <f t="shared" si="170"/>
        <v>0</v>
      </c>
      <c r="G106" s="16">
        <f t="shared" si="171"/>
        <v>0</v>
      </c>
      <c r="H106" s="16">
        <f t="shared" si="172"/>
        <v>0</v>
      </c>
      <c r="I106" s="16">
        <f t="shared" si="173"/>
        <v>0</v>
      </c>
      <c r="J106" s="16">
        <f t="shared" si="174"/>
        <v>0</v>
      </c>
      <c r="K106" s="53">
        <f t="shared" si="175"/>
        <v>0</v>
      </c>
      <c r="M106" s="64">
        <f ca="1">Production!G106</f>
        <v>20900</v>
      </c>
      <c r="O106" s="234">
        <f t="shared" ca="1" si="179"/>
        <v>0</v>
      </c>
      <c r="P106" s="454">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53"/>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80"/>
        <v>5295</v>
      </c>
      <c r="T106" s="1047">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1">
        <f t="shared" ca="1" si="154"/>
        <v>0</v>
      </c>
      <c r="V106" s="308">
        <f t="shared" ca="1" si="155"/>
        <v>5295</v>
      </c>
      <c r="W106" s="310">
        <f>Construction!E106</f>
        <v>1000</v>
      </c>
      <c r="X106" s="367"/>
      <c r="Y106" s="146">
        <f t="shared" si="178"/>
        <v>0.4</v>
      </c>
      <c r="Z106" s="166">
        <f ca="1">Z105+Population!Z105 - IF(race="Lux",AF106,SUM(AF106:AK106)) - BE106 + SUM(BF106:BL106) - Explore!AI106</f>
        <v>5295</v>
      </c>
      <c r="AA106" s="164"/>
      <c r="AB106" s="91">
        <f>(Construction!$BA106+Construction!BY106)/(Construction!$E106-Explore!S106*20)</f>
        <v>0</v>
      </c>
      <c r="AC106" s="1516">
        <f ca="1">Imps!AE106</f>
        <v>0</v>
      </c>
      <c r="AD106" s="795">
        <f>Rezone!J106</f>
        <v>104</v>
      </c>
      <c r="AE106" s="587">
        <f>Explore!AA106</f>
        <v>43769.072916666417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81"/>
        <v>0</v>
      </c>
      <c r="AV106" s="164">
        <f t="shared" ca="1" si="182"/>
        <v>0</v>
      </c>
      <c r="AW106" s="164">
        <f t="shared" ca="1" si="156"/>
        <v>0</v>
      </c>
      <c r="AX106" s="164">
        <f t="shared" ca="1" si="157"/>
        <v>0</v>
      </c>
      <c r="AY106" s="164">
        <f t="shared" ca="1" si="158"/>
        <v>0</v>
      </c>
      <c r="AZ106" s="164">
        <f t="shared" ca="1" si="159"/>
        <v>0</v>
      </c>
      <c r="BA106" s="166">
        <f t="shared" ca="1" si="160"/>
        <v>0</v>
      </c>
      <c r="BB106" s="16">
        <v>32</v>
      </c>
      <c r="BC106" s="572">
        <f t="shared" si="161"/>
        <v>43769.072916666417</v>
      </c>
      <c r="BD106" s="148">
        <f t="shared" ca="1" si="162"/>
        <v>5295</v>
      </c>
      <c r="BE106" s="356"/>
      <c r="BF106" s="348"/>
      <c r="BG106" s="348"/>
      <c r="BH106" s="348"/>
      <c r="BI106" s="348"/>
      <c r="BJ106" s="348"/>
      <c r="BK106" s="348"/>
      <c r="BL106" s="357"/>
      <c r="BN106" s="501">
        <f>Construction!BM106/Construction!E106</f>
        <v>0</v>
      </c>
      <c r="BO106" s="171">
        <f>Construction!BD106/Construction!E106</f>
        <v>0</v>
      </c>
      <c r="BP106" s="152">
        <f ca="1">ROUNDUP((1-MIN(AB106*smithy_bonus,smithy_bonus_cap)-AC106)*(1+Techs!AO106*tech_master_of_frugality)*spec_op_plat,0)</f>
        <v>275</v>
      </c>
      <c r="BQ106" s="164">
        <f ca="1">ROUNDUP(IF(OR(race="Gnome",race="Imperial Gnome"),1-AC106,(1-MIN(AB106*smithy_bonus,smithy_bonus_cap)-AC106)*(1+Techs!AO106*tech_master_of_frugality))*spec_op_ore,0)</f>
        <v>25</v>
      </c>
      <c r="BR106" s="164">
        <f t="shared" si="116"/>
        <v>0</v>
      </c>
      <c r="BS106" s="164">
        <f t="shared" si="117"/>
        <v>0</v>
      </c>
      <c r="BT106" s="164">
        <f ca="1">ROUNDUP((1-MIN(AB106*smithy_bonus,smithy_bonus_cap)-AC106)*(1+Techs!AO106*tech_master_of_frugality)*spec_dp_plat,0)</f>
        <v>275</v>
      </c>
      <c r="BU106" s="164">
        <f ca="1">ROUNDUP(IF(OR(race="Gnome",race="Imperial Gnome"),1-AC106,(1-MIN(AB106*smithy_bonus,smithy_bonus_cap)-AC106)*(1+Techs!AO106*tech_master_of_frugality))*spec_dp_ore,0)</f>
        <v>10</v>
      </c>
      <c r="BV106" s="164">
        <f t="shared" ca="1" si="118"/>
        <v>0</v>
      </c>
      <c r="BW106" s="164">
        <f t="shared" ca="1" si="119"/>
        <v>0</v>
      </c>
      <c r="BX106" s="164">
        <f t="shared" ca="1" si="120"/>
        <v>0</v>
      </c>
      <c r="BY106" s="164">
        <f ca="1">ROUNDUP((1-MIN(AB106*smithy_bonus,smithy_bonus_cap)-AC106)*(1+Techs!AO106*tech_master_of_frugality)*elite1_plat,0)</f>
        <v>1000</v>
      </c>
      <c r="BZ106" s="164">
        <f ca="1">ROUNDUP(IF(OR(race="Gnome",race="Imperial Gnome"),1-AC106,(1-MIN(AB106*smithy_bonus,smithy_bonus_cap)-AC106)*(1+Techs!AO106*tech_master_of_frugality))*elite1_ore,0)</f>
        <v>75</v>
      </c>
      <c r="CA106" s="164">
        <f t="shared" ca="1" si="163"/>
        <v>0</v>
      </c>
      <c r="CB106" s="164">
        <f t="shared" ca="1" si="121"/>
        <v>0</v>
      </c>
      <c r="CC106" s="164">
        <f t="shared" ca="1" si="122"/>
        <v>0</v>
      </c>
      <c r="CD106" s="164">
        <f t="shared" ca="1" si="123"/>
        <v>0</v>
      </c>
      <c r="CE106" s="164">
        <f t="shared" ca="1" si="124"/>
        <v>0</v>
      </c>
      <c r="CF106" s="164">
        <f ca="1">ROUNDUP((1-MIN(AB106*smithy_bonus,smithy_bonus_cap)-AC106)*(1+Techs!AO106*tech_master_of_frugality)*elite2_plat,0)</f>
        <v>1250</v>
      </c>
      <c r="CG106" s="164">
        <f ca="1">ROUNDUP(IF(OR(race="Gnome",race="Imperial Gnome"),1-AC106,(1-MIN(AB106*smithy_bonus,smithy_bonus_cap)-AC106)*(1+Techs!AO106*tech_master_of_frugality))*elite2_ore,0)</f>
        <v>100</v>
      </c>
      <c r="CH106" s="164">
        <f t="shared" ca="1" si="164"/>
        <v>0</v>
      </c>
      <c r="CI106" s="164">
        <f t="shared" ca="1" si="125"/>
        <v>0</v>
      </c>
      <c r="CJ106" s="164">
        <f t="shared" ca="1" si="126"/>
        <v>0</v>
      </c>
      <c r="CK106" s="164">
        <f t="shared" ca="1" si="127"/>
        <v>0</v>
      </c>
      <c r="CL106" s="164">
        <f t="shared" ca="1" si="128"/>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4">
        <f ca="1">Construction!DF106/Construction!E106</f>
        <v>0.15</v>
      </c>
      <c r="CR106" s="465">
        <f t="shared" si="165"/>
        <v>0</v>
      </c>
      <c r="CS106" s="465">
        <f>Construction!BK106/Construction!E106</f>
        <v>0.05</v>
      </c>
      <c r="CT106" s="465">
        <f>Construction!BJ106/Construction!E106</f>
        <v>0</v>
      </c>
      <c r="CU106" s="465">
        <f>Construction!AY106/Construction!E106</f>
        <v>0</v>
      </c>
      <c r="CV106" s="480">
        <f t="shared" ca="1" si="183"/>
        <v>0.74999999999999989</v>
      </c>
      <c r="CW106" s="481">
        <f t="shared" ca="1" si="184"/>
        <v>0.74999999999999989</v>
      </c>
      <c r="CX106" s="481">
        <f t="shared" ca="1" si="185"/>
        <v>0.74999999999999989</v>
      </c>
      <c r="CY106" s="482">
        <f t="shared" ca="1" si="186"/>
        <v>0.74999999999999989</v>
      </c>
      <c r="CZ106" s="482">
        <f t="shared" si="187"/>
        <v>0</v>
      </c>
      <c r="DA106" s="482">
        <f t="shared" ca="1" si="188"/>
        <v>2.9999999999999996</v>
      </c>
      <c r="DB106" s="482">
        <f t="shared" ca="1" si="189"/>
        <v>0.74999999999999989</v>
      </c>
      <c r="DC106" s="481">
        <f t="shared" si="190"/>
        <v>0</v>
      </c>
      <c r="DD106" s="842">
        <f t="shared" si="191"/>
        <v>0</v>
      </c>
      <c r="DE106" s="439">
        <f t="shared" si="166"/>
        <v>0</v>
      </c>
      <c r="DF106" s="439">
        <f t="shared" si="167"/>
        <v>0</v>
      </c>
      <c r="DG106" s="480">
        <f t="shared" ca="1" si="192"/>
        <v>0.74999999999999989</v>
      </c>
      <c r="DH106" s="449">
        <f t="shared" si="193"/>
        <v>0</v>
      </c>
      <c r="DI106" s="449">
        <f>MIN(valkyrja_cap,Production!O106/valkyrja_bonus)</f>
        <v>1</v>
      </c>
      <c r="DJ106" s="842">
        <f>MIN(voodoo_magi_cap,Production!O106/voodoo_magi_bonus)</f>
        <v>0.83333333333333337</v>
      </c>
      <c r="DK106" s="842">
        <f>MIN(warlock_cap,Production!O106/warlock_bonus)</f>
        <v>1</v>
      </c>
      <c r="DL106" s="842">
        <f ca="1">MIN(nox_nightshade_cap,Construction!DF106/Construction!E106/nox_nightshade_swamp_bonus)</f>
        <v>1.4999999999999998</v>
      </c>
      <c r="DM106" s="481">
        <f t="shared" si="194"/>
        <v>0</v>
      </c>
      <c r="DN106" s="482">
        <f t="shared" ca="1" si="195"/>
        <v>1.4999999999999998</v>
      </c>
      <c r="DO106" s="482">
        <f t="shared" ca="1" si="196"/>
        <v>1.4999999999999998</v>
      </c>
      <c r="DP106" s="482">
        <f t="shared" si="197"/>
        <v>1</v>
      </c>
      <c r="DQ106" s="481">
        <f t="shared" si="198"/>
        <v>0</v>
      </c>
      <c r="DR106" s="482">
        <f t="shared" si="199"/>
        <v>0</v>
      </c>
      <c r="DS106" s="481">
        <f t="shared" si="200"/>
        <v>0</v>
      </c>
      <c r="DT106" s="482">
        <f t="shared" si="201"/>
        <v>0</v>
      </c>
      <c r="DX106" s="486">
        <f ca="1">MIN(6,CV106+Races!$F$19)*1.8 +  IF(CV106+Races!$F$19&gt;6,(CV106+Races!$F$19-6)*0.2,0) - Races!$N$19</f>
        <v>1.3500000000000005</v>
      </c>
      <c r="DY106" s="487">
        <f ca="1">1.8 * MIN(MAX(CW106+Races!$E$20,CX106+Races!$F$20),6)  +  0.45 * MIN(MIN(CW106+Races!$E$20,CX106+Races!$F$20),6)  +  0.2 * ( MAX(CW106+Races!$E$20-6,0) + MAX(CX106+Races!$F$20-6,0) )  -  Races!$N$20</f>
        <v>1.6874999999999991</v>
      </c>
      <c r="DZ106" s="57">
        <f t="shared" ca="1" si="202"/>
        <v>0</v>
      </c>
      <c r="EA106" s="663">
        <f ca="1">MIN(6,CY106+Races!$F$35)*1.8 +  IF(CY106+Races!$F$35&gt;6,(CY106+Races!$F$35-6)*0.2,0) - Races!$N$19</f>
        <v>-0.45000000000000018</v>
      </c>
      <c r="EB106" s="57">
        <f t="shared" ca="1" si="203"/>
        <v>0</v>
      </c>
      <c r="EC106" s="663">
        <f ca="1">1.8 * MIN(MAX(Races!$E$27,DB106+Races!$F$27),6)  +  0.45 * MIN(MIN(Races!$E$27,DB106+Races!$F$27),6)  +  0.2 * ( MAX(Races!$E$27-6,0) + MAX(DB106+Races!$F$27-6,0) )  -  Races!$N$20</f>
        <v>3.6000000000000005</v>
      </c>
      <c r="ED106" s="57">
        <f t="shared" ca="1" si="204"/>
        <v>0</v>
      </c>
      <c r="EE106" s="663">
        <f>1.8 * MIN(MAX(DC106+Races!$E$47,DD106+Races!$F$47),6)  +  0.45 * MIN(MIN(DC106+Races!$E$47,DD106+Races!$F$47),6)  +  0.2 * ( MAX(DC106+Races!$E$47-6,0) + MAX(DD106+Races!$F$47-6,0) )  -  Races!$N$47</f>
        <v>0</v>
      </c>
      <c r="EF106" s="57">
        <f t="shared" si="205"/>
        <v>0</v>
      </c>
      <c r="EG106" s="663">
        <f ca="1">1.8 * MIN(MAX(DG106+Races!$F$71,Races!$E$71),6)  +  0.45 * MIN(MIN(DG106+Races!$F$71,Races!$E$71),6)  +  0.2 * ( MAX(DG106+Races!$F$71-6,0) + MAX(Races!$E$71-6,0) )  -  Races!$N$71</f>
        <v>1.3499999999999996</v>
      </c>
      <c r="EH106" s="663">
        <f>1.8 * MIN(MAX(DH106+Races!$E$71,Races!$F$71),6)  +  0.45 * MIN(MIN(DH106+Races!$E$71,Races!$F$71),6)  +  0.2 * ( MAX(DH106+Races!$E$71-6,0) + MAX(Races!$F$71-6,0) )  -  Races!$N$71</f>
        <v>0</v>
      </c>
      <c r="EI106" s="57">
        <f t="shared" ca="1" si="206"/>
        <v>0</v>
      </c>
      <c r="EJ106" s="57"/>
      <c r="EK106" s="57"/>
      <c r="EL106" s="57"/>
      <c r="EM106" s="57">
        <f ca="1">Overview!$L$22*E106+Overview!$L$23*F106+Overview!$L$24*G106+Overview!$L$25*H106+Overview!$L$26*I106+Overview!$L$27*J106+Overview!$L$28*K106+Construction!E106*20+Construction!B106*5 + DZ106*$DV$4+EB106*$DV$5+ED106*$DV$6+EF106*$DV$7+EI106*$DV$9</f>
        <v>20900</v>
      </c>
      <c r="EO106" s="734">
        <f>(J106+2*K106)/Construction!E106</f>
        <v>0</v>
      </c>
      <c r="EP106" s="730">
        <f ca="1">EO106*(1+race_wizard_strength+tech_magical_weaponry_wiz*Techs!AV178)</f>
        <v>0</v>
      </c>
      <c r="EQ106" s="16">
        <f>(I106+halfer*H106/3)/Construction!E106</f>
        <v>0</v>
      </c>
    </row>
    <row r="107" spans="1:147" s="16" customFormat="1" x14ac:dyDescent="0.25">
      <c r="A107" s="627">
        <f>Rezone!J107</f>
        <v>105</v>
      </c>
      <c r="B107" s="56">
        <f ca="1">SUM(E107:K107)+SUM(AF99:AG107)+SUM(AH96:AL107)+Z107+Explore!AL107</f>
        <v>5295</v>
      </c>
      <c r="C107" s="97">
        <f ca="1">Population!G107</f>
        <v>0.74159663865546221</v>
      </c>
      <c r="E107" s="52">
        <f t="shared" si="169"/>
        <v>0</v>
      </c>
      <c r="F107" s="16">
        <f t="shared" si="170"/>
        <v>0</v>
      </c>
      <c r="G107" s="16">
        <f t="shared" si="171"/>
        <v>0</v>
      </c>
      <c r="H107" s="16">
        <f t="shared" si="172"/>
        <v>0</v>
      </c>
      <c r="I107" s="16">
        <f t="shared" si="173"/>
        <v>0</v>
      </c>
      <c r="J107" s="16">
        <f t="shared" si="174"/>
        <v>0</v>
      </c>
      <c r="K107" s="53">
        <f t="shared" si="175"/>
        <v>0</v>
      </c>
      <c r="M107" s="64">
        <f ca="1">Production!G107</f>
        <v>20900</v>
      </c>
      <c r="O107" s="234">
        <f t="shared" ca="1" si="179"/>
        <v>0</v>
      </c>
      <c r="P107" s="454">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53"/>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80"/>
        <v>5295</v>
      </c>
      <c r="T107" s="1047">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1">
        <f t="shared" ca="1" si="154"/>
        <v>0</v>
      </c>
      <c r="V107" s="308">
        <f t="shared" ca="1" si="155"/>
        <v>5295</v>
      </c>
      <c r="W107" s="310">
        <f>Construction!E107</f>
        <v>1000</v>
      </c>
      <c r="X107" s="367"/>
      <c r="Y107" s="146">
        <f t="shared" si="178"/>
        <v>0.4</v>
      </c>
      <c r="Z107" s="166">
        <f ca="1">Z106+Population!Z106 - IF(race="Lux",AF107,SUM(AF107:AK107)) - BE107 + SUM(BF107:BL107) - Explore!AI107</f>
        <v>5295</v>
      </c>
      <c r="AA107" s="164"/>
      <c r="AB107" s="91">
        <f>(Construction!$BA107+Construction!BY107)/(Construction!$E107-Explore!S107*20)</f>
        <v>0</v>
      </c>
      <c r="AC107" s="1516">
        <f ca="1">Imps!AE107</f>
        <v>0</v>
      </c>
      <c r="AD107" s="795">
        <f>Rezone!J107</f>
        <v>105</v>
      </c>
      <c r="AE107" s="587">
        <f>Explore!AA107</f>
        <v>43769.083333333081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81"/>
        <v>0</v>
      </c>
      <c r="AV107" s="164">
        <f t="shared" ca="1" si="182"/>
        <v>0</v>
      </c>
      <c r="AW107" s="164">
        <f t="shared" ca="1" si="156"/>
        <v>0</v>
      </c>
      <c r="AX107" s="164">
        <f t="shared" ca="1" si="157"/>
        <v>0</v>
      </c>
      <c r="AY107" s="164">
        <f t="shared" ca="1" si="158"/>
        <v>0</v>
      </c>
      <c r="AZ107" s="164">
        <f t="shared" ca="1" si="159"/>
        <v>0</v>
      </c>
      <c r="BA107" s="166">
        <f t="shared" ca="1" si="160"/>
        <v>0</v>
      </c>
      <c r="BB107" s="16">
        <v>33</v>
      </c>
      <c r="BC107" s="572">
        <f t="shared" si="161"/>
        <v>43769.083333333081</v>
      </c>
      <c r="BD107" s="148">
        <f t="shared" ca="1" si="162"/>
        <v>5295</v>
      </c>
      <c r="BE107" s="356"/>
      <c r="BF107" s="348"/>
      <c r="BG107" s="348"/>
      <c r="BH107" s="348"/>
      <c r="BI107" s="348"/>
      <c r="BJ107" s="348"/>
      <c r="BK107" s="348"/>
      <c r="BL107" s="357"/>
      <c r="BN107" s="501">
        <f>Construction!BM107/Construction!E107</f>
        <v>0</v>
      </c>
      <c r="BO107" s="171">
        <f>Construction!BD107/Construction!E107</f>
        <v>0</v>
      </c>
      <c r="BP107" s="152">
        <f ca="1">ROUNDUP((1-MIN(AB107*smithy_bonus,smithy_bonus_cap)-AC107)*(1+Techs!AO107*tech_master_of_frugality)*spec_op_plat,0)</f>
        <v>275</v>
      </c>
      <c r="BQ107" s="164">
        <f ca="1">ROUNDUP(IF(OR(race="Gnome",race="Imperial Gnome"),1-AC107,(1-MIN(AB107*smithy_bonus,smithy_bonus_cap)-AC107)*(1+Techs!AO107*tech_master_of_frugality))*spec_op_ore,0)</f>
        <v>25</v>
      </c>
      <c r="BR107" s="164">
        <f t="shared" si="116"/>
        <v>0</v>
      </c>
      <c r="BS107" s="164">
        <f t="shared" si="117"/>
        <v>0</v>
      </c>
      <c r="BT107" s="164">
        <f ca="1">ROUNDUP((1-MIN(AB107*smithy_bonus,smithy_bonus_cap)-AC107)*(1+Techs!AO107*tech_master_of_frugality)*spec_dp_plat,0)</f>
        <v>275</v>
      </c>
      <c r="BU107" s="164">
        <f ca="1">ROUNDUP(IF(OR(race="Gnome",race="Imperial Gnome"),1-AC107,(1-MIN(AB107*smithy_bonus,smithy_bonus_cap)-AC107)*(1+Techs!AO107*tech_master_of_frugality))*spec_dp_ore,0)</f>
        <v>10</v>
      </c>
      <c r="BV107" s="164">
        <f t="shared" ca="1" si="118"/>
        <v>0</v>
      </c>
      <c r="BW107" s="164">
        <f t="shared" ca="1" si="119"/>
        <v>0</v>
      </c>
      <c r="BX107" s="164">
        <f t="shared" ca="1" si="120"/>
        <v>0</v>
      </c>
      <c r="BY107" s="164">
        <f ca="1">ROUNDUP((1-MIN(AB107*smithy_bonus,smithy_bonus_cap)-AC107)*(1+Techs!AO107*tech_master_of_frugality)*elite1_plat,0)</f>
        <v>1000</v>
      </c>
      <c r="BZ107" s="164">
        <f ca="1">ROUNDUP(IF(OR(race="Gnome",race="Imperial Gnome"),1-AC107,(1-MIN(AB107*smithy_bonus,smithy_bonus_cap)-AC107)*(1+Techs!AO107*tech_master_of_frugality))*elite1_ore,0)</f>
        <v>75</v>
      </c>
      <c r="CA107" s="164">
        <f t="shared" ca="1" si="163"/>
        <v>0</v>
      </c>
      <c r="CB107" s="164">
        <f t="shared" ca="1" si="121"/>
        <v>0</v>
      </c>
      <c r="CC107" s="164">
        <f t="shared" ca="1" si="122"/>
        <v>0</v>
      </c>
      <c r="CD107" s="164">
        <f t="shared" ca="1" si="123"/>
        <v>0</v>
      </c>
      <c r="CE107" s="164">
        <f t="shared" ca="1" si="124"/>
        <v>0</v>
      </c>
      <c r="CF107" s="164">
        <f ca="1">ROUNDUP((1-MIN(AB107*smithy_bonus,smithy_bonus_cap)-AC107)*(1+Techs!AO107*tech_master_of_frugality)*elite2_plat,0)</f>
        <v>1250</v>
      </c>
      <c r="CG107" s="164">
        <f ca="1">ROUNDUP(IF(OR(race="Gnome",race="Imperial Gnome"),1-AC107,(1-MIN(AB107*smithy_bonus,smithy_bonus_cap)-AC107)*(1+Techs!AO107*tech_master_of_frugality))*elite2_ore,0)</f>
        <v>100</v>
      </c>
      <c r="CH107" s="164">
        <f t="shared" ca="1" si="164"/>
        <v>0</v>
      </c>
      <c r="CI107" s="164">
        <f t="shared" ca="1" si="125"/>
        <v>0</v>
      </c>
      <c r="CJ107" s="164">
        <f t="shared" ca="1" si="126"/>
        <v>0</v>
      </c>
      <c r="CK107" s="164">
        <f t="shared" ca="1" si="127"/>
        <v>0</v>
      </c>
      <c r="CL107" s="164">
        <f t="shared" ca="1" si="128"/>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4">
        <f ca="1">Construction!DF107/Construction!E107</f>
        <v>0.15</v>
      </c>
      <c r="CR107" s="465">
        <f t="shared" si="165"/>
        <v>0</v>
      </c>
      <c r="CS107" s="465">
        <f>Construction!BK107/Construction!E107</f>
        <v>0.05</v>
      </c>
      <c r="CT107" s="465">
        <f>Construction!BJ107/Construction!E107</f>
        <v>0</v>
      </c>
      <c r="CU107" s="465">
        <f>Construction!AY107/Construction!E107</f>
        <v>0</v>
      </c>
      <c r="CV107" s="480">
        <f t="shared" ca="1" si="183"/>
        <v>0.74999999999999989</v>
      </c>
      <c r="CW107" s="481">
        <f t="shared" ca="1" si="184"/>
        <v>0.74999999999999989</v>
      </c>
      <c r="CX107" s="481">
        <f t="shared" ca="1" si="185"/>
        <v>0.74999999999999989</v>
      </c>
      <c r="CY107" s="482">
        <f t="shared" ca="1" si="186"/>
        <v>0.74999999999999989</v>
      </c>
      <c r="CZ107" s="482">
        <f t="shared" si="187"/>
        <v>0</v>
      </c>
      <c r="DA107" s="482">
        <f t="shared" ca="1" si="188"/>
        <v>2.9999999999999996</v>
      </c>
      <c r="DB107" s="482">
        <f t="shared" ca="1" si="189"/>
        <v>0.74999999999999989</v>
      </c>
      <c r="DC107" s="481">
        <f t="shared" si="190"/>
        <v>0</v>
      </c>
      <c r="DD107" s="842">
        <f t="shared" si="191"/>
        <v>0</v>
      </c>
      <c r="DE107" s="439">
        <f t="shared" si="166"/>
        <v>0</v>
      </c>
      <c r="DF107" s="439">
        <f t="shared" si="167"/>
        <v>0</v>
      </c>
      <c r="DG107" s="480">
        <f t="shared" ca="1" si="192"/>
        <v>0.74999999999999989</v>
      </c>
      <c r="DH107" s="449">
        <f t="shared" si="193"/>
        <v>0</v>
      </c>
      <c r="DI107" s="449">
        <f>MIN(valkyrja_cap,Production!O107/valkyrja_bonus)</f>
        <v>1</v>
      </c>
      <c r="DJ107" s="842">
        <f>MIN(voodoo_magi_cap,Production!O107/voodoo_magi_bonus)</f>
        <v>0.83333333333333337</v>
      </c>
      <c r="DK107" s="842">
        <f>MIN(warlock_cap,Production!O107/warlock_bonus)</f>
        <v>1</v>
      </c>
      <c r="DL107" s="842">
        <f ca="1">MIN(nox_nightshade_cap,Construction!DF107/Construction!E107/nox_nightshade_swamp_bonus)</f>
        <v>1.4999999999999998</v>
      </c>
      <c r="DM107" s="481">
        <f t="shared" si="194"/>
        <v>0</v>
      </c>
      <c r="DN107" s="482">
        <f t="shared" ca="1" si="195"/>
        <v>1.4999999999999998</v>
      </c>
      <c r="DO107" s="482">
        <f t="shared" ca="1" si="196"/>
        <v>1.4999999999999998</v>
      </c>
      <c r="DP107" s="482">
        <f t="shared" si="197"/>
        <v>1</v>
      </c>
      <c r="DQ107" s="481">
        <f t="shared" si="198"/>
        <v>0</v>
      </c>
      <c r="DR107" s="482">
        <f t="shared" si="199"/>
        <v>0</v>
      </c>
      <c r="DS107" s="481">
        <f t="shared" si="200"/>
        <v>0</v>
      </c>
      <c r="DT107" s="482">
        <f t="shared" si="201"/>
        <v>0</v>
      </c>
      <c r="DX107" s="486">
        <f ca="1">MIN(6,CV107+Races!$F$19)*1.8 +  IF(CV107+Races!$F$19&gt;6,(CV107+Races!$F$19-6)*0.2,0) - Races!$N$19</f>
        <v>1.3500000000000005</v>
      </c>
      <c r="DY107" s="487">
        <f ca="1">1.8 * MIN(MAX(CW107+Races!$E$20,CX107+Races!$F$20),6)  +  0.45 * MIN(MIN(CW107+Races!$E$20,CX107+Races!$F$20),6)  +  0.2 * ( MAX(CW107+Races!$E$20-6,0) + MAX(CX107+Races!$F$20-6,0) )  -  Races!$N$20</f>
        <v>1.6874999999999991</v>
      </c>
      <c r="DZ107" s="57">
        <f t="shared" ca="1" si="202"/>
        <v>0</v>
      </c>
      <c r="EA107" s="663">
        <f ca="1">MIN(6,CY107+Races!$F$35)*1.8 +  IF(CY107+Races!$F$35&gt;6,(CY107+Races!$F$35-6)*0.2,0) - Races!$N$19</f>
        <v>-0.45000000000000018</v>
      </c>
      <c r="EB107" s="57">
        <f t="shared" ca="1" si="203"/>
        <v>0</v>
      </c>
      <c r="EC107" s="663">
        <f ca="1">1.8 * MIN(MAX(Races!$E$27,DB107+Races!$F$27),6)  +  0.45 * MIN(MIN(Races!$E$27,DB107+Races!$F$27),6)  +  0.2 * ( MAX(Races!$E$27-6,0) + MAX(DB107+Races!$F$27-6,0) )  -  Races!$N$20</f>
        <v>3.6000000000000005</v>
      </c>
      <c r="ED107" s="57">
        <f t="shared" ca="1" si="204"/>
        <v>0</v>
      </c>
      <c r="EE107" s="663">
        <f>1.8 * MIN(MAX(DC107+Races!$E$47,DD107+Races!$F$47),6)  +  0.45 * MIN(MIN(DC107+Races!$E$47,DD107+Races!$F$47),6)  +  0.2 * ( MAX(DC107+Races!$E$47-6,0) + MAX(DD107+Races!$F$47-6,0) )  -  Races!$N$47</f>
        <v>0</v>
      </c>
      <c r="EF107" s="57">
        <f t="shared" si="205"/>
        <v>0</v>
      </c>
      <c r="EG107" s="663">
        <f ca="1">1.8 * MIN(MAX(DG107+Races!$F$71,Races!$E$71),6)  +  0.45 * MIN(MIN(DG107+Races!$F$71,Races!$E$71),6)  +  0.2 * ( MAX(DG107+Races!$F$71-6,0) + MAX(Races!$E$71-6,0) )  -  Races!$N$71</f>
        <v>1.3499999999999996</v>
      </c>
      <c r="EH107" s="663">
        <f>1.8 * MIN(MAX(DH107+Races!$E$71,Races!$F$71),6)  +  0.45 * MIN(MIN(DH107+Races!$E$71,Races!$F$71),6)  +  0.2 * ( MAX(DH107+Races!$E$71-6,0) + MAX(Races!$F$71-6,0) )  -  Races!$N$71</f>
        <v>0</v>
      </c>
      <c r="EI107" s="57">
        <f t="shared" ca="1" si="206"/>
        <v>0</v>
      </c>
      <c r="EJ107" s="57"/>
      <c r="EK107" s="57"/>
      <c r="EL107" s="57"/>
      <c r="EM107" s="57">
        <f ca="1">Overview!$L$22*E107+Overview!$L$23*F107+Overview!$L$24*G107+Overview!$L$25*H107+Overview!$L$26*I107+Overview!$L$27*J107+Overview!$L$28*K107+Construction!E107*20+Construction!B107*5 + DZ107*$DV$4+EB107*$DV$5+ED107*$DV$6+EF107*$DV$7+EI107*$DV$9</f>
        <v>20900</v>
      </c>
      <c r="EO107" s="734">
        <f>(J107+2*K107)/Construction!E107</f>
        <v>0</v>
      </c>
      <c r="EP107" s="730">
        <f ca="1">EO107*(1+race_wizard_strength+tech_magical_weaponry_wiz*Techs!AV179)</f>
        <v>0</v>
      </c>
      <c r="EQ107" s="16">
        <f>(I107+halfer*H107/3)/Construction!E107</f>
        <v>0</v>
      </c>
    </row>
    <row r="108" spans="1:147" s="16" customFormat="1" x14ac:dyDescent="0.25">
      <c r="A108" s="627">
        <f>Rezone!J108</f>
        <v>106</v>
      </c>
      <c r="B108" s="56">
        <f ca="1">SUM(E108:K108)+SUM(AF100:AG108)+SUM(AH97:AL108)+Z108+Explore!AL108</f>
        <v>5295</v>
      </c>
      <c r="C108" s="97">
        <f ca="1">Population!G108</f>
        <v>0.74159663865546221</v>
      </c>
      <c r="E108" s="52">
        <f t="shared" si="169"/>
        <v>0</v>
      </c>
      <c r="F108" s="16">
        <f t="shared" si="170"/>
        <v>0</v>
      </c>
      <c r="G108" s="16">
        <f t="shared" si="171"/>
        <v>0</v>
      </c>
      <c r="H108" s="16">
        <f t="shared" si="172"/>
        <v>0</v>
      </c>
      <c r="I108" s="16">
        <f t="shared" si="173"/>
        <v>0</v>
      </c>
      <c r="J108" s="16">
        <f t="shared" si="174"/>
        <v>0</v>
      </c>
      <c r="K108" s="53">
        <f t="shared" si="175"/>
        <v>0</v>
      </c>
      <c r="M108" s="64">
        <f ca="1">Production!G108</f>
        <v>20900</v>
      </c>
      <c r="O108" s="234">
        <f t="shared" ca="1" si="179"/>
        <v>0</v>
      </c>
      <c r="P108" s="454">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53"/>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80"/>
        <v>5295</v>
      </c>
      <c r="T108" s="1047">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1">
        <f t="shared" ca="1" si="154"/>
        <v>0</v>
      </c>
      <c r="V108" s="308">
        <f t="shared" ca="1" si="155"/>
        <v>5295</v>
      </c>
      <c r="W108" s="310">
        <f>Construction!E108</f>
        <v>1000</v>
      </c>
      <c r="X108" s="367"/>
      <c r="Y108" s="146">
        <f t="shared" si="178"/>
        <v>0.4</v>
      </c>
      <c r="Z108" s="166">
        <f ca="1">Z107+Population!Z107 - IF(race="Lux",AF108,SUM(AF108:AK108)) - BE108 + SUM(BF108:BL108) - Explore!AI108</f>
        <v>5295</v>
      </c>
      <c r="AA108" s="164"/>
      <c r="AB108" s="91">
        <f>(Construction!$BA108+Construction!BY108)/(Construction!$E108-Explore!S108*20)</f>
        <v>0</v>
      </c>
      <c r="AC108" s="1516">
        <f ca="1">Imps!AE108</f>
        <v>0</v>
      </c>
      <c r="AD108" s="795">
        <f>Rezone!J108</f>
        <v>106</v>
      </c>
      <c r="AE108" s="587">
        <f>Explore!AA108</f>
        <v>43769.093749999745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81"/>
        <v>0</v>
      </c>
      <c r="AV108" s="164">
        <f t="shared" ca="1" si="182"/>
        <v>0</v>
      </c>
      <c r="AW108" s="164">
        <f t="shared" ca="1" si="156"/>
        <v>0</v>
      </c>
      <c r="AX108" s="164">
        <f t="shared" ca="1" si="157"/>
        <v>0</v>
      </c>
      <c r="AY108" s="164">
        <f t="shared" ca="1" si="158"/>
        <v>0</v>
      </c>
      <c r="AZ108" s="164">
        <f t="shared" ca="1" si="159"/>
        <v>0</v>
      </c>
      <c r="BA108" s="166">
        <f t="shared" ca="1" si="160"/>
        <v>0</v>
      </c>
      <c r="BB108" s="16">
        <v>34</v>
      </c>
      <c r="BC108" s="572">
        <f t="shared" si="161"/>
        <v>43769.093749999745</v>
      </c>
      <c r="BD108" s="148">
        <f t="shared" ca="1" si="162"/>
        <v>5295</v>
      </c>
      <c r="BE108" s="356"/>
      <c r="BF108" s="348"/>
      <c r="BG108" s="348"/>
      <c r="BH108" s="348"/>
      <c r="BI108" s="348"/>
      <c r="BJ108" s="348"/>
      <c r="BK108" s="348"/>
      <c r="BL108" s="357"/>
      <c r="BN108" s="501">
        <f>Construction!BM108/Construction!E108</f>
        <v>0</v>
      </c>
      <c r="BO108" s="171">
        <f>Construction!BD108/Construction!E108</f>
        <v>0</v>
      </c>
      <c r="BP108" s="152">
        <f ca="1">ROUNDUP((1-MIN(AB108*smithy_bonus,smithy_bonus_cap)-AC108)*(1+Techs!AO108*tech_master_of_frugality)*spec_op_plat,0)</f>
        <v>275</v>
      </c>
      <c r="BQ108" s="164">
        <f ca="1">ROUNDUP(IF(OR(race="Gnome",race="Imperial Gnome"),1-AC108,(1-MIN(AB108*smithy_bonus,smithy_bonus_cap)-AC108)*(1+Techs!AO108*tech_master_of_frugality))*spec_op_ore,0)</f>
        <v>25</v>
      </c>
      <c r="BR108" s="164">
        <f t="shared" si="116"/>
        <v>0</v>
      </c>
      <c r="BS108" s="164">
        <f t="shared" si="117"/>
        <v>0</v>
      </c>
      <c r="BT108" s="164">
        <f ca="1">ROUNDUP((1-MIN(AB108*smithy_bonus,smithy_bonus_cap)-AC108)*(1+Techs!AO108*tech_master_of_frugality)*spec_dp_plat,0)</f>
        <v>275</v>
      </c>
      <c r="BU108" s="164">
        <f ca="1">ROUNDUP(IF(OR(race="Gnome",race="Imperial Gnome"),1-AC108,(1-MIN(AB108*smithy_bonus,smithy_bonus_cap)-AC108)*(1+Techs!AO108*tech_master_of_frugality))*spec_dp_ore,0)</f>
        <v>10</v>
      </c>
      <c r="BV108" s="164">
        <f t="shared" ca="1" si="118"/>
        <v>0</v>
      </c>
      <c r="BW108" s="164">
        <f t="shared" ca="1" si="119"/>
        <v>0</v>
      </c>
      <c r="BX108" s="164">
        <f t="shared" ca="1" si="120"/>
        <v>0</v>
      </c>
      <c r="BY108" s="164">
        <f ca="1">ROUNDUP((1-MIN(AB108*smithy_bonus,smithy_bonus_cap)-AC108)*(1+Techs!AO108*tech_master_of_frugality)*elite1_plat,0)</f>
        <v>1000</v>
      </c>
      <c r="BZ108" s="164">
        <f ca="1">ROUNDUP(IF(OR(race="Gnome",race="Imperial Gnome"),1-AC108,(1-MIN(AB108*smithy_bonus,smithy_bonus_cap)-AC108)*(1+Techs!AO108*tech_master_of_frugality))*elite1_ore,0)</f>
        <v>75</v>
      </c>
      <c r="CA108" s="164">
        <f t="shared" ca="1" si="163"/>
        <v>0</v>
      </c>
      <c r="CB108" s="164">
        <f t="shared" ca="1" si="121"/>
        <v>0</v>
      </c>
      <c r="CC108" s="164">
        <f t="shared" ca="1" si="122"/>
        <v>0</v>
      </c>
      <c r="CD108" s="164">
        <f t="shared" ca="1" si="123"/>
        <v>0</v>
      </c>
      <c r="CE108" s="164">
        <f t="shared" ca="1" si="124"/>
        <v>0</v>
      </c>
      <c r="CF108" s="164">
        <f ca="1">ROUNDUP((1-MIN(AB108*smithy_bonus,smithy_bonus_cap)-AC108)*(1+Techs!AO108*tech_master_of_frugality)*elite2_plat,0)</f>
        <v>1250</v>
      </c>
      <c r="CG108" s="164">
        <f ca="1">ROUNDUP(IF(OR(race="Gnome",race="Imperial Gnome"),1-AC108,(1-MIN(AB108*smithy_bonus,smithy_bonus_cap)-AC108)*(1+Techs!AO108*tech_master_of_frugality))*elite2_ore,0)</f>
        <v>100</v>
      </c>
      <c r="CH108" s="164">
        <f t="shared" ca="1" si="164"/>
        <v>0</v>
      </c>
      <c r="CI108" s="164">
        <f t="shared" ca="1" si="125"/>
        <v>0</v>
      </c>
      <c r="CJ108" s="164">
        <f t="shared" ca="1" si="126"/>
        <v>0</v>
      </c>
      <c r="CK108" s="164">
        <f t="shared" ca="1" si="127"/>
        <v>0</v>
      </c>
      <c r="CL108" s="164">
        <f t="shared" ca="1" si="128"/>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4">
        <f ca="1">Construction!DF108/Construction!E108</f>
        <v>0.15</v>
      </c>
      <c r="CR108" s="465">
        <f t="shared" si="165"/>
        <v>0</v>
      </c>
      <c r="CS108" s="465">
        <f>Construction!BK108/Construction!E108</f>
        <v>0.05</v>
      </c>
      <c r="CT108" s="465">
        <f>Construction!BJ108/Construction!E108</f>
        <v>0</v>
      </c>
      <c r="CU108" s="465">
        <f>Construction!AY108/Construction!E108</f>
        <v>0</v>
      </c>
      <c r="CV108" s="480">
        <f t="shared" ca="1" si="183"/>
        <v>0.74999999999999989</v>
      </c>
      <c r="CW108" s="481">
        <f t="shared" ca="1" si="184"/>
        <v>0.74999999999999989</v>
      </c>
      <c r="CX108" s="481">
        <f t="shared" ca="1" si="185"/>
        <v>0.74999999999999989</v>
      </c>
      <c r="CY108" s="482">
        <f t="shared" ca="1" si="186"/>
        <v>0.74999999999999989</v>
      </c>
      <c r="CZ108" s="482">
        <f t="shared" si="187"/>
        <v>0</v>
      </c>
      <c r="DA108" s="482">
        <f t="shared" ca="1" si="188"/>
        <v>2.9999999999999996</v>
      </c>
      <c r="DB108" s="482">
        <f t="shared" ca="1" si="189"/>
        <v>0.74999999999999989</v>
      </c>
      <c r="DC108" s="481">
        <f t="shared" si="190"/>
        <v>0</v>
      </c>
      <c r="DD108" s="842">
        <f t="shared" si="191"/>
        <v>0</v>
      </c>
      <c r="DE108" s="439">
        <f t="shared" si="166"/>
        <v>0</v>
      </c>
      <c r="DF108" s="439">
        <f t="shared" si="167"/>
        <v>0</v>
      </c>
      <c r="DG108" s="480">
        <f t="shared" ca="1" si="192"/>
        <v>0.74999999999999989</v>
      </c>
      <c r="DH108" s="449">
        <f t="shared" si="193"/>
        <v>0</v>
      </c>
      <c r="DI108" s="449">
        <f>MIN(valkyrja_cap,Production!O108/valkyrja_bonus)</f>
        <v>1</v>
      </c>
      <c r="DJ108" s="842">
        <f>MIN(voodoo_magi_cap,Production!O108/voodoo_magi_bonus)</f>
        <v>0.83333333333333337</v>
      </c>
      <c r="DK108" s="842">
        <f>MIN(warlock_cap,Production!O108/warlock_bonus)</f>
        <v>1</v>
      </c>
      <c r="DL108" s="842">
        <f ca="1">MIN(nox_nightshade_cap,Construction!DF108/Construction!E108/nox_nightshade_swamp_bonus)</f>
        <v>1.4999999999999998</v>
      </c>
      <c r="DM108" s="481">
        <f t="shared" si="194"/>
        <v>0</v>
      </c>
      <c r="DN108" s="482">
        <f t="shared" ca="1" si="195"/>
        <v>1.4999999999999998</v>
      </c>
      <c r="DO108" s="482">
        <f t="shared" ca="1" si="196"/>
        <v>1.4999999999999998</v>
      </c>
      <c r="DP108" s="482">
        <f t="shared" si="197"/>
        <v>1</v>
      </c>
      <c r="DQ108" s="481">
        <f t="shared" si="198"/>
        <v>0</v>
      </c>
      <c r="DR108" s="482">
        <f t="shared" si="199"/>
        <v>0</v>
      </c>
      <c r="DS108" s="481">
        <f t="shared" si="200"/>
        <v>0</v>
      </c>
      <c r="DT108" s="482">
        <f t="shared" si="201"/>
        <v>0</v>
      </c>
      <c r="DX108" s="486">
        <f ca="1">MIN(6,CV108+Races!$F$19)*1.8 +  IF(CV108+Races!$F$19&gt;6,(CV108+Races!$F$19-6)*0.2,0) - Races!$N$19</f>
        <v>1.3500000000000005</v>
      </c>
      <c r="DY108" s="487">
        <f ca="1">1.8 * MIN(MAX(CW108+Races!$E$20,CX108+Races!$F$20),6)  +  0.45 * MIN(MIN(CW108+Races!$E$20,CX108+Races!$F$20),6)  +  0.2 * ( MAX(CW108+Races!$E$20-6,0) + MAX(CX108+Races!$F$20-6,0) )  -  Races!$N$20</f>
        <v>1.6874999999999991</v>
      </c>
      <c r="DZ108" s="57">
        <f t="shared" ca="1" si="202"/>
        <v>0</v>
      </c>
      <c r="EA108" s="663">
        <f ca="1">MIN(6,CY108+Races!$F$35)*1.8 +  IF(CY108+Races!$F$35&gt;6,(CY108+Races!$F$35-6)*0.2,0) - Races!$N$19</f>
        <v>-0.45000000000000018</v>
      </c>
      <c r="EB108" s="57">
        <f t="shared" ca="1" si="203"/>
        <v>0</v>
      </c>
      <c r="EC108" s="663">
        <f ca="1">1.8 * MIN(MAX(Races!$E$27,DB108+Races!$F$27),6)  +  0.45 * MIN(MIN(Races!$E$27,DB108+Races!$F$27),6)  +  0.2 * ( MAX(Races!$E$27-6,0) + MAX(DB108+Races!$F$27-6,0) )  -  Races!$N$20</f>
        <v>3.6000000000000005</v>
      </c>
      <c r="ED108" s="57">
        <f t="shared" ca="1" si="204"/>
        <v>0</v>
      </c>
      <c r="EE108" s="663">
        <f>1.8 * MIN(MAX(DC108+Races!$E$47,DD108+Races!$F$47),6)  +  0.45 * MIN(MIN(DC108+Races!$E$47,DD108+Races!$F$47),6)  +  0.2 * ( MAX(DC108+Races!$E$47-6,0) + MAX(DD108+Races!$F$47-6,0) )  -  Races!$N$47</f>
        <v>0</v>
      </c>
      <c r="EF108" s="57">
        <f t="shared" si="205"/>
        <v>0</v>
      </c>
      <c r="EG108" s="663">
        <f ca="1">1.8 * MIN(MAX(DG108+Races!$F$71,Races!$E$71),6)  +  0.45 * MIN(MIN(DG108+Races!$F$71,Races!$E$71),6)  +  0.2 * ( MAX(DG108+Races!$F$71-6,0) + MAX(Races!$E$71-6,0) )  -  Races!$N$71</f>
        <v>1.3499999999999996</v>
      </c>
      <c r="EH108" s="663">
        <f>1.8 * MIN(MAX(DH108+Races!$E$71,Races!$F$71),6)  +  0.45 * MIN(MIN(DH108+Races!$E$71,Races!$F$71),6)  +  0.2 * ( MAX(DH108+Races!$E$71-6,0) + MAX(Races!$F$71-6,0) )  -  Races!$N$71</f>
        <v>0</v>
      </c>
      <c r="EI108" s="57">
        <f t="shared" ca="1" si="206"/>
        <v>0</v>
      </c>
      <c r="EJ108" s="57"/>
      <c r="EK108" s="57"/>
      <c r="EL108" s="57"/>
      <c r="EM108" s="57">
        <f ca="1">Overview!$L$22*E108+Overview!$L$23*F108+Overview!$L$24*G108+Overview!$L$25*H108+Overview!$L$26*I108+Overview!$L$27*J108+Overview!$L$28*K108+Construction!E108*20+Construction!B108*5 + DZ108*$DV$4+EB108*$DV$5+ED108*$DV$6+EF108*$DV$7+EI108*$DV$9</f>
        <v>20900</v>
      </c>
      <c r="EO108" s="734">
        <f>(J108+2*K108)/Construction!E108</f>
        <v>0</v>
      </c>
      <c r="EP108" s="730">
        <f ca="1">EO108*(1+race_wizard_strength+tech_magical_weaponry_wiz*Techs!AV180)</f>
        <v>0</v>
      </c>
      <c r="EQ108" s="16">
        <f>(I108+halfer*H108/3)/Construction!E108</f>
        <v>0</v>
      </c>
    </row>
    <row r="109" spans="1:147" s="16" customFormat="1" x14ac:dyDescent="0.25">
      <c r="A109" s="627">
        <f>Rezone!J109</f>
        <v>107</v>
      </c>
      <c r="B109" s="56">
        <f ca="1">SUM(E109:K109)+SUM(AF101:AG109)+SUM(AH98:AL109)+Z109+Explore!AL109</f>
        <v>5295</v>
      </c>
      <c r="C109" s="97">
        <f ca="1">Population!G109</f>
        <v>0.74159663865546221</v>
      </c>
      <c r="E109" s="52">
        <f t="shared" si="169"/>
        <v>0</v>
      </c>
      <c r="F109" s="16">
        <f t="shared" si="170"/>
        <v>0</v>
      </c>
      <c r="G109" s="16">
        <f t="shared" si="171"/>
        <v>0</v>
      </c>
      <c r="H109" s="16">
        <f t="shared" si="172"/>
        <v>0</v>
      </c>
      <c r="I109" s="16">
        <f t="shared" si="173"/>
        <v>0</v>
      </c>
      <c r="J109" s="16">
        <f t="shared" si="174"/>
        <v>0</v>
      </c>
      <c r="K109" s="53">
        <f t="shared" si="175"/>
        <v>0</v>
      </c>
      <c r="M109" s="64">
        <f ca="1">Production!G109</f>
        <v>20900</v>
      </c>
      <c r="O109" s="234">
        <f t="shared" ca="1" si="179"/>
        <v>0</v>
      </c>
      <c r="P109" s="454">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53"/>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80"/>
        <v>5295</v>
      </c>
      <c r="T109" s="1047">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1">
        <f t="shared" ca="1" si="154"/>
        <v>0</v>
      </c>
      <c r="V109" s="308">
        <f t="shared" ca="1" si="155"/>
        <v>5295</v>
      </c>
      <c r="W109" s="310">
        <f>Construction!E109</f>
        <v>1000</v>
      </c>
      <c r="X109" s="367"/>
      <c r="Y109" s="146">
        <f t="shared" si="178"/>
        <v>0.4</v>
      </c>
      <c r="Z109" s="166">
        <f ca="1">Z108+Population!Z108 - IF(race="Lux",AF109,SUM(AF109:AK109)) - BE109 + SUM(BF109:BL109) - Explore!AI109</f>
        <v>5295</v>
      </c>
      <c r="AA109" s="164"/>
      <c r="AB109" s="91">
        <f>(Construction!$BA109+Construction!BY109)/(Construction!$E109-Explore!S109*20)</f>
        <v>0</v>
      </c>
      <c r="AC109" s="1516">
        <f ca="1">Imps!AE109</f>
        <v>0</v>
      </c>
      <c r="AD109" s="795">
        <f>Rezone!J109</f>
        <v>107</v>
      </c>
      <c r="AE109" s="587">
        <f>Explore!AA109</f>
        <v>43769.10416666641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81"/>
        <v>0</v>
      </c>
      <c r="AV109" s="164">
        <f t="shared" ca="1" si="182"/>
        <v>0</v>
      </c>
      <c r="AW109" s="164">
        <f t="shared" ca="1" si="156"/>
        <v>0</v>
      </c>
      <c r="AX109" s="164">
        <f t="shared" ca="1" si="157"/>
        <v>0</v>
      </c>
      <c r="AY109" s="164">
        <f t="shared" ca="1" si="158"/>
        <v>0</v>
      </c>
      <c r="AZ109" s="164">
        <f t="shared" ca="1" si="159"/>
        <v>0</v>
      </c>
      <c r="BA109" s="166">
        <f t="shared" ca="1" si="160"/>
        <v>0</v>
      </c>
      <c r="BB109" s="16">
        <v>35</v>
      </c>
      <c r="BC109" s="572">
        <f t="shared" si="161"/>
        <v>43769.10416666641</v>
      </c>
      <c r="BD109" s="148">
        <f t="shared" ca="1" si="162"/>
        <v>5295</v>
      </c>
      <c r="BE109" s="356"/>
      <c r="BF109" s="348"/>
      <c r="BG109" s="348"/>
      <c r="BH109" s="348"/>
      <c r="BI109" s="348"/>
      <c r="BJ109" s="348"/>
      <c r="BK109" s="348"/>
      <c r="BL109" s="357"/>
      <c r="BN109" s="501">
        <f>Construction!BM109/Construction!E109</f>
        <v>0</v>
      </c>
      <c r="BO109" s="171">
        <f>Construction!BD109/Construction!E109</f>
        <v>0</v>
      </c>
      <c r="BP109" s="152">
        <f ca="1">ROUNDUP((1-MIN(AB109*smithy_bonus,smithy_bonus_cap)-AC109)*(1+Techs!AO109*tech_master_of_frugality)*spec_op_plat,0)</f>
        <v>275</v>
      </c>
      <c r="BQ109" s="164">
        <f ca="1">ROUNDUP(IF(OR(race="Gnome",race="Imperial Gnome"),1-AC109,(1-MIN(AB109*smithy_bonus,smithy_bonus_cap)-AC109)*(1+Techs!AO109*tech_master_of_frugality))*spec_op_ore,0)</f>
        <v>25</v>
      </c>
      <c r="BR109" s="164">
        <f t="shared" si="116"/>
        <v>0</v>
      </c>
      <c r="BS109" s="164">
        <f t="shared" si="117"/>
        <v>0</v>
      </c>
      <c r="BT109" s="164">
        <f ca="1">ROUNDUP((1-MIN(AB109*smithy_bonus,smithy_bonus_cap)-AC109)*(1+Techs!AO109*tech_master_of_frugality)*spec_dp_plat,0)</f>
        <v>275</v>
      </c>
      <c r="BU109" s="164">
        <f ca="1">ROUNDUP(IF(OR(race="Gnome",race="Imperial Gnome"),1-AC109,(1-MIN(AB109*smithy_bonus,smithy_bonus_cap)-AC109)*(1+Techs!AO109*tech_master_of_frugality))*spec_dp_ore,0)</f>
        <v>10</v>
      </c>
      <c r="BV109" s="164">
        <f t="shared" ca="1" si="118"/>
        <v>0</v>
      </c>
      <c r="BW109" s="164">
        <f t="shared" ca="1" si="119"/>
        <v>0</v>
      </c>
      <c r="BX109" s="164">
        <f t="shared" ca="1" si="120"/>
        <v>0</v>
      </c>
      <c r="BY109" s="164">
        <f ca="1">ROUNDUP((1-MIN(AB109*smithy_bonus,smithy_bonus_cap)-AC109)*(1+Techs!AO109*tech_master_of_frugality)*elite1_plat,0)</f>
        <v>1000</v>
      </c>
      <c r="BZ109" s="164">
        <f ca="1">ROUNDUP(IF(OR(race="Gnome",race="Imperial Gnome"),1-AC109,(1-MIN(AB109*smithy_bonus,smithy_bonus_cap)-AC109)*(1+Techs!AO109*tech_master_of_frugality))*elite1_ore,0)</f>
        <v>75</v>
      </c>
      <c r="CA109" s="164">
        <f t="shared" ca="1" si="163"/>
        <v>0</v>
      </c>
      <c r="CB109" s="164">
        <f t="shared" ca="1" si="121"/>
        <v>0</v>
      </c>
      <c r="CC109" s="164">
        <f t="shared" ca="1" si="122"/>
        <v>0</v>
      </c>
      <c r="CD109" s="164">
        <f t="shared" ca="1" si="123"/>
        <v>0</v>
      </c>
      <c r="CE109" s="164">
        <f t="shared" ca="1" si="124"/>
        <v>0</v>
      </c>
      <c r="CF109" s="164">
        <f ca="1">ROUNDUP((1-MIN(AB109*smithy_bonus,smithy_bonus_cap)-AC109)*(1+Techs!AO109*tech_master_of_frugality)*elite2_plat,0)</f>
        <v>1250</v>
      </c>
      <c r="CG109" s="164">
        <f ca="1">ROUNDUP(IF(OR(race="Gnome",race="Imperial Gnome"),1-AC109,(1-MIN(AB109*smithy_bonus,smithy_bonus_cap)-AC109)*(1+Techs!AO109*tech_master_of_frugality))*elite2_ore,0)</f>
        <v>100</v>
      </c>
      <c r="CH109" s="164">
        <f t="shared" ca="1" si="164"/>
        <v>0</v>
      </c>
      <c r="CI109" s="164">
        <f t="shared" ca="1" si="125"/>
        <v>0</v>
      </c>
      <c r="CJ109" s="164">
        <f t="shared" ca="1" si="126"/>
        <v>0</v>
      </c>
      <c r="CK109" s="164">
        <f t="shared" ca="1" si="127"/>
        <v>0</v>
      </c>
      <c r="CL109" s="164">
        <f t="shared" ca="1" si="128"/>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4">
        <f ca="1">Construction!DF109/Construction!E109</f>
        <v>0.15</v>
      </c>
      <c r="CR109" s="465">
        <f t="shared" si="165"/>
        <v>0</v>
      </c>
      <c r="CS109" s="465">
        <f>Construction!BK109/Construction!E109</f>
        <v>0.05</v>
      </c>
      <c r="CT109" s="465">
        <f>Construction!BJ109/Construction!E109</f>
        <v>0</v>
      </c>
      <c r="CU109" s="465">
        <f>Construction!AY109/Construction!E109</f>
        <v>0</v>
      </c>
      <c r="CV109" s="480">
        <f t="shared" ca="1" si="183"/>
        <v>0.74999999999999989</v>
      </c>
      <c r="CW109" s="481">
        <f t="shared" ca="1" si="184"/>
        <v>0.74999999999999989</v>
      </c>
      <c r="CX109" s="481">
        <f t="shared" ca="1" si="185"/>
        <v>0.74999999999999989</v>
      </c>
      <c r="CY109" s="482">
        <f t="shared" ca="1" si="186"/>
        <v>0.74999999999999989</v>
      </c>
      <c r="CZ109" s="482">
        <f t="shared" si="187"/>
        <v>0</v>
      </c>
      <c r="DA109" s="482">
        <f t="shared" ca="1" si="188"/>
        <v>2.9999999999999996</v>
      </c>
      <c r="DB109" s="482">
        <f t="shared" ca="1" si="189"/>
        <v>0.74999999999999989</v>
      </c>
      <c r="DC109" s="481">
        <f t="shared" si="190"/>
        <v>0</v>
      </c>
      <c r="DD109" s="842">
        <f t="shared" si="191"/>
        <v>0</v>
      </c>
      <c r="DE109" s="439">
        <f t="shared" si="166"/>
        <v>0</v>
      </c>
      <c r="DF109" s="439">
        <f t="shared" si="167"/>
        <v>0</v>
      </c>
      <c r="DG109" s="480">
        <f t="shared" ca="1" si="192"/>
        <v>0.74999999999999989</v>
      </c>
      <c r="DH109" s="449">
        <f t="shared" si="193"/>
        <v>0</v>
      </c>
      <c r="DI109" s="449">
        <f>MIN(valkyrja_cap,Production!O109/valkyrja_bonus)</f>
        <v>1</v>
      </c>
      <c r="DJ109" s="842">
        <f>MIN(voodoo_magi_cap,Production!O109/voodoo_magi_bonus)</f>
        <v>0.83333333333333337</v>
      </c>
      <c r="DK109" s="842">
        <f>MIN(warlock_cap,Production!O109/warlock_bonus)</f>
        <v>1</v>
      </c>
      <c r="DL109" s="842">
        <f ca="1">MIN(nox_nightshade_cap,Construction!DF109/Construction!E109/nox_nightshade_swamp_bonus)</f>
        <v>1.4999999999999998</v>
      </c>
      <c r="DM109" s="481">
        <f t="shared" si="194"/>
        <v>0</v>
      </c>
      <c r="DN109" s="482">
        <f t="shared" ca="1" si="195"/>
        <v>1.4999999999999998</v>
      </c>
      <c r="DO109" s="482">
        <f t="shared" ca="1" si="196"/>
        <v>1.4999999999999998</v>
      </c>
      <c r="DP109" s="482">
        <f t="shared" si="197"/>
        <v>1</v>
      </c>
      <c r="DQ109" s="481">
        <f t="shared" si="198"/>
        <v>0</v>
      </c>
      <c r="DR109" s="482">
        <f t="shared" si="199"/>
        <v>0</v>
      </c>
      <c r="DS109" s="481">
        <f t="shared" si="200"/>
        <v>0</v>
      </c>
      <c r="DT109" s="482">
        <f t="shared" si="201"/>
        <v>0</v>
      </c>
      <c r="DX109" s="486">
        <f ca="1">MIN(6,CV109+Races!$F$19)*1.8 +  IF(CV109+Races!$F$19&gt;6,(CV109+Races!$F$19-6)*0.2,0) - Races!$N$19</f>
        <v>1.3500000000000005</v>
      </c>
      <c r="DY109" s="487">
        <f ca="1">1.8 * MIN(MAX(CW109+Races!$E$20,CX109+Races!$F$20),6)  +  0.45 * MIN(MIN(CW109+Races!$E$20,CX109+Races!$F$20),6)  +  0.2 * ( MAX(CW109+Races!$E$20-6,0) + MAX(CX109+Races!$F$20-6,0) )  -  Races!$N$20</f>
        <v>1.6874999999999991</v>
      </c>
      <c r="DZ109" s="57">
        <f t="shared" ca="1" si="202"/>
        <v>0</v>
      </c>
      <c r="EA109" s="663">
        <f ca="1">MIN(6,CY109+Races!$F$35)*1.8 +  IF(CY109+Races!$F$35&gt;6,(CY109+Races!$F$35-6)*0.2,0) - Races!$N$19</f>
        <v>-0.45000000000000018</v>
      </c>
      <c r="EB109" s="57">
        <f t="shared" ca="1" si="203"/>
        <v>0</v>
      </c>
      <c r="EC109" s="663">
        <f ca="1">1.8 * MIN(MAX(Races!$E$27,DB109+Races!$F$27),6)  +  0.45 * MIN(MIN(Races!$E$27,DB109+Races!$F$27),6)  +  0.2 * ( MAX(Races!$E$27-6,0) + MAX(DB109+Races!$F$27-6,0) )  -  Races!$N$20</f>
        <v>3.6000000000000005</v>
      </c>
      <c r="ED109" s="57">
        <f t="shared" ca="1" si="204"/>
        <v>0</v>
      </c>
      <c r="EE109" s="663">
        <f>1.8 * MIN(MAX(DC109+Races!$E$47,DD109+Races!$F$47),6)  +  0.45 * MIN(MIN(DC109+Races!$E$47,DD109+Races!$F$47),6)  +  0.2 * ( MAX(DC109+Races!$E$47-6,0) + MAX(DD109+Races!$F$47-6,0) )  -  Races!$N$47</f>
        <v>0</v>
      </c>
      <c r="EF109" s="57">
        <f t="shared" si="205"/>
        <v>0</v>
      </c>
      <c r="EG109" s="663">
        <f ca="1">1.8 * MIN(MAX(DG109+Races!$F$71,Races!$E$71),6)  +  0.45 * MIN(MIN(DG109+Races!$F$71,Races!$E$71),6)  +  0.2 * ( MAX(DG109+Races!$F$71-6,0) + MAX(Races!$E$71-6,0) )  -  Races!$N$71</f>
        <v>1.3499999999999996</v>
      </c>
      <c r="EH109" s="663">
        <f>1.8 * MIN(MAX(DH109+Races!$E$71,Races!$F$71),6)  +  0.45 * MIN(MIN(DH109+Races!$E$71,Races!$F$71),6)  +  0.2 * ( MAX(DH109+Races!$E$71-6,0) + MAX(Races!$F$71-6,0) )  -  Races!$N$71</f>
        <v>0</v>
      </c>
      <c r="EI109" s="57">
        <f t="shared" ca="1" si="206"/>
        <v>0</v>
      </c>
      <c r="EJ109" s="57"/>
      <c r="EK109" s="57"/>
      <c r="EL109" s="57"/>
      <c r="EM109" s="57">
        <f ca="1">Overview!$L$22*E109+Overview!$L$23*F109+Overview!$L$24*G109+Overview!$L$25*H109+Overview!$L$26*I109+Overview!$L$27*J109+Overview!$L$28*K109+Construction!E109*20+Construction!B109*5 + DZ109*$DV$4+EB109*$DV$5+ED109*$DV$6+EF109*$DV$7+EI109*$DV$9</f>
        <v>20900</v>
      </c>
      <c r="EO109" s="734">
        <f>(J109+2*K109)/Construction!E109</f>
        <v>0</v>
      </c>
      <c r="EP109" s="730">
        <f ca="1">EO109*(1+race_wizard_strength+tech_magical_weaponry_wiz*Techs!AV181)</f>
        <v>0</v>
      </c>
      <c r="EQ109" s="16">
        <f>(I109+halfer*H109/3)/Construction!E109</f>
        <v>0</v>
      </c>
    </row>
    <row r="110" spans="1:147" s="16" customFormat="1" x14ac:dyDescent="0.25">
      <c r="A110" s="627">
        <f>Rezone!J110</f>
        <v>108</v>
      </c>
      <c r="B110" s="56">
        <f ca="1">SUM(E110:K110)+SUM(AF102:AG110)+SUM(AH99:AL110)+Z110+Explore!AL110</f>
        <v>5295</v>
      </c>
      <c r="C110" s="97">
        <f ca="1">Population!G110</f>
        <v>0.74159663865546221</v>
      </c>
      <c r="E110" s="52">
        <f t="shared" si="169"/>
        <v>0</v>
      </c>
      <c r="F110" s="16">
        <f t="shared" si="170"/>
        <v>0</v>
      </c>
      <c r="G110" s="16">
        <f t="shared" si="171"/>
        <v>0</v>
      </c>
      <c r="H110" s="16">
        <f t="shared" si="172"/>
        <v>0</v>
      </c>
      <c r="I110" s="16">
        <f t="shared" si="173"/>
        <v>0</v>
      </c>
      <c r="J110" s="16">
        <f t="shared" si="174"/>
        <v>0</v>
      </c>
      <c r="K110" s="53">
        <f t="shared" si="175"/>
        <v>0</v>
      </c>
      <c r="M110" s="64">
        <f ca="1">Production!G110</f>
        <v>20900</v>
      </c>
      <c r="O110" s="234">
        <f t="shared" ca="1" si="179"/>
        <v>0</v>
      </c>
      <c r="P110" s="454">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53"/>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80"/>
        <v>5295</v>
      </c>
      <c r="T110" s="1047">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1">
        <f t="shared" ca="1" si="154"/>
        <v>0</v>
      </c>
      <c r="V110" s="308">
        <f t="shared" ca="1" si="155"/>
        <v>5295</v>
      </c>
      <c r="W110" s="310">
        <f>Construction!E110</f>
        <v>1000</v>
      </c>
      <c r="X110" s="367"/>
      <c r="Y110" s="146">
        <f t="shared" si="178"/>
        <v>0.4</v>
      </c>
      <c r="Z110" s="166">
        <f ca="1">Z109+Population!Z109 - IF(race="Lux",AF110,SUM(AF110:AK110)) - BE110 + SUM(BF110:BL110) - Explore!AI110</f>
        <v>5295</v>
      </c>
      <c r="AA110" s="164"/>
      <c r="AB110" s="91">
        <f>(Construction!$BA110+Construction!BY110)/(Construction!$E110-Explore!S110*20)</f>
        <v>0</v>
      </c>
      <c r="AC110" s="1516">
        <f ca="1">Imps!AE110</f>
        <v>0</v>
      </c>
      <c r="AD110" s="795">
        <f>Rezone!J110</f>
        <v>108</v>
      </c>
      <c r="AE110" s="587">
        <f>Explore!AA110</f>
        <v>43769.114583333074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81"/>
        <v>0</v>
      </c>
      <c r="AV110" s="164">
        <f t="shared" ca="1" si="182"/>
        <v>0</v>
      </c>
      <c r="AW110" s="164">
        <f t="shared" ca="1" si="156"/>
        <v>0</v>
      </c>
      <c r="AX110" s="164">
        <f t="shared" ca="1" si="157"/>
        <v>0</v>
      </c>
      <c r="AY110" s="164">
        <f t="shared" ca="1" si="158"/>
        <v>0</v>
      </c>
      <c r="AZ110" s="164">
        <f t="shared" ca="1" si="159"/>
        <v>0</v>
      </c>
      <c r="BA110" s="166">
        <f t="shared" ca="1" si="160"/>
        <v>0</v>
      </c>
      <c r="BB110" s="16">
        <v>36</v>
      </c>
      <c r="BC110" s="572">
        <f t="shared" si="161"/>
        <v>43769.114583333074</v>
      </c>
      <c r="BD110" s="148">
        <f t="shared" ca="1" si="162"/>
        <v>5295</v>
      </c>
      <c r="BE110" s="356"/>
      <c r="BF110" s="348"/>
      <c r="BG110" s="348"/>
      <c r="BH110" s="348"/>
      <c r="BI110" s="348"/>
      <c r="BJ110" s="348"/>
      <c r="BK110" s="348"/>
      <c r="BL110" s="357"/>
      <c r="BN110" s="501">
        <f>Construction!BM110/Construction!E110</f>
        <v>0</v>
      </c>
      <c r="BO110" s="171">
        <f>Construction!BD110/Construction!E110</f>
        <v>0</v>
      </c>
      <c r="BP110" s="152">
        <f ca="1">ROUNDUP((1-MIN(AB110*smithy_bonus,smithy_bonus_cap)-AC110)*(1+Techs!AO110*tech_master_of_frugality)*spec_op_plat,0)</f>
        <v>275</v>
      </c>
      <c r="BQ110" s="164">
        <f ca="1">ROUNDUP(IF(OR(race="Gnome",race="Imperial Gnome"),1-AC110,(1-MIN(AB110*smithy_bonus,smithy_bonus_cap)-AC110)*(1+Techs!AO110*tech_master_of_frugality))*spec_op_ore,0)</f>
        <v>25</v>
      </c>
      <c r="BR110" s="164">
        <f t="shared" si="116"/>
        <v>0</v>
      </c>
      <c r="BS110" s="164">
        <f t="shared" si="117"/>
        <v>0</v>
      </c>
      <c r="BT110" s="164">
        <f ca="1">ROUNDUP((1-MIN(AB110*smithy_bonus,smithy_bonus_cap)-AC110)*(1+Techs!AO110*tech_master_of_frugality)*spec_dp_plat,0)</f>
        <v>275</v>
      </c>
      <c r="BU110" s="164">
        <f ca="1">ROUNDUP(IF(OR(race="Gnome",race="Imperial Gnome"),1-AC110,(1-MIN(AB110*smithy_bonus,smithy_bonus_cap)-AC110)*(1+Techs!AO110*tech_master_of_frugality))*spec_dp_ore,0)</f>
        <v>10</v>
      </c>
      <c r="BV110" s="164">
        <f t="shared" ca="1" si="118"/>
        <v>0</v>
      </c>
      <c r="BW110" s="164">
        <f t="shared" ca="1" si="119"/>
        <v>0</v>
      </c>
      <c r="BX110" s="164">
        <f t="shared" ca="1" si="120"/>
        <v>0</v>
      </c>
      <c r="BY110" s="164">
        <f ca="1">ROUNDUP((1-MIN(AB110*smithy_bonus,smithy_bonus_cap)-AC110)*(1+Techs!AO110*tech_master_of_frugality)*elite1_plat,0)</f>
        <v>1000</v>
      </c>
      <c r="BZ110" s="164">
        <f ca="1">ROUNDUP(IF(OR(race="Gnome",race="Imperial Gnome"),1-AC110,(1-MIN(AB110*smithy_bonus,smithy_bonus_cap)-AC110)*(1+Techs!AO110*tech_master_of_frugality))*elite1_ore,0)</f>
        <v>75</v>
      </c>
      <c r="CA110" s="164">
        <f t="shared" ca="1" si="163"/>
        <v>0</v>
      </c>
      <c r="CB110" s="164">
        <f t="shared" ca="1" si="121"/>
        <v>0</v>
      </c>
      <c r="CC110" s="164">
        <f t="shared" ca="1" si="122"/>
        <v>0</v>
      </c>
      <c r="CD110" s="164">
        <f t="shared" ca="1" si="123"/>
        <v>0</v>
      </c>
      <c r="CE110" s="164">
        <f t="shared" ca="1" si="124"/>
        <v>0</v>
      </c>
      <c r="CF110" s="164">
        <f ca="1">ROUNDUP((1-MIN(AB110*smithy_bonus,smithy_bonus_cap)-AC110)*(1+Techs!AO110*tech_master_of_frugality)*elite2_plat,0)</f>
        <v>1250</v>
      </c>
      <c r="CG110" s="164">
        <f ca="1">ROUNDUP(IF(OR(race="Gnome",race="Imperial Gnome"),1-AC110,(1-MIN(AB110*smithy_bonus,smithy_bonus_cap)-AC110)*(1+Techs!AO110*tech_master_of_frugality))*elite2_ore,0)</f>
        <v>100</v>
      </c>
      <c r="CH110" s="164">
        <f t="shared" ca="1" si="164"/>
        <v>0</v>
      </c>
      <c r="CI110" s="164">
        <f t="shared" ca="1" si="125"/>
        <v>0</v>
      </c>
      <c r="CJ110" s="164">
        <f t="shared" ca="1" si="126"/>
        <v>0</v>
      </c>
      <c r="CK110" s="164">
        <f t="shared" ca="1" si="127"/>
        <v>0</v>
      </c>
      <c r="CL110" s="164">
        <f t="shared" ca="1" si="128"/>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4">
        <f ca="1">Construction!DF110/Construction!E110</f>
        <v>0.15</v>
      </c>
      <c r="CR110" s="465">
        <f t="shared" si="165"/>
        <v>0</v>
      </c>
      <c r="CS110" s="465">
        <f>Construction!BK110/Construction!E110</f>
        <v>0.05</v>
      </c>
      <c r="CT110" s="465">
        <f>Construction!BJ110/Construction!E110</f>
        <v>0</v>
      </c>
      <c r="CU110" s="465">
        <f>Construction!AY110/Construction!E110</f>
        <v>0</v>
      </c>
      <c r="CV110" s="480">
        <f t="shared" ca="1" si="183"/>
        <v>0.74999999999999989</v>
      </c>
      <c r="CW110" s="481">
        <f t="shared" ca="1" si="184"/>
        <v>0.74999999999999989</v>
      </c>
      <c r="CX110" s="481">
        <f t="shared" ca="1" si="185"/>
        <v>0.74999999999999989</v>
      </c>
      <c r="CY110" s="482">
        <f t="shared" ca="1" si="186"/>
        <v>0.74999999999999989</v>
      </c>
      <c r="CZ110" s="482">
        <f t="shared" si="187"/>
        <v>0</v>
      </c>
      <c r="DA110" s="482">
        <f t="shared" ca="1" si="188"/>
        <v>2.9999999999999996</v>
      </c>
      <c r="DB110" s="482">
        <f t="shared" ca="1" si="189"/>
        <v>0.74999999999999989</v>
      </c>
      <c r="DC110" s="481">
        <f t="shared" si="190"/>
        <v>0</v>
      </c>
      <c r="DD110" s="842">
        <f t="shared" si="191"/>
        <v>0</v>
      </c>
      <c r="DE110" s="439">
        <f t="shared" si="166"/>
        <v>0</v>
      </c>
      <c r="DF110" s="439">
        <f t="shared" si="167"/>
        <v>0</v>
      </c>
      <c r="DG110" s="480">
        <f t="shared" ca="1" si="192"/>
        <v>0.74999999999999989</v>
      </c>
      <c r="DH110" s="449">
        <f t="shared" si="193"/>
        <v>0</v>
      </c>
      <c r="DI110" s="449">
        <f>MIN(valkyrja_cap,Production!O110/valkyrja_bonus)</f>
        <v>1</v>
      </c>
      <c r="DJ110" s="842">
        <f>MIN(voodoo_magi_cap,Production!O110/voodoo_magi_bonus)</f>
        <v>0.83333333333333337</v>
      </c>
      <c r="DK110" s="842">
        <f>MIN(warlock_cap,Production!O110/warlock_bonus)</f>
        <v>1</v>
      </c>
      <c r="DL110" s="842">
        <f ca="1">MIN(nox_nightshade_cap,Construction!DF110/Construction!E110/nox_nightshade_swamp_bonus)</f>
        <v>1.4999999999999998</v>
      </c>
      <c r="DM110" s="481">
        <f t="shared" si="194"/>
        <v>0</v>
      </c>
      <c r="DN110" s="482">
        <f t="shared" ca="1" si="195"/>
        <v>1.4999999999999998</v>
      </c>
      <c r="DO110" s="482">
        <f t="shared" ca="1" si="196"/>
        <v>1.4999999999999998</v>
      </c>
      <c r="DP110" s="482">
        <f t="shared" si="197"/>
        <v>1</v>
      </c>
      <c r="DQ110" s="481">
        <f t="shared" si="198"/>
        <v>0</v>
      </c>
      <c r="DR110" s="482">
        <f t="shared" si="199"/>
        <v>0</v>
      </c>
      <c r="DS110" s="481">
        <f t="shared" si="200"/>
        <v>0</v>
      </c>
      <c r="DT110" s="482">
        <f t="shared" si="201"/>
        <v>0</v>
      </c>
      <c r="DX110" s="486">
        <f ca="1">MIN(6,CV110+Races!$F$19)*1.8 +  IF(CV110+Races!$F$19&gt;6,(CV110+Races!$F$19-6)*0.2,0) - Races!$N$19</f>
        <v>1.3500000000000005</v>
      </c>
      <c r="DY110" s="487">
        <f ca="1">1.8 * MIN(MAX(CW110+Races!$E$20,CX110+Races!$F$20),6)  +  0.45 * MIN(MIN(CW110+Races!$E$20,CX110+Races!$F$20),6)  +  0.2 * ( MAX(CW110+Races!$E$20-6,0) + MAX(CX110+Races!$F$20-6,0) )  -  Races!$N$20</f>
        <v>1.6874999999999991</v>
      </c>
      <c r="DZ110" s="57">
        <f t="shared" ca="1" si="202"/>
        <v>0</v>
      </c>
      <c r="EA110" s="663">
        <f ca="1">MIN(6,CY110+Races!$F$35)*1.8 +  IF(CY110+Races!$F$35&gt;6,(CY110+Races!$F$35-6)*0.2,0) - Races!$N$19</f>
        <v>-0.45000000000000018</v>
      </c>
      <c r="EB110" s="57">
        <f t="shared" ca="1" si="203"/>
        <v>0</v>
      </c>
      <c r="EC110" s="663">
        <f ca="1">1.8 * MIN(MAX(Races!$E$27,DB110+Races!$F$27),6)  +  0.45 * MIN(MIN(Races!$E$27,DB110+Races!$F$27),6)  +  0.2 * ( MAX(Races!$E$27-6,0) + MAX(DB110+Races!$F$27-6,0) )  -  Races!$N$20</f>
        <v>3.6000000000000005</v>
      </c>
      <c r="ED110" s="57">
        <f t="shared" ca="1" si="204"/>
        <v>0</v>
      </c>
      <c r="EE110" s="663">
        <f>1.8 * MIN(MAX(DC110+Races!$E$47,DD110+Races!$F$47),6)  +  0.45 * MIN(MIN(DC110+Races!$E$47,DD110+Races!$F$47),6)  +  0.2 * ( MAX(DC110+Races!$E$47-6,0) + MAX(DD110+Races!$F$47-6,0) )  -  Races!$N$47</f>
        <v>0</v>
      </c>
      <c r="EF110" s="57">
        <f t="shared" si="205"/>
        <v>0</v>
      </c>
      <c r="EG110" s="663">
        <f ca="1">1.8 * MIN(MAX(DG110+Races!$F$71,Races!$E$71),6)  +  0.45 * MIN(MIN(DG110+Races!$F$71,Races!$E$71),6)  +  0.2 * ( MAX(DG110+Races!$F$71-6,0) + MAX(Races!$E$71-6,0) )  -  Races!$N$71</f>
        <v>1.3499999999999996</v>
      </c>
      <c r="EH110" s="663">
        <f>1.8 * MIN(MAX(DH110+Races!$E$71,Races!$F$71),6)  +  0.45 * MIN(MIN(DH110+Races!$E$71,Races!$F$71),6)  +  0.2 * ( MAX(DH110+Races!$E$71-6,0) + MAX(Races!$F$71-6,0) )  -  Races!$N$71</f>
        <v>0</v>
      </c>
      <c r="EI110" s="57">
        <f t="shared" ca="1" si="206"/>
        <v>0</v>
      </c>
      <c r="EJ110" s="57"/>
      <c r="EK110" s="57"/>
      <c r="EL110" s="57"/>
      <c r="EM110" s="57">
        <f ca="1">Overview!$L$22*E110+Overview!$L$23*F110+Overview!$L$24*G110+Overview!$L$25*H110+Overview!$L$26*I110+Overview!$L$27*J110+Overview!$L$28*K110+Construction!E110*20+Construction!B110*5 + DZ110*$DV$4+EB110*$DV$5+ED110*$DV$6+EF110*$DV$7+EI110*$DV$9</f>
        <v>20900</v>
      </c>
      <c r="EO110" s="734">
        <f>(J110+2*K110)/Construction!E110</f>
        <v>0</v>
      </c>
      <c r="EP110" s="730">
        <f ca="1">EO110*(1+race_wizard_strength+tech_magical_weaponry_wiz*Techs!AV182)</f>
        <v>0</v>
      </c>
      <c r="EQ110" s="16">
        <f>(I110+halfer*H110/3)/Construction!E110</f>
        <v>0</v>
      </c>
    </row>
    <row r="111" spans="1:147" s="12" customFormat="1" x14ac:dyDescent="0.25">
      <c r="A111" s="319">
        <f>Rezone!J111</f>
        <v>109</v>
      </c>
      <c r="B111" s="54">
        <f ca="1">SUM(E111:K111)+SUM(AF103:AG111)+SUM(AH100:AL111)+Z111+Explore!AL111</f>
        <v>5295</v>
      </c>
      <c r="C111" s="96">
        <f ca="1">Population!G111</f>
        <v>0.74159663865546221</v>
      </c>
      <c r="D111" s="286"/>
      <c r="E111" s="50">
        <f t="shared" ref="E111:E135" si="207">E110 - BF111 + AF102 - IF(race="Lux",AG111+AH111,0)</f>
        <v>0</v>
      </c>
      <c r="F111" s="12">
        <f t="shared" ref="F111:F135" si="208">F110 - BG111 + IF(race="Lux",AG99,AG102) - IF(race="Lux",AI111,0)</f>
        <v>0</v>
      </c>
      <c r="G111" s="12">
        <f t="shared" ref="G111:G135" si="209">G110 + AH99 - BH111 - IF(race="Lux",AI111,0)</f>
        <v>0</v>
      </c>
      <c r="H111" s="12">
        <f t="shared" ref="H111:H135" si="210">H110 + AI99 - BI111</f>
        <v>0</v>
      </c>
      <c r="I111" s="12">
        <f t="shared" ref="I111:I135" si="211">I110 + AJ99 - BJ111</f>
        <v>0</v>
      </c>
      <c r="J111" s="12">
        <f t="shared" ref="J111:J135" si="212">J110 + AK99 - AL111 - BK111</f>
        <v>0</v>
      </c>
      <c r="K111" s="51">
        <f t="shared" ref="K111:K135" si="213">K110 + AL99 - BL111</f>
        <v>0</v>
      </c>
      <c r="L111" s="286"/>
      <c r="M111" s="93">
        <f ca="1">Production!G111</f>
        <v>20900</v>
      </c>
      <c r="N111" s="286"/>
      <c r="O111" s="141">
        <f t="shared" ca="1" si="179"/>
        <v>0</v>
      </c>
      <c r="P111" s="446">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53"/>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80"/>
        <v>5295</v>
      </c>
      <c r="T111" s="1171">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2">
        <f t="shared" ca="1" si="154"/>
        <v>0</v>
      </c>
      <c r="V111" s="311">
        <f t="shared" ca="1" si="155"/>
        <v>5295</v>
      </c>
      <c r="W111" s="311">
        <f>Construction!E111</f>
        <v>1000</v>
      </c>
      <c r="X111" s="368"/>
      <c r="Y111" s="145">
        <f t="shared" si="178"/>
        <v>0.4</v>
      </c>
      <c r="Z111" s="158">
        <f ca="1">Z110+Population!Z110 - IF(race="Lux",AF111,SUM(AF111:AK111)) - BE111 + SUM(BF111:BL111) - Explore!AI111</f>
        <v>5295</v>
      </c>
      <c r="AA111" s="153"/>
      <c r="AB111" s="306">
        <f>(Construction!$BA111+Construction!BY111)/(Construction!$E111-Explore!S111*20)</f>
        <v>0</v>
      </c>
      <c r="AC111" s="1519">
        <f ca="1">Imps!AE111</f>
        <v>0</v>
      </c>
      <c r="AD111" s="1059">
        <f>Rezone!J111</f>
        <v>109</v>
      </c>
      <c r="AE111" s="586">
        <f>Explore!AA111</f>
        <v>43769.124999999738</v>
      </c>
      <c r="AF111" s="373"/>
      <c r="AG111" s="349"/>
      <c r="AH111" s="349"/>
      <c r="AI111" s="349"/>
      <c r="AJ111" s="349"/>
      <c r="AK111" s="349"/>
      <c r="AL111" s="374"/>
      <c r="AM111" s="1058"/>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81"/>
        <v>0</v>
      </c>
      <c r="AV111" s="153">
        <f t="shared" ca="1" si="182"/>
        <v>0</v>
      </c>
      <c r="AW111" s="153">
        <f t="shared" ca="1" si="156"/>
        <v>0</v>
      </c>
      <c r="AX111" s="153">
        <f t="shared" ca="1" si="157"/>
        <v>0</v>
      </c>
      <c r="AY111" s="153">
        <f t="shared" ca="1" si="158"/>
        <v>0</v>
      </c>
      <c r="AZ111" s="153">
        <f t="shared" ca="1" si="159"/>
        <v>0</v>
      </c>
      <c r="BA111" s="158">
        <f t="shared" ca="1" si="160"/>
        <v>0</v>
      </c>
      <c r="BB111" s="12">
        <v>37</v>
      </c>
      <c r="BC111" s="676">
        <f t="shared" si="161"/>
        <v>43769.124999999738</v>
      </c>
      <c r="BD111" s="149">
        <f t="shared" ca="1" si="162"/>
        <v>5295</v>
      </c>
      <c r="BE111" s="373"/>
      <c r="BF111" s="349"/>
      <c r="BG111" s="349"/>
      <c r="BH111" s="349"/>
      <c r="BI111" s="349"/>
      <c r="BJ111" s="349"/>
      <c r="BK111" s="349"/>
      <c r="BL111" s="374"/>
      <c r="BN111" s="500">
        <f>Construction!BM111/Construction!E111</f>
        <v>0</v>
      </c>
      <c r="BO111" s="162">
        <f>Construction!BD111/Construction!E111</f>
        <v>0</v>
      </c>
      <c r="BP111" s="151">
        <f ca="1">ROUNDUP((1-MIN(AB111*smithy_bonus,smithy_bonus_cap)-AC111)*(1+Techs!AO111*tech_master_of_frugality)*spec_op_plat,0)</f>
        <v>275</v>
      </c>
      <c r="BQ111" s="153">
        <f ca="1">ROUNDUP(IF(OR(race="Gnome",race="Imperial Gnome"),1-AC111,(1-MIN(AB111*smithy_bonus,smithy_bonus_cap)-AC111)*(1+Techs!AO111*tech_master_of_frugality))*spec_op_ore,0)</f>
        <v>25</v>
      </c>
      <c r="BR111" s="153">
        <f t="shared" si="116"/>
        <v>0</v>
      </c>
      <c r="BS111" s="153">
        <f t="shared" si="117"/>
        <v>0</v>
      </c>
      <c r="BT111" s="153">
        <f ca="1">ROUNDUP((1-MIN(AB111*smithy_bonus,smithy_bonus_cap)-AC111)*(1+Techs!AO111*tech_master_of_frugality)*spec_dp_plat,0)</f>
        <v>275</v>
      </c>
      <c r="BU111" s="153">
        <f ca="1">ROUNDUP(IF(OR(race="Gnome",race="Imperial Gnome"),1-AC111,(1-MIN(AB111*smithy_bonus,smithy_bonus_cap)-AC111)*(1+Techs!AO111*tech_master_of_frugality))*spec_dp_ore,0)</f>
        <v>10</v>
      </c>
      <c r="BV111" s="153">
        <f t="shared" ca="1" si="118"/>
        <v>0</v>
      </c>
      <c r="BW111" s="153">
        <f t="shared" ca="1" si="119"/>
        <v>0</v>
      </c>
      <c r="BX111" s="153">
        <f t="shared" ca="1" si="120"/>
        <v>0</v>
      </c>
      <c r="BY111" s="153">
        <f ca="1">ROUNDUP((1-MIN(AB111*smithy_bonus,smithy_bonus_cap)-AC111)*(1+Techs!AO111*tech_master_of_frugality)*elite1_plat,0)</f>
        <v>1000</v>
      </c>
      <c r="BZ111" s="153">
        <f ca="1">ROUNDUP(IF(OR(race="Gnome",race="Imperial Gnome"),1-AC111,(1-MIN(AB111*smithy_bonus,smithy_bonus_cap)-AC111)*(1+Techs!AO111*tech_master_of_frugality))*elite1_ore,0)</f>
        <v>75</v>
      </c>
      <c r="CA111" s="153">
        <f t="shared" ca="1" si="163"/>
        <v>0</v>
      </c>
      <c r="CB111" s="153">
        <f t="shared" ca="1" si="121"/>
        <v>0</v>
      </c>
      <c r="CC111" s="153">
        <f t="shared" ca="1" si="122"/>
        <v>0</v>
      </c>
      <c r="CD111" s="153">
        <f t="shared" ca="1" si="123"/>
        <v>0</v>
      </c>
      <c r="CE111" s="153">
        <f t="shared" ca="1" si="124"/>
        <v>0</v>
      </c>
      <c r="CF111" s="153">
        <f ca="1">ROUNDUP((1-MIN(AB111*smithy_bonus,smithy_bonus_cap)-AC111)*(1+Techs!AO111*tech_master_of_frugality)*elite2_plat,0)</f>
        <v>1250</v>
      </c>
      <c r="CG111" s="153">
        <f ca="1">ROUNDUP(IF(OR(race="Gnome",race="Imperial Gnome"),1-AC111,(1-MIN(AB111*smithy_bonus,smithy_bonus_cap)-AC111)*(1+Techs!AO111*tech_master_of_frugality))*elite2_ore,0)</f>
        <v>100</v>
      </c>
      <c r="CH111" s="153">
        <f t="shared" ca="1" si="164"/>
        <v>0</v>
      </c>
      <c r="CI111" s="153">
        <f t="shared" ca="1" si="125"/>
        <v>0</v>
      </c>
      <c r="CJ111" s="153">
        <f t="shared" ca="1" si="126"/>
        <v>0</v>
      </c>
      <c r="CK111" s="153">
        <f t="shared" ca="1" si="127"/>
        <v>0</v>
      </c>
      <c r="CL111" s="153">
        <f t="shared" ca="1" si="128"/>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6">
        <f ca="1">Construction!DF111/Construction!E111</f>
        <v>0.15</v>
      </c>
      <c r="CR111" s="467">
        <f t="shared" si="165"/>
        <v>0</v>
      </c>
      <c r="CS111" s="467">
        <f>Construction!BK111/Construction!E111</f>
        <v>0.05</v>
      </c>
      <c r="CT111" s="467">
        <f>Construction!BJ111/Construction!E111</f>
        <v>0</v>
      </c>
      <c r="CU111" s="467">
        <f>Construction!AY111/Construction!E111</f>
        <v>0</v>
      </c>
      <c r="CV111" s="489">
        <f t="shared" ca="1" si="183"/>
        <v>0.74999999999999989</v>
      </c>
      <c r="CW111" s="490">
        <f t="shared" ca="1" si="184"/>
        <v>0.74999999999999989</v>
      </c>
      <c r="CX111" s="490">
        <f t="shared" ca="1" si="185"/>
        <v>0.74999999999999989</v>
      </c>
      <c r="CY111" s="491">
        <f t="shared" ca="1" si="186"/>
        <v>0.74999999999999989</v>
      </c>
      <c r="CZ111" s="491">
        <f t="shared" si="187"/>
        <v>0</v>
      </c>
      <c r="DA111" s="491">
        <f t="shared" ca="1" si="188"/>
        <v>2.9999999999999996</v>
      </c>
      <c r="DB111" s="491">
        <f t="shared" ca="1" si="189"/>
        <v>0.74999999999999989</v>
      </c>
      <c r="DC111" s="490">
        <f t="shared" si="190"/>
        <v>0</v>
      </c>
      <c r="DD111" s="846">
        <f t="shared" si="191"/>
        <v>0</v>
      </c>
      <c r="DE111" s="728">
        <f t="shared" si="166"/>
        <v>0</v>
      </c>
      <c r="DF111" s="728">
        <f t="shared" si="167"/>
        <v>0</v>
      </c>
      <c r="DG111" s="489">
        <f t="shared" ca="1" si="192"/>
        <v>0.74999999999999989</v>
      </c>
      <c r="DH111" s="452">
        <f t="shared" si="193"/>
        <v>0</v>
      </c>
      <c r="DI111" s="452">
        <f>MIN(valkyrja_cap,Production!O111/valkyrja_bonus)</f>
        <v>1</v>
      </c>
      <c r="DJ111" s="846">
        <f>MIN(voodoo_magi_cap,Production!O111/voodoo_magi_bonus)</f>
        <v>0.83333333333333337</v>
      </c>
      <c r="DK111" s="846">
        <f>MIN(warlock_cap,Production!O111/warlock_bonus)</f>
        <v>1</v>
      </c>
      <c r="DL111" s="846">
        <f ca="1">MIN(nox_nightshade_cap,Construction!DF111/Construction!E111/nox_nightshade_swamp_bonus)</f>
        <v>1.4999999999999998</v>
      </c>
      <c r="DM111" s="490">
        <f t="shared" si="194"/>
        <v>0</v>
      </c>
      <c r="DN111" s="491">
        <f t="shared" ca="1" si="195"/>
        <v>1.4999999999999998</v>
      </c>
      <c r="DO111" s="491">
        <f t="shared" ca="1" si="196"/>
        <v>1.4999999999999998</v>
      </c>
      <c r="DP111" s="491">
        <f t="shared" si="197"/>
        <v>1</v>
      </c>
      <c r="DQ111" s="490">
        <f t="shared" si="198"/>
        <v>0</v>
      </c>
      <c r="DR111" s="491">
        <f t="shared" si="199"/>
        <v>0</v>
      </c>
      <c r="DS111" s="490">
        <f t="shared" si="200"/>
        <v>0</v>
      </c>
      <c r="DT111" s="491">
        <f t="shared" si="201"/>
        <v>0</v>
      </c>
      <c r="DX111" s="489">
        <f ca="1">MIN(6,CV111+Races!$F$19)*1.8 +  IF(CV111+Races!$F$19&gt;6,(CV111+Races!$F$19-6)*0.2,0) - Races!$N$19</f>
        <v>1.3500000000000005</v>
      </c>
      <c r="DY111" s="490">
        <f ca="1">1.8 * MIN(MAX(CW111+Races!$E$20,CX111+Races!$F$20),6)  +  0.45 * MIN(MIN(CW111+Races!$E$20,CX111+Races!$F$20),6)  +  0.2 * ( MAX(CW111+Races!$E$20-6,0) + MAX(CX111+Races!$F$20-6,0) )  -  Races!$N$20</f>
        <v>1.6874999999999991</v>
      </c>
      <c r="DZ111" s="55">
        <f t="shared" ca="1" si="202"/>
        <v>0</v>
      </c>
      <c r="EA111" s="665">
        <f ca="1">MIN(6,CY111+Races!$F$35)*1.8 +  IF(CY111+Races!$F$35&gt;6,(CY111+Races!$F$35-6)*0.2,0) - Races!$N$19</f>
        <v>-0.45000000000000018</v>
      </c>
      <c r="EB111" s="55">
        <f t="shared" ca="1" si="203"/>
        <v>0</v>
      </c>
      <c r="EC111" s="665">
        <f ca="1">1.8 * MIN(MAX(Races!$E$27,DB111+Races!$F$27),6)  +  0.45 * MIN(MIN(Races!$E$27,DB111+Races!$F$27),6)  +  0.2 * ( MAX(Races!$E$27-6,0) + MAX(DB111+Races!$F$27-6,0) )  -  Races!$N$20</f>
        <v>3.6000000000000005</v>
      </c>
      <c r="ED111" s="55">
        <f t="shared" ca="1" si="204"/>
        <v>0</v>
      </c>
      <c r="EE111" s="665">
        <f>1.8 * MIN(MAX(DC111+Races!$E$47,DD111+Races!$F$47),6)  +  0.45 * MIN(MIN(DC111+Races!$E$47,DD111+Races!$F$47),6)  +  0.2 * ( MAX(DC111+Races!$E$47-6,0) + MAX(DD111+Races!$F$47-6,0) )  -  Races!$N$47</f>
        <v>0</v>
      </c>
      <c r="EF111" s="55">
        <f t="shared" si="205"/>
        <v>0</v>
      </c>
      <c r="EG111" s="665">
        <f ca="1">1.8 * MIN(MAX(DG111+Races!$F$71,Races!$E$71),6)  +  0.45 * MIN(MIN(DG111+Races!$F$71,Races!$E$71),6)  +  0.2 * ( MAX(DG111+Races!$F$71-6,0) + MAX(Races!$E$71-6,0) )  -  Races!$N$71</f>
        <v>1.3499999999999996</v>
      </c>
      <c r="EH111" s="665">
        <f>1.8 * MIN(MAX(DH111+Races!$E$71,Races!$F$71),6)  +  0.45 * MIN(MIN(DH111+Races!$E$71,Races!$F$71),6)  +  0.2 * ( MAX(DH111+Races!$E$71-6,0) + MAX(Races!$F$71-6,0) )  -  Races!$N$71</f>
        <v>0</v>
      </c>
      <c r="EI111" s="55">
        <f t="shared" ca="1" si="206"/>
        <v>0</v>
      </c>
      <c r="EJ111" s="55"/>
      <c r="EK111" s="55"/>
      <c r="EL111" s="55"/>
      <c r="EM111" s="55">
        <f ca="1">Overview!$L$22*E111+Overview!$L$23*F111+Overview!$L$24*G111+Overview!$L$25*H111+Overview!$L$26*I111+Overview!$L$27*J111+Overview!$L$28*K111+Construction!E111*20+Construction!B111*5 + DZ111*$DV$4+EB111*$DV$5+ED111*$DV$6+EF111*$DV$7+EI111*$DV$9</f>
        <v>20900</v>
      </c>
      <c r="EO111" s="737">
        <f>(J111+2*K111)/Construction!E111</f>
        <v>0</v>
      </c>
      <c r="EP111" s="731">
        <f ca="1">EO111*(1+race_wizard_strength+tech_magical_weaponry_wiz*Techs!AV183)</f>
        <v>0</v>
      </c>
      <c r="EQ111" s="12">
        <f>(I111+halfer*H111/3)/Construction!E111</f>
        <v>0</v>
      </c>
    </row>
    <row r="112" spans="1:147" s="16" customFormat="1" x14ac:dyDescent="0.25">
      <c r="A112" s="627">
        <f>Rezone!J112</f>
        <v>110</v>
      </c>
      <c r="B112" s="56">
        <f ca="1">SUM(E112:K112)+SUM(AF104:AG112)+SUM(AH101:AL112)+Z112+Explore!AL112</f>
        <v>5295</v>
      </c>
      <c r="C112" s="97">
        <f ca="1">Population!G112</f>
        <v>0.74159663865546221</v>
      </c>
      <c r="E112" s="52">
        <f t="shared" si="207"/>
        <v>0</v>
      </c>
      <c r="F112" s="16">
        <f t="shared" si="208"/>
        <v>0</v>
      </c>
      <c r="G112" s="16">
        <f t="shared" si="209"/>
        <v>0</v>
      </c>
      <c r="H112" s="16">
        <f t="shared" si="210"/>
        <v>0</v>
      </c>
      <c r="I112" s="16">
        <f t="shared" si="211"/>
        <v>0</v>
      </c>
      <c r="J112" s="16">
        <f t="shared" si="212"/>
        <v>0</v>
      </c>
      <c r="K112" s="53">
        <f t="shared" si="213"/>
        <v>0</v>
      </c>
      <c r="M112" s="64">
        <f ca="1">Production!G112</f>
        <v>20900</v>
      </c>
      <c r="O112" s="142">
        <f t="shared" ca="1" si="179"/>
        <v>0</v>
      </c>
      <c r="P112" s="454">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53"/>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80"/>
        <v>5295</v>
      </c>
      <c r="T112" s="1047">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1">
        <f t="shared" ca="1" si="154"/>
        <v>0</v>
      </c>
      <c r="V112" s="310">
        <f t="shared" ca="1" si="155"/>
        <v>5295</v>
      </c>
      <c r="W112" s="310">
        <f>Construction!E112</f>
        <v>1000</v>
      </c>
      <c r="X112" s="367"/>
      <c r="Y112" s="146">
        <f t="shared" si="178"/>
        <v>0.4</v>
      </c>
      <c r="Z112" s="166">
        <f ca="1">Z111+Population!Z111 - IF(race="Lux",AF112,SUM(AF112:AK112)) - BE112 + SUM(BF112:BL112) - Explore!AI112</f>
        <v>5295</v>
      </c>
      <c r="AA112" s="164"/>
      <c r="AB112" s="91">
        <f>(Construction!$BA112+Construction!BY112)/(Construction!$E112-Explore!S112*20)</f>
        <v>0</v>
      </c>
      <c r="AC112" s="1516">
        <f ca="1">Imps!AE112</f>
        <v>0</v>
      </c>
      <c r="AD112" s="795">
        <f>Rezone!J112</f>
        <v>110</v>
      </c>
      <c r="AE112" s="587">
        <f>Explore!AA112</f>
        <v>43769.135416666402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81"/>
        <v>0</v>
      </c>
      <c r="AV112" s="164">
        <f t="shared" ca="1" si="182"/>
        <v>0</v>
      </c>
      <c r="AW112" s="164">
        <f t="shared" ca="1" si="156"/>
        <v>0</v>
      </c>
      <c r="AX112" s="164">
        <f t="shared" ca="1" si="157"/>
        <v>0</v>
      </c>
      <c r="AY112" s="164">
        <f t="shared" ca="1" si="158"/>
        <v>0</v>
      </c>
      <c r="AZ112" s="164">
        <f t="shared" ca="1" si="159"/>
        <v>0</v>
      </c>
      <c r="BA112" s="166">
        <f t="shared" ca="1" si="160"/>
        <v>0</v>
      </c>
      <c r="BB112" s="16">
        <v>38</v>
      </c>
      <c r="BC112" s="572">
        <f t="shared" si="161"/>
        <v>43769.135416666402</v>
      </c>
      <c r="BD112" s="148">
        <f t="shared" ca="1" si="162"/>
        <v>5295</v>
      </c>
      <c r="BE112" s="356"/>
      <c r="BF112" s="348"/>
      <c r="BG112" s="348"/>
      <c r="BH112" s="348"/>
      <c r="BI112" s="348"/>
      <c r="BJ112" s="348"/>
      <c r="BK112" s="348"/>
      <c r="BL112" s="357"/>
      <c r="BN112" s="501">
        <f>Construction!BM112/Construction!E112</f>
        <v>0</v>
      </c>
      <c r="BO112" s="171">
        <f>Construction!BD112/Construction!E112</f>
        <v>0</v>
      </c>
      <c r="BP112" s="152">
        <f ca="1">ROUNDUP((1-MIN(AB112*smithy_bonus,smithy_bonus_cap)-AC112)*(1+Techs!AO112*tech_master_of_frugality)*spec_op_plat,0)</f>
        <v>275</v>
      </c>
      <c r="BQ112" s="164">
        <f ca="1">ROUNDUP(IF(OR(race="Gnome",race="Imperial Gnome"),1-AC112,(1-MIN(AB112*smithy_bonus,smithy_bonus_cap)-AC112)*(1+Techs!AO112*tech_master_of_frugality))*spec_op_ore,0)</f>
        <v>25</v>
      </c>
      <c r="BR112" s="164">
        <f t="shared" si="116"/>
        <v>0</v>
      </c>
      <c r="BS112" s="164">
        <f t="shared" si="117"/>
        <v>0</v>
      </c>
      <c r="BT112" s="164">
        <f ca="1">ROUNDUP((1-MIN(AB112*smithy_bonus,smithy_bonus_cap)-AC112)*(1+Techs!AO112*tech_master_of_frugality)*spec_dp_plat,0)</f>
        <v>275</v>
      </c>
      <c r="BU112" s="164">
        <f ca="1">ROUNDUP(IF(OR(race="Gnome",race="Imperial Gnome"),1-AC112,(1-MIN(AB112*smithy_bonus,smithy_bonus_cap)-AC112)*(1+Techs!AO112*tech_master_of_frugality))*spec_dp_ore,0)</f>
        <v>10</v>
      </c>
      <c r="BV112" s="164">
        <f t="shared" ca="1" si="118"/>
        <v>0</v>
      </c>
      <c r="BW112" s="164">
        <f t="shared" ca="1" si="119"/>
        <v>0</v>
      </c>
      <c r="BX112" s="164">
        <f t="shared" ca="1" si="120"/>
        <v>0</v>
      </c>
      <c r="BY112" s="164">
        <f ca="1">ROUNDUP((1-MIN(AB112*smithy_bonus,smithy_bonus_cap)-AC112)*(1+Techs!AO112*tech_master_of_frugality)*elite1_plat,0)</f>
        <v>1000</v>
      </c>
      <c r="BZ112" s="164">
        <f ca="1">ROUNDUP(IF(OR(race="Gnome",race="Imperial Gnome"),1-AC112,(1-MIN(AB112*smithy_bonus,smithy_bonus_cap)-AC112)*(1+Techs!AO112*tech_master_of_frugality))*elite1_ore,0)</f>
        <v>75</v>
      </c>
      <c r="CA112" s="164">
        <f t="shared" ca="1" si="163"/>
        <v>0</v>
      </c>
      <c r="CB112" s="164">
        <f t="shared" ca="1" si="121"/>
        <v>0</v>
      </c>
      <c r="CC112" s="164">
        <f t="shared" ca="1" si="122"/>
        <v>0</v>
      </c>
      <c r="CD112" s="164">
        <f t="shared" ca="1" si="123"/>
        <v>0</v>
      </c>
      <c r="CE112" s="164">
        <f t="shared" ca="1" si="124"/>
        <v>0</v>
      </c>
      <c r="CF112" s="164">
        <f ca="1">ROUNDUP((1-MIN(AB112*smithy_bonus,smithy_bonus_cap)-AC112)*(1+Techs!AO112*tech_master_of_frugality)*elite2_plat,0)</f>
        <v>1250</v>
      </c>
      <c r="CG112" s="164">
        <f ca="1">ROUNDUP(IF(OR(race="Gnome",race="Imperial Gnome"),1-AC112,(1-MIN(AB112*smithy_bonus,smithy_bonus_cap)-AC112)*(1+Techs!AO112*tech_master_of_frugality))*elite2_ore,0)</f>
        <v>100</v>
      </c>
      <c r="CH112" s="164">
        <f t="shared" ca="1" si="164"/>
        <v>0</v>
      </c>
      <c r="CI112" s="164">
        <f t="shared" ca="1" si="125"/>
        <v>0</v>
      </c>
      <c r="CJ112" s="164">
        <f t="shared" ca="1" si="126"/>
        <v>0</v>
      </c>
      <c r="CK112" s="164">
        <f t="shared" ca="1" si="127"/>
        <v>0</v>
      </c>
      <c r="CL112" s="164">
        <f t="shared" ca="1" si="128"/>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4">
        <f ca="1">Construction!DF112/Construction!E112</f>
        <v>0.15</v>
      </c>
      <c r="CR112" s="465">
        <f t="shared" si="165"/>
        <v>0</v>
      </c>
      <c r="CS112" s="465">
        <f>Construction!BK112/Construction!E112</f>
        <v>0.05</v>
      </c>
      <c r="CT112" s="465">
        <f>Construction!BJ112/Construction!E112</f>
        <v>0</v>
      </c>
      <c r="CU112" s="465">
        <f>Construction!AY112/Construction!E112</f>
        <v>0</v>
      </c>
      <c r="CV112" s="486">
        <f t="shared" ca="1" si="183"/>
        <v>0.74999999999999989</v>
      </c>
      <c r="CW112" s="487">
        <f t="shared" ca="1" si="184"/>
        <v>0.74999999999999989</v>
      </c>
      <c r="CX112" s="487">
        <f t="shared" ca="1" si="185"/>
        <v>0.74999999999999989</v>
      </c>
      <c r="CY112" s="488">
        <f t="shared" ca="1" si="186"/>
        <v>0.74999999999999989</v>
      </c>
      <c r="CZ112" s="488">
        <f t="shared" si="187"/>
        <v>0</v>
      </c>
      <c r="DA112" s="488">
        <f t="shared" ca="1" si="188"/>
        <v>2.9999999999999996</v>
      </c>
      <c r="DB112" s="488">
        <f t="shared" ca="1" si="189"/>
        <v>0.74999999999999989</v>
      </c>
      <c r="DC112" s="487">
        <f t="shared" si="190"/>
        <v>0</v>
      </c>
      <c r="DD112" s="843">
        <f t="shared" si="191"/>
        <v>0</v>
      </c>
      <c r="DE112" s="441">
        <f t="shared" si="166"/>
        <v>0</v>
      </c>
      <c r="DF112" s="441">
        <f t="shared" si="167"/>
        <v>0</v>
      </c>
      <c r="DG112" s="486">
        <f t="shared" ca="1" si="192"/>
        <v>0.74999999999999989</v>
      </c>
      <c r="DH112" s="451">
        <f t="shared" si="193"/>
        <v>0</v>
      </c>
      <c r="DI112" s="451">
        <f>MIN(valkyrja_cap,Production!O112/valkyrja_bonus)</f>
        <v>1</v>
      </c>
      <c r="DJ112" s="843">
        <f>MIN(voodoo_magi_cap,Production!O112/voodoo_magi_bonus)</f>
        <v>0.83333333333333337</v>
      </c>
      <c r="DK112" s="843">
        <f>MIN(warlock_cap,Production!O112/warlock_bonus)</f>
        <v>1</v>
      </c>
      <c r="DL112" s="843">
        <f ca="1">MIN(nox_nightshade_cap,Construction!DF112/Construction!E112/nox_nightshade_swamp_bonus)</f>
        <v>1.4999999999999998</v>
      </c>
      <c r="DM112" s="487">
        <f t="shared" si="194"/>
        <v>0</v>
      </c>
      <c r="DN112" s="488">
        <f t="shared" ca="1" si="195"/>
        <v>1.4999999999999998</v>
      </c>
      <c r="DO112" s="488">
        <f t="shared" ca="1" si="196"/>
        <v>1.4999999999999998</v>
      </c>
      <c r="DP112" s="488">
        <f t="shared" si="197"/>
        <v>1</v>
      </c>
      <c r="DQ112" s="487">
        <f t="shared" si="198"/>
        <v>0</v>
      </c>
      <c r="DR112" s="488">
        <f t="shared" si="199"/>
        <v>0</v>
      </c>
      <c r="DS112" s="487">
        <f t="shared" si="200"/>
        <v>0</v>
      </c>
      <c r="DT112" s="488">
        <f t="shared" si="201"/>
        <v>0</v>
      </c>
      <c r="DX112" s="486">
        <f ca="1">MIN(6,CV112+Races!$F$19)*1.8 +  IF(CV112+Races!$F$19&gt;6,(CV112+Races!$F$19-6)*0.2,0) - Races!$N$19</f>
        <v>1.3500000000000005</v>
      </c>
      <c r="DY112" s="487">
        <f ca="1">1.8 * MIN(MAX(CW112+Races!$E$20,CX112+Races!$F$20),6)  +  0.45 * MIN(MIN(CW112+Races!$E$20,CX112+Races!$F$20),6)  +  0.2 * ( MAX(CW112+Races!$E$20-6,0) + MAX(CX112+Races!$F$20-6,0) )  -  Races!$N$20</f>
        <v>1.6874999999999991</v>
      </c>
      <c r="DZ112" s="57">
        <f t="shared" ca="1" si="202"/>
        <v>0</v>
      </c>
      <c r="EA112" s="663">
        <f ca="1">MIN(6,CY112+Races!$F$35)*1.8 +  IF(CY112+Races!$F$35&gt;6,(CY112+Races!$F$35-6)*0.2,0) - Races!$N$19</f>
        <v>-0.45000000000000018</v>
      </c>
      <c r="EB112" s="57">
        <f t="shared" ca="1" si="203"/>
        <v>0</v>
      </c>
      <c r="EC112" s="663">
        <f ca="1">1.8 * MIN(MAX(Races!$E$27,DB112+Races!$F$27),6)  +  0.45 * MIN(MIN(Races!$E$27,DB112+Races!$F$27),6)  +  0.2 * ( MAX(Races!$E$27-6,0) + MAX(DB112+Races!$F$27-6,0) )  -  Races!$N$20</f>
        <v>3.6000000000000005</v>
      </c>
      <c r="ED112" s="57">
        <f t="shared" ca="1" si="204"/>
        <v>0</v>
      </c>
      <c r="EE112" s="663">
        <f>1.8 * MIN(MAX(DC112+Races!$E$47,DD112+Races!$F$47),6)  +  0.45 * MIN(MIN(DC112+Races!$E$47,DD112+Races!$F$47),6)  +  0.2 * ( MAX(DC112+Races!$E$47-6,0) + MAX(DD112+Races!$F$47-6,0) )  -  Races!$N$47</f>
        <v>0</v>
      </c>
      <c r="EF112" s="57">
        <f t="shared" si="205"/>
        <v>0</v>
      </c>
      <c r="EG112" s="663">
        <f ca="1">1.8 * MIN(MAX(DG112+Races!$F$71,Races!$E$71),6)  +  0.45 * MIN(MIN(DG112+Races!$F$71,Races!$E$71),6)  +  0.2 * ( MAX(DG112+Races!$F$71-6,0) + MAX(Races!$E$71-6,0) )  -  Races!$N$71</f>
        <v>1.3499999999999996</v>
      </c>
      <c r="EH112" s="663">
        <f>1.8 * MIN(MAX(DH112+Races!$E$71,Races!$F$71),6)  +  0.45 * MIN(MIN(DH112+Races!$E$71,Races!$F$71),6)  +  0.2 * ( MAX(DH112+Races!$E$71-6,0) + MAX(Races!$F$71-6,0) )  -  Races!$N$71</f>
        <v>0</v>
      </c>
      <c r="EI112" s="57">
        <f t="shared" ca="1" si="206"/>
        <v>0</v>
      </c>
      <c r="EJ112" s="57"/>
      <c r="EK112" s="57"/>
      <c r="EL112" s="57"/>
      <c r="EM112" s="57">
        <f ca="1">Overview!$L$22*E112+Overview!$L$23*F112+Overview!$L$24*G112+Overview!$L$25*H112+Overview!$L$26*I112+Overview!$L$27*J112+Overview!$L$28*K112+Construction!E112*20+Construction!B112*5 + DZ112*$DV$4+EB112*$DV$5+ED112*$DV$6+EF112*$DV$7+EI112*$DV$9</f>
        <v>20900</v>
      </c>
      <c r="EO112" s="734">
        <f>(J112+2*K112)/Construction!E112</f>
        <v>0</v>
      </c>
      <c r="EP112" s="730">
        <f ca="1">EO112*(1+race_wizard_strength+tech_magical_weaponry_wiz*Techs!AV184)</f>
        <v>0</v>
      </c>
      <c r="EQ112" s="16">
        <f>(I112+halfer*H112/3)/Construction!E112</f>
        <v>0</v>
      </c>
    </row>
    <row r="113" spans="1:147" s="16" customFormat="1" x14ac:dyDescent="0.25">
      <c r="A113" s="627">
        <f>Rezone!J113</f>
        <v>111</v>
      </c>
      <c r="B113" s="56">
        <f ca="1">SUM(E113:K113)+SUM(AF105:AG113)+SUM(AH102:AL113)+Z113+Explore!AL113</f>
        <v>5295</v>
      </c>
      <c r="C113" s="97">
        <f ca="1">Population!G113</f>
        <v>0.74159663865546221</v>
      </c>
      <c r="E113" s="52">
        <f t="shared" si="207"/>
        <v>0</v>
      </c>
      <c r="F113" s="16">
        <f t="shared" si="208"/>
        <v>0</v>
      </c>
      <c r="G113" s="16">
        <f t="shared" si="209"/>
        <v>0</v>
      </c>
      <c r="H113" s="16">
        <f t="shared" si="210"/>
        <v>0</v>
      </c>
      <c r="I113" s="16">
        <f t="shared" si="211"/>
        <v>0</v>
      </c>
      <c r="J113" s="16">
        <f t="shared" si="212"/>
        <v>0</v>
      </c>
      <c r="K113" s="53">
        <f t="shared" si="213"/>
        <v>0</v>
      </c>
      <c r="M113" s="64">
        <f ca="1">Production!G113</f>
        <v>20900</v>
      </c>
      <c r="O113" s="142">
        <f t="shared" ca="1" si="179"/>
        <v>0</v>
      </c>
      <c r="P113" s="454">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53"/>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80"/>
        <v>5295</v>
      </c>
      <c r="T113" s="1047">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1">
        <f t="shared" ca="1" si="154"/>
        <v>0</v>
      </c>
      <c r="V113" s="310">
        <f t="shared" ca="1" si="155"/>
        <v>5295</v>
      </c>
      <c r="W113" s="310">
        <f>Construction!E113</f>
        <v>1000</v>
      </c>
      <c r="X113" s="367"/>
      <c r="Y113" s="146">
        <f t="shared" si="178"/>
        <v>0.4</v>
      </c>
      <c r="Z113" s="166">
        <f ca="1">Z112+Population!Z112 - IF(race="Lux",AF113,SUM(AF113:AK113)) - BE113 + SUM(BF113:BL113) - Explore!AI113</f>
        <v>5295</v>
      </c>
      <c r="AA113" s="164"/>
      <c r="AB113" s="91">
        <f>(Construction!$BA113+Construction!BY113)/(Construction!$E113-Explore!S113*20)</f>
        <v>0</v>
      </c>
      <c r="AC113" s="1516">
        <f ca="1">Imps!AE113</f>
        <v>0</v>
      </c>
      <c r="AD113" s="795">
        <f>Rezone!J113</f>
        <v>111</v>
      </c>
      <c r="AE113" s="587">
        <f>Explore!AA113</f>
        <v>43769.145833333067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81"/>
        <v>0</v>
      </c>
      <c r="AV113" s="164">
        <f t="shared" ca="1" si="182"/>
        <v>0</v>
      </c>
      <c r="AW113" s="164">
        <f t="shared" ca="1" si="156"/>
        <v>0</v>
      </c>
      <c r="AX113" s="164">
        <f t="shared" ca="1" si="157"/>
        <v>0</v>
      </c>
      <c r="AY113" s="164">
        <f t="shared" ca="1" si="158"/>
        <v>0</v>
      </c>
      <c r="AZ113" s="164">
        <f t="shared" ca="1" si="159"/>
        <v>0</v>
      </c>
      <c r="BA113" s="166">
        <f t="shared" ca="1" si="160"/>
        <v>0</v>
      </c>
      <c r="BB113" s="16">
        <v>39</v>
      </c>
      <c r="BC113" s="572">
        <f t="shared" si="161"/>
        <v>43769.145833333067</v>
      </c>
      <c r="BD113" s="148">
        <f t="shared" ca="1" si="162"/>
        <v>5295</v>
      </c>
      <c r="BE113" s="356"/>
      <c r="BF113" s="348"/>
      <c r="BG113" s="348"/>
      <c r="BH113" s="348"/>
      <c r="BI113" s="348"/>
      <c r="BJ113" s="348"/>
      <c r="BK113" s="348"/>
      <c r="BL113" s="357"/>
      <c r="BN113" s="501">
        <f>Construction!BM113/Construction!E113</f>
        <v>0</v>
      </c>
      <c r="BO113" s="171">
        <f>Construction!BD113/Construction!E113</f>
        <v>0</v>
      </c>
      <c r="BP113" s="152">
        <f ca="1">ROUNDUP((1-MIN(AB113*smithy_bonus,smithy_bonus_cap)-AC113)*(1+Techs!AO113*tech_master_of_frugality)*spec_op_plat,0)</f>
        <v>275</v>
      </c>
      <c r="BQ113" s="164">
        <f ca="1">ROUNDUP(IF(OR(race="Gnome",race="Imperial Gnome"),1-AC113,(1-MIN(AB113*smithy_bonus,smithy_bonus_cap)-AC113)*(1+Techs!AO113*tech_master_of_frugality))*spec_op_ore,0)</f>
        <v>25</v>
      </c>
      <c r="BR113" s="164">
        <f t="shared" si="116"/>
        <v>0</v>
      </c>
      <c r="BS113" s="164">
        <f t="shared" si="117"/>
        <v>0</v>
      </c>
      <c r="BT113" s="164">
        <f ca="1">ROUNDUP((1-MIN(AB113*smithy_bonus,smithy_bonus_cap)-AC113)*(1+Techs!AO113*tech_master_of_frugality)*spec_dp_plat,0)</f>
        <v>275</v>
      </c>
      <c r="BU113" s="164">
        <f ca="1">ROUNDUP(IF(OR(race="Gnome",race="Imperial Gnome"),1-AC113,(1-MIN(AB113*smithy_bonus,smithy_bonus_cap)-AC113)*(1+Techs!AO113*tech_master_of_frugality))*spec_dp_ore,0)</f>
        <v>10</v>
      </c>
      <c r="BV113" s="164">
        <f t="shared" ca="1" si="118"/>
        <v>0</v>
      </c>
      <c r="BW113" s="164">
        <f t="shared" ca="1" si="119"/>
        <v>0</v>
      </c>
      <c r="BX113" s="164">
        <f t="shared" ca="1" si="120"/>
        <v>0</v>
      </c>
      <c r="BY113" s="164">
        <f ca="1">ROUNDUP((1-MIN(AB113*smithy_bonus,smithy_bonus_cap)-AC113)*(1+Techs!AO113*tech_master_of_frugality)*elite1_plat,0)</f>
        <v>1000</v>
      </c>
      <c r="BZ113" s="164">
        <f ca="1">ROUNDUP(IF(OR(race="Gnome",race="Imperial Gnome"),1-AC113,(1-MIN(AB113*smithy_bonus,smithy_bonus_cap)-AC113)*(1+Techs!AO113*tech_master_of_frugality))*elite1_ore,0)</f>
        <v>75</v>
      </c>
      <c r="CA113" s="164">
        <f t="shared" ca="1" si="163"/>
        <v>0</v>
      </c>
      <c r="CB113" s="164">
        <f t="shared" ca="1" si="121"/>
        <v>0</v>
      </c>
      <c r="CC113" s="164">
        <f t="shared" ca="1" si="122"/>
        <v>0</v>
      </c>
      <c r="CD113" s="164">
        <f t="shared" ca="1" si="123"/>
        <v>0</v>
      </c>
      <c r="CE113" s="164">
        <f t="shared" ca="1" si="124"/>
        <v>0</v>
      </c>
      <c r="CF113" s="164">
        <f ca="1">ROUNDUP((1-MIN(AB113*smithy_bonus,smithy_bonus_cap)-AC113)*(1+Techs!AO113*tech_master_of_frugality)*elite2_plat,0)</f>
        <v>1250</v>
      </c>
      <c r="CG113" s="164">
        <f ca="1">ROUNDUP(IF(OR(race="Gnome",race="Imperial Gnome"),1-AC113,(1-MIN(AB113*smithy_bonus,smithy_bonus_cap)-AC113)*(1+Techs!AO113*tech_master_of_frugality))*elite2_ore,0)</f>
        <v>100</v>
      </c>
      <c r="CH113" s="164">
        <f t="shared" ca="1" si="164"/>
        <v>0</v>
      </c>
      <c r="CI113" s="164">
        <f t="shared" ca="1" si="125"/>
        <v>0</v>
      </c>
      <c r="CJ113" s="164">
        <f t="shared" ca="1" si="126"/>
        <v>0</v>
      </c>
      <c r="CK113" s="164">
        <f t="shared" ca="1" si="127"/>
        <v>0</v>
      </c>
      <c r="CL113" s="164">
        <f t="shared" ca="1" si="128"/>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4">
        <f ca="1">Construction!DF113/Construction!E113</f>
        <v>0.15</v>
      </c>
      <c r="CR113" s="465">
        <f t="shared" si="165"/>
        <v>0</v>
      </c>
      <c r="CS113" s="465">
        <f>Construction!BK113/Construction!E113</f>
        <v>0.05</v>
      </c>
      <c r="CT113" s="465">
        <f>Construction!BJ113/Construction!E113</f>
        <v>0</v>
      </c>
      <c r="CU113" s="465">
        <f>Construction!AY113/Construction!E113</f>
        <v>0</v>
      </c>
      <c r="CV113" s="486">
        <f t="shared" ca="1" si="183"/>
        <v>0.74999999999999989</v>
      </c>
      <c r="CW113" s="487">
        <f t="shared" ca="1" si="184"/>
        <v>0.74999999999999989</v>
      </c>
      <c r="CX113" s="487">
        <f t="shared" ca="1" si="185"/>
        <v>0.74999999999999989</v>
      </c>
      <c r="CY113" s="488">
        <f t="shared" ca="1" si="186"/>
        <v>0.74999999999999989</v>
      </c>
      <c r="CZ113" s="488">
        <f t="shared" si="187"/>
        <v>0</v>
      </c>
      <c r="DA113" s="488">
        <f t="shared" ca="1" si="188"/>
        <v>2.9999999999999996</v>
      </c>
      <c r="DB113" s="488">
        <f t="shared" ca="1" si="189"/>
        <v>0.74999999999999989</v>
      </c>
      <c r="DC113" s="487">
        <f t="shared" si="190"/>
        <v>0</v>
      </c>
      <c r="DD113" s="843">
        <f t="shared" si="191"/>
        <v>0</v>
      </c>
      <c r="DE113" s="441">
        <f t="shared" si="166"/>
        <v>0</v>
      </c>
      <c r="DF113" s="441">
        <f t="shared" si="167"/>
        <v>0</v>
      </c>
      <c r="DG113" s="486">
        <f t="shared" ca="1" si="192"/>
        <v>0.74999999999999989</v>
      </c>
      <c r="DH113" s="451">
        <f t="shared" si="193"/>
        <v>0</v>
      </c>
      <c r="DI113" s="451">
        <f>MIN(valkyrja_cap,Production!O113/valkyrja_bonus)</f>
        <v>1</v>
      </c>
      <c r="DJ113" s="843">
        <f>MIN(voodoo_magi_cap,Production!O113/voodoo_magi_bonus)</f>
        <v>0.83333333333333337</v>
      </c>
      <c r="DK113" s="843">
        <f>MIN(warlock_cap,Production!O113/warlock_bonus)</f>
        <v>1</v>
      </c>
      <c r="DL113" s="843">
        <f ca="1">MIN(nox_nightshade_cap,Construction!DF113/Construction!E113/nox_nightshade_swamp_bonus)</f>
        <v>1.4999999999999998</v>
      </c>
      <c r="DM113" s="487">
        <f t="shared" si="194"/>
        <v>0</v>
      </c>
      <c r="DN113" s="488">
        <f t="shared" ca="1" si="195"/>
        <v>1.4999999999999998</v>
      </c>
      <c r="DO113" s="488">
        <f t="shared" ca="1" si="196"/>
        <v>1.4999999999999998</v>
      </c>
      <c r="DP113" s="488">
        <f t="shared" si="197"/>
        <v>1</v>
      </c>
      <c r="DQ113" s="487">
        <f t="shared" si="198"/>
        <v>0</v>
      </c>
      <c r="DR113" s="488">
        <f t="shared" si="199"/>
        <v>0</v>
      </c>
      <c r="DS113" s="487">
        <f t="shared" si="200"/>
        <v>0</v>
      </c>
      <c r="DT113" s="488">
        <f t="shared" si="201"/>
        <v>0</v>
      </c>
      <c r="DX113" s="486">
        <f ca="1">MIN(6,CV113+Races!$F$19)*1.8 +  IF(CV113+Races!$F$19&gt;6,(CV113+Races!$F$19-6)*0.2,0) - Races!$N$19</f>
        <v>1.3500000000000005</v>
      </c>
      <c r="DY113" s="487">
        <f ca="1">1.8 * MIN(MAX(CW113+Races!$E$20,CX113+Races!$F$20),6)  +  0.45 * MIN(MIN(CW113+Races!$E$20,CX113+Races!$F$20),6)  +  0.2 * ( MAX(CW113+Races!$E$20-6,0) + MAX(CX113+Races!$F$20-6,0) )  -  Races!$N$20</f>
        <v>1.6874999999999991</v>
      </c>
      <c r="DZ113" s="57">
        <f t="shared" ca="1" si="202"/>
        <v>0</v>
      </c>
      <c r="EA113" s="663">
        <f ca="1">MIN(6,CY113+Races!$F$35)*1.8 +  IF(CY113+Races!$F$35&gt;6,(CY113+Races!$F$35-6)*0.2,0) - Races!$N$19</f>
        <v>-0.45000000000000018</v>
      </c>
      <c r="EB113" s="57">
        <f t="shared" ca="1" si="203"/>
        <v>0</v>
      </c>
      <c r="EC113" s="663">
        <f ca="1">1.8 * MIN(MAX(Races!$E$27,DB113+Races!$F$27),6)  +  0.45 * MIN(MIN(Races!$E$27,DB113+Races!$F$27),6)  +  0.2 * ( MAX(Races!$E$27-6,0) + MAX(DB113+Races!$F$27-6,0) )  -  Races!$N$20</f>
        <v>3.6000000000000005</v>
      </c>
      <c r="ED113" s="57">
        <f t="shared" ca="1" si="204"/>
        <v>0</v>
      </c>
      <c r="EE113" s="663">
        <f>1.8 * MIN(MAX(DC113+Races!$E$47,DD113+Races!$F$47),6)  +  0.45 * MIN(MIN(DC113+Races!$E$47,DD113+Races!$F$47),6)  +  0.2 * ( MAX(DC113+Races!$E$47-6,0) + MAX(DD113+Races!$F$47-6,0) )  -  Races!$N$47</f>
        <v>0</v>
      </c>
      <c r="EF113" s="57">
        <f t="shared" si="205"/>
        <v>0</v>
      </c>
      <c r="EG113" s="663">
        <f ca="1">1.8 * MIN(MAX(DG113+Races!$F$71,Races!$E$71),6)  +  0.45 * MIN(MIN(DG113+Races!$F$71,Races!$E$71),6)  +  0.2 * ( MAX(DG113+Races!$F$71-6,0) + MAX(Races!$E$71-6,0) )  -  Races!$N$71</f>
        <v>1.3499999999999996</v>
      </c>
      <c r="EH113" s="663">
        <f>1.8 * MIN(MAX(DH113+Races!$E$71,Races!$F$71),6)  +  0.45 * MIN(MIN(DH113+Races!$E$71,Races!$F$71),6)  +  0.2 * ( MAX(DH113+Races!$E$71-6,0) + MAX(Races!$F$71-6,0) )  -  Races!$N$71</f>
        <v>0</v>
      </c>
      <c r="EI113" s="57">
        <f t="shared" ca="1" si="206"/>
        <v>0</v>
      </c>
      <c r="EJ113" s="57"/>
      <c r="EK113" s="57"/>
      <c r="EL113" s="57"/>
      <c r="EM113" s="57">
        <f ca="1">Overview!$L$22*E113+Overview!$L$23*F113+Overview!$L$24*G113+Overview!$L$25*H113+Overview!$L$26*I113+Overview!$L$27*J113+Overview!$L$28*K113+Construction!E113*20+Construction!B113*5 + DZ113*$DV$4+EB113*$DV$5+ED113*$DV$6+EF113*$DV$7+EI113*$DV$9</f>
        <v>20900</v>
      </c>
      <c r="EO113" s="734">
        <f>(J113+2*K113)/Construction!E113</f>
        <v>0</v>
      </c>
      <c r="EP113" s="730">
        <f ca="1">EO113*(1+race_wizard_strength+tech_magical_weaponry_wiz*Techs!AV185)</f>
        <v>0</v>
      </c>
      <c r="EQ113" s="16">
        <f>(I113+halfer*H113/3)/Construction!E113</f>
        <v>0</v>
      </c>
    </row>
    <row r="114" spans="1:147" s="16" customFormat="1" x14ac:dyDescent="0.25">
      <c r="A114" s="627">
        <f>Rezone!J114</f>
        <v>112</v>
      </c>
      <c r="B114" s="56">
        <f ca="1">SUM(E114:K114)+SUM(AF106:AG114)+SUM(AH103:AL114)+Z114+Explore!AL114</f>
        <v>5295</v>
      </c>
      <c r="C114" s="97">
        <f ca="1">Population!G114</f>
        <v>0.74159663865546221</v>
      </c>
      <c r="E114" s="52">
        <f t="shared" si="207"/>
        <v>0</v>
      </c>
      <c r="F114" s="16">
        <f t="shared" si="208"/>
        <v>0</v>
      </c>
      <c r="G114" s="16">
        <f t="shared" si="209"/>
        <v>0</v>
      </c>
      <c r="H114" s="16">
        <f t="shared" si="210"/>
        <v>0</v>
      </c>
      <c r="I114" s="16">
        <f t="shared" si="211"/>
        <v>0</v>
      </c>
      <c r="J114" s="16">
        <f t="shared" si="212"/>
        <v>0</v>
      </c>
      <c r="K114" s="53">
        <f t="shared" si="213"/>
        <v>0</v>
      </c>
      <c r="M114" s="64">
        <f ca="1">Production!G114</f>
        <v>20900</v>
      </c>
      <c r="O114" s="142">
        <f t="shared" ca="1" si="179"/>
        <v>0</v>
      </c>
      <c r="P114" s="454">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53"/>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80"/>
        <v>5295</v>
      </c>
      <c r="T114" s="1047">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1">
        <f t="shared" ca="1" si="154"/>
        <v>0</v>
      </c>
      <c r="V114" s="310">
        <f t="shared" ca="1" si="155"/>
        <v>5295</v>
      </c>
      <c r="W114" s="310">
        <f>Construction!E114</f>
        <v>1000</v>
      </c>
      <c r="X114" s="367"/>
      <c r="Y114" s="146">
        <f t="shared" si="178"/>
        <v>0.4</v>
      </c>
      <c r="Z114" s="166">
        <f ca="1">Z113+Population!Z113 - IF(race="Lux",AF114,SUM(AF114:AK114)) - BE114 + SUM(BF114:BL114) - Explore!AI114</f>
        <v>5295</v>
      </c>
      <c r="AA114" s="164"/>
      <c r="AB114" s="91">
        <f>(Construction!$BA114+Construction!BY114)/(Construction!$E114-Explore!S114*20)</f>
        <v>0</v>
      </c>
      <c r="AC114" s="1516">
        <f ca="1">Imps!AE114</f>
        <v>0</v>
      </c>
      <c r="AD114" s="795">
        <f>Rezone!J114</f>
        <v>112</v>
      </c>
      <c r="AE114" s="587">
        <f>Explore!AA114</f>
        <v>43769.156249999731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81"/>
        <v>0</v>
      </c>
      <c r="AV114" s="164">
        <f t="shared" ca="1" si="182"/>
        <v>0</v>
      </c>
      <c r="AW114" s="164">
        <f t="shared" ca="1" si="156"/>
        <v>0</v>
      </c>
      <c r="AX114" s="164">
        <f t="shared" ca="1" si="157"/>
        <v>0</v>
      </c>
      <c r="AY114" s="164">
        <f t="shared" ca="1" si="158"/>
        <v>0</v>
      </c>
      <c r="AZ114" s="164">
        <f t="shared" ca="1" si="159"/>
        <v>0</v>
      </c>
      <c r="BA114" s="166">
        <f t="shared" ca="1" si="160"/>
        <v>0</v>
      </c>
      <c r="BB114" s="16">
        <v>40</v>
      </c>
      <c r="BC114" s="572">
        <f t="shared" si="161"/>
        <v>43769.156249999731</v>
      </c>
      <c r="BD114" s="148">
        <f t="shared" ca="1" si="162"/>
        <v>5295</v>
      </c>
      <c r="BE114" s="356"/>
      <c r="BF114" s="348"/>
      <c r="BG114" s="348"/>
      <c r="BH114" s="348"/>
      <c r="BI114" s="348"/>
      <c r="BJ114" s="348"/>
      <c r="BK114" s="348"/>
      <c r="BL114" s="357"/>
      <c r="BN114" s="501">
        <f>Construction!BM114/Construction!E114</f>
        <v>0</v>
      </c>
      <c r="BO114" s="171">
        <f>Construction!BD114/Construction!E114</f>
        <v>0</v>
      </c>
      <c r="BP114" s="152">
        <f ca="1">ROUNDUP((1-MIN(AB114*smithy_bonus,smithy_bonus_cap)-AC114)*(1+Techs!AO114*tech_master_of_frugality)*spec_op_plat,0)</f>
        <v>275</v>
      </c>
      <c r="BQ114" s="164">
        <f ca="1">ROUNDUP(IF(OR(race="Gnome",race="Imperial Gnome"),1-AC114,(1-MIN(AB114*smithy_bonus,smithy_bonus_cap)-AC114)*(1+Techs!AO114*tech_master_of_frugality))*spec_op_ore,0)</f>
        <v>25</v>
      </c>
      <c r="BR114" s="164">
        <f t="shared" si="116"/>
        <v>0</v>
      </c>
      <c r="BS114" s="164">
        <f t="shared" si="117"/>
        <v>0</v>
      </c>
      <c r="BT114" s="164">
        <f ca="1">ROUNDUP((1-MIN(AB114*smithy_bonus,smithy_bonus_cap)-AC114)*(1+Techs!AO114*tech_master_of_frugality)*spec_dp_plat,0)</f>
        <v>275</v>
      </c>
      <c r="BU114" s="164">
        <f ca="1">ROUNDUP(IF(OR(race="Gnome",race="Imperial Gnome"),1-AC114,(1-MIN(AB114*smithy_bonus,smithy_bonus_cap)-AC114)*(1+Techs!AO114*tech_master_of_frugality))*spec_dp_ore,0)</f>
        <v>10</v>
      </c>
      <c r="BV114" s="164">
        <f t="shared" ca="1" si="118"/>
        <v>0</v>
      </c>
      <c r="BW114" s="164">
        <f t="shared" ca="1" si="119"/>
        <v>0</v>
      </c>
      <c r="BX114" s="164">
        <f t="shared" ca="1" si="120"/>
        <v>0</v>
      </c>
      <c r="BY114" s="164">
        <f ca="1">ROUNDUP((1-MIN(AB114*smithy_bonus,smithy_bonus_cap)-AC114)*(1+Techs!AO114*tech_master_of_frugality)*elite1_plat,0)</f>
        <v>1000</v>
      </c>
      <c r="BZ114" s="164">
        <f ca="1">ROUNDUP(IF(OR(race="Gnome",race="Imperial Gnome"),1-AC114,(1-MIN(AB114*smithy_bonus,smithy_bonus_cap)-AC114)*(1+Techs!AO114*tech_master_of_frugality))*elite1_ore,0)</f>
        <v>75</v>
      </c>
      <c r="CA114" s="164">
        <f t="shared" ca="1" si="163"/>
        <v>0</v>
      </c>
      <c r="CB114" s="164">
        <f t="shared" ca="1" si="121"/>
        <v>0</v>
      </c>
      <c r="CC114" s="164">
        <f t="shared" ca="1" si="122"/>
        <v>0</v>
      </c>
      <c r="CD114" s="164">
        <f t="shared" ca="1" si="123"/>
        <v>0</v>
      </c>
      <c r="CE114" s="164">
        <f t="shared" ca="1" si="124"/>
        <v>0</v>
      </c>
      <c r="CF114" s="164">
        <f ca="1">ROUNDUP((1-MIN(AB114*smithy_bonus,smithy_bonus_cap)-AC114)*(1+Techs!AO114*tech_master_of_frugality)*elite2_plat,0)</f>
        <v>1250</v>
      </c>
      <c r="CG114" s="164">
        <f ca="1">ROUNDUP(IF(OR(race="Gnome",race="Imperial Gnome"),1-AC114,(1-MIN(AB114*smithy_bonus,smithy_bonus_cap)-AC114)*(1+Techs!AO114*tech_master_of_frugality))*elite2_ore,0)</f>
        <v>100</v>
      </c>
      <c r="CH114" s="164">
        <f t="shared" ca="1" si="164"/>
        <v>0</v>
      </c>
      <c r="CI114" s="164">
        <f t="shared" ca="1" si="125"/>
        <v>0</v>
      </c>
      <c r="CJ114" s="164">
        <f t="shared" ca="1" si="126"/>
        <v>0</v>
      </c>
      <c r="CK114" s="164">
        <f t="shared" ca="1" si="127"/>
        <v>0</v>
      </c>
      <c r="CL114" s="164">
        <f t="shared" ca="1" si="128"/>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4">
        <f ca="1">Construction!DF114/Construction!E114</f>
        <v>0.15</v>
      </c>
      <c r="CR114" s="465">
        <f t="shared" si="165"/>
        <v>0</v>
      </c>
      <c r="CS114" s="465">
        <f>Construction!BK114/Construction!E114</f>
        <v>0.05</v>
      </c>
      <c r="CT114" s="465">
        <f>Construction!BJ114/Construction!E114</f>
        <v>0</v>
      </c>
      <c r="CU114" s="465">
        <f>Construction!AY114/Construction!E114</f>
        <v>0</v>
      </c>
      <c r="CV114" s="486">
        <f t="shared" ca="1" si="183"/>
        <v>0.74999999999999989</v>
      </c>
      <c r="CW114" s="487">
        <f t="shared" ca="1" si="184"/>
        <v>0.74999999999999989</v>
      </c>
      <c r="CX114" s="487">
        <f t="shared" ca="1" si="185"/>
        <v>0.74999999999999989</v>
      </c>
      <c r="CY114" s="488">
        <f t="shared" ca="1" si="186"/>
        <v>0.74999999999999989</v>
      </c>
      <c r="CZ114" s="488">
        <f t="shared" si="187"/>
        <v>0</v>
      </c>
      <c r="DA114" s="488">
        <f t="shared" ca="1" si="188"/>
        <v>2.9999999999999996</v>
      </c>
      <c r="DB114" s="488">
        <f t="shared" ca="1" si="189"/>
        <v>0.74999999999999989</v>
      </c>
      <c r="DC114" s="487">
        <f t="shared" si="190"/>
        <v>0</v>
      </c>
      <c r="DD114" s="843">
        <f t="shared" si="191"/>
        <v>0</v>
      </c>
      <c r="DE114" s="441">
        <f t="shared" si="166"/>
        <v>0</v>
      </c>
      <c r="DF114" s="441">
        <f t="shared" si="167"/>
        <v>0</v>
      </c>
      <c r="DG114" s="486">
        <f t="shared" ca="1" si="192"/>
        <v>0.74999999999999989</v>
      </c>
      <c r="DH114" s="451">
        <f t="shared" si="193"/>
        <v>0</v>
      </c>
      <c r="DI114" s="451">
        <f>MIN(valkyrja_cap,Production!O114/valkyrja_bonus)</f>
        <v>1</v>
      </c>
      <c r="DJ114" s="843">
        <f>MIN(voodoo_magi_cap,Production!O114/voodoo_magi_bonus)</f>
        <v>0.83333333333333337</v>
      </c>
      <c r="DK114" s="843">
        <f>MIN(warlock_cap,Production!O114/warlock_bonus)</f>
        <v>1</v>
      </c>
      <c r="DL114" s="843">
        <f ca="1">MIN(nox_nightshade_cap,Construction!DF114/Construction!E114/nox_nightshade_swamp_bonus)</f>
        <v>1.4999999999999998</v>
      </c>
      <c r="DM114" s="487">
        <f t="shared" si="194"/>
        <v>0</v>
      </c>
      <c r="DN114" s="488">
        <f t="shared" ca="1" si="195"/>
        <v>1.4999999999999998</v>
      </c>
      <c r="DO114" s="488">
        <f t="shared" ca="1" si="196"/>
        <v>1.4999999999999998</v>
      </c>
      <c r="DP114" s="488">
        <f t="shared" si="197"/>
        <v>1</v>
      </c>
      <c r="DQ114" s="487">
        <f t="shared" si="198"/>
        <v>0</v>
      </c>
      <c r="DR114" s="488">
        <f t="shared" si="199"/>
        <v>0</v>
      </c>
      <c r="DS114" s="487">
        <f t="shared" si="200"/>
        <v>0</v>
      </c>
      <c r="DT114" s="488">
        <f t="shared" si="201"/>
        <v>0</v>
      </c>
      <c r="DX114" s="486">
        <f ca="1">MIN(6,CV114+Races!$F$19)*1.8 +  IF(CV114+Races!$F$19&gt;6,(CV114+Races!$F$19-6)*0.2,0) - Races!$N$19</f>
        <v>1.3500000000000005</v>
      </c>
      <c r="DY114" s="487">
        <f ca="1">1.8 * MIN(MAX(CW114+Races!$E$20,CX114+Races!$F$20),6)  +  0.45 * MIN(MIN(CW114+Races!$E$20,CX114+Races!$F$20),6)  +  0.2 * ( MAX(CW114+Races!$E$20-6,0) + MAX(CX114+Races!$F$20-6,0) )  -  Races!$N$20</f>
        <v>1.6874999999999991</v>
      </c>
      <c r="DZ114" s="57">
        <f t="shared" ca="1" si="202"/>
        <v>0</v>
      </c>
      <c r="EA114" s="663">
        <f ca="1">MIN(6,CY114+Races!$F$35)*1.8 +  IF(CY114+Races!$F$35&gt;6,(CY114+Races!$F$35-6)*0.2,0) - Races!$N$19</f>
        <v>-0.45000000000000018</v>
      </c>
      <c r="EB114" s="57">
        <f t="shared" ca="1" si="203"/>
        <v>0</v>
      </c>
      <c r="EC114" s="663">
        <f ca="1">1.8 * MIN(MAX(Races!$E$27,DB114+Races!$F$27),6)  +  0.45 * MIN(MIN(Races!$E$27,DB114+Races!$F$27),6)  +  0.2 * ( MAX(Races!$E$27-6,0) + MAX(DB114+Races!$F$27-6,0) )  -  Races!$N$20</f>
        <v>3.6000000000000005</v>
      </c>
      <c r="ED114" s="57">
        <f t="shared" ca="1" si="204"/>
        <v>0</v>
      </c>
      <c r="EE114" s="663">
        <f>1.8 * MIN(MAX(DC114+Races!$E$47,DD114+Races!$F$47),6)  +  0.45 * MIN(MIN(DC114+Races!$E$47,DD114+Races!$F$47),6)  +  0.2 * ( MAX(DC114+Races!$E$47-6,0) + MAX(DD114+Races!$F$47-6,0) )  -  Races!$N$47</f>
        <v>0</v>
      </c>
      <c r="EF114" s="57">
        <f t="shared" si="205"/>
        <v>0</v>
      </c>
      <c r="EG114" s="663">
        <f ca="1">1.8 * MIN(MAX(DG114+Races!$F$71,Races!$E$71),6)  +  0.45 * MIN(MIN(DG114+Races!$F$71,Races!$E$71),6)  +  0.2 * ( MAX(DG114+Races!$F$71-6,0) + MAX(Races!$E$71-6,0) )  -  Races!$N$71</f>
        <v>1.3499999999999996</v>
      </c>
      <c r="EH114" s="663">
        <f>1.8 * MIN(MAX(DH114+Races!$E$71,Races!$F$71),6)  +  0.45 * MIN(MIN(DH114+Races!$E$71,Races!$F$71),6)  +  0.2 * ( MAX(DH114+Races!$E$71-6,0) + MAX(Races!$F$71-6,0) )  -  Races!$N$71</f>
        <v>0</v>
      </c>
      <c r="EI114" s="57">
        <f t="shared" ca="1" si="206"/>
        <v>0</v>
      </c>
      <c r="EJ114" s="57"/>
      <c r="EK114" s="57"/>
      <c r="EL114" s="57"/>
      <c r="EM114" s="57">
        <f ca="1">Overview!$L$22*E114+Overview!$L$23*F114+Overview!$L$24*G114+Overview!$L$25*H114+Overview!$L$26*I114+Overview!$L$27*J114+Overview!$L$28*K114+Construction!E114*20+Construction!B114*5 + DZ114*$DV$4+EB114*$DV$5+ED114*$DV$6+EF114*$DV$7+EI114*$DV$9</f>
        <v>20900</v>
      </c>
      <c r="EO114" s="734">
        <f>(J114+2*K114)/Construction!E114</f>
        <v>0</v>
      </c>
      <c r="EP114" s="730">
        <f ca="1">EO114*(1+race_wizard_strength+tech_magical_weaponry_wiz*Techs!AV186)</f>
        <v>0</v>
      </c>
      <c r="EQ114" s="16">
        <f>(I114+halfer*H114/3)/Construction!E114</f>
        <v>0</v>
      </c>
    </row>
    <row r="115" spans="1:147" s="16" customFormat="1" x14ac:dyDescent="0.25">
      <c r="A115" s="627">
        <f>Rezone!J115</f>
        <v>113</v>
      </c>
      <c r="B115" s="56">
        <f ca="1">SUM(E115:K115)+SUM(AF107:AG115)+SUM(AH104:AL115)+Z115+Explore!AL115</f>
        <v>5295</v>
      </c>
      <c r="C115" s="97">
        <f ca="1">Population!G115</f>
        <v>0.74159663865546221</v>
      </c>
      <c r="E115" s="52">
        <f t="shared" si="207"/>
        <v>0</v>
      </c>
      <c r="F115" s="16">
        <f t="shared" si="208"/>
        <v>0</v>
      </c>
      <c r="G115" s="16">
        <f t="shared" si="209"/>
        <v>0</v>
      </c>
      <c r="H115" s="16">
        <f t="shared" si="210"/>
        <v>0</v>
      </c>
      <c r="I115" s="16">
        <f t="shared" si="211"/>
        <v>0</v>
      </c>
      <c r="J115" s="16">
        <f t="shared" si="212"/>
        <v>0</v>
      </c>
      <c r="K115" s="53">
        <f t="shared" si="213"/>
        <v>0</v>
      </c>
      <c r="M115" s="64">
        <f ca="1">Production!G115</f>
        <v>20900</v>
      </c>
      <c r="O115" s="142">
        <f t="shared" ca="1" si="179"/>
        <v>0</v>
      </c>
      <c r="P115" s="454">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53"/>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80"/>
        <v>5295</v>
      </c>
      <c r="T115" s="1047">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1">
        <f t="shared" ca="1" si="154"/>
        <v>0</v>
      </c>
      <c r="V115" s="310">
        <f t="shared" ca="1" si="155"/>
        <v>5295</v>
      </c>
      <c r="W115" s="310">
        <f>Construction!E115</f>
        <v>1000</v>
      </c>
      <c r="X115" s="367"/>
      <c r="Y115" s="146">
        <f t="shared" si="178"/>
        <v>0.4</v>
      </c>
      <c r="Z115" s="166">
        <f ca="1">Z114+Population!Z114 - IF(race="Lux",AF115,SUM(AF115:AK115)) - BE115 + SUM(BF115:BL115) - Explore!AI115</f>
        <v>5295</v>
      </c>
      <c r="AA115" s="164"/>
      <c r="AB115" s="91">
        <f>(Construction!$BA115+Construction!BY115)/(Construction!$E115-Explore!S115*20)</f>
        <v>0</v>
      </c>
      <c r="AC115" s="1516">
        <f ca="1">Imps!AE115</f>
        <v>0</v>
      </c>
      <c r="AD115" s="795">
        <f>Rezone!J115</f>
        <v>113</v>
      </c>
      <c r="AE115" s="587">
        <f>Explore!AA115</f>
        <v>43769.166666666395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81"/>
        <v>0</v>
      </c>
      <c r="AV115" s="164">
        <f t="shared" ca="1" si="182"/>
        <v>0</v>
      </c>
      <c r="AW115" s="164">
        <f t="shared" ca="1" si="156"/>
        <v>0</v>
      </c>
      <c r="AX115" s="164">
        <f t="shared" ca="1" si="157"/>
        <v>0</v>
      </c>
      <c r="AY115" s="164">
        <f t="shared" ca="1" si="158"/>
        <v>0</v>
      </c>
      <c r="AZ115" s="164">
        <f t="shared" ca="1" si="159"/>
        <v>0</v>
      </c>
      <c r="BA115" s="166">
        <f t="shared" ca="1" si="160"/>
        <v>0</v>
      </c>
      <c r="BB115" s="16">
        <v>41</v>
      </c>
      <c r="BC115" s="572">
        <f t="shared" si="161"/>
        <v>43769.166666666395</v>
      </c>
      <c r="BD115" s="148">
        <f t="shared" ca="1" si="162"/>
        <v>5295</v>
      </c>
      <c r="BE115" s="356"/>
      <c r="BF115" s="348"/>
      <c r="BG115" s="348"/>
      <c r="BH115" s="348"/>
      <c r="BI115" s="348"/>
      <c r="BJ115" s="348"/>
      <c r="BK115" s="348"/>
      <c r="BL115" s="357"/>
      <c r="BN115" s="501">
        <f>Construction!BM115/Construction!E115</f>
        <v>0</v>
      </c>
      <c r="BO115" s="171">
        <f>Construction!BD115/Construction!E115</f>
        <v>0</v>
      </c>
      <c r="BP115" s="152">
        <f ca="1">ROUNDUP((1-MIN(AB115*smithy_bonus,smithy_bonus_cap)-AC115)*(1+Techs!AO115*tech_master_of_frugality)*spec_op_plat,0)</f>
        <v>275</v>
      </c>
      <c r="BQ115" s="164">
        <f ca="1">ROUNDUP(IF(OR(race="Gnome",race="Imperial Gnome"),1-AC115,(1-MIN(AB115*smithy_bonus,smithy_bonus_cap)-AC115)*(1+Techs!AO115*tech_master_of_frugality))*spec_op_ore,0)</f>
        <v>25</v>
      </c>
      <c r="BR115" s="164">
        <f t="shared" si="116"/>
        <v>0</v>
      </c>
      <c r="BS115" s="164">
        <f t="shared" si="117"/>
        <v>0</v>
      </c>
      <c r="BT115" s="164">
        <f ca="1">ROUNDUP((1-MIN(AB115*smithy_bonus,smithy_bonus_cap)-AC115)*(1+Techs!AO115*tech_master_of_frugality)*spec_dp_plat,0)</f>
        <v>275</v>
      </c>
      <c r="BU115" s="164">
        <f ca="1">ROUNDUP(IF(OR(race="Gnome",race="Imperial Gnome"),1-AC115,(1-MIN(AB115*smithy_bonus,smithy_bonus_cap)-AC115)*(1+Techs!AO115*tech_master_of_frugality))*spec_dp_ore,0)</f>
        <v>10</v>
      </c>
      <c r="BV115" s="164">
        <f t="shared" ca="1" si="118"/>
        <v>0</v>
      </c>
      <c r="BW115" s="164">
        <f t="shared" ca="1" si="119"/>
        <v>0</v>
      </c>
      <c r="BX115" s="164">
        <f t="shared" ca="1" si="120"/>
        <v>0</v>
      </c>
      <c r="BY115" s="164">
        <f ca="1">ROUNDUP((1-MIN(AB115*smithy_bonus,smithy_bonus_cap)-AC115)*(1+Techs!AO115*tech_master_of_frugality)*elite1_plat,0)</f>
        <v>1000</v>
      </c>
      <c r="BZ115" s="164">
        <f ca="1">ROUNDUP(IF(OR(race="Gnome",race="Imperial Gnome"),1-AC115,(1-MIN(AB115*smithy_bonus,smithy_bonus_cap)-AC115)*(1+Techs!AO115*tech_master_of_frugality))*elite1_ore,0)</f>
        <v>75</v>
      </c>
      <c r="CA115" s="164">
        <f t="shared" ca="1" si="163"/>
        <v>0</v>
      </c>
      <c r="CB115" s="164">
        <f t="shared" ca="1" si="121"/>
        <v>0</v>
      </c>
      <c r="CC115" s="164">
        <f t="shared" ca="1" si="122"/>
        <v>0</v>
      </c>
      <c r="CD115" s="164">
        <f t="shared" ca="1" si="123"/>
        <v>0</v>
      </c>
      <c r="CE115" s="164">
        <f t="shared" ca="1" si="124"/>
        <v>0</v>
      </c>
      <c r="CF115" s="164">
        <f ca="1">ROUNDUP((1-MIN(AB115*smithy_bonus,smithy_bonus_cap)-AC115)*(1+Techs!AO115*tech_master_of_frugality)*elite2_plat,0)</f>
        <v>1250</v>
      </c>
      <c r="CG115" s="164">
        <f ca="1">ROUNDUP(IF(OR(race="Gnome",race="Imperial Gnome"),1-AC115,(1-MIN(AB115*smithy_bonus,smithy_bonus_cap)-AC115)*(1+Techs!AO115*tech_master_of_frugality))*elite2_ore,0)</f>
        <v>100</v>
      </c>
      <c r="CH115" s="164">
        <f t="shared" ca="1" si="164"/>
        <v>0</v>
      </c>
      <c r="CI115" s="164">
        <f t="shared" ca="1" si="125"/>
        <v>0</v>
      </c>
      <c r="CJ115" s="164">
        <f t="shared" ca="1" si="126"/>
        <v>0</v>
      </c>
      <c r="CK115" s="164">
        <f t="shared" ca="1" si="127"/>
        <v>0</v>
      </c>
      <c r="CL115" s="164">
        <f t="shared" ca="1" si="128"/>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4">
        <f ca="1">Construction!DF115/Construction!E115</f>
        <v>0.15</v>
      </c>
      <c r="CR115" s="465">
        <f t="shared" si="165"/>
        <v>0</v>
      </c>
      <c r="CS115" s="465">
        <f>Construction!BK115/Construction!E115</f>
        <v>0.05</v>
      </c>
      <c r="CT115" s="465">
        <f>Construction!BJ115/Construction!E115</f>
        <v>0</v>
      </c>
      <c r="CU115" s="465">
        <f>Construction!AY115/Construction!E115</f>
        <v>0</v>
      </c>
      <c r="CV115" s="486">
        <f t="shared" ca="1" si="183"/>
        <v>0.74999999999999989</v>
      </c>
      <c r="CW115" s="487">
        <f t="shared" ca="1" si="184"/>
        <v>0.74999999999999989</v>
      </c>
      <c r="CX115" s="487">
        <f t="shared" ca="1" si="185"/>
        <v>0.74999999999999989</v>
      </c>
      <c r="CY115" s="488">
        <f t="shared" ca="1" si="186"/>
        <v>0.74999999999999989</v>
      </c>
      <c r="CZ115" s="488">
        <f t="shared" si="187"/>
        <v>0</v>
      </c>
      <c r="DA115" s="488">
        <f t="shared" ca="1" si="188"/>
        <v>2.9999999999999996</v>
      </c>
      <c r="DB115" s="488">
        <f t="shared" ca="1" si="189"/>
        <v>0.74999999999999989</v>
      </c>
      <c r="DC115" s="487">
        <f t="shared" si="190"/>
        <v>0</v>
      </c>
      <c r="DD115" s="843">
        <f t="shared" si="191"/>
        <v>0</v>
      </c>
      <c r="DE115" s="441">
        <f t="shared" si="166"/>
        <v>0</v>
      </c>
      <c r="DF115" s="441">
        <f t="shared" si="167"/>
        <v>0</v>
      </c>
      <c r="DG115" s="486">
        <f t="shared" ca="1" si="192"/>
        <v>0.74999999999999989</v>
      </c>
      <c r="DH115" s="451">
        <f t="shared" si="193"/>
        <v>0</v>
      </c>
      <c r="DI115" s="451">
        <f>MIN(valkyrja_cap,Production!O115/valkyrja_bonus)</f>
        <v>1</v>
      </c>
      <c r="DJ115" s="843">
        <f>MIN(voodoo_magi_cap,Production!O115/voodoo_magi_bonus)</f>
        <v>0.83333333333333337</v>
      </c>
      <c r="DK115" s="843">
        <f>MIN(warlock_cap,Production!O115/warlock_bonus)</f>
        <v>1</v>
      </c>
      <c r="DL115" s="843">
        <f ca="1">MIN(nox_nightshade_cap,Construction!DF115/Construction!E115/nox_nightshade_swamp_bonus)</f>
        <v>1.4999999999999998</v>
      </c>
      <c r="DM115" s="487">
        <f t="shared" si="194"/>
        <v>0</v>
      </c>
      <c r="DN115" s="488">
        <f t="shared" ca="1" si="195"/>
        <v>1.4999999999999998</v>
      </c>
      <c r="DO115" s="488">
        <f t="shared" ca="1" si="196"/>
        <v>1.4999999999999998</v>
      </c>
      <c r="DP115" s="488">
        <f t="shared" si="197"/>
        <v>1</v>
      </c>
      <c r="DQ115" s="487">
        <f t="shared" si="198"/>
        <v>0</v>
      </c>
      <c r="DR115" s="488">
        <f t="shared" si="199"/>
        <v>0</v>
      </c>
      <c r="DS115" s="487">
        <f t="shared" si="200"/>
        <v>0</v>
      </c>
      <c r="DT115" s="488">
        <f t="shared" si="201"/>
        <v>0</v>
      </c>
      <c r="DX115" s="486">
        <f ca="1">MIN(6,CV115+Races!$F$19)*1.8 +  IF(CV115+Races!$F$19&gt;6,(CV115+Races!$F$19-6)*0.2,0) - Races!$N$19</f>
        <v>1.3500000000000005</v>
      </c>
      <c r="DY115" s="487">
        <f ca="1">1.8 * MIN(MAX(CW115+Races!$E$20,CX115+Races!$F$20),6)  +  0.45 * MIN(MIN(CW115+Races!$E$20,CX115+Races!$F$20),6)  +  0.2 * ( MAX(CW115+Races!$E$20-6,0) + MAX(CX115+Races!$F$20-6,0) )  -  Races!$N$20</f>
        <v>1.6874999999999991</v>
      </c>
      <c r="DZ115" s="57">
        <f t="shared" ca="1" si="202"/>
        <v>0</v>
      </c>
      <c r="EA115" s="663">
        <f ca="1">MIN(6,CY115+Races!$F$35)*1.8 +  IF(CY115+Races!$F$35&gt;6,(CY115+Races!$F$35-6)*0.2,0) - Races!$N$19</f>
        <v>-0.45000000000000018</v>
      </c>
      <c r="EB115" s="57">
        <f t="shared" ca="1" si="203"/>
        <v>0</v>
      </c>
      <c r="EC115" s="663">
        <f ca="1">1.8 * MIN(MAX(Races!$E$27,DB115+Races!$F$27),6)  +  0.45 * MIN(MIN(Races!$E$27,DB115+Races!$F$27),6)  +  0.2 * ( MAX(Races!$E$27-6,0) + MAX(DB115+Races!$F$27-6,0) )  -  Races!$N$20</f>
        <v>3.6000000000000005</v>
      </c>
      <c r="ED115" s="57">
        <f t="shared" ca="1" si="204"/>
        <v>0</v>
      </c>
      <c r="EE115" s="663">
        <f>1.8 * MIN(MAX(DC115+Races!$E$47,DD115+Races!$F$47),6)  +  0.45 * MIN(MIN(DC115+Races!$E$47,DD115+Races!$F$47),6)  +  0.2 * ( MAX(DC115+Races!$E$47-6,0) + MAX(DD115+Races!$F$47-6,0) )  -  Races!$N$47</f>
        <v>0</v>
      </c>
      <c r="EF115" s="57">
        <f t="shared" si="205"/>
        <v>0</v>
      </c>
      <c r="EG115" s="663">
        <f ca="1">1.8 * MIN(MAX(DG115+Races!$F$71,Races!$E$71),6)  +  0.45 * MIN(MIN(DG115+Races!$F$71,Races!$E$71),6)  +  0.2 * ( MAX(DG115+Races!$F$71-6,0) + MAX(Races!$E$71-6,0) )  -  Races!$N$71</f>
        <v>1.3499999999999996</v>
      </c>
      <c r="EH115" s="663">
        <f>1.8 * MIN(MAX(DH115+Races!$E$71,Races!$F$71),6)  +  0.45 * MIN(MIN(DH115+Races!$E$71,Races!$F$71),6)  +  0.2 * ( MAX(DH115+Races!$E$71-6,0) + MAX(Races!$F$71-6,0) )  -  Races!$N$71</f>
        <v>0</v>
      </c>
      <c r="EI115" s="57">
        <f t="shared" ca="1" si="206"/>
        <v>0</v>
      </c>
      <c r="EJ115" s="57"/>
      <c r="EK115" s="57"/>
      <c r="EL115" s="57"/>
      <c r="EM115" s="57">
        <f ca="1">Overview!$L$22*E115+Overview!$L$23*F115+Overview!$L$24*G115+Overview!$L$25*H115+Overview!$L$26*I115+Overview!$L$27*J115+Overview!$L$28*K115+Construction!E115*20+Construction!B115*5 + DZ115*$DV$4+EB115*$DV$5+ED115*$DV$6+EF115*$DV$7+EI115*$DV$9</f>
        <v>20900</v>
      </c>
      <c r="EO115" s="734">
        <f>(J115+2*K115)/Construction!E115</f>
        <v>0</v>
      </c>
      <c r="EP115" s="730">
        <f ca="1">EO115*(1+race_wizard_strength+tech_magical_weaponry_wiz*Techs!AV187)</f>
        <v>0</v>
      </c>
      <c r="EQ115" s="16">
        <f>(I115+halfer*H115/3)/Construction!E115</f>
        <v>0</v>
      </c>
    </row>
    <row r="116" spans="1:147" s="16" customFormat="1" x14ac:dyDescent="0.25">
      <c r="A116" s="627">
        <f>Rezone!J116</f>
        <v>114</v>
      </c>
      <c r="B116" s="56">
        <f ca="1">SUM(E116:K116)+SUM(AF108:AG116)+SUM(AH105:AL116)+Z116+Explore!AL116</f>
        <v>5295</v>
      </c>
      <c r="C116" s="97">
        <f ca="1">Population!G116</f>
        <v>0.74159663865546221</v>
      </c>
      <c r="E116" s="52">
        <f t="shared" si="207"/>
        <v>0</v>
      </c>
      <c r="F116" s="16">
        <f t="shared" si="208"/>
        <v>0</v>
      </c>
      <c r="G116" s="16">
        <f t="shared" si="209"/>
        <v>0</v>
      </c>
      <c r="H116" s="16">
        <f t="shared" si="210"/>
        <v>0</v>
      </c>
      <c r="I116" s="16">
        <f t="shared" si="211"/>
        <v>0</v>
      </c>
      <c r="J116" s="16">
        <f t="shared" si="212"/>
        <v>0</v>
      </c>
      <c r="K116" s="53">
        <f t="shared" si="213"/>
        <v>0</v>
      </c>
      <c r="M116" s="64">
        <f ca="1">Production!G116</f>
        <v>20900</v>
      </c>
      <c r="O116" s="142">
        <f t="shared" ca="1" si="179"/>
        <v>0</v>
      </c>
      <c r="P116" s="454">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53"/>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80"/>
        <v>5295</v>
      </c>
      <c r="T116" s="1047">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1">
        <f t="shared" ca="1" si="154"/>
        <v>0</v>
      </c>
      <c r="V116" s="310">
        <f t="shared" ca="1" si="155"/>
        <v>5295</v>
      </c>
      <c r="W116" s="310">
        <f>Construction!E116</f>
        <v>1000</v>
      </c>
      <c r="X116" s="367"/>
      <c r="Y116" s="146">
        <f t="shared" si="178"/>
        <v>0.4</v>
      </c>
      <c r="Z116" s="166">
        <f ca="1">Z115+Population!Z115 - IF(race="Lux",AF116,SUM(AF116:AK116)) - BE116 + SUM(BF116:BL116) - Explore!AI116</f>
        <v>5295</v>
      </c>
      <c r="AA116" s="164"/>
      <c r="AB116" s="91">
        <f>(Construction!$BA116+Construction!BY116)/(Construction!$E116-Explore!S116*20)</f>
        <v>0</v>
      </c>
      <c r="AC116" s="1516">
        <f ca="1">Imps!AE116</f>
        <v>0</v>
      </c>
      <c r="AD116" s="795">
        <f>Rezone!J116</f>
        <v>114</v>
      </c>
      <c r="AE116" s="587">
        <f>Explore!AA116</f>
        <v>43769.177083333059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81"/>
        <v>0</v>
      </c>
      <c r="AV116" s="164">
        <f t="shared" ca="1" si="182"/>
        <v>0</v>
      </c>
      <c r="AW116" s="164">
        <f t="shared" ca="1" si="156"/>
        <v>0</v>
      </c>
      <c r="AX116" s="164">
        <f t="shared" ca="1" si="157"/>
        <v>0</v>
      </c>
      <c r="AY116" s="164">
        <f t="shared" ca="1" si="158"/>
        <v>0</v>
      </c>
      <c r="AZ116" s="164">
        <f t="shared" ca="1" si="159"/>
        <v>0</v>
      </c>
      <c r="BA116" s="166">
        <f t="shared" ca="1" si="160"/>
        <v>0</v>
      </c>
      <c r="BB116" s="16">
        <v>42</v>
      </c>
      <c r="BC116" s="572">
        <f t="shared" si="161"/>
        <v>43769.177083333059</v>
      </c>
      <c r="BD116" s="148">
        <f t="shared" ca="1" si="162"/>
        <v>5295</v>
      </c>
      <c r="BE116" s="356"/>
      <c r="BF116" s="348"/>
      <c r="BG116" s="348"/>
      <c r="BH116" s="348"/>
      <c r="BI116" s="348"/>
      <c r="BJ116" s="348"/>
      <c r="BK116" s="348"/>
      <c r="BL116" s="357"/>
      <c r="BN116" s="501">
        <f>Construction!BM116/Construction!E116</f>
        <v>0</v>
      </c>
      <c r="BO116" s="171">
        <f>Construction!BD116/Construction!E116</f>
        <v>0</v>
      </c>
      <c r="BP116" s="152">
        <f ca="1">ROUNDUP((1-MIN(AB116*smithy_bonus,smithy_bonus_cap)-AC116)*(1+Techs!AO116*tech_master_of_frugality)*spec_op_plat,0)</f>
        <v>275</v>
      </c>
      <c r="BQ116" s="164">
        <f ca="1">ROUNDUP(IF(OR(race="Gnome",race="Imperial Gnome"),1-AC116,(1-MIN(AB116*smithy_bonus,smithy_bonus_cap)-AC116)*(1+Techs!AO116*tech_master_of_frugality))*spec_op_ore,0)</f>
        <v>25</v>
      </c>
      <c r="BR116" s="164">
        <f t="shared" si="116"/>
        <v>0</v>
      </c>
      <c r="BS116" s="164">
        <f t="shared" si="117"/>
        <v>0</v>
      </c>
      <c r="BT116" s="164">
        <f ca="1">ROUNDUP((1-MIN(AB116*smithy_bonus,smithy_bonus_cap)-AC116)*(1+Techs!AO116*tech_master_of_frugality)*spec_dp_plat,0)</f>
        <v>275</v>
      </c>
      <c r="BU116" s="164">
        <f ca="1">ROUNDUP(IF(OR(race="Gnome",race="Imperial Gnome"),1-AC116,(1-MIN(AB116*smithy_bonus,smithy_bonus_cap)-AC116)*(1+Techs!AO116*tech_master_of_frugality))*spec_dp_ore,0)</f>
        <v>10</v>
      </c>
      <c r="BV116" s="164">
        <f t="shared" ca="1" si="118"/>
        <v>0</v>
      </c>
      <c r="BW116" s="164">
        <f t="shared" ca="1" si="119"/>
        <v>0</v>
      </c>
      <c r="BX116" s="164">
        <f t="shared" ca="1" si="120"/>
        <v>0</v>
      </c>
      <c r="BY116" s="164">
        <f ca="1">ROUNDUP((1-MIN(AB116*smithy_bonus,smithy_bonus_cap)-AC116)*(1+Techs!AO116*tech_master_of_frugality)*elite1_plat,0)</f>
        <v>1000</v>
      </c>
      <c r="BZ116" s="164">
        <f ca="1">ROUNDUP(IF(OR(race="Gnome",race="Imperial Gnome"),1-AC116,(1-MIN(AB116*smithy_bonus,smithy_bonus_cap)-AC116)*(1+Techs!AO116*tech_master_of_frugality))*elite1_ore,0)</f>
        <v>75</v>
      </c>
      <c r="CA116" s="164">
        <f t="shared" ca="1" si="163"/>
        <v>0</v>
      </c>
      <c r="CB116" s="164">
        <f t="shared" ca="1" si="121"/>
        <v>0</v>
      </c>
      <c r="CC116" s="164">
        <f t="shared" ca="1" si="122"/>
        <v>0</v>
      </c>
      <c r="CD116" s="164">
        <f t="shared" ca="1" si="123"/>
        <v>0</v>
      </c>
      <c r="CE116" s="164">
        <f t="shared" ca="1" si="124"/>
        <v>0</v>
      </c>
      <c r="CF116" s="164">
        <f ca="1">ROUNDUP((1-MIN(AB116*smithy_bonus,smithy_bonus_cap)-AC116)*(1+Techs!AO116*tech_master_of_frugality)*elite2_plat,0)</f>
        <v>1250</v>
      </c>
      <c r="CG116" s="164">
        <f ca="1">ROUNDUP(IF(OR(race="Gnome",race="Imperial Gnome"),1-AC116,(1-MIN(AB116*smithy_bonus,smithy_bonus_cap)-AC116)*(1+Techs!AO116*tech_master_of_frugality))*elite2_ore,0)</f>
        <v>100</v>
      </c>
      <c r="CH116" s="164">
        <f t="shared" ca="1" si="164"/>
        <v>0</v>
      </c>
      <c r="CI116" s="164">
        <f t="shared" ca="1" si="125"/>
        <v>0</v>
      </c>
      <c r="CJ116" s="164">
        <f t="shared" ca="1" si="126"/>
        <v>0</v>
      </c>
      <c r="CK116" s="164">
        <f t="shared" ca="1" si="127"/>
        <v>0</v>
      </c>
      <c r="CL116" s="164">
        <f t="shared" ca="1" si="128"/>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4">
        <f ca="1">Construction!DF116/Construction!E116</f>
        <v>0.15</v>
      </c>
      <c r="CR116" s="465">
        <f t="shared" si="165"/>
        <v>0</v>
      </c>
      <c r="CS116" s="465">
        <f>Construction!BK116/Construction!E116</f>
        <v>0.05</v>
      </c>
      <c r="CT116" s="465">
        <f>Construction!BJ116/Construction!E116</f>
        <v>0</v>
      </c>
      <c r="CU116" s="465">
        <f>Construction!AY116/Construction!E116</f>
        <v>0</v>
      </c>
      <c r="CV116" s="486">
        <f t="shared" ca="1" si="183"/>
        <v>0.74999999999999989</v>
      </c>
      <c r="CW116" s="487">
        <f t="shared" ca="1" si="184"/>
        <v>0.74999999999999989</v>
      </c>
      <c r="CX116" s="487">
        <f t="shared" ca="1" si="185"/>
        <v>0.74999999999999989</v>
      </c>
      <c r="CY116" s="488">
        <f t="shared" ca="1" si="186"/>
        <v>0.74999999999999989</v>
      </c>
      <c r="CZ116" s="488">
        <f t="shared" si="187"/>
        <v>0</v>
      </c>
      <c r="DA116" s="488">
        <f t="shared" ca="1" si="188"/>
        <v>2.9999999999999996</v>
      </c>
      <c r="DB116" s="488">
        <f t="shared" ca="1" si="189"/>
        <v>0.74999999999999989</v>
      </c>
      <c r="DC116" s="487">
        <f t="shared" si="190"/>
        <v>0</v>
      </c>
      <c r="DD116" s="843">
        <f t="shared" si="191"/>
        <v>0</v>
      </c>
      <c r="DE116" s="441">
        <f t="shared" si="166"/>
        <v>0</v>
      </c>
      <c r="DF116" s="441">
        <f t="shared" si="167"/>
        <v>0</v>
      </c>
      <c r="DG116" s="486">
        <f t="shared" ca="1" si="192"/>
        <v>0.74999999999999989</v>
      </c>
      <c r="DH116" s="451">
        <f t="shared" si="193"/>
        <v>0</v>
      </c>
      <c r="DI116" s="451">
        <f>MIN(valkyrja_cap,Production!O116/valkyrja_bonus)</f>
        <v>1</v>
      </c>
      <c r="DJ116" s="843">
        <f>MIN(voodoo_magi_cap,Production!O116/voodoo_magi_bonus)</f>
        <v>0.83333333333333337</v>
      </c>
      <c r="DK116" s="843">
        <f>MIN(warlock_cap,Production!O116/warlock_bonus)</f>
        <v>1</v>
      </c>
      <c r="DL116" s="843">
        <f ca="1">MIN(nox_nightshade_cap,Construction!DF116/Construction!E116/nox_nightshade_swamp_bonus)</f>
        <v>1.4999999999999998</v>
      </c>
      <c r="DM116" s="487">
        <f t="shared" si="194"/>
        <v>0</v>
      </c>
      <c r="DN116" s="488">
        <f t="shared" ca="1" si="195"/>
        <v>1.4999999999999998</v>
      </c>
      <c r="DO116" s="488">
        <f t="shared" ca="1" si="196"/>
        <v>1.4999999999999998</v>
      </c>
      <c r="DP116" s="488">
        <f t="shared" si="197"/>
        <v>1</v>
      </c>
      <c r="DQ116" s="487">
        <f t="shared" si="198"/>
        <v>0</v>
      </c>
      <c r="DR116" s="488">
        <f t="shared" si="199"/>
        <v>0</v>
      </c>
      <c r="DS116" s="487">
        <f t="shared" si="200"/>
        <v>0</v>
      </c>
      <c r="DT116" s="488">
        <f t="shared" si="201"/>
        <v>0</v>
      </c>
      <c r="DX116" s="486">
        <f ca="1">MIN(6,CV116+Races!$F$19)*1.8 +  IF(CV116+Races!$F$19&gt;6,(CV116+Races!$F$19-6)*0.2,0) - Races!$N$19</f>
        <v>1.3500000000000005</v>
      </c>
      <c r="DY116" s="487">
        <f ca="1">1.8 * MIN(MAX(CW116+Races!$E$20,CX116+Races!$F$20),6)  +  0.45 * MIN(MIN(CW116+Races!$E$20,CX116+Races!$F$20),6)  +  0.2 * ( MAX(CW116+Races!$E$20-6,0) + MAX(CX116+Races!$F$20-6,0) )  -  Races!$N$20</f>
        <v>1.6874999999999991</v>
      </c>
      <c r="DZ116" s="57">
        <f t="shared" ca="1" si="202"/>
        <v>0</v>
      </c>
      <c r="EA116" s="663">
        <f ca="1">MIN(6,CY116+Races!$F$35)*1.8 +  IF(CY116+Races!$F$35&gt;6,(CY116+Races!$F$35-6)*0.2,0) - Races!$N$19</f>
        <v>-0.45000000000000018</v>
      </c>
      <c r="EB116" s="57">
        <f t="shared" ca="1" si="203"/>
        <v>0</v>
      </c>
      <c r="EC116" s="663">
        <f ca="1">1.8 * MIN(MAX(Races!$E$27,DB116+Races!$F$27),6)  +  0.45 * MIN(MIN(Races!$E$27,DB116+Races!$F$27),6)  +  0.2 * ( MAX(Races!$E$27-6,0) + MAX(DB116+Races!$F$27-6,0) )  -  Races!$N$20</f>
        <v>3.6000000000000005</v>
      </c>
      <c r="ED116" s="57">
        <f t="shared" ca="1" si="204"/>
        <v>0</v>
      </c>
      <c r="EE116" s="663">
        <f>1.8 * MIN(MAX(DC116+Races!$E$47,DD116+Races!$F$47),6)  +  0.45 * MIN(MIN(DC116+Races!$E$47,DD116+Races!$F$47),6)  +  0.2 * ( MAX(DC116+Races!$E$47-6,0) + MAX(DD116+Races!$F$47-6,0) )  -  Races!$N$47</f>
        <v>0</v>
      </c>
      <c r="EF116" s="57">
        <f t="shared" si="205"/>
        <v>0</v>
      </c>
      <c r="EG116" s="663">
        <f ca="1">1.8 * MIN(MAX(DG116+Races!$F$71,Races!$E$71),6)  +  0.45 * MIN(MIN(DG116+Races!$F$71,Races!$E$71),6)  +  0.2 * ( MAX(DG116+Races!$F$71-6,0) + MAX(Races!$E$71-6,0) )  -  Races!$N$71</f>
        <v>1.3499999999999996</v>
      </c>
      <c r="EH116" s="663">
        <f>1.8 * MIN(MAX(DH116+Races!$E$71,Races!$F$71),6)  +  0.45 * MIN(MIN(DH116+Races!$E$71,Races!$F$71),6)  +  0.2 * ( MAX(DH116+Races!$E$71-6,0) + MAX(Races!$F$71-6,0) )  -  Races!$N$71</f>
        <v>0</v>
      </c>
      <c r="EI116" s="57">
        <f t="shared" ca="1" si="206"/>
        <v>0</v>
      </c>
      <c r="EJ116" s="57"/>
      <c r="EK116" s="57"/>
      <c r="EL116" s="57"/>
      <c r="EM116" s="57">
        <f ca="1">Overview!$L$22*E116+Overview!$L$23*F116+Overview!$L$24*G116+Overview!$L$25*H116+Overview!$L$26*I116+Overview!$L$27*J116+Overview!$L$28*K116+Construction!E116*20+Construction!B116*5 + DZ116*$DV$4+EB116*$DV$5+ED116*$DV$6+EF116*$DV$7+EI116*$DV$9</f>
        <v>20900</v>
      </c>
      <c r="EO116" s="734">
        <f>(J116+2*K116)/Construction!E116</f>
        <v>0</v>
      </c>
      <c r="EP116" s="730">
        <f ca="1">EO116*(1+race_wizard_strength+tech_magical_weaponry_wiz*Techs!AV188)</f>
        <v>0</v>
      </c>
      <c r="EQ116" s="16">
        <f>(I116+halfer*H116/3)/Construction!E116</f>
        <v>0</v>
      </c>
    </row>
    <row r="117" spans="1:147" s="16" customFormat="1" x14ac:dyDescent="0.25">
      <c r="A117" s="627">
        <f>Rezone!J117</f>
        <v>115</v>
      </c>
      <c r="B117" s="56">
        <f ca="1">SUM(E117:K117)+SUM(AF109:AG117)+SUM(AH106:AL117)+Z117+Explore!AL117</f>
        <v>5295</v>
      </c>
      <c r="C117" s="97">
        <f ca="1">Population!G117</f>
        <v>0.74159663865546221</v>
      </c>
      <c r="E117" s="52">
        <f t="shared" si="207"/>
        <v>0</v>
      </c>
      <c r="F117" s="16">
        <f t="shared" si="208"/>
        <v>0</v>
      </c>
      <c r="G117" s="16">
        <f t="shared" si="209"/>
        <v>0</v>
      </c>
      <c r="H117" s="16">
        <f t="shared" si="210"/>
        <v>0</v>
      </c>
      <c r="I117" s="16">
        <f t="shared" si="211"/>
        <v>0</v>
      </c>
      <c r="J117" s="16">
        <f t="shared" si="212"/>
        <v>0</v>
      </c>
      <c r="K117" s="53">
        <f t="shared" si="213"/>
        <v>0</v>
      </c>
      <c r="M117" s="64">
        <f ca="1">Production!G117</f>
        <v>20900</v>
      </c>
      <c r="O117" s="142">
        <f t="shared" ca="1" si="179"/>
        <v>0</v>
      </c>
      <c r="P117" s="454">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53"/>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80"/>
        <v>5295</v>
      </c>
      <c r="T117" s="1047">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1">
        <f t="shared" ca="1" si="154"/>
        <v>0</v>
      </c>
      <c r="V117" s="310">
        <f t="shared" ca="1" si="155"/>
        <v>5295</v>
      </c>
      <c r="W117" s="310">
        <f>Construction!E117</f>
        <v>1000</v>
      </c>
      <c r="X117" s="367"/>
      <c r="Y117" s="146">
        <f t="shared" si="178"/>
        <v>0.4</v>
      </c>
      <c r="Z117" s="166">
        <f ca="1">Z116+Population!Z116 - IF(race="Lux",AF117,SUM(AF117:AK117)) - BE117 + SUM(BF117:BL117) - Explore!AI117</f>
        <v>5295</v>
      </c>
      <c r="AA117" s="164"/>
      <c r="AB117" s="91">
        <f>(Construction!$BA117+Construction!BY117)/(Construction!$E117-Explore!S117*20)</f>
        <v>0</v>
      </c>
      <c r="AC117" s="1516">
        <f ca="1">Imps!AE117</f>
        <v>0</v>
      </c>
      <c r="AD117" s="795">
        <f>Rezone!J117</f>
        <v>115</v>
      </c>
      <c r="AE117" s="587">
        <f>Explore!AA117</f>
        <v>43769.187499999724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81"/>
        <v>0</v>
      </c>
      <c r="AV117" s="164">
        <f t="shared" ca="1" si="182"/>
        <v>0</v>
      </c>
      <c r="AW117" s="164">
        <f t="shared" ca="1" si="156"/>
        <v>0</v>
      </c>
      <c r="AX117" s="164">
        <f t="shared" ca="1" si="157"/>
        <v>0</v>
      </c>
      <c r="AY117" s="164">
        <f t="shared" ca="1" si="158"/>
        <v>0</v>
      </c>
      <c r="AZ117" s="164">
        <f t="shared" ca="1" si="159"/>
        <v>0</v>
      </c>
      <c r="BA117" s="166">
        <f t="shared" ca="1" si="160"/>
        <v>0</v>
      </c>
      <c r="BB117" s="16">
        <v>43</v>
      </c>
      <c r="BC117" s="572">
        <f t="shared" si="161"/>
        <v>43769.187499999724</v>
      </c>
      <c r="BD117" s="148">
        <f t="shared" ca="1" si="162"/>
        <v>5295</v>
      </c>
      <c r="BE117" s="356"/>
      <c r="BF117" s="348"/>
      <c r="BG117" s="348"/>
      <c r="BH117" s="348"/>
      <c r="BI117" s="348"/>
      <c r="BJ117" s="348"/>
      <c r="BK117" s="348"/>
      <c r="BL117" s="357"/>
      <c r="BN117" s="501">
        <f>Construction!BM117/Construction!E117</f>
        <v>0</v>
      </c>
      <c r="BO117" s="171">
        <f>Construction!BD117/Construction!E117</f>
        <v>0</v>
      </c>
      <c r="BP117" s="152">
        <f ca="1">ROUNDUP((1-MIN(AB117*smithy_bonus,smithy_bonus_cap)-AC117)*(1+Techs!AO117*tech_master_of_frugality)*spec_op_plat,0)</f>
        <v>275</v>
      </c>
      <c r="BQ117" s="164">
        <f ca="1">ROUNDUP(IF(OR(race="Gnome",race="Imperial Gnome"),1-AC117,(1-MIN(AB117*smithy_bonus,smithy_bonus_cap)-AC117)*(1+Techs!AO117*tech_master_of_frugality))*spec_op_ore,0)</f>
        <v>25</v>
      </c>
      <c r="BR117" s="164">
        <f t="shared" si="116"/>
        <v>0</v>
      </c>
      <c r="BS117" s="164">
        <f t="shared" si="117"/>
        <v>0</v>
      </c>
      <c r="BT117" s="164">
        <f ca="1">ROUNDUP((1-MIN(AB117*smithy_bonus,smithy_bonus_cap)-AC117)*(1+Techs!AO117*tech_master_of_frugality)*spec_dp_plat,0)</f>
        <v>275</v>
      </c>
      <c r="BU117" s="164">
        <f ca="1">ROUNDUP(IF(OR(race="Gnome",race="Imperial Gnome"),1-AC117,(1-MIN(AB117*smithy_bonus,smithy_bonus_cap)-AC117)*(1+Techs!AO117*tech_master_of_frugality))*spec_dp_ore,0)</f>
        <v>10</v>
      </c>
      <c r="BV117" s="164">
        <f t="shared" ca="1" si="118"/>
        <v>0</v>
      </c>
      <c r="BW117" s="164">
        <f t="shared" ca="1" si="119"/>
        <v>0</v>
      </c>
      <c r="BX117" s="164">
        <f t="shared" ca="1" si="120"/>
        <v>0</v>
      </c>
      <c r="BY117" s="164">
        <f ca="1">ROUNDUP((1-MIN(AB117*smithy_bonus,smithy_bonus_cap)-AC117)*(1+Techs!AO117*tech_master_of_frugality)*elite1_plat,0)</f>
        <v>1000</v>
      </c>
      <c r="BZ117" s="164">
        <f ca="1">ROUNDUP(IF(OR(race="Gnome",race="Imperial Gnome"),1-AC117,(1-MIN(AB117*smithy_bonus,smithy_bonus_cap)-AC117)*(1+Techs!AO117*tech_master_of_frugality))*elite1_ore,0)</f>
        <v>75</v>
      </c>
      <c r="CA117" s="164">
        <f t="shared" ca="1" si="163"/>
        <v>0</v>
      </c>
      <c r="CB117" s="164">
        <f t="shared" ca="1" si="121"/>
        <v>0</v>
      </c>
      <c r="CC117" s="164">
        <f t="shared" ca="1" si="122"/>
        <v>0</v>
      </c>
      <c r="CD117" s="164">
        <f t="shared" ca="1" si="123"/>
        <v>0</v>
      </c>
      <c r="CE117" s="164">
        <f t="shared" ca="1" si="124"/>
        <v>0</v>
      </c>
      <c r="CF117" s="164">
        <f ca="1">ROUNDUP((1-MIN(AB117*smithy_bonus,smithy_bonus_cap)-AC117)*(1+Techs!AO117*tech_master_of_frugality)*elite2_plat,0)</f>
        <v>1250</v>
      </c>
      <c r="CG117" s="164">
        <f ca="1">ROUNDUP(IF(OR(race="Gnome",race="Imperial Gnome"),1-AC117,(1-MIN(AB117*smithy_bonus,smithy_bonus_cap)-AC117)*(1+Techs!AO117*tech_master_of_frugality))*elite2_ore,0)</f>
        <v>100</v>
      </c>
      <c r="CH117" s="164">
        <f t="shared" ca="1" si="164"/>
        <v>0</v>
      </c>
      <c r="CI117" s="164">
        <f t="shared" ca="1" si="125"/>
        <v>0</v>
      </c>
      <c r="CJ117" s="164">
        <f t="shared" ca="1" si="126"/>
        <v>0</v>
      </c>
      <c r="CK117" s="164">
        <f t="shared" ca="1" si="127"/>
        <v>0</v>
      </c>
      <c r="CL117" s="164">
        <f t="shared" ca="1" si="128"/>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4">
        <f ca="1">Construction!DF117/Construction!E117</f>
        <v>0.15</v>
      </c>
      <c r="CR117" s="465">
        <f t="shared" si="165"/>
        <v>0</v>
      </c>
      <c r="CS117" s="465">
        <f>Construction!BK117/Construction!E117</f>
        <v>0.05</v>
      </c>
      <c r="CT117" s="465">
        <f>Construction!BJ117/Construction!E117</f>
        <v>0</v>
      </c>
      <c r="CU117" s="465">
        <f>Construction!AY117/Construction!E117</f>
        <v>0</v>
      </c>
      <c r="CV117" s="486">
        <f t="shared" ca="1" si="183"/>
        <v>0.74999999999999989</v>
      </c>
      <c r="CW117" s="487">
        <f t="shared" ca="1" si="184"/>
        <v>0.74999999999999989</v>
      </c>
      <c r="CX117" s="487">
        <f t="shared" ca="1" si="185"/>
        <v>0.74999999999999989</v>
      </c>
      <c r="CY117" s="488">
        <f t="shared" ca="1" si="186"/>
        <v>0.74999999999999989</v>
      </c>
      <c r="CZ117" s="488">
        <f t="shared" si="187"/>
        <v>0</v>
      </c>
      <c r="DA117" s="488">
        <f t="shared" ca="1" si="188"/>
        <v>2.9999999999999996</v>
      </c>
      <c r="DB117" s="488">
        <f t="shared" ca="1" si="189"/>
        <v>0.74999999999999989</v>
      </c>
      <c r="DC117" s="487">
        <f t="shared" si="190"/>
        <v>0</v>
      </c>
      <c r="DD117" s="843">
        <f t="shared" si="191"/>
        <v>0</v>
      </c>
      <c r="DE117" s="441">
        <f t="shared" si="166"/>
        <v>0</v>
      </c>
      <c r="DF117" s="441">
        <f t="shared" si="167"/>
        <v>0</v>
      </c>
      <c r="DG117" s="486">
        <f t="shared" ca="1" si="192"/>
        <v>0.74999999999999989</v>
      </c>
      <c r="DH117" s="451">
        <f t="shared" si="193"/>
        <v>0</v>
      </c>
      <c r="DI117" s="451">
        <f>MIN(valkyrja_cap,Production!O117/valkyrja_bonus)</f>
        <v>1</v>
      </c>
      <c r="DJ117" s="843">
        <f>MIN(voodoo_magi_cap,Production!O117/voodoo_magi_bonus)</f>
        <v>0.83333333333333337</v>
      </c>
      <c r="DK117" s="843">
        <f>MIN(warlock_cap,Production!O117/warlock_bonus)</f>
        <v>1</v>
      </c>
      <c r="DL117" s="843">
        <f ca="1">MIN(nox_nightshade_cap,Construction!DF117/Construction!E117/nox_nightshade_swamp_bonus)</f>
        <v>1.4999999999999998</v>
      </c>
      <c r="DM117" s="487">
        <f t="shared" si="194"/>
        <v>0</v>
      </c>
      <c r="DN117" s="488">
        <f t="shared" ca="1" si="195"/>
        <v>1.4999999999999998</v>
      </c>
      <c r="DO117" s="488">
        <f t="shared" ca="1" si="196"/>
        <v>1.4999999999999998</v>
      </c>
      <c r="DP117" s="488">
        <f t="shared" si="197"/>
        <v>1</v>
      </c>
      <c r="DQ117" s="487">
        <f t="shared" si="198"/>
        <v>0</v>
      </c>
      <c r="DR117" s="488">
        <f t="shared" si="199"/>
        <v>0</v>
      </c>
      <c r="DS117" s="487">
        <f t="shared" si="200"/>
        <v>0</v>
      </c>
      <c r="DT117" s="488">
        <f t="shared" si="201"/>
        <v>0</v>
      </c>
      <c r="DX117" s="486">
        <f ca="1">MIN(6,CV117+Races!$F$19)*1.8 +  IF(CV117+Races!$F$19&gt;6,(CV117+Races!$F$19-6)*0.2,0) - Races!$N$19</f>
        <v>1.3500000000000005</v>
      </c>
      <c r="DY117" s="487">
        <f ca="1">1.8 * MIN(MAX(CW117+Races!$E$20,CX117+Races!$F$20),6)  +  0.45 * MIN(MIN(CW117+Races!$E$20,CX117+Races!$F$20),6)  +  0.2 * ( MAX(CW117+Races!$E$20-6,0) + MAX(CX117+Races!$F$20-6,0) )  -  Races!$N$20</f>
        <v>1.6874999999999991</v>
      </c>
      <c r="DZ117" s="57">
        <f t="shared" ca="1" si="202"/>
        <v>0</v>
      </c>
      <c r="EA117" s="663">
        <f ca="1">MIN(6,CY117+Races!$F$35)*1.8 +  IF(CY117+Races!$F$35&gt;6,(CY117+Races!$F$35-6)*0.2,0) - Races!$N$19</f>
        <v>-0.45000000000000018</v>
      </c>
      <c r="EB117" s="57">
        <f t="shared" ca="1" si="203"/>
        <v>0</v>
      </c>
      <c r="EC117" s="663">
        <f ca="1">1.8 * MIN(MAX(Races!$E$27,DB117+Races!$F$27),6)  +  0.45 * MIN(MIN(Races!$E$27,DB117+Races!$F$27),6)  +  0.2 * ( MAX(Races!$E$27-6,0) + MAX(DB117+Races!$F$27-6,0) )  -  Races!$N$20</f>
        <v>3.6000000000000005</v>
      </c>
      <c r="ED117" s="57">
        <f t="shared" ca="1" si="204"/>
        <v>0</v>
      </c>
      <c r="EE117" s="663">
        <f>1.8 * MIN(MAX(DC117+Races!$E$47,DD117+Races!$F$47),6)  +  0.45 * MIN(MIN(DC117+Races!$E$47,DD117+Races!$F$47),6)  +  0.2 * ( MAX(DC117+Races!$E$47-6,0) + MAX(DD117+Races!$F$47-6,0) )  -  Races!$N$47</f>
        <v>0</v>
      </c>
      <c r="EF117" s="57">
        <f t="shared" si="205"/>
        <v>0</v>
      </c>
      <c r="EG117" s="663">
        <f ca="1">1.8 * MIN(MAX(DG117+Races!$F$71,Races!$E$71),6)  +  0.45 * MIN(MIN(DG117+Races!$F$71,Races!$E$71),6)  +  0.2 * ( MAX(DG117+Races!$F$71-6,0) + MAX(Races!$E$71-6,0) )  -  Races!$N$71</f>
        <v>1.3499999999999996</v>
      </c>
      <c r="EH117" s="663">
        <f>1.8 * MIN(MAX(DH117+Races!$E$71,Races!$F$71),6)  +  0.45 * MIN(MIN(DH117+Races!$E$71,Races!$F$71),6)  +  0.2 * ( MAX(DH117+Races!$E$71-6,0) + MAX(Races!$F$71-6,0) )  -  Races!$N$71</f>
        <v>0</v>
      </c>
      <c r="EI117" s="57">
        <f t="shared" ca="1" si="206"/>
        <v>0</v>
      </c>
      <c r="EJ117" s="57"/>
      <c r="EK117" s="57"/>
      <c r="EL117" s="57"/>
      <c r="EM117" s="57">
        <f ca="1">Overview!$L$22*E117+Overview!$L$23*F117+Overview!$L$24*G117+Overview!$L$25*H117+Overview!$L$26*I117+Overview!$L$27*J117+Overview!$L$28*K117+Construction!E117*20+Construction!B117*5 + DZ117*$DV$4+EB117*$DV$5+ED117*$DV$6+EF117*$DV$7+EI117*$DV$9</f>
        <v>20900</v>
      </c>
      <c r="EO117" s="734">
        <f>(J117+2*K117)/Construction!E117</f>
        <v>0</v>
      </c>
      <c r="EP117" s="730">
        <f ca="1">EO117*(1+race_wizard_strength+tech_magical_weaponry_wiz*Techs!AV189)</f>
        <v>0</v>
      </c>
      <c r="EQ117" s="16">
        <f>(I117+halfer*H117/3)/Construction!E117</f>
        <v>0</v>
      </c>
    </row>
    <row r="118" spans="1:147" s="16" customFormat="1" x14ac:dyDescent="0.25">
      <c r="A118" s="627">
        <f>Rezone!J118</f>
        <v>116</v>
      </c>
      <c r="B118" s="56">
        <f ca="1">SUM(E118:K118)+SUM(AF110:AG118)+SUM(AH107:AL118)+Z118+Explore!AL118</f>
        <v>5295</v>
      </c>
      <c r="C118" s="97">
        <f ca="1">Population!G118</f>
        <v>0.74159663865546221</v>
      </c>
      <c r="E118" s="52">
        <f t="shared" si="207"/>
        <v>0</v>
      </c>
      <c r="F118" s="16">
        <f t="shared" si="208"/>
        <v>0</v>
      </c>
      <c r="G118" s="16">
        <f t="shared" si="209"/>
        <v>0</v>
      </c>
      <c r="H118" s="16">
        <f t="shared" si="210"/>
        <v>0</v>
      </c>
      <c r="I118" s="16">
        <f t="shared" si="211"/>
        <v>0</v>
      </c>
      <c r="J118" s="16">
        <f t="shared" si="212"/>
        <v>0</v>
      </c>
      <c r="K118" s="53">
        <f t="shared" si="213"/>
        <v>0</v>
      </c>
      <c r="M118" s="64">
        <f ca="1">Production!G118</f>
        <v>20900</v>
      </c>
      <c r="O118" s="142">
        <f t="shared" ca="1" si="179"/>
        <v>0</v>
      </c>
      <c r="P118" s="454">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53"/>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80"/>
        <v>5295</v>
      </c>
      <c r="T118" s="1047">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1">
        <f t="shared" ca="1" si="154"/>
        <v>0</v>
      </c>
      <c r="V118" s="310">
        <f t="shared" ca="1" si="155"/>
        <v>5295</v>
      </c>
      <c r="W118" s="310">
        <f>Construction!E118</f>
        <v>1000</v>
      </c>
      <c r="X118" s="367"/>
      <c r="Y118" s="146">
        <f t="shared" si="178"/>
        <v>0.4</v>
      </c>
      <c r="Z118" s="166">
        <f ca="1">Z117+Population!Z117 - IF(race="Lux",AF118,SUM(AF118:AK118)) - BE118 + SUM(BF118:BL118) - Explore!AI118</f>
        <v>5295</v>
      </c>
      <c r="AA118" s="164"/>
      <c r="AB118" s="91">
        <f>(Construction!$BA118+Construction!BY118)/(Construction!$E118-Explore!S118*20)</f>
        <v>0</v>
      </c>
      <c r="AC118" s="1516">
        <f ca="1">Imps!AE118</f>
        <v>0</v>
      </c>
      <c r="AD118" s="795">
        <f>Rezone!J118</f>
        <v>116</v>
      </c>
      <c r="AE118" s="587">
        <f>Explore!AA118</f>
        <v>43769.197916666388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81"/>
        <v>0</v>
      </c>
      <c r="AV118" s="164">
        <f t="shared" ca="1" si="182"/>
        <v>0</v>
      </c>
      <c r="AW118" s="164">
        <f t="shared" ca="1" si="156"/>
        <v>0</v>
      </c>
      <c r="AX118" s="164">
        <f t="shared" ca="1" si="157"/>
        <v>0</v>
      </c>
      <c r="AY118" s="164">
        <f t="shared" ca="1" si="158"/>
        <v>0</v>
      </c>
      <c r="AZ118" s="164">
        <f t="shared" ca="1" si="159"/>
        <v>0</v>
      </c>
      <c r="BA118" s="166">
        <f t="shared" ca="1" si="160"/>
        <v>0</v>
      </c>
      <c r="BB118" s="16">
        <v>44</v>
      </c>
      <c r="BC118" s="572">
        <f t="shared" si="161"/>
        <v>43769.197916666388</v>
      </c>
      <c r="BD118" s="148">
        <f t="shared" ca="1" si="162"/>
        <v>5295</v>
      </c>
      <c r="BE118" s="356"/>
      <c r="BF118" s="348"/>
      <c r="BG118" s="348"/>
      <c r="BH118" s="348"/>
      <c r="BI118" s="348"/>
      <c r="BJ118" s="348"/>
      <c r="BK118" s="348"/>
      <c r="BL118" s="357"/>
      <c r="BN118" s="501">
        <f>Construction!BM118/Construction!E118</f>
        <v>0</v>
      </c>
      <c r="BO118" s="171">
        <f>Construction!BD118/Construction!E118</f>
        <v>0</v>
      </c>
      <c r="BP118" s="152">
        <f ca="1">ROUNDUP((1-MIN(AB118*smithy_bonus,smithy_bonus_cap)-AC118)*(1+Techs!AO118*tech_master_of_frugality)*spec_op_plat,0)</f>
        <v>275</v>
      </c>
      <c r="BQ118" s="164">
        <f ca="1">ROUNDUP(IF(OR(race="Gnome",race="Imperial Gnome"),1-AC118,(1-MIN(AB118*smithy_bonus,smithy_bonus_cap)-AC118)*(1+Techs!AO118*tech_master_of_frugality))*spec_op_ore,0)</f>
        <v>25</v>
      </c>
      <c r="BR118" s="164">
        <f t="shared" si="116"/>
        <v>0</v>
      </c>
      <c r="BS118" s="164">
        <f t="shared" si="117"/>
        <v>0</v>
      </c>
      <c r="BT118" s="164">
        <f ca="1">ROUNDUP((1-MIN(AB118*smithy_bonus,smithy_bonus_cap)-AC118)*(1+Techs!AO118*tech_master_of_frugality)*spec_dp_plat,0)</f>
        <v>275</v>
      </c>
      <c r="BU118" s="164">
        <f ca="1">ROUNDUP(IF(OR(race="Gnome",race="Imperial Gnome"),1-AC118,(1-MIN(AB118*smithy_bonus,smithy_bonus_cap)-AC118)*(1+Techs!AO118*tech_master_of_frugality))*spec_dp_ore,0)</f>
        <v>10</v>
      </c>
      <c r="BV118" s="164">
        <f t="shared" ca="1" si="118"/>
        <v>0</v>
      </c>
      <c r="BW118" s="164">
        <f t="shared" ca="1" si="119"/>
        <v>0</v>
      </c>
      <c r="BX118" s="164">
        <f t="shared" ca="1" si="120"/>
        <v>0</v>
      </c>
      <c r="BY118" s="164">
        <f ca="1">ROUNDUP((1-MIN(AB118*smithy_bonus,smithy_bonus_cap)-AC118)*(1+Techs!AO118*tech_master_of_frugality)*elite1_plat,0)</f>
        <v>1000</v>
      </c>
      <c r="BZ118" s="164">
        <f ca="1">ROUNDUP(IF(OR(race="Gnome",race="Imperial Gnome"),1-AC118,(1-MIN(AB118*smithy_bonus,smithy_bonus_cap)-AC118)*(1+Techs!AO118*tech_master_of_frugality))*elite1_ore,0)</f>
        <v>75</v>
      </c>
      <c r="CA118" s="164">
        <f t="shared" ca="1" si="163"/>
        <v>0</v>
      </c>
      <c r="CB118" s="164">
        <f t="shared" ca="1" si="121"/>
        <v>0</v>
      </c>
      <c r="CC118" s="164">
        <f t="shared" ca="1" si="122"/>
        <v>0</v>
      </c>
      <c r="CD118" s="164">
        <f t="shared" ca="1" si="123"/>
        <v>0</v>
      </c>
      <c r="CE118" s="164">
        <f t="shared" ca="1" si="124"/>
        <v>0</v>
      </c>
      <c r="CF118" s="164">
        <f ca="1">ROUNDUP((1-MIN(AB118*smithy_bonus,smithy_bonus_cap)-AC118)*(1+Techs!AO118*tech_master_of_frugality)*elite2_plat,0)</f>
        <v>1250</v>
      </c>
      <c r="CG118" s="164">
        <f ca="1">ROUNDUP(IF(OR(race="Gnome",race="Imperial Gnome"),1-AC118,(1-MIN(AB118*smithy_bonus,smithy_bonus_cap)-AC118)*(1+Techs!AO118*tech_master_of_frugality))*elite2_ore,0)</f>
        <v>100</v>
      </c>
      <c r="CH118" s="164">
        <f t="shared" ca="1" si="164"/>
        <v>0</v>
      </c>
      <c r="CI118" s="164">
        <f t="shared" ca="1" si="125"/>
        <v>0</v>
      </c>
      <c r="CJ118" s="164">
        <f t="shared" ca="1" si="126"/>
        <v>0</v>
      </c>
      <c r="CK118" s="164">
        <f t="shared" ca="1" si="127"/>
        <v>0</v>
      </c>
      <c r="CL118" s="164">
        <f t="shared" ca="1" si="128"/>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4">
        <f ca="1">Construction!DF118/Construction!E118</f>
        <v>0.15</v>
      </c>
      <c r="CR118" s="465">
        <f t="shared" si="165"/>
        <v>0</v>
      </c>
      <c r="CS118" s="465">
        <f>Construction!BK118/Construction!E118</f>
        <v>0.05</v>
      </c>
      <c r="CT118" s="465">
        <f>Construction!BJ118/Construction!E118</f>
        <v>0</v>
      </c>
      <c r="CU118" s="465">
        <f>Construction!AY118/Construction!E118</f>
        <v>0</v>
      </c>
      <c r="CV118" s="486">
        <f t="shared" ca="1" si="183"/>
        <v>0.74999999999999989</v>
      </c>
      <c r="CW118" s="487">
        <f t="shared" ca="1" si="184"/>
        <v>0.74999999999999989</v>
      </c>
      <c r="CX118" s="487">
        <f t="shared" ca="1" si="185"/>
        <v>0.74999999999999989</v>
      </c>
      <c r="CY118" s="488">
        <f t="shared" ca="1" si="186"/>
        <v>0.74999999999999989</v>
      </c>
      <c r="CZ118" s="488">
        <f t="shared" si="187"/>
        <v>0</v>
      </c>
      <c r="DA118" s="488">
        <f t="shared" ca="1" si="188"/>
        <v>2.9999999999999996</v>
      </c>
      <c r="DB118" s="488">
        <f t="shared" ca="1" si="189"/>
        <v>0.74999999999999989</v>
      </c>
      <c r="DC118" s="487">
        <f t="shared" si="190"/>
        <v>0</v>
      </c>
      <c r="DD118" s="843">
        <f t="shared" si="191"/>
        <v>0</v>
      </c>
      <c r="DE118" s="441">
        <f t="shared" si="166"/>
        <v>0</v>
      </c>
      <c r="DF118" s="441">
        <f t="shared" si="167"/>
        <v>0</v>
      </c>
      <c r="DG118" s="486">
        <f t="shared" ca="1" si="192"/>
        <v>0.74999999999999989</v>
      </c>
      <c r="DH118" s="451">
        <f t="shared" si="193"/>
        <v>0</v>
      </c>
      <c r="DI118" s="451">
        <f>MIN(valkyrja_cap,Production!O118/valkyrja_bonus)</f>
        <v>1</v>
      </c>
      <c r="DJ118" s="843">
        <f>MIN(voodoo_magi_cap,Production!O118/voodoo_magi_bonus)</f>
        <v>0.83333333333333337</v>
      </c>
      <c r="DK118" s="843">
        <f>MIN(warlock_cap,Production!O118/warlock_bonus)</f>
        <v>1</v>
      </c>
      <c r="DL118" s="843">
        <f ca="1">MIN(nox_nightshade_cap,Construction!DF118/Construction!E118/nox_nightshade_swamp_bonus)</f>
        <v>1.4999999999999998</v>
      </c>
      <c r="DM118" s="487">
        <f t="shared" si="194"/>
        <v>0</v>
      </c>
      <c r="DN118" s="488">
        <f t="shared" ca="1" si="195"/>
        <v>1.4999999999999998</v>
      </c>
      <c r="DO118" s="488">
        <f t="shared" ca="1" si="196"/>
        <v>1.4999999999999998</v>
      </c>
      <c r="DP118" s="488">
        <f t="shared" si="197"/>
        <v>1</v>
      </c>
      <c r="DQ118" s="487">
        <f t="shared" si="198"/>
        <v>0</v>
      </c>
      <c r="DR118" s="488">
        <f t="shared" si="199"/>
        <v>0</v>
      </c>
      <c r="DS118" s="487">
        <f t="shared" si="200"/>
        <v>0</v>
      </c>
      <c r="DT118" s="488">
        <f t="shared" si="201"/>
        <v>0</v>
      </c>
      <c r="DX118" s="486">
        <f ca="1">MIN(6,CV118+Races!$F$19)*1.8 +  IF(CV118+Races!$F$19&gt;6,(CV118+Races!$F$19-6)*0.2,0) - Races!$N$19</f>
        <v>1.3500000000000005</v>
      </c>
      <c r="DY118" s="487">
        <f ca="1">1.8 * MIN(MAX(CW118+Races!$E$20,CX118+Races!$F$20),6)  +  0.45 * MIN(MIN(CW118+Races!$E$20,CX118+Races!$F$20),6)  +  0.2 * ( MAX(CW118+Races!$E$20-6,0) + MAX(CX118+Races!$F$20-6,0) )  -  Races!$N$20</f>
        <v>1.6874999999999991</v>
      </c>
      <c r="DZ118" s="57">
        <f t="shared" ca="1" si="202"/>
        <v>0</v>
      </c>
      <c r="EA118" s="663">
        <f ca="1">MIN(6,CY118+Races!$F$35)*1.8 +  IF(CY118+Races!$F$35&gt;6,(CY118+Races!$F$35-6)*0.2,0) - Races!$N$19</f>
        <v>-0.45000000000000018</v>
      </c>
      <c r="EB118" s="57">
        <f t="shared" ca="1" si="203"/>
        <v>0</v>
      </c>
      <c r="EC118" s="663">
        <f ca="1">1.8 * MIN(MAX(Races!$E$27,DB118+Races!$F$27),6)  +  0.45 * MIN(MIN(Races!$E$27,DB118+Races!$F$27),6)  +  0.2 * ( MAX(Races!$E$27-6,0) + MAX(DB118+Races!$F$27-6,0) )  -  Races!$N$20</f>
        <v>3.6000000000000005</v>
      </c>
      <c r="ED118" s="57">
        <f t="shared" ca="1" si="204"/>
        <v>0</v>
      </c>
      <c r="EE118" s="663">
        <f>1.8 * MIN(MAX(DC118+Races!$E$47,DD118+Races!$F$47),6)  +  0.45 * MIN(MIN(DC118+Races!$E$47,DD118+Races!$F$47),6)  +  0.2 * ( MAX(DC118+Races!$E$47-6,0) + MAX(DD118+Races!$F$47-6,0) )  -  Races!$N$47</f>
        <v>0</v>
      </c>
      <c r="EF118" s="57">
        <f t="shared" si="205"/>
        <v>0</v>
      </c>
      <c r="EG118" s="663">
        <f ca="1">1.8 * MIN(MAX(DG118+Races!$F$71,Races!$E$71),6)  +  0.45 * MIN(MIN(DG118+Races!$F$71,Races!$E$71),6)  +  0.2 * ( MAX(DG118+Races!$F$71-6,0) + MAX(Races!$E$71-6,0) )  -  Races!$N$71</f>
        <v>1.3499999999999996</v>
      </c>
      <c r="EH118" s="663">
        <f>1.8 * MIN(MAX(DH118+Races!$E$71,Races!$F$71),6)  +  0.45 * MIN(MIN(DH118+Races!$E$71,Races!$F$71),6)  +  0.2 * ( MAX(DH118+Races!$E$71-6,0) + MAX(Races!$F$71-6,0) )  -  Races!$N$71</f>
        <v>0</v>
      </c>
      <c r="EI118" s="57">
        <f t="shared" ca="1" si="206"/>
        <v>0</v>
      </c>
      <c r="EJ118" s="57"/>
      <c r="EK118" s="57"/>
      <c r="EL118" s="57"/>
      <c r="EM118" s="57">
        <f ca="1">Overview!$L$22*E118+Overview!$L$23*F118+Overview!$L$24*G118+Overview!$L$25*H118+Overview!$L$26*I118+Overview!$L$27*J118+Overview!$L$28*K118+Construction!E118*20+Construction!B118*5 + DZ118*$DV$4+EB118*$DV$5+ED118*$DV$6+EF118*$DV$7+EI118*$DV$9</f>
        <v>20900</v>
      </c>
      <c r="EO118" s="734">
        <f>(J118+2*K118)/Construction!E118</f>
        <v>0</v>
      </c>
      <c r="EP118" s="730">
        <f ca="1">EO118*(1+race_wizard_strength+tech_magical_weaponry_wiz*Techs!AV190)</f>
        <v>0</v>
      </c>
      <c r="EQ118" s="16">
        <f>(I118+halfer*H118/3)/Construction!E118</f>
        <v>0</v>
      </c>
    </row>
    <row r="119" spans="1:147" s="16" customFormat="1" x14ac:dyDescent="0.25">
      <c r="A119" s="627">
        <f>Rezone!J119</f>
        <v>117</v>
      </c>
      <c r="B119" s="56">
        <f ca="1">SUM(E119:K119)+SUM(AF111:AG119)+SUM(AH108:AL119)+Z119+Explore!AL119</f>
        <v>5295</v>
      </c>
      <c r="C119" s="97">
        <f ca="1">Population!G119</f>
        <v>0.74159663865546221</v>
      </c>
      <c r="E119" s="52">
        <f t="shared" si="207"/>
        <v>0</v>
      </c>
      <c r="F119" s="16">
        <f t="shared" si="208"/>
        <v>0</v>
      </c>
      <c r="G119" s="16">
        <f t="shared" si="209"/>
        <v>0</v>
      </c>
      <c r="H119" s="16">
        <f t="shared" si="210"/>
        <v>0</v>
      </c>
      <c r="I119" s="16">
        <f t="shared" si="211"/>
        <v>0</v>
      </c>
      <c r="J119" s="16">
        <f t="shared" si="212"/>
        <v>0</v>
      </c>
      <c r="K119" s="53">
        <f t="shared" si="213"/>
        <v>0</v>
      </c>
      <c r="M119" s="64">
        <f ca="1">Production!G119</f>
        <v>20900</v>
      </c>
      <c r="O119" s="142">
        <f t="shared" ca="1" si="179"/>
        <v>0</v>
      </c>
      <c r="P119" s="454">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53"/>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80"/>
        <v>5295</v>
      </c>
      <c r="T119" s="1047">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1">
        <f t="shared" ca="1" si="154"/>
        <v>0</v>
      </c>
      <c r="V119" s="310">
        <f t="shared" ca="1" si="155"/>
        <v>5295</v>
      </c>
      <c r="W119" s="310">
        <f>Construction!E119</f>
        <v>1000</v>
      </c>
      <c r="X119" s="367"/>
      <c r="Y119" s="146">
        <f t="shared" si="178"/>
        <v>0.4</v>
      </c>
      <c r="Z119" s="166">
        <f ca="1">Z118+Population!Z118 - IF(race="Lux",AF119,SUM(AF119:AK119)) - BE119 + SUM(BF119:BL119) - Explore!AI119</f>
        <v>5295</v>
      </c>
      <c r="AA119" s="164"/>
      <c r="AB119" s="91">
        <f>(Construction!$BA119+Construction!BY119)/(Construction!$E119-Explore!S119*20)</f>
        <v>0</v>
      </c>
      <c r="AC119" s="1516">
        <f ca="1">Imps!AE119</f>
        <v>0</v>
      </c>
      <c r="AD119" s="795">
        <f>Rezone!J119</f>
        <v>117</v>
      </c>
      <c r="AE119" s="587">
        <f>Explore!AA119</f>
        <v>43769.208333333052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81"/>
        <v>0</v>
      </c>
      <c r="AV119" s="164">
        <f t="shared" ca="1" si="182"/>
        <v>0</v>
      </c>
      <c r="AW119" s="164">
        <f t="shared" ca="1" si="156"/>
        <v>0</v>
      </c>
      <c r="AX119" s="164">
        <f t="shared" ca="1" si="157"/>
        <v>0</v>
      </c>
      <c r="AY119" s="164">
        <f t="shared" ca="1" si="158"/>
        <v>0</v>
      </c>
      <c r="AZ119" s="164">
        <f t="shared" ca="1" si="159"/>
        <v>0</v>
      </c>
      <c r="BA119" s="166">
        <f t="shared" ca="1" si="160"/>
        <v>0</v>
      </c>
      <c r="BB119" s="16">
        <v>45</v>
      </c>
      <c r="BC119" s="572">
        <f t="shared" si="161"/>
        <v>43769.208333333052</v>
      </c>
      <c r="BD119" s="148">
        <f t="shared" ca="1" si="162"/>
        <v>5295</v>
      </c>
      <c r="BE119" s="356"/>
      <c r="BF119" s="348"/>
      <c r="BG119" s="348"/>
      <c r="BH119" s="348"/>
      <c r="BI119" s="348"/>
      <c r="BJ119" s="348"/>
      <c r="BK119" s="348"/>
      <c r="BL119" s="357"/>
      <c r="BN119" s="501">
        <f>Construction!BM119/Construction!E119</f>
        <v>0</v>
      </c>
      <c r="BO119" s="171">
        <f>Construction!BD119/Construction!E119</f>
        <v>0</v>
      </c>
      <c r="BP119" s="152">
        <f ca="1">ROUNDUP((1-MIN(AB119*smithy_bonus,smithy_bonus_cap)-AC119)*(1+Techs!AO119*tech_master_of_frugality)*spec_op_plat,0)</f>
        <v>275</v>
      </c>
      <c r="BQ119" s="164">
        <f ca="1">ROUNDUP(IF(OR(race="Gnome",race="Imperial Gnome"),1-AC119,(1-MIN(AB119*smithy_bonus,smithy_bonus_cap)-AC119)*(1+Techs!AO119*tech_master_of_frugality))*spec_op_ore,0)</f>
        <v>25</v>
      </c>
      <c r="BR119" s="164">
        <f t="shared" si="116"/>
        <v>0</v>
      </c>
      <c r="BS119" s="164">
        <f t="shared" si="117"/>
        <v>0</v>
      </c>
      <c r="BT119" s="164">
        <f ca="1">ROUNDUP((1-MIN(AB119*smithy_bonus,smithy_bonus_cap)-AC119)*(1+Techs!AO119*tech_master_of_frugality)*spec_dp_plat,0)</f>
        <v>275</v>
      </c>
      <c r="BU119" s="164">
        <f ca="1">ROUNDUP(IF(OR(race="Gnome",race="Imperial Gnome"),1-AC119,(1-MIN(AB119*smithy_bonus,smithy_bonus_cap)-AC119)*(1+Techs!AO119*tech_master_of_frugality))*spec_dp_ore,0)</f>
        <v>10</v>
      </c>
      <c r="BV119" s="164">
        <f t="shared" ca="1" si="118"/>
        <v>0</v>
      </c>
      <c r="BW119" s="164">
        <f t="shared" ca="1" si="119"/>
        <v>0</v>
      </c>
      <c r="BX119" s="164">
        <f t="shared" ca="1" si="120"/>
        <v>0</v>
      </c>
      <c r="BY119" s="164">
        <f ca="1">ROUNDUP((1-MIN(AB119*smithy_bonus,smithy_bonus_cap)-AC119)*(1+Techs!AO119*tech_master_of_frugality)*elite1_plat,0)</f>
        <v>1000</v>
      </c>
      <c r="BZ119" s="164">
        <f ca="1">ROUNDUP(IF(OR(race="Gnome",race="Imperial Gnome"),1-AC119,(1-MIN(AB119*smithy_bonus,smithy_bonus_cap)-AC119)*(1+Techs!AO119*tech_master_of_frugality))*elite1_ore,0)</f>
        <v>75</v>
      </c>
      <c r="CA119" s="164">
        <f t="shared" ca="1" si="163"/>
        <v>0</v>
      </c>
      <c r="CB119" s="164">
        <f t="shared" ca="1" si="121"/>
        <v>0</v>
      </c>
      <c r="CC119" s="164">
        <f t="shared" ca="1" si="122"/>
        <v>0</v>
      </c>
      <c r="CD119" s="164">
        <f t="shared" ca="1" si="123"/>
        <v>0</v>
      </c>
      <c r="CE119" s="164">
        <f t="shared" ca="1" si="124"/>
        <v>0</v>
      </c>
      <c r="CF119" s="164">
        <f ca="1">ROUNDUP((1-MIN(AB119*smithy_bonus,smithy_bonus_cap)-AC119)*(1+Techs!AO119*tech_master_of_frugality)*elite2_plat,0)</f>
        <v>1250</v>
      </c>
      <c r="CG119" s="164">
        <f ca="1">ROUNDUP(IF(OR(race="Gnome",race="Imperial Gnome"),1-AC119,(1-MIN(AB119*smithy_bonus,smithy_bonus_cap)-AC119)*(1+Techs!AO119*tech_master_of_frugality))*elite2_ore,0)</f>
        <v>100</v>
      </c>
      <c r="CH119" s="164">
        <f t="shared" ca="1" si="164"/>
        <v>0</v>
      </c>
      <c r="CI119" s="164">
        <f t="shared" ca="1" si="125"/>
        <v>0</v>
      </c>
      <c r="CJ119" s="164">
        <f t="shared" ca="1" si="126"/>
        <v>0</v>
      </c>
      <c r="CK119" s="164">
        <f t="shared" ca="1" si="127"/>
        <v>0</v>
      </c>
      <c r="CL119" s="164">
        <f t="shared" ca="1" si="128"/>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4">
        <f ca="1">Construction!DF119/Construction!E119</f>
        <v>0.15</v>
      </c>
      <c r="CR119" s="465">
        <f t="shared" si="165"/>
        <v>0</v>
      </c>
      <c r="CS119" s="465">
        <f>Construction!BK119/Construction!E119</f>
        <v>0.05</v>
      </c>
      <c r="CT119" s="465">
        <f>Construction!BJ119/Construction!E119</f>
        <v>0</v>
      </c>
      <c r="CU119" s="465">
        <f>Construction!AY119/Construction!E119</f>
        <v>0</v>
      </c>
      <c r="CV119" s="486">
        <f t="shared" ca="1" si="183"/>
        <v>0.74999999999999989</v>
      </c>
      <c r="CW119" s="487">
        <f t="shared" ca="1" si="184"/>
        <v>0.74999999999999989</v>
      </c>
      <c r="CX119" s="487">
        <f t="shared" ca="1" si="185"/>
        <v>0.74999999999999989</v>
      </c>
      <c r="CY119" s="488">
        <f t="shared" ca="1" si="186"/>
        <v>0.74999999999999989</v>
      </c>
      <c r="CZ119" s="488">
        <f t="shared" si="187"/>
        <v>0</v>
      </c>
      <c r="DA119" s="488">
        <f t="shared" ca="1" si="188"/>
        <v>2.9999999999999996</v>
      </c>
      <c r="DB119" s="488">
        <f t="shared" ca="1" si="189"/>
        <v>0.74999999999999989</v>
      </c>
      <c r="DC119" s="487">
        <f t="shared" si="190"/>
        <v>0</v>
      </c>
      <c r="DD119" s="843">
        <f t="shared" si="191"/>
        <v>0</v>
      </c>
      <c r="DE119" s="441">
        <f t="shared" si="166"/>
        <v>0</v>
      </c>
      <c r="DF119" s="441">
        <f t="shared" si="167"/>
        <v>0</v>
      </c>
      <c r="DG119" s="486">
        <f t="shared" ca="1" si="192"/>
        <v>0.74999999999999989</v>
      </c>
      <c r="DH119" s="451">
        <f t="shared" si="193"/>
        <v>0</v>
      </c>
      <c r="DI119" s="451">
        <f>MIN(valkyrja_cap,Production!O119/valkyrja_bonus)</f>
        <v>1</v>
      </c>
      <c r="DJ119" s="843">
        <f>MIN(voodoo_magi_cap,Production!O119/voodoo_magi_bonus)</f>
        <v>0.83333333333333337</v>
      </c>
      <c r="DK119" s="843">
        <f>MIN(warlock_cap,Production!O119/warlock_bonus)</f>
        <v>1</v>
      </c>
      <c r="DL119" s="843">
        <f ca="1">MIN(nox_nightshade_cap,Construction!DF119/Construction!E119/nox_nightshade_swamp_bonus)</f>
        <v>1.4999999999999998</v>
      </c>
      <c r="DM119" s="487">
        <f t="shared" si="194"/>
        <v>0</v>
      </c>
      <c r="DN119" s="488">
        <f t="shared" ca="1" si="195"/>
        <v>1.4999999999999998</v>
      </c>
      <c r="DO119" s="488">
        <f t="shared" ca="1" si="196"/>
        <v>1.4999999999999998</v>
      </c>
      <c r="DP119" s="488">
        <f t="shared" si="197"/>
        <v>1</v>
      </c>
      <c r="DQ119" s="487">
        <f t="shared" si="198"/>
        <v>0</v>
      </c>
      <c r="DR119" s="488">
        <f t="shared" si="199"/>
        <v>0</v>
      </c>
      <c r="DS119" s="487">
        <f t="shared" si="200"/>
        <v>0</v>
      </c>
      <c r="DT119" s="488">
        <f t="shared" si="201"/>
        <v>0</v>
      </c>
      <c r="DX119" s="486">
        <f ca="1">MIN(6,CV119+Races!$F$19)*1.8 +  IF(CV119+Races!$F$19&gt;6,(CV119+Races!$F$19-6)*0.2,0) - Races!$N$19</f>
        <v>1.3500000000000005</v>
      </c>
      <c r="DY119" s="487">
        <f ca="1">1.8 * MIN(MAX(CW119+Races!$E$20,CX119+Races!$F$20),6)  +  0.45 * MIN(MIN(CW119+Races!$E$20,CX119+Races!$F$20),6)  +  0.2 * ( MAX(CW119+Races!$E$20-6,0) + MAX(CX119+Races!$F$20-6,0) )  -  Races!$N$20</f>
        <v>1.6874999999999991</v>
      </c>
      <c r="DZ119" s="57">
        <f t="shared" ca="1" si="202"/>
        <v>0</v>
      </c>
      <c r="EA119" s="663">
        <f ca="1">MIN(6,CY119+Races!$F$35)*1.8 +  IF(CY119+Races!$F$35&gt;6,(CY119+Races!$F$35-6)*0.2,0) - Races!$N$19</f>
        <v>-0.45000000000000018</v>
      </c>
      <c r="EB119" s="57">
        <f t="shared" ca="1" si="203"/>
        <v>0</v>
      </c>
      <c r="EC119" s="663">
        <f ca="1">1.8 * MIN(MAX(Races!$E$27,DB119+Races!$F$27),6)  +  0.45 * MIN(MIN(Races!$E$27,DB119+Races!$F$27),6)  +  0.2 * ( MAX(Races!$E$27-6,0) + MAX(DB119+Races!$F$27-6,0) )  -  Races!$N$20</f>
        <v>3.6000000000000005</v>
      </c>
      <c r="ED119" s="57">
        <f t="shared" ca="1" si="204"/>
        <v>0</v>
      </c>
      <c r="EE119" s="663">
        <f>1.8 * MIN(MAX(DC119+Races!$E$47,DD119+Races!$F$47),6)  +  0.45 * MIN(MIN(DC119+Races!$E$47,DD119+Races!$F$47),6)  +  0.2 * ( MAX(DC119+Races!$E$47-6,0) + MAX(DD119+Races!$F$47-6,0) )  -  Races!$N$47</f>
        <v>0</v>
      </c>
      <c r="EF119" s="57">
        <f t="shared" si="205"/>
        <v>0</v>
      </c>
      <c r="EG119" s="663">
        <f ca="1">1.8 * MIN(MAX(DG119+Races!$F$71,Races!$E$71),6)  +  0.45 * MIN(MIN(DG119+Races!$F$71,Races!$E$71),6)  +  0.2 * ( MAX(DG119+Races!$F$71-6,0) + MAX(Races!$E$71-6,0) )  -  Races!$N$71</f>
        <v>1.3499999999999996</v>
      </c>
      <c r="EH119" s="663">
        <f>1.8 * MIN(MAX(DH119+Races!$E$71,Races!$F$71),6)  +  0.45 * MIN(MIN(DH119+Races!$E$71,Races!$F$71),6)  +  0.2 * ( MAX(DH119+Races!$E$71-6,0) + MAX(Races!$F$71-6,0) )  -  Races!$N$71</f>
        <v>0</v>
      </c>
      <c r="EI119" s="57">
        <f t="shared" ca="1" si="206"/>
        <v>0</v>
      </c>
      <c r="EJ119" s="57"/>
      <c r="EK119" s="57"/>
      <c r="EL119" s="57"/>
      <c r="EM119" s="57">
        <f ca="1">Overview!$L$22*E119+Overview!$L$23*F119+Overview!$L$24*G119+Overview!$L$25*H119+Overview!$L$26*I119+Overview!$L$27*J119+Overview!$L$28*K119+Construction!E119*20+Construction!B119*5 + DZ119*$DV$4+EB119*$DV$5+ED119*$DV$6+EF119*$DV$7+EI119*$DV$9</f>
        <v>20900</v>
      </c>
      <c r="EO119" s="734">
        <f>(J119+2*K119)/Construction!E119</f>
        <v>0</v>
      </c>
      <c r="EP119" s="730">
        <f ca="1">EO119*(1+race_wizard_strength+tech_magical_weaponry_wiz*Techs!AV191)</f>
        <v>0</v>
      </c>
      <c r="EQ119" s="16">
        <f>(I119+halfer*H119/3)/Construction!E119</f>
        <v>0</v>
      </c>
    </row>
    <row r="120" spans="1:147" s="16" customFormat="1" x14ac:dyDescent="0.25">
      <c r="A120" s="627">
        <f>Rezone!J120</f>
        <v>118</v>
      </c>
      <c r="B120" s="56">
        <f ca="1">SUM(E120:K120)+SUM(AF112:AG120)+SUM(AH109:AL120)+Z120+Explore!AL120</f>
        <v>5295</v>
      </c>
      <c r="C120" s="97">
        <f ca="1">Population!G120</f>
        <v>0.74159663865546221</v>
      </c>
      <c r="E120" s="52">
        <f t="shared" si="207"/>
        <v>0</v>
      </c>
      <c r="F120" s="16">
        <f t="shared" si="208"/>
        <v>0</v>
      </c>
      <c r="G120" s="16">
        <f t="shared" si="209"/>
        <v>0</v>
      </c>
      <c r="H120" s="16">
        <f t="shared" si="210"/>
        <v>0</v>
      </c>
      <c r="I120" s="16">
        <f t="shared" si="211"/>
        <v>0</v>
      </c>
      <c r="J120" s="16">
        <f t="shared" si="212"/>
        <v>0</v>
      </c>
      <c r="K120" s="53">
        <f t="shared" si="213"/>
        <v>0</v>
      </c>
      <c r="M120" s="64">
        <f ca="1">Production!G120</f>
        <v>20900</v>
      </c>
      <c r="O120" s="142">
        <f t="shared" ca="1" si="179"/>
        <v>0</v>
      </c>
      <c r="P120" s="454">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53"/>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80"/>
        <v>5295</v>
      </c>
      <c r="T120" s="1047">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1">
        <f t="shared" ca="1" si="154"/>
        <v>0</v>
      </c>
      <c r="V120" s="310">
        <f t="shared" ca="1" si="155"/>
        <v>5295</v>
      </c>
      <c r="W120" s="310">
        <f>Construction!E120</f>
        <v>1000</v>
      </c>
      <c r="X120" s="367"/>
      <c r="Y120" s="146">
        <f t="shared" si="178"/>
        <v>0.4</v>
      </c>
      <c r="Z120" s="166">
        <f ca="1">Z119+Population!Z119 - IF(race="Lux",AF120,SUM(AF120:AK120)) - BE120 + SUM(BF120:BL120) - Explore!AI120</f>
        <v>5295</v>
      </c>
      <c r="AA120" s="164"/>
      <c r="AB120" s="91">
        <f>(Construction!$BA120+Construction!BY120)/(Construction!$E120-Explore!S120*20)</f>
        <v>0</v>
      </c>
      <c r="AC120" s="1516">
        <f ca="1">Imps!AE120</f>
        <v>0</v>
      </c>
      <c r="AD120" s="795">
        <f>Rezone!J120</f>
        <v>118</v>
      </c>
      <c r="AE120" s="587">
        <f>Explore!AA120</f>
        <v>43769.218749999716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81"/>
        <v>0</v>
      </c>
      <c r="AV120" s="164">
        <f t="shared" ca="1" si="182"/>
        <v>0</v>
      </c>
      <c r="AW120" s="164">
        <f t="shared" ca="1" si="156"/>
        <v>0</v>
      </c>
      <c r="AX120" s="164">
        <f t="shared" ca="1" si="157"/>
        <v>0</v>
      </c>
      <c r="AY120" s="164">
        <f t="shared" ca="1" si="158"/>
        <v>0</v>
      </c>
      <c r="AZ120" s="164">
        <f t="shared" ca="1" si="159"/>
        <v>0</v>
      </c>
      <c r="BA120" s="166">
        <f t="shared" ca="1" si="160"/>
        <v>0</v>
      </c>
      <c r="BB120" s="16">
        <v>46</v>
      </c>
      <c r="BC120" s="572">
        <f t="shared" si="161"/>
        <v>43769.218749999716</v>
      </c>
      <c r="BD120" s="148">
        <f t="shared" ca="1" si="162"/>
        <v>5295</v>
      </c>
      <c r="BE120" s="356"/>
      <c r="BF120" s="348"/>
      <c r="BG120" s="348"/>
      <c r="BH120" s="348"/>
      <c r="BI120" s="348"/>
      <c r="BJ120" s="348"/>
      <c r="BK120" s="348"/>
      <c r="BL120" s="357"/>
      <c r="BN120" s="501">
        <f>Construction!BM120/Construction!E120</f>
        <v>0</v>
      </c>
      <c r="BO120" s="171">
        <f>Construction!BD120/Construction!E120</f>
        <v>0</v>
      </c>
      <c r="BP120" s="152">
        <f ca="1">ROUNDUP((1-MIN(AB120*smithy_bonus,smithy_bonus_cap)-AC120)*(1+Techs!AO120*tech_master_of_frugality)*spec_op_plat,0)</f>
        <v>275</v>
      </c>
      <c r="BQ120" s="164">
        <f ca="1">ROUNDUP(IF(OR(race="Gnome",race="Imperial Gnome"),1-AC120,(1-MIN(AB120*smithy_bonus,smithy_bonus_cap)-AC120)*(1+Techs!AO120*tech_master_of_frugality))*spec_op_ore,0)</f>
        <v>25</v>
      </c>
      <c r="BR120" s="164">
        <f t="shared" si="116"/>
        <v>0</v>
      </c>
      <c r="BS120" s="164">
        <f t="shared" si="117"/>
        <v>0</v>
      </c>
      <c r="BT120" s="164">
        <f ca="1">ROUNDUP((1-MIN(AB120*smithy_bonus,smithy_bonus_cap)-AC120)*(1+Techs!AO120*tech_master_of_frugality)*spec_dp_plat,0)</f>
        <v>275</v>
      </c>
      <c r="BU120" s="164">
        <f ca="1">ROUNDUP(IF(OR(race="Gnome",race="Imperial Gnome"),1-AC120,(1-MIN(AB120*smithy_bonus,smithy_bonus_cap)-AC120)*(1+Techs!AO120*tech_master_of_frugality))*spec_dp_ore,0)</f>
        <v>10</v>
      </c>
      <c r="BV120" s="164">
        <f t="shared" ca="1" si="118"/>
        <v>0</v>
      </c>
      <c r="BW120" s="164">
        <f t="shared" ca="1" si="119"/>
        <v>0</v>
      </c>
      <c r="BX120" s="164">
        <f t="shared" ca="1" si="120"/>
        <v>0</v>
      </c>
      <c r="BY120" s="164">
        <f ca="1">ROUNDUP((1-MIN(AB120*smithy_bonus,smithy_bonus_cap)-AC120)*(1+Techs!AO120*tech_master_of_frugality)*elite1_plat,0)</f>
        <v>1000</v>
      </c>
      <c r="BZ120" s="164">
        <f ca="1">ROUNDUP(IF(OR(race="Gnome",race="Imperial Gnome"),1-AC120,(1-MIN(AB120*smithy_bonus,smithy_bonus_cap)-AC120)*(1+Techs!AO120*tech_master_of_frugality))*elite1_ore,0)</f>
        <v>75</v>
      </c>
      <c r="CA120" s="164">
        <f t="shared" ca="1" si="163"/>
        <v>0</v>
      </c>
      <c r="CB120" s="164">
        <f t="shared" ca="1" si="121"/>
        <v>0</v>
      </c>
      <c r="CC120" s="164">
        <f t="shared" ca="1" si="122"/>
        <v>0</v>
      </c>
      <c r="CD120" s="164">
        <f t="shared" ca="1" si="123"/>
        <v>0</v>
      </c>
      <c r="CE120" s="164">
        <f t="shared" ca="1" si="124"/>
        <v>0</v>
      </c>
      <c r="CF120" s="164">
        <f ca="1">ROUNDUP((1-MIN(AB120*smithy_bonus,smithy_bonus_cap)-AC120)*(1+Techs!AO120*tech_master_of_frugality)*elite2_plat,0)</f>
        <v>1250</v>
      </c>
      <c r="CG120" s="164">
        <f ca="1">ROUNDUP(IF(OR(race="Gnome",race="Imperial Gnome"),1-AC120,(1-MIN(AB120*smithy_bonus,smithy_bonus_cap)-AC120)*(1+Techs!AO120*tech_master_of_frugality))*elite2_ore,0)</f>
        <v>100</v>
      </c>
      <c r="CH120" s="164">
        <f t="shared" ca="1" si="164"/>
        <v>0</v>
      </c>
      <c r="CI120" s="164">
        <f t="shared" ca="1" si="125"/>
        <v>0</v>
      </c>
      <c r="CJ120" s="164">
        <f t="shared" ca="1" si="126"/>
        <v>0</v>
      </c>
      <c r="CK120" s="164">
        <f t="shared" ca="1" si="127"/>
        <v>0</v>
      </c>
      <c r="CL120" s="164">
        <f t="shared" ca="1" si="128"/>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4">
        <f ca="1">Construction!DF120/Construction!E120</f>
        <v>0.15</v>
      </c>
      <c r="CR120" s="465">
        <f t="shared" si="165"/>
        <v>0</v>
      </c>
      <c r="CS120" s="465">
        <f>Construction!BK120/Construction!E120</f>
        <v>0.05</v>
      </c>
      <c r="CT120" s="465">
        <f>Construction!BJ120/Construction!E120</f>
        <v>0</v>
      </c>
      <c r="CU120" s="465">
        <f>Construction!AY120/Construction!E120</f>
        <v>0</v>
      </c>
      <c r="CV120" s="486">
        <f t="shared" ca="1" si="183"/>
        <v>0.74999999999999989</v>
      </c>
      <c r="CW120" s="487">
        <f t="shared" ca="1" si="184"/>
        <v>0.74999999999999989</v>
      </c>
      <c r="CX120" s="487">
        <f t="shared" ca="1" si="185"/>
        <v>0.74999999999999989</v>
      </c>
      <c r="CY120" s="488">
        <f t="shared" ca="1" si="186"/>
        <v>0.74999999999999989</v>
      </c>
      <c r="CZ120" s="488">
        <f t="shared" si="187"/>
        <v>0</v>
      </c>
      <c r="DA120" s="488">
        <f t="shared" ca="1" si="188"/>
        <v>2.9999999999999996</v>
      </c>
      <c r="DB120" s="488">
        <f t="shared" ca="1" si="189"/>
        <v>0.74999999999999989</v>
      </c>
      <c r="DC120" s="487">
        <f t="shared" si="190"/>
        <v>0</v>
      </c>
      <c r="DD120" s="843">
        <f t="shared" si="191"/>
        <v>0</v>
      </c>
      <c r="DE120" s="441">
        <f t="shared" si="166"/>
        <v>0</v>
      </c>
      <c r="DF120" s="441">
        <f t="shared" si="167"/>
        <v>0</v>
      </c>
      <c r="DG120" s="486">
        <f t="shared" ca="1" si="192"/>
        <v>0.74999999999999989</v>
      </c>
      <c r="DH120" s="451">
        <f t="shared" si="193"/>
        <v>0</v>
      </c>
      <c r="DI120" s="451">
        <f>MIN(valkyrja_cap,Production!O120/valkyrja_bonus)</f>
        <v>1</v>
      </c>
      <c r="DJ120" s="843">
        <f>MIN(voodoo_magi_cap,Production!O120/voodoo_magi_bonus)</f>
        <v>0.83333333333333337</v>
      </c>
      <c r="DK120" s="843">
        <f>MIN(warlock_cap,Production!O120/warlock_bonus)</f>
        <v>1</v>
      </c>
      <c r="DL120" s="843">
        <f ca="1">MIN(nox_nightshade_cap,Construction!DF120/Construction!E120/nox_nightshade_swamp_bonus)</f>
        <v>1.4999999999999998</v>
      </c>
      <c r="DM120" s="487">
        <f t="shared" si="194"/>
        <v>0</v>
      </c>
      <c r="DN120" s="488">
        <f t="shared" ca="1" si="195"/>
        <v>1.4999999999999998</v>
      </c>
      <c r="DO120" s="488">
        <f t="shared" ca="1" si="196"/>
        <v>1.4999999999999998</v>
      </c>
      <c r="DP120" s="488">
        <f t="shared" si="197"/>
        <v>1</v>
      </c>
      <c r="DQ120" s="487">
        <f t="shared" si="198"/>
        <v>0</v>
      </c>
      <c r="DR120" s="488">
        <f t="shared" si="199"/>
        <v>0</v>
      </c>
      <c r="DS120" s="487">
        <f t="shared" si="200"/>
        <v>0</v>
      </c>
      <c r="DT120" s="488">
        <f t="shared" si="201"/>
        <v>0</v>
      </c>
      <c r="DX120" s="486">
        <f ca="1">MIN(6,CV120+Races!$F$19)*1.8 +  IF(CV120+Races!$F$19&gt;6,(CV120+Races!$F$19-6)*0.2,0) - Races!$N$19</f>
        <v>1.3500000000000005</v>
      </c>
      <c r="DY120" s="487">
        <f ca="1">1.8 * MIN(MAX(CW120+Races!$E$20,CX120+Races!$F$20),6)  +  0.45 * MIN(MIN(CW120+Races!$E$20,CX120+Races!$F$20),6)  +  0.2 * ( MAX(CW120+Races!$E$20-6,0) + MAX(CX120+Races!$F$20-6,0) )  -  Races!$N$20</f>
        <v>1.6874999999999991</v>
      </c>
      <c r="DZ120" s="57">
        <f t="shared" ca="1" si="202"/>
        <v>0</v>
      </c>
      <c r="EA120" s="663">
        <f ca="1">MIN(6,CY120+Races!$F$35)*1.8 +  IF(CY120+Races!$F$35&gt;6,(CY120+Races!$F$35-6)*0.2,0) - Races!$N$19</f>
        <v>-0.45000000000000018</v>
      </c>
      <c r="EB120" s="57">
        <f t="shared" ca="1" si="203"/>
        <v>0</v>
      </c>
      <c r="EC120" s="663">
        <f ca="1">1.8 * MIN(MAX(Races!$E$27,DB120+Races!$F$27),6)  +  0.45 * MIN(MIN(Races!$E$27,DB120+Races!$F$27),6)  +  0.2 * ( MAX(Races!$E$27-6,0) + MAX(DB120+Races!$F$27-6,0) )  -  Races!$N$20</f>
        <v>3.6000000000000005</v>
      </c>
      <c r="ED120" s="57">
        <f t="shared" ca="1" si="204"/>
        <v>0</v>
      </c>
      <c r="EE120" s="663">
        <f>1.8 * MIN(MAX(DC120+Races!$E$47,DD120+Races!$F$47),6)  +  0.45 * MIN(MIN(DC120+Races!$E$47,DD120+Races!$F$47),6)  +  0.2 * ( MAX(DC120+Races!$E$47-6,0) + MAX(DD120+Races!$F$47-6,0) )  -  Races!$N$47</f>
        <v>0</v>
      </c>
      <c r="EF120" s="57">
        <f t="shared" si="205"/>
        <v>0</v>
      </c>
      <c r="EG120" s="663">
        <f ca="1">1.8 * MIN(MAX(DG120+Races!$F$71,Races!$E$71),6)  +  0.45 * MIN(MIN(DG120+Races!$F$71,Races!$E$71),6)  +  0.2 * ( MAX(DG120+Races!$F$71-6,0) + MAX(Races!$E$71-6,0) )  -  Races!$N$71</f>
        <v>1.3499999999999996</v>
      </c>
      <c r="EH120" s="663">
        <f>1.8 * MIN(MAX(DH120+Races!$E$71,Races!$F$71),6)  +  0.45 * MIN(MIN(DH120+Races!$E$71,Races!$F$71),6)  +  0.2 * ( MAX(DH120+Races!$E$71-6,0) + MAX(Races!$F$71-6,0) )  -  Races!$N$71</f>
        <v>0</v>
      </c>
      <c r="EI120" s="57">
        <f t="shared" ca="1" si="206"/>
        <v>0</v>
      </c>
      <c r="EJ120" s="57"/>
      <c r="EK120" s="57"/>
      <c r="EL120" s="57"/>
      <c r="EM120" s="57">
        <f ca="1">Overview!$L$22*E120+Overview!$L$23*F120+Overview!$L$24*G120+Overview!$L$25*H120+Overview!$L$26*I120+Overview!$L$27*J120+Overview!$L$28*K120+Construction!E120*20+Construction!B120*5 + DZ120*$DV$4+EB120*$DV$5+ED120*$DV$6+EF120*$DV$7+EI120*$DV$9</f>
        <v>20900</v>
      </c>
      <c r="EO120" s="734">
        <f>(J120+2*K120)/Construction!E120</f>
        <v>0</v>
      </c>
      <c r="EP120" s="730">
        <f ca="1">EO120*(1+race_wizard_strength+tech_magical_weaponry_wiz*Techs!AV192)</f>
        <v>0</v>
      </c>
      <c r="EQ120" s="16">
        <f>(I120+halfer*H120/3)/Construction!E120</f>
        <v>0</v>
      </c>
    </row>
    <row r="121" spans="1:147" s="16" customFormat="1" x14ac:dyDescent="0.25">
      <c r="A121" s="627">
        <f>Rezone!J121</f>
        <v>119</v>
      </c>
      <c r="B121" s="56">
        <f ca="1">SUM(E121:K121)+SUM(AF113:AG121)+SUM(AH110:AL121)+Z121+Explore!AL121</f>
        <v>5295</v>
      </c>
      <c r="C121" s="97">
        <f ca="1">Population!G121</f>
        <v>0.74159663865546221</v>
      </c>
      <c r="E121" s="52">
        <f t="shared" si="207"/>
        <v>0</v>
      </c>
      <c r="F121" s="16">
        <f t="shared" si="208"/>
        <v>0</v>
      </c>
      <c r="G121" s="16">
        <f t="shared" si="209"/>
        <v>0</v>
      </c>
      <c r="H121" s="16">
        <f t="shared" si="210"/>
        <v>0</v>
      </c>
      <c r="I121" s="16">
        <f t="shared" si="211"/>
        <v>0</v>
      </c>
      <c r="J121" s="16">
        <f t="shared" si="212"/>
        <v>0</v>
      </c>
      <c r="K121" s="53">
        <f t="shared" si="213"/>
        <v>0</v>
      </c>
      <c r="M121" s="64">
        <f ca="1">Production!G121</f>
        <v>20900</v>
      </c>
      <c r="O121" s="142">
        <f t="shared" ca="1" si="179"/>
        <v>0</v>
      </c>
      <c r="P121" s="454">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53"/>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80"/>
        <v>5295</v>
      </c>
      <c r="T121" s="1047">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1">
        <f t="shared" ca="1" si="154"/>
        <v>0</v>
      </c>
      <c r="V121" s="310">
        <f t="shared" ca="1" si="155"/>
        <v>5295</v>
      </c>
      <c r="W121" s="310">
        <f>Construction!E121</f>
        <v>1000</v>
      </c>
      <c r="X121" s="367"/>
      <c r="Y121" s="146">
        <f t="shared" si="178"/>
        <v>0.4</v>
      </c>
      <c r="Z121" s="166">
        <f ca="1">Z120+Population!Z120 - IF(race="Lux",AF121,SUM(AF121:AK121)) - BE121 + SUM(BF121:BL121) - Explore!AI121</f>
        <v>5295</v>
      </c>
      <c r="AA121" s="164"/>
      <c r="AB121" s="91">
        <f>(Construction!$BA121+Construction!BY121)/(Construction!$E121-Explore!S121*20)</f>
        <v>0</v>
      </c>
      <c r="AC121" s="1516">
        <f ca="1">Imps!AE121</f>
        <v>0</v>
      </c>
      <c r="AD121" s="795">
        <f>Rezone!J121</f>
        <v>119</v>
      </c>
      <c r="AE121" s="587">
        <f>Explore!AA121</f>
        <v>43769.22916666638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81"/>
        <v>0</v>
      </c>
      <c r="AV121" s="164">
        <f t="shared" ca="1" si="182"/>
        <v>0</v>
      </c>
      <c r="AW121" s="164">
        <f t="shared" ca="1" si="156"/>
        <v>0</v>
      </c>
      <c r="AX121" s="164">
        <f t="shared" ca="1" si="157"/>
        <v>0</v>
      </c>
      <c r="AY121" s="164">
        <f t="shared" ca="1" si="158"/>
        <v>0</v>
      </c>
      <c r="AZ121" s="164">
        <f t="shared" ca="1" si="159"/>
        <v>0</v>
      </c>
      <c r="BA121" s="166">
        <f t="shared" ca="1" si="160"/>
        <v>0</v>
      </c>
      <c r="BB121" s="16">
        <v>47</v>
      </c>
      <c r="BC121" s="572">
        <f t="shared" si="161"/>
        <v>43769.22916666638</v>
      </c>
      <c r="BD121" s="148">
        <f t="shared" ca="1" si="162"/>
        <v>5295</v>
      </c>
      <c r="BE121" s="356"/>
      <c r="BF121" s="348"/>
      <c r="BG121" s="348"/>
      <c r="BH121" s="348"/>
      <c r="BI121" s="348"/>
      <c r="BJ121" s="348"/>
      <c r="BK121" s="348"/>
      <c r="BL121" s="357"/>
      <c r="BN121" s="501">
        <f>Construction!BM121/Construction!E121</f>
        <v>0</v>
      </c>
      <c r="BO121" s="171">
        <f>Construction!BD121/Construction!E121</f>
        <v>0</v>
      </c>
      <c r="BP121" s="152">
        <f ca="1">ROUNDUP((1-MIN(AB121*smithy_bonus,smithy_bonus_cap)-AC121)*(1+Techs!AO121*tech_master_of_frugality)*spec_op_plat,0)</f>
        <v>275</v>
      </c>
      <c r="BQ121" s="164">
        <f ca="1">ROUNDUP(IF(OR(race="Gnome",race="Imperial Gnome"),1-AC121,(1-MIN(AB121*smithy_bonus,smithy_bonus_cap)-AC121)*(1+Techs!AO121*tech_master_of_frugality))*spec_op_ore,0)</f>
        <v>25</v>
      </c>
      <c r="BR121" s="164">
        <f t="shared" si="116"/>
        <v>0</v>
      </c>
      <c r="BS121" s="164">
        <f t="shared" si="117"/>
        <v>0</v>
      </c>
      <c r="BT121" s="164">
        <f ca="1">ROUNDUP((1-MIN(AB121*smithy_bonus,smithy_bonus_cap)-AC121)*(1+Techs!AO121*tech_master_of_frugality)*spec_dp_plat,0)</f>
        <v>275</v>
      </c>
      <c r="BU121" s="164">
        <f ca="1">ROUNDUP(IF(OR(race="Gnome",race="Imperial Gnome"),1-AC121,(1-MIN(AB121*smithy_bonus,smithy_bonus_cap)-AC121)*(1+Techs!AO121*tech_master_of_frugality))*spec_dp_ore,0)</f>
        <v>10</v>
      </c>
      <c r="BV121" s="164">
        <f t="shared" ca="1" si="118"/>
        <v>0</v>
      </c>
      <c r="BW121" s="164">
        <f t="shared" ca="1" si="119"/>
        <v>0</v>
      </c>
      <c r="BX121" s="164">
        <f t="shared" ca="1" si="120"/>
        <v>0</v>
      </c>
      <c r="BY121" s="164">
        <f ca="1">ROUNDUP((1-MIN(AB121*smithy_bonus,smithy_bonus_cap)-AC121)*(1+Techs!AO121*tech_master_of_frugality)*elite1_plat,0)</f>
        <v>1000</v>
      </c>
      <c r="BZ121" s="164">
        <f ca="1">ROUNDUP(IF(OR(race="Gnome",race="Imperial Gnome"),1-AC121,(1-MIN(AB121*smithy_bonus,smithy_bonus_cap)-AC121)*(1+Techs!AO121*tech_master_of_frugality))*elite1_ore,0)</f>
        <v>75</v>
      </c>
      <c r="CA121" s="164">
        <f t="shared" ca="1" si="163"/>
        <v>0</v>
      </c>
      <c r="CB121" s="164">
        <f t="shared" ca="1" si="121"/>
        <v>0</v>
      </c>
      <c r="CC121" s="164">
        <f t="shared" ca="1" si="122"/>
        <v>0</v>
      </c>
      <c r="CD121" s="164">
        <f t="shared" ca="1" si="123"/>
        <v>0</v>
      </c>
      <c r="CE121" s="164">
        <f t="shared" ca="1" si="124"/>
        <v>0</v>
      </c>
      <c r="CF121" s="164">
        <f ca="1">ROUNDUP((1-MIN(AB121*smithy_bonus,smithy_bonus_cap)-AC121)*(1+Techs!AO121*tech_master_of_frugality)*elite2_plat,0)</f>
        <v>1250</v>
      </c>
      <c r="CG121" s="164">
        <f ca="1">ROUNDUP(IF(OR(race="Gnome",race="Imperial Gnome"),1-AC121,(1-MIN(AB121*smithy_bonus,smithy_bonus_cap)-AC121)*(1+Techs!AO121*tech_master_of_frugality))*elite2_ore,0)</f>
        <v>100</v>
      </c>
      <c r="CH121" s="164">
        <f t="shared" ca="1" si="164"/>
        <v>0</v>
      </c>
      <c r="CI121" s="164">
        <f t="shared" ca="1" si="125"/>
        <v>0</v>
      </c>
      <c r="CJ121" s="164">
        <f t="shared" ca="1" si="126"/>
        <v>0</v>
      </c>
      <c r="CK121" s="164">
        <f t="shared" ca="1" si="127"/>
        <v>0</v>
      </c>
      <c r="CL121" s="164">
        <f t="shared" ca="1" si="128"/>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4">
        <f ca="1">Construction!DF121/Construction!E121</f>
        <v>0.15</v>
      </c>
      <c r="CR121" s="465">
        <f t="shared" si="165"/>
        <v>0</v>
      </c>
      <c r="CS121" s="465">
        <f>Construction!BK121/Construction!E121</f>
        <v>0.05</v>
      </c>
      <c r="CT121" s="465">
        <f>Construction!BJ121/Construction!E121</f>
        <v>0</v>
      </c>
      <c r="CU121" s="465">
        <f>Construction!AY121/Construction!E121</f>
        <v>0</v>
      </c>
      <c r="CV121" s="486">
        <f t="shared" ca="1" si="183"/>
        <v>0.74999999999999989</v>
      </c>
      <c r="CW121" s="487">
        <f t="shared" ca="1" si="184"/>
        <v>0.74999999999999989</v>
      </c>
      <c r="CX121" s="487">
        <f t="shared" ca="1" si="185"/>
        <v>0.74999999999999989</v>
      </c>
      <c r="CY121" s="488">
        <f t="shared" ca="1" si="186"/>
        <v>0.74999999999999989</v>
      </c>
      <c r="CZ121" s="488">
        <f t="shared" si="187"/>
        <v>0</v>
      </c>
      <c r="DA121" s="488">
        <f t="shared" ca="1" si="188"/>
        <v>2.9999999999999996</v>
      </c>
      <c r="DB121" s="488">
        <f t="shared" ca="1" si="189"/>
        <v>0.74999999999999989</v>
      </c>
      <c r="DC121" s="487">
        <f t="shared" si="190"/>
        <v>0</v>
      </c>
      <c r="DD121" s="843">
        <f t="shared" si="191"/>
        <v>0</v>
      </c>
      <c r="DE121" s="441">
        <f t="shared" si="166"/>
        <v>0</v>
      </c>
      <c r="DF121" s="441">
        <f t="shared" si="167"/>
        <v>0</v>
      </c>
      <c r="DG121" s="486">
        <f t="shared" ca="1" si="192"/>
        <v>0.74999999999999989</v>
      </c>
      <c r="DH121" s="451">
        <f t="shared" si="193"/>
        <v>0</v>
      </c>
      <c r="DI121" s="451">
        <f>MIN(valkyrja_cap,Production!O121/valkyrja_bonus)</f>
        <v>1</v>
      </c>
      <c r="DJ121" s="843">
        <f>MIN(voodoo_magi_cap,Production!O121/voodoo_magi_bonus)</f>
        <v>0.83333333333333337</v>
      </c>
      <c r="DK121" s="843">
        <f>MIN(warlock_cap,Production!O121/warlock_bonus)</f>
        <v>1</v>
      </c>
      <c r="DL121" s="843">
        <f ca="1">MIN(nox_nightshade_cap,Construction!DF121/Construction!E121/nox_nightshade_swamp_bonus)</f>
        <v>1.4999999999999998</v>
      </c>
      <c r="DM121" s="487">
        <f t="shared" si="194"/>
        <v>0</v>
      </c>
      <c r="DN121" s="488">
        <f t="shared" ca="1" si="195"/>
        <v>1.4999999999999998</v>
      </c>
      <c r="DO121" s="488">
        <f t="shared" ca="1" si="196"/>
        <v>1.4999999999999998</v>
      </c>
      <c r="DP121" s="488">
        <f t="shared" si="197"/>
        <v>1</v>
      </c>
      <c r="DQ121" s="487">
        <f t="shared" si="198"/>
        <v>0</v>
      </c>
      <c r="DR121" s="488">
        <f t="shared" si="199"/>
        <v>0</v>
      </c>
      <c r="DS121" s="487">
        <f t="shared" si="200"/>
        <v>0</v>
      </c>
      <c r="DT121" s="488">
        <f t="shared" si="201"/>
        <v>0</v>
      </c>
      <c r="DX121" s="486">
        <f ca="1">MIN(6,CV121+Races!$F$19)*1.8 +  IF(CV121+Races!$F$19&gt;6,(CV121+Races!$F$19-6)*0.2,0) - Races!$N$19</f>
        <v>1.3500000000000005</v>
      </c>
      <c r="DY121" s="487">
        <f ca="1">1.8 * MIN(MAX(CW121+Races!$E$20,CX121+Races!$F$20),6)  +  0.45 * MIN(MIN(CW121+Races!$E$20,CX121+Races!$F$20),6)  +  0.2 * ( MAX(CW121+Races!$E$20-6,0) + MAX(CX121+Races!$F$20-6,0) )  -  Races!$N$20</f>
        <v>1.6874999999999991</v>
      </c>
      <c r="DZ121" s="57">
        <f t="shared" ca="1" si="202"/>
        <v>0</v>
      </c>
      <c r="EA121" s="663">
        <f ca="1">MIN(6,CY121+Races!$F$35)*1.8 +  IF(CY121+Races!$F$35&gt;6,(CY121+Races!$F$35-6)*0.2,0) - Races!$N$19</f>
        <v>-0.45000000000000018</v>
      </c>
      <c r="EB121" s="57">
        <f t="shared" ca="1" si="203"/>
        <v>0</v>
      </c>
      <c r="EC121" s="663">
        <f ca="1">1.8 * MIN(MAX(Races!$E$27,DB121+Races!$F$27),6)  +  0.45 * MIN(MIN(Races!$E$27,DB121+Races!$F$27),6)  +  0.2 * ( MAX(Races!$E$27-6,0) + MAX(DB121+Races!$F$27-6,0) )  -  Races!$N$20</f>
        <v>3.6000000000000005</v>
      </c>
      <c r="ED121" s="57">
        <f t="shared" ca="1" si="204"/>
        <v>0</v>
      </c>
      <c r="EE121" s="663">
        <f>1.8 * MIN(MAX(DC121+Races!$E$47,DD121+Races!$F$47),6)  +  0.45 * MIN(MIN(DC121+Races!$E$47,DD121+Races!$F$47),6)  +  0.2 * ( MAX(DC121+Races!$E$47-6,0) + MAX(DD121+Races!$F$47-6,0) )  -  Races!$N$47</f>
        <v>0</v>
      </c>
      <c r="EF121" s="57">
        <f t="shared" si="205"/>
        <v>0</v>
      </c>
      <c r="EG121" s="663">
        <f ca="1">1.8 * MIN(MAX(DG121+Races!$F$71,Races!$E$71),6)  +  0.45 * MIN(MIN(DG121+Races!$F$71,Races!$E$71),6)  +  0.2 * ( MAX(DG121+Races!$F$71-6,0) + MAX(Races!$E$71-6,0) )  -  Races!$N$71</f>
        <v>1.3499999999999996</v>
      </c>
      <c r="EH121" s="663">
        <f>1.8 * MIN(MAX(DH121+Races!$E$71,Races!$F$71),6)  +  0.45 * MIN(MIN(DH121+Races!$E$71,Races!$F$71),6)  +  0.2 * ( MAX(DH121+Races!$E$71-6,0) + MAX(Races!$F$71-6,0) )  -  Races!$N$71</f>
        <v>0</v>
      </c>
      <c r="EI121" s="57">
        <f t="shared" ca="1" si="206"/>
        <v>0</v>
      </c>
      <c r="EJ121" s="57"/>
      <c r="EK121" s="57"/>
      <c r="EL121" s="57"/>
      <c r="EM121" s="57">
        <f ca="1">Overview!$L$22*E121+Overview!$L$23*F121+Overview!$L$24*G121+Overview!$L$25*H121+Overview!$L$26*I121+Overview!$L$27*J121+Overview!$L$28*K121+Construction!E121*20+Construction!B121*5 + DZ121*$DV$4+EB121*$DV$5+ED121*$DV$6+EF121*$DV$7+EI121*$DV$9</f>
        <v>20900</v>
      </c>
      <c r="EO121" s="734">
        <f>(J121+2*K121)/Construction!E121</f>
        <v>0</v>
      </c>
      <c r="EP121" s="730">
        <f ca="1">EO121*(1+race_wizard_strength+tech_magical_weaponry_wiz*Techs!AV193)</f>
        <v>0</v>
      </c>
      <c r="EQ121" s="16">
        <f>(I121+halfer*H121/3)/Construction!E121</f>
        <v>0</v>
      </c>
    </row>
    <row r="122" spans="1:147" s="16" customFormat="1" ht="13.8" thickBot="1" x14ac:dyDescent="0.3">
      <c r="A122" s="627">
        <f>Rezone!J122</f>
        <v>120</v>
      </c>
      <c r="B122" s="56">
        <f ca="1">SUM(E122:K122)+SUM(AF114:AG122)+SUM(AH111:AL122)+Z122+Explore!AL122</f>
        <v>5295</v>
      </c>
      <c r="C122" s="97">
        <f ca="1">Population!G122</f>
        <v>0.74159663865546221</v>
      </c>
      <c r="E122" s="52">
        <f t="shared" si="207"/>
        <v>0</v>
      </c>
      <c r="F122" s="16">
        <f t="shared" si="208"/>
        <v>0</v>
      </c>
      <c r="G122" s="16">
        <f t="shared" si="209"/>
        <v>0</v>
      </c>
      <c r="H122" s="16">
        <f t="shared" si="210"/>
        <v>0</v>
      </c>
      <c r="I122" s="16">
        <f t="shared" si="211"/>
        <v>0</v>
      </c>
      <c r="J122" s="16">
        <f t="shared" si="212"/>
        <v>0</v>
      </c>
      <c r="K122" s="53">
        <f t="shared" si="213"/>
        <v>0</v>
      </c>
      <c r="M122" s="64">
        <f ca="1">Production!G122</f>
        <v>20900</v>
      </c>
      <c r="O122" s="142">
        <f t="shared" ca="1" si="179"/>
        <v>0</v>
      </c>
      <c r="P122" s="454">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53"/>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80"/>
        <v>5295</v>
      </c>
      <c r="T122" s="1047">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1">
        <f t="shared" ca="1" si="154"/>
        <v>0</v>
      </c>
      <c r="V122" s="310">
        <f t="shared" ca="1" si="155"/>
        <v>5295</v>
      </c>
      <c r="W122" s="310">
        <f>Construction!E122</f>
        <v>1000</v>
      </c>
      <c r="X122" s="367"/>
      <c r="Y122" s="146">
        <f t="shared" si="178"/>
        <v>0.4</v>
      </c>
      <c r="Z122" s="166">
        <f ca="1">Z121+Population!Z121 - IF(race="Lux",AF122,SUM(AF122:AK122)) - BE122 + SUM(BF122:BL122) - Explore!AI122</f>
        <v>5295</v>
      </c>
      <c r="AA122" s="164"/>
      <c r="AB122" s="91">
        <f>(Construction!$BA122+Construction!BY122)/(Construction!$E122-Explore!S122*20)</f>
        <v>0</v>
      </c>
      <c r="AC122" s="1516">
        <f ca="1">Imps!AE122</f>
        <v>0</v>
      </c>
      <c r="AD122" s="795">
        <f>Rezone!J122</f>
        <v>120</v>
      </c>
      <c r="AE122" s="587">
        <f>Explore!AA122</f>
        <v>43769.239583333045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81"/>
        <v>0</v>
      </c>
      <c r="AV122" s="164">
        <f t="shared" ca="1" si="182"/>
        <v>0</v>
      </c>
      <c r="AW122" s="164">
        <f t="shared" ca="1" si="156"/>
        <v>0</v>
      </c>
      <c r="AX122" s="164">
        <f t="shared" ca="1" si="157"/>
        <v>0</v>
      </c>
      <c r="AY122" s="164">
        <f t="shared" ca="1" si="158"/>
        <v>0</v>
      </c>
      <c r="AZ122" s="164">
        <f t="shared" ca="1" si="159"/>
        <v>0</v>
      </c>
      <c r="BA122" s="166">
        <f t="shared" ca="1" si="160"/>
        <v>0</v>
      </c>
      <c r="BB122" s="16">
        <v>48</v>
      </c>
      <c r="BC122" s="572">
        <f t="shared" si="161"/>
        <v>43769.239583333045</v>
      </c>
      <c r="BD122" s="148">
        <f t="shared" ca="1" si="162"/>
        <v>5295</v>
      </c>
      <c r="BE122" s="356"/>
      <c r="BF122" s="348"/>
      <c r="BG122" s="348"/>
      <c r="BH122" s="348"/>
      <c r="BI122" s="348"/>
      <c r="BJ122" s="348"/>
      <c r="BK122" s="348"/>
      <c r="BL122" s="357"/>
      <c r="BN122" s="501">
        <f>Construction!BM122/Construction!E122</f>
        <v>0</v>
      </c>
      <c r="BO122" s="171">
        <f>Construction!BD122/Construction!E122</f>
        <v>0</v>
      </c>
      <c r="BP122" s="152">
        <f ca="1">ROUNDUP((1-MIN(AB122*smithy_bonus,smithy_bonus_cap)-AC122)*(1+Techs!AO122*tech_master_of_frugality)*spec_op_plat,0)</f>
        <v>275</v>
      </c>
      <c r="BQ122" s="164">
        <f ca="1">ROUNDUP(IF(OR(race="Gnome",race="Imperial Gnome"),1-AC122,(1-MIN(AB122*smithy_bonus,smithy_bonus_cap)-AC122)*(1+Techs!AO122*tech_master_of_frugality))*spec_op_ore,0)</f>
        <v>25</v>
      </c>
      <c r="BR122" s="164">
        <f t="shared" si="116"/>
        <v>0</v>
      </c>
      <c r="BS122" s="164">
        <f t="shared" si="117"/>
        <v>0</v>
      </c>
      <c r="BT122" s="164">
        <f ca="1">ROUNDUP((1-MIN(AB122*smithy_bonus,smithy_bonus_cap)-AC122)*(1+Techs!AO122*tech_master_of_frugality)*spec_dp_plat,0)</f>
        <v>275</v>
      </c>
      <c r="BU122" s="164">
        <f ca="1">ROUNDUP(IF(OR(race="Gnome",race="Imperial Gnome"),1-AC122,(1-MIN(AB122*smithy_bonus,smithy_bonus_cap)-AC122)*(1+Techs!AO122*tech_master_of_frugality))*spec_dp_ore,0)</f>
        <v>10</v>
      </c>
      <c r="BV122" s="164">
        <f t="shared" ca="1" si="118"/>
        <v>0</v>
      </c>
      <c r="BW122" s="164">
        <f t="shared" ca="1" si="119"/>
        <v>0</v>
      </c>
      <c r="BX122" s="164">
        <f t="shared" ca="1" si="120"/>
        <v>0</v>
      </c>
      <c r="BY122" s="164">
        <f ca="1">ROUNDUP((1-MIN(AB122*smithy_bonus,smithy_bonus_cap)-AC122)*(1+Techs!AO122*tech_master_of_frugality)*elite1_plat,0)</f>
        <v>1000</v>
      </c>
      <c r="BZ122" s="164">
        <f ca="1">ROUNDUP(IF(OR(race="Gnome",race="Imperial Gnome"),1-AC122,(1-MIN(AB122*smithy_bonus,smithy_bonus_cap)-AC122)*(1+Techs!AO122*tech_master_of_frugality))*elite1_ore,0)</f>
        <v>75</v>
      </c>
      <c r="CA122" s="164">
        <f t="shared" ca="1" si="163"/>
        <v>0</v>
      </c>
      <c r="CB122" s="164">
        <f t="shared" ca="1" si="121"/>
        <v>0</v>
      </c>
      <c r="CC122" s="164">
        <f t="shared" ca="1" si="122"/>
        <v>0</v>
      </c>
      <c r="CD122" s="164">
        <f t="shared" ca="1" si="123"/>
        <v>0</v>
      </c>
      <c r="CE122" s="164">
        <f t="shared" ca="1" si="124"/>
        <v>0</v>
      </c>
      <c r="CF122" s="164">
        <f ca="1">ROUNDUP((1-MIN(AB122*smithy_bonus,smithy_bonus_cap)-AC122)*(1+Techs!AO122*tech_master_of_frugality)*elite2_plat,0)</f>
        <v>1250</v>
      </c>
      <c r="CG122" s="164">
        <f ca="1">ROUNDUP(IF(OR(race="Gnome",race="Imperial Gnome"),1-AC122,(1-MIN(AB122*smithy_bonus,smithy_bonus_cap)-AC122)*(1+Techs!AO122*tech_master_of_frugality))*elite2_ore,0)</f>
        <v>100</v>
      </c>
      <c r="CH122" s="164">
        <f t="shared" ca="1" si="164"/>
        <v>0</v>
      </c>
      <c r="CI122" s="164">
        <f t="shared" ca="1" si="125"/>
        <v>0</v>
      </c>
      <c r="CJ122" s="164">
        <f t="shared" ca="1" si="126"/>
        <v>0</v>
      </c>
      <c r="CK122" s="164">
        <f t="shared" ca="1" si="127"/>
        <v>0</v>
      </c>
      <c r="CL122" s="164">
        <f t="shared" ca="1" si="128"/>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4">
        <f ca="1">Construction!DF122/Construction!E122</f>
        <v>0.15</v>
      </c>
      <c r="CR122" s="465">
        <f t="shared" si="165"/>
        <v>0</v>
      </c>
      <c r="CS122" s="465">
        <f>Construction!BK122/Construction!E122</f>
        <v>0.05</v>
      </c>
      <c r="CT122" s="465">
        <f>Construction!BJ122/Construction!E122</f>
        <v>0</v>
      </c>
      <c r="CU122" s="465">
        <f>Construction!AY122/Construction!E122</f>
        <v>0</v>
      </c>
      <c r="CV122" s="486">
        <f t="shared" ca="1" si="183"/>
        <v>0.74999999999999989</v>
      </c>
      <c r="CW122" s="487">
        <f t="shared" ca="1" si="184"/>
        <v>0.74999999999999989</v>
      </c>
      <c r="CX122" s="487">
        <f t="shared" ca="1" si="185"/>
        <v>0.74999999999999989</v>
      </c>
      <c r="CY122" s="488">
        <f t="shared" ca="1" si="186"/>
        <v>0.74999999999999989</v>
      </c>
      <c r="CZ122" s="488">
        <f t="shared" si="187"/>
        <v>0</v>
      </c>
      <c r="DA122" s="488">
        <f t="shared" ca="1" si="188"/>
        <v>2.9999999999999996</v>
      </c>
      <c r="DB122" s="488">
        <f t="shared" ca="1" si="189"/>
        <v>0.74999999999999989</v>
      </c>
      <c r="DC122" s="487">
        <f t="shared" si="190"/>
        <v>0</v>
      </c>
      <c r="DD122" s="843">
        <f t="shared" si="191"/>
        <v>0</v>
      </c>
      <c r="DE122" s="441">
        <f t="shared" si="166"/>
        <v>0</v>
      </c>
      <c r="DF122" s="441">
        <f t="shared" si="167"/>
        <v>0</v>
      </c>
      <c r="DG122" s="486">
        <f t="shared" ca="1" si="192"/>
        <v>0.74999999999999989</v>
      </c>
      <c r="DH122" s="451">
        <f t="shared" si="193"/>
        <v>0</v>
      </c>
      <c r="DI122" s="451">
        <f>MIN(valkyrja_cap,Production!O122/valkyrja_bonus)</f>
        <v>1</v>
      </c>
      <c r="DJ122" s="843">
        <f>MIN(voodoo_magi_cap,Production!O122/voodoo_magi_bonus)</f>
        <v>0.83333333333333337</v>
      </c>
      <c r="DK122" s="843">
        <f>MIN(warlock_cap,Production!O122/warlock_bonus)</f>
        <v>1</v>
      </c>
      <c r="DL122" s="843">
        <f ca="1">MIN(nox_nightshade_cap,Construction!DF122/Construction!E122/nox_nightshade_swamp_bonus)</f>
        <v>1.4999999999999998</v>
      </c>
      <c r="DM122" s="487">
        <f t="shared" si="194"/>
        <v>0</v>
      </c>
      <c r="DN122" s="488">
        <f t="shared" ca="1" si="195"/>
        <v>1.4999999999999998</v>
      </c>
      <c r="DO122" s="488">
        <f t="shared" ca="1" si="196"/>
        <v>1.4999999999999998</v>
      </c>
      <c r="DP122" s="488">
        <f t="shared" si="197"/>
        <v>1</v>
      </c>
      <c r="DQ122" s="487">
        <f t="shared" si="198"/>
        <v>0</v>
      </c>
      <c r="DR122" s="488">
        <f t="shared" si="199"/>
        <v>0</v>
      </c>
      <c r="DS122" s="487">
        <f t="shared" si="200"/>
        <v>0</v>
      </c>
      <c r="DT122" s="488">
        <f t="shared" si="201"/>
        <v>0</v>
      </c>
      <c r="DX122" s="486">
        <f ca="1">MIN(6,CV122+Races!$F$19)*1.8 +  IF(CV122+Races!$F$19&gt;6,(CV122+Races!$F$19-6)*0.2,0) - Races!$N$19</f>
        <v>1.3500000000000005</v>
      </c>
      <c r="DY122" s="487">
        <f ca="1">1.8 * MIN(MAX(CW122+Races!$E$20,CX122+Races!$F$20),6)  +  0.45 * MIN(MIN(CW122+Races!$E$20,CX122+Races!$F$20),6)  +  0.2 * ( MAX(CW122+Races!$E$20-6,0) + MAX(CX122+Races!$F$20-6,0) )  -  Races!$N$20</f>
        <v>1.6874999999999991</v>
      </c>
      <c r="DZ122" s="57">
        <f t="shared" ca="1" si="202"/>
        <v>0</v>
      </c>
      <c r="EA122" s="663">
        <f ca="1">MIN(6,CY122+Races!$F$35)*1.8 +  IF(CY122+Races!$F$35&gt;6,(CY122+Races!$F$35-6)*0.2,0) - Races!$N$19</f>
        <v>-0.45000000000000018</v>
      </c>
      <c r="EB122" s="57">
        <f t="shared" ca="1" si="203"/>
        <v>0</v>
      </c>
      <c r="EC122" s="663">
        <f ca="1">1.8 * MIN(MAX(Races!$E$27,DB122+Races!$F$27),6)  +  0.45 * MIN(MIN(Races!$E$27,DB122+Races!$F$27),6)  +  0.2 * ( MAX(Races!$E$27-6,0) + MAX(DB122+Races!$F$27-6,0) )  -  Races!$N$20</f>
        <v>3.6000000000000005</v>
      </c>
      <c r="ED122" s="57">
        <f t="shared" ca="1" si="204"/>
        <v>0</v>
      </c>
      <c r="EE122" s="663">
        <f>1.8 * MIN(MAX(DC122+Races!$E$47,DD122+Races!$F$47),6)  +  0.45 * MIN(MIN(DC122+Races!$E$47,DD122+Races!$F$47),6)  +  0.2 * ( MAX(DC122+Races!$E$47-6,0) + MAX(DD122+Races!$F$47-6,0) )  -  Races!$N$47</f>
        <v>0</v>
      </c>
      <c r="EF122" s="57">
        <f t="shared" si="205"/>
        <v>0</v>
      </c>
      <c r="EG122" s="663">
        <f ca="1">1.8 * MIN(MAX(DG122+Races!$F$71,Races!$E$71),6)  +  0.45 * MIN(MIN(DG122+Races!$F$71,Races!$E$71),6)  +  0.2 * ( MAX(DG122+Races!$F$71-6,0) + MAX(Races!$E$71-6,0) )  -  Races!$N$71</f>
        <v>1.3499999999999996</v>
      </c>
      <c r="EH122" s="663">
        <f>1.8 * MIN(MAX(DH122+Races!$E$71,Races!$F$71),6)  +  0.45 * MIN(MIN(DH122+Races!$E$71,Races!$F$71),6)  +  0.2 * ( MAX(DH122+Races!$E$71-6,0) + MAX(Races!$F$71-6,0) )  -  Races!$N$71</f>
        <v>0</v>
      </c>
      <c r="EI122" s="57">
        <f t="shared" ca="1" si="206"/>
        <v>0</v>
      </c>
      <c r="EJ122" s="57"/>
      <c r="EK122" s="57"/>
      <c r="EL122" s="57"/>
      <c r="EM122" s="57">
        <f ca="1">Overview!$L$22*E122+Overview!$L$23*F122+Overview!$L$24*G122+Overview!$L$25*H122+Overview!$L$26*I122+Overview!$L$27*J122+Overview!$L$28*K122+Construction!E122*20+Construction!B122*5 + DZ122*$DV$4+EB122*$DV$5+ED122*$DV$6+EF122*$DV$7+EI122*$DV$9</f>
        <v>20900</v>
      </c>
      <c r="EO122" s="734">
        <f>(J122+2*K122)/Construction!E122</f>
        <v>0</v>
      </c>
      <c r="EP122" s="730">
        <f ca="1">EO122*(1+race_wizard_strength+tech_magical_weaponry_wiz*Techs!AV194)</f>
        <v>0</v>
      </c>
      <c r="EQ122" s="16">
        <f>(I122+halfer*H122/3)/Construction!E122</f>
        <v>0</v>
      </c>
    </row>
    <row r="123" spans="1:147" s="111" customFormat="1" ht="14.4" thickTop="1" thickBot="1" x14ac:dyDescent="0.3">
      <c r="A123" s="1054">
        <f>Rezone!J123</f>
        <v>121</v>
      </c>
      <c r="B123" s="110">
        <f ca="1">SUM(E123:K123)+SUM(AF115:AG123)+SUM(AH112:AL123)+Z123+Explore!AL123</f>
        <v>5295</v>
      </c>
      <c r="C123" s="135">
        <f ca="1">Population!G123</f>
        <v>0.74159663865546221</v>
      </c>
      <c r="E123" s="113">
        <f t="shared" si="207"/>
        <v>0</v>
      </c>
      <c r="F123" s="111">
        <f t="shared" si="208"/>
        <v>0</v>
      </c>
      <c r="G123" s="111">
        <f t="shared" si="209"/>
        <v>0</v>
      </c>
      <c r="H123" s="111">
        <f t="shared" si="210"/>
        <v>0</v>
      </c>
      <c r="I123" s="111">
        <f t="shared" si="211"/>
        <v>0</v>
      </c>
      <c r="J123" s="111">
        <f t="shared" si="212"/>
        <v>0</v>
      </c>
      <c r="K123" s="115">
        <f t="shared" si="213"/>
        <v>0</v>
      </c>
      <c r="M123" s="117">
        <f ca="1">Production!G123</f>
        <v>20900</v>
      </c>
      <c r="O123" s="144">
        <f t="shared" ca="1" si="179"/>
        <v>0</v>
      </c>
      <c r="P123" s="1158">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3">
        <f t="shared" ca="1" si="153"/>
        <v>0</v>
      </c>
      <c r="R123" s="1048">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3">
        <f t="shared" ca="1" si="180"/>
        <v>5295</v>
      </c>
      <c r="T123" s="1173">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49">
        <f t="shared" ca="1" si="154"/>
        <v>0</v>
      </c>
      <c r="V123" s="312">
        <f t="shared" ca="1" si="155"/>
        <v>5295</v>
      </c>
      <c r="W123" s="312">
        <f>Construction!E123</f>
        <v>1000</v>
      </c>
      <c r="X123" s="369"/>
      <c r="Y123" s="147">
        <f t="shared" si="178"/>
        <v>0.4</v>
      </c>
      <c r="Z123" s="274">
        <f ca="1">Z122+Population!Z122 - IF(race="Lux",AF123,SUM(AF123:AK123)) - BE123 + SUM(BF123:BL123) - Explore!AI123</f>
        <v>5295</v>
      </c>
      <c r="AA123" s="277"/>
      <c r="AB123" s="133">
        <f>(Construction!$BA123+Construction!BY123)/(Construction!$E123-Explore!S123*20)</f>
        <v>0</v>
      </c>
      <c r="AC123" s="1520">
        <f ca="1">Imps!AE123</f>
        <v>0</v>
      </c>
      <c r="AD123" s="798">
        <f>Rezone!J123</f>
        <v>121</v>
      </c>
      <c r="AE123" s="589">
        <f>Explore!AA123</f>
        <v>43769.249999999709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81"/>
        <v>0</v>
      </c>
      <c r="AV123" s="277">
        <f t="shared" ca="1" si="182"/>
        <v>0</v>
      </c>
      <c r="AW123" s="277">
        <f t="shared" ca="1" si="156"/>
        <v>0</v>
      </c>
      <c r="AX123" s="277">
        <f t="shared" ca="1" si="157"/>
        <v>0</v>
      </c>
      <c r="AY123" s="277">
        <f t="shared" ca="1" si="158"/>
        <v>0</v>
      </c>
      <c r="AZ123" s="277">
        <f t="shared" ca="1" si="159"/>
        <v>0</v>
      </c>
      <c r="BA123" s="274">
        <f t="shared" ca="1" si="160"/>
        <v>0</v>
      </c>
      <c r="BB123" s="111">
        <v>49</v>
      </c>
      <c r="BC123" s="573">
        <f t="shared" si="161"/>
        <v>43769.249999999709</v>
      </c>
      <c r="BD123" s="150">
        <f t="shared" ca="1" si="162"/>
        <v>5295</v>
      </c>
      <c r="BE123" s="358"/>
      <c r="BF123" s="350"/>
      <c r="BG123" s="350"/>
      <c r="BH123" s="350"/>
      <c r="BI123" s="350"/>
      <c r="BJ123" s="350"/>
      <c r="BK123" s="350"/>
      <c r="BL123" s="359"/>
      <c r="BN123" s="764">
        <f>Construction!BM123/Construction!E123</f>
        <v>0</v>
      </c>
      <c r="BO123" s="503">
        <f>Construction!BD123/Construction!E123</f>
        <v>0</v>
      </c>
      <c r="BP123" s="273">
        <f ca="1">ROUNDUP((1-MIN(AB123*smithy_bonus,smithy_bonus_cap)-AC123)*(1+Techs!AO123*tech_master_of_frugality)*spec_op_plat,0)</f>
        <v>275</v>
      </c>
      <c r="BQ123" s="277">
        <f ca="1">ROUNDUP(IF(OR(race="Gnome",race="Imperial Gnome"),1-AC123,(1-MIN(AB123*smithy_bonus,smithy_bonus_cap)-AC123)*(1+Techs!AO123*tech_master_of_frugality))*spec_op_ore,0)</f>
        <v>25</v>
      </c>
      <c r="BR123" s="277">
        <f t="shared" si="116"/>
        <v>0</v>
      </c>
      <c r="BS123" s="277">
        <f t="shared" si="117"/>
        <v>0</v>
      </c>
      <c r="BT123" s="277">
        <f ca="1">ROUNDUP((1-MIN(AB123*smithy_bonus,smithy_bonus_cap)-AC123)*(1+Techs!AO123*tech_master_of_frugality)*spec_dp_plat,0)</f>
        <v>275</v>
      </c>
      <c r="BU123" s="277">
        <f ca="1">ROUNDUP(IF(OR(race="Gnome",race="Imperial Gnome"),1-AC123,(1-MIN(AB123*smithy_bonus,smithy_bonus_cap)-AC123)*(1+Techs!AO123*tech_master_of_frugality))*spec_dp_ore,0)</f>
        <v>10</v>
      </c>
      <c r="BV123" s="277">
        <f t="shared" ca="1" si="118"/>
        <v>0</v>
      </c>
      <c r="BW123" s="277">
        <f t="shared" ca="1" si="119"/>
        <v>0</v>
      </c>
      <c r="BX123" s="277">
        <f t="shared" ca="1" si="120"/>
        <v>0</v>
      </c>
      <c r="BY123" s="277">
        <f ca="1">ROUNDUP((1-MIN(AB123*smithy_bonus,smithy_bonus_cap)-AC123)*(1+Techs!AO123*tech_master_of_frugality)*elite1_plat,0)</f>
        <v>1000</v>
      </c>
      <c r="BZ123" s="277">
        <f ca="1">ROUNDUP(IF(OR(race="Gnome",race="Imperial Gnome"),1-AC123,(1-MIN(AB123*smithy_bonus,smithy_bonus_cap)-AC123)*(1+Techs!AO123*tech_master_of_frugality))*elite1_ore,0)</f>
        <v>75</v>
      </c>
      <c r="CA123" s="277">
        <f t="shared" ca="1" si="163"/>
        <v>0</v>
      </c>
      <c r="CB123" s="277">
        <f t="shared" ca="1" si="121"/>
        <v>0</v>
      </c>
      <c r="CC123" s="277">
        <f t="shared" ca="1" si="122"/>
        <v>0</v>
      </c>
      <c r="CD123" s="277">
        <f t="shared" ca="1" si="123"/>
        <v>0</v>
      </c>
      <c r="CE123" s="277">
        <f t="shared" ca="1" si="124"/>
        <v>0</v>
      </c>
      <c r="CF123" s="277">
        <f ca="1">ROUNDUP((1-MIN(AB123*smithy_bonus,smithy_bonus_cap)-AC123)*(1+Techs!AO123*tech_master_of_frugality)*elite2_plat,0)</f>
        <v>1250</v>
      </c>
      <c r="CG123" s="277">
        <f ca="1">ROUNDUP(IF(OR(race="Gnome",race="Imperial Gnome"),1-AC123,(1-MIN(AB123*smithy_bonus,smithy_bonus_cap)-AC123)*(1+Techs!AO123*tech_master_of_frugality))*elite2_ore,0)</f>
        <v>100</v>
      </c>
      <c r="CH123" s="277">
        <f t="shared" ca="1" si="164"/>
        <v>0</v>
      </c>
      <c r="CI123" s="277">
        <f t="shared" ca="1" si="125"/>
        <v>0</v>
      </c>
      <c r="CJ123" s="277">
        <f t="shared" ca="1" si="126"/>
        <v>0</v>
      </c>
      <c r="CK123" s="277">
        <f t="shared" ca="1" si="127"/>
        <v>0</v>
      </c>
      <c r="CL123" s="277">
        <f t="shared" ca="1" si="128"/>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8">
        <f ca="1">Construction!DF123/Construction!E123</f>
        <v>0.15</v>
      </c>
      <c r="CR123" s="469">
        <f t="shared" si="165"/>
        <v>0</v>
      </c>
      <c r="CS123" s="469">
        <f>Construction!BK123/Construction!E123</f>
        <v>0.05</v>
      </c>
      <c r="CT123" s="469">
        <f>Construction!BJ123/Construction!E123</f>
        <v>0</v>
      </c>
      <c r="CU123" s="469">
        <f>Construction!AY123/Construction!E123</f>
        <v>0</v>
      </c>
      <c r="CV123" s="492">
        <f t="shared" ca="1" si="183"/>
        <v>0.74999999999999989</v>
      </c>
      <c r="CW123" s="493">
        <f t="shared" ca="1" si="184"/>
        <v>0.74999999999999989</v>
      </c>
      <c r="CX123" s="493">
        <f t="shared" ca="1" si="185"/>
        <v>0.74999999999999989</v>
      </c>
      <c r="CY123" s="494">
        <f t="shared" ca="1" si="186"/>
        <v>0.74999999999999989</v>
      </c>
      <c r="CZ123" s="494">
        <f t="shared" si="187"/>
        <v>0</v>
      </c>
      <c r="DA123" s="494">
        <f t="shared" ca="1" si="188"/>
        <v>2.9999999999999996</v>
      </c>
      <c r="DB123" s="494">
        <f t="shared" ca="1" si="189"/>
        <v>0.74999999999999989</v>
      </c>
      <c r="DC123" s="493">
        <f t="shared" si="190"/>
        <v>0</v>
      </c>
      <c r="DD123" s="847">
        <f t="shared" si="191"/>
        <v>0</v>
      </c>
      <c r="DE123" s="442">
        <f t="shared" si="166"/>
        <v>0</v>
      </c>
      <c r="DF123" s="442">
        <f t="shared" si="167"/>
        <v>0</v>
      </c>
      <c r="DG123" s="492">
        <f t="shared" ca="1" si="192"/>
        <v>0.74999999999999989</v>
      </c>
      <c r="DH123" s="453">
        <f t="shared" si="193"/>
        <v>0</v>
      </c>
      <c r="DI123" s="453">
        <f>MIN(valkyrja_cap,Production!O123/valkyrja_bonus)</f>
        <v>1</v>
      </c>
      <c r="DJ123" s="847">
        <f>MIN(voodoo_magi_cap,Production!O123/voodoo_magi_bonus)</f>
        <v>0.83333333333333337</v>
      </c>
      <c r="DK123" s="847">
        <f>MIN(warlock_cap,Production!O123/warlock_bonus)</f>
        <v>1</v>
      </c>
      <c r="DL123" s="847">
        <f ca="1">MIN(nox_nightshade_cap,Construction!DF123/Construction!E123/nox_nightshade_swamp_bonus)</f>
        <v>1.4999999999999998</v>
      </c>
      <c r="DM123" s="493">
        <f t="shared" si="194"/>
        <v>0</v>
      </c>
      <c r="DN123" s="494">
        <f t="shared" ca="1" si="195"/>
        <v>1.4999999999999998</v>
      </c>
      <c r="DO123" s="494">
        <f t="shared" ca="1" si="196"/>
        <v>1.4999999999999998</v>
      </c>
      <c r="DP123" s="494">
        <f t="shared" si="197"/>
        <v>1</v>
      </c>
      <c r="DQ123" s="493">
        <f t="shared" si="198"/>
        <v>0</v>
      </c>
      <c r="DR123" s="494">
        <f t="shared" si="199"/>
        <v>0</v>
      </c>
      <c r="DS123" s="493">
        <f t="shared" si="200"/>
        <v>0</v>
      </c>
      <c r="DT123" s="494">
        <f t="shared" si="201"/>
        <v>0</v>
      </c>
      <c r="DX123" s="492">
        <f ca="1">MIN(6,CV123+Races!$F$19)*1.8 +  IF(CV123+Races!$F$19&gt;6,(CV123+Races!$F$19-6)*0.2,0) - Races!$N$19</f>
        <v>1.3500000000000005</v>
      </c>
      <c r="DY123" s="493">
        <f ca="1">1.8 * MIN(MAX(CW123+Races!$E$20,CX123+Races!$F$20),6)  +  0.45 * MIN(MIN(CW123+Races!$E$20,CX123+Races!$F$20),6)  +  0.2 * ( MAX(CW123+Races!$E$20-6,0) + MAX(CX123+Races!$F$20-6,0) )  -  Races!$N$20</f>
        <v>1.6874999999999991</v>
      </c>
      <c r="DZ123" s="109">
        <f t="shared" ca="1" si="202"/>
        <v>0</v>
      </c>
      <c r="EA123" s="666">
        <f ca="1">MIN(6,CY123+Races!$F$35)*1.8 +  IF(CY123+Races!$F$35&gt;6,(CY123+Races!$F$35-6)*0.2,0) - Races!$N$19</f>
        <v>-0.45000000000000018</v>
      </c>
      <c r="EB123" s="109">
        <f t="shared" ca="1" si="203"/>
        <v>0</v>
      </c>
      <c r="EC123" s="666">
        <f ca="1">1.8 * MIN(MAX(Races!$E$27,DB123+Races!$F$27),6)  +  0.45 * MIN(MIN(Races!$E$27,DB123+Races!$F$27),6)  +  0.2 * ( MAX(Races!$E$27-6,0) + MAX(DB123+Races!$F$27-6,0) )  -  Races!$N$20</f>
        <v>3.6000000000000005</v>
      </c>
      <c r="ED123" s="109">
        <f t="shared" ca="1" si="204"/>
        <v>0</v>
      </c>
      <c r="EE123" s="666">
        <f>1.8 * MIN(MAX(DC123+Races!$E$47,DD123+Races!$F$47),6)  +  0.45 * MIN(MIN(DC123+Races!$E$47,DD123+Races!$F$47),6)  +  0.2 * ( MAX(DC123+Races!$E$47-6,0) + MAX(DD123+Races!$F$47-6,0) )  -  Races!$N$47</f>
        <v>0</v>
      </c>
      <c r="EF123" s="109">
        <f t="shared" si="205"/>
        <v>0</v>
      </c>
      <c r="EG123" s="666">
        <f ca="1">1.8 * MIN(MAX(DG123+Races!$F$71,Races!$E$71),6)  +  0.45 * MIN(MIN(DG123+Races!$F$71,Races!$E$71),6)  +  0.2 * ( MAX(DG123+Races!$F$71-6,0) + MAX(Races!$E$71-6,0) )  -  Races!$N$71</f>
        <v>1.3499999999999996</v>
      </c>
      <c r="EH123" s="666">
        <f>1.8 * MIN(MAX(DH123+Races!$E$71,Races!$F$71),6)  +  0.45 * MIN(MIN(DH123+Races!$E$71,Races!$F$71),6)  +  0.2 * ( MAX(DH123+Races!$E$71-6,0) + MAX(Races!$F$71-6,0) )  -  Races!$N$71</f>
        <v>0</v>
      </c>
      <c r="EI123" s="109">
        <f t="shared" ca="1" si="206"/>
        <v>0</v>
      </c>
      <c r="EJ123" s="109"/>
      <c r="EK123" s="109"/>
      <c r="EL123" s="109"/>
      <c r="EM123" s="109">
        <f ca="1">Overview!$L$22*E123+Overview!$L$23*F123+Overview!$L$24*G123+Overview!$L$25*H123+Overview!$L$26*I123+Overview!$L$27*J123+Overview!$L$28*K123+Construction!E123*20+Construction!B123*5 + DZ123*$DV$4+EB123*$DV$5+ED123*$DV$6+EF123*$DV$7+EI123*$DV$9</f>
        <v>20900</v>
      </c>
      <c r="EO123" s="738">
        <f>(J123+2*K123)/Construction!E123</f>
        <v>0</v>
      </c>
      <c r="EP123" s="1055">
        <f ca="1">EO123*(1+race_wizard_strength+tech_magical_weaponry_wiz*Techs!AV195)</f>
        <v>0</v>
      </c>
      <c r="EQ123" s="111">
        <f>(I123+halfer*H123/3)/Construction!E123</f>
        <v>0</v>
      </c>
    </row>
    <row r="124" spans="1:147" s="16" customFormat="1" ht="13.8" thickTop="1" x14ac:dyDescent="0.25">
      <c r="A124" s="627">
        <f>Rezone!J124</f>
        <v>122</v>
      </c>
      <c r="B124" s="56">
        <f ca="1">SUM(E124:K124)+SUM(AF116:AG124)+SUM(AH113:AL124)+Z124+Explore!AL124</f>
        <v>5295</v>
      </c>
      <c r="C124" s="97">
        <f ca="1">Population!G124</f>
        <v>0.74159663865546221</v>
      </c>
      <c r="E124" s="52">
        <f t="shared" si="207"/>
        <v>0</v>
      </c>
      <c r="F124" s="16">
        <f t="shared" si="208"/>
        <v>0</v>
      </c>
      <c r="G124" s="16">
        <f t="shared" si="209"/>
        <v>0</v>
      </c>
      <c r="H124" s="16">
        <f t="shared" si="210"/>
        <v>0</v>
      </c>
      <c r="I124" s="16">
        <f t="shared" si="211"/>
        <v>0</v>
      </c>
      <c r="J124" s="16">
        <f t="shared" si="212"/>
        <v>0</v>
      </c>
      <c r="K124" s="53">
        <f t="shared" si="213"/>
        <v>0</v>
      </c>
      <c r="M124" s="64">
        <f ca="1">Production!G124</f>
        <v>20900</v>
      </c>
      <c r="O124" s="142">
        <f t="shared" ca="1" si="179"/>
        <v>0</v>
      </c>
      <c r="P124" s="454">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53"/>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80"/>
        <v>5295</v>
      </c>
      <c r="T124" s="1047">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1">
        <f t="shared" ca="1" si="154"/>
        <v>0</v>
      </c>
      <c r="V124" s="310">
        <f t="shared" ca="1" si="155"/>
        <v>5295</v>
      </c>
      <c r="W124" s="310">
        <f>Construction!E124</f>
        <v>1000</v>
      </c>
      <c r="X124" s="367"/>
      <c r="Y124" s="146">
        <f t="shared" si="178"/>
        <v>0.4</v>
      </c>
      <c r="Z124" s="166">
        <f ca="1">Z123+Population!Z123 - IF(race="Lux",AF124,SUM(AF124:AK124)) - BE124 + SUM(BF124:BL124) - Explore!AI124</f>
        <v>5295</v>
      </c>
      <c r="AA124" s="164"/>
      <c r="AB124" s="91">
        <f>(Construction!$BA124+Construction!BY124)/(Construction!$E124-Explore!S124*20)</f>
        <v>0</v>
      </c>
      <c r="AC124" s="1516">
        <f ca="1">Imps!AE124</f>
        <v>0</v>
      </c>
      <c r="AD124" s="795">
        <f>Rezone!J124</f>
        <v>122</v>
      </c>
      <c r="AE124" s="587">
        <f>Explore!AA124</f>
        <v>43769.260416666373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81"/>
        <v>0</v>
      </c>
      <c r="AV124" s="164">
        <f t="shared" ca="1" si="182"/>
        <v>0</v>
      </c>
      <c r="AW124" s="164">
        <f t="shared" ca="1" si="156"/>
        <v>0</v>
      </c>
      <c r="AX124" s="164">
        <f t="shared" ca="1" si="157"/>
        <v>0</v>
      </c>
      <c r="AY124" s="164">
        <f t="shared" ca="1" si="158"/>
        <v>0</v>
      </c>
      <c r="AZ124" s="164">
        <f t="shared" ca="1" si="159"/>
        <v>0</v>
      </c>
      <c r="BA124" s="166">
        <f t="shared" ca="1" si="160"/>
        <v>0</v>
      </c>
      <c r="BB124" s="16">
        <v>50</v>
      </c>
      <c r="BC124" s="572">
        <f t="shared" si="161"/>
        <v>43769.260416666373</v>
      </c>
      <c r="BD124" s="148">
        <f t="shared" ca="1" si="162"/>
        <v>5295</v>
      </c>
      <c r="BE124" s="356"/>
      <c r="BF124" s="348"/>
      <c r="BG124" s="348"/>
      <c r="BH124" s="348"/>
      <c r="BI124" s="348"/>
      <c r="BJ124" s="348"/>
      <c r="BK124" s="348"/>
      <c r="BL124" s="357"/>
      <c r="BN124" s="501">
        <f>Construction!BM124/Construction!E124</f>
        <v>0</v>
      </c>
      <c r="BO124" s="171">
        <f>Construction!BD124/Construction!E124</f>
        <v>0</v>
      </c>
      <c r="BP124" s="152">
        <f ca="1">ROUNDUP((1-MIN(AB124*smithy_bonus,smithy_bonus_cap)-AC124)*(1+Techs!AO124*tech_master_of_frugality)*spec_op_plat,0)</f>
        <v>275</v>
      </c>
      <c r="BQ124" s="164">
        <f ca="1">ROUNDUP(IF(OR(race="Gnome",race="Imperial Gnome"),1-AC124,(1-MIN(AB124*smithy_bonus,smithy_bonus_cap)-AC124)*(1+Techs!AO124*tech_master_of_frugality))*spec_op_ore,0)</f>
        <v>25</v>
      </c>
      <c r="BR124" s="164">
        <f t="shared" si="116"/>
        <v>0</v>
      </c>
      <c r="BS124" s="164">
        <f t="shared" si="117"/>
        <v>0</v>
      </c>
      <c r="BT124" s="164">
        <f ca="1">ROUNDUP((1-MIN(AB124*smithy_bonus,smithy_bonus_cap)-AC124)*(1+Techs!AO124*tech_master_of_frugality)*spec_dp_plat,0)</f>
        <v>275</v>
      </c>
      <c r="BU124" s="164">
        <f ca="1">ROUNDUP(IF(OR(race="Gnome",race="Imperial Gnome"),1-AC124,(1-MIN(AB124*smithy_bonus,smithy_bonus_cap)-AC124)*(1+Techs!AO124*tech_master_of_frugality))*spec_dp_ore,0)</f>
        <v>10</v>
      </c>
      <c r="BV124" s="164">
        <f t="shared" ca="1" si="118"/>
        <v>0</v>
      </c>
      <c r="BW124" s="164">
        <f t="shared" ca="1" si="119"/>
        <v>0</v>
      </c>
      <c r="BX124" s="164">
        <f t="shared" ca="1" si="120"/>
        <v>0</v>
      </c>
      <c r="BY124" s="164">
        <f ca="1">ROUNDUP((1-MIN(AB124*smithy_bonus,smithy_bonus_cap)-AC124)*(1+Techs!AO124*tech_master_of_frugality)*elite1_plat,0)</f>
        <v>1000</v>
      </c>
      <c r="BZ124" s="164">
        <f ca="1">ROUNDUP(IF(OR(race="Gnome",race="Imperial Gnome"),1-AC124,(1-MIN(AB124*smithy_bonus,smithy_bonus_cap)-AC124)*(1+Techs!AO124*tech_master_of_frugality))*elite1_ore,0)</f>
        <v>75</v>
      </c>
      <c r="CA124" s="164">
        <f t="shared" ca="1" si="163"/>
        <v>0</v>
      </c>
      <c r="CB124" s="164">
        <f t="shared" ca="1" si="121"/>
        <v>0</v>
      </c>
      <c r="CC124" s="164">
        <f t="shared" ca="1" si="122"/>
        <v>0</v>
      </c>
      <c r="CD124" s="164">
        <f t="shared" ca="1" si="123"/>
        <v>0</v>
      </c>
      <c r="CE124" s="164">
        <f t="shared" ca="1" si="124"/>
        <v>0</v>
      </c>
      <c r="CF124" s="164">
        <f ca="1">ROUNDUP((1-MIN(AB124*smithy_bonus,smithy_bonus_cap)-AC124)*(1+Techs!AO124*tech_master_of_frugality)*elite2_plat,0)</f>
        <v>1250</v>
      </c>
      <c r="CG124" s="164">
        <f ca="1">ROUNDUP(IF(OR(race="Gnome",race="Imperial Gnome"),1-AC124,(1-MIN(AB124*smithy_bonus,smithy_bonus_cap)-AC124)*(1+Techs!AO124*tech_master_of_frugality))*elite2_ore,0)</f>
        <v>100</v>
      </c>
      <c r="CH124" s="164">
        <f t="shared" ca="1" si="164"/>
        <v>0</v>
      </c>
      <c r="CI124" s="164">
        <f t="shared" ca="1" si="125"/>
        <v>0</v>
      </c>
      <c r="CJ124" s="164">
        <f t="shared" ca="1" si="126"/>
        <v>0</v>
      </c>
      <c r="CK124" s="164">
        <f t="shared" ca="1" si="127"/>
        <v>0</v>
      </c>
      <c r="CL124" s="164">
        <f t="shared" ca="1" si="128"/>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4">
        <f ca="1">Construction!DF124/Construction!E124</f>
        <v>0.15</v>
      </c>
      <c r="CR124" s="465">
        <f t="shared" si="165"/>
        <v>0</v>
      </c>
      <c r="CS124" s="465">
        <f>Construction!BK124/Construction!E124</f>
        <v>0.05</v>
      </c>
      <c r="CT124" s="465">
        <f>Construction!BJ124/Construction!E124</f>
        <v>0</v>
      </c>
      <c r="CU124" s="465">
        <f>Construction!AY124/Construction!E124</f>
        <v>0</v>
      </c>
      <c r="CV124" s="486">
        <f t="shared" ca="1" si="183"/>
        <v>0.74999999999999989</v>
      </c>
      <c r="CW124" s="487">
        <f t="shared" ca="1" si="184"/>
        <v>0.74999999999999989</v>
      </c>
      <c r="CX124" s="487">
        <f t="shared" ca="1" si="185"/>
        <v>0.74999999999999989</v>
      </c>
      <c r="CY124" s="488">
        <f t="shared" ca="1" si="186"/>
        <v>0.74999999999999989</v>
      </c>
      <c r="CZ124" s="488">
        <f t="shared" si="187"/>
        <v>0</v>
      </c>
      <c r="DA124" s="488">
        <f t="shared" ca="1" si="188"/>
        <v>2.9999999999999996</v>
      </c>
      <c r="DB124" s="488">
        <f t="shared" ca="1" si="189"/>
        <v>0.74999999999999989</v>
      </c>
      <c r="DC124" s="487">
        <f t="shared" si="190"/>
        <v>0</v>
      </c>
      <c r="DD124" s="843">
        <f t="shared" si="191"/>
        <v>0</v>
      </c>
      <c r="DE124" s="441">
        <f t="shared" si="166"/>
        <v>0</v>
      </c>
      <c r="DF124" s="441">
        <f t="shared" si="167"/>
        <v>0</v>
      </c>
      <c r="DG124" s="486">
        <f t="shared" ca="1" si="192"/>
        <v>0.74999999999999989</v>
      </c>
      <c r="DH124" s="451">
        <f t="shared" si="193"/>
        <v>0</v>
      </c>
      <c r="DI124" s="451">
        <f>MIN(valkyrja_cap,Production!O124/valkyrja_bonus)</f>
        <v>1</v>
      </c>
      <c r="DJ124" s="843">
        <f>MIN(voodoo_magi_cap,Production!O124/voodoo_magi_bonus)</f>
        <v>0.83333333333333337</v>
      </c>
      <c r="DK124" s="843">
        <f>MIN(warlock_cap,Production!O124/warlock_bonus)</f>
        <v>1</v>
      </c>
      <c r="DL124" s="843">
        <f ca="1">MIN(nox_nightshade_cap,Construction!DF124/Construction!E124/nox_nightshade_swamp_bonus)</f>
        <v>1.4999999999999998</v>
      </c>
      <c r="DM124" s="487">
        <f t="shared" si="194"/>
        <v>0</v>
      </c>
      <c r="DN124" s="488">
        <f t="shared" ca="1" si="195"/>
        <v>1.4999999999999998</v>
      </c>
      <c r="DO124" s="488">
        <f t="shared" ca="1" si="196"/>
        <v>1.4999999999999998</v>
      </c>
      <c r="DP124" s="488">
        <f t="shared" si="197"/>
        <v>1</v>
      </c>
      <c r="DQ124" s="487">
        <f t="shared" si="198"/>
        <v>0</v>
      </c>
      <c r="DR124" s="488">
        <f t="shared" si="199"/>
        <v>0</v>
      </c>
      <c r="DS124" s="487">
        <f t="shared" si="200"/>
        <v>0</v>
      </c>
      <c r="DT124" s="488">
        <f t="shared" si="201"/>
        <v>0</v>
      </c>
      <c r="DX124" s="486">
        <f ca="1">MIN(6,CV124+Races!$F$19)*1.8 +  IF(CV124+Races!$F$19&gt;6,(CV124+Races!$F$19-6)*0.2,0) - Races!$N$19</f>
        <v>1.3500000000000005</v>
      </c>
      <c r="DY124" s="487">
        <f ca="1">1.8 * MIN(MAX(CW124+Races!$E$20,CX124+Races!$F$20),6)  +  0.45 * MIN(MIN(CW124+Races!$E$20,CX124+Races!$F$20),6)  +  0.2 * ( MAX(CW124+Races!$E$20-6,0) + MAX(CX124+Races!$F$20-6,0) )  -  Races!$N$20</f>
        <v>1.6874999999999991</v>
      </c>
      <c r="DZ124" s="57">
        <f t="shared" ca="1" si="202"/>
        <v>0</v>
      </c>
      <c r="EA124" s="663">
        <f ca="1">MIN(6,CY124+Races!$F$35)*1.8 +  IF(CY124+Races!$F$35&gt;6,(CY124+Races!$F$35-6)*0.2,0) - Races!$N$19</f>
        <v>-0.45000000000000018</v>
      </c>
      <c r="EB124" s="57">
        <f t="shared" ca="1" si="203"/>
        <v>0</v>
      </c>
      <c r="EC124" s="663">
        <f ca="1">1.8 * MIN(MAX(Races!$E$27,DB124+Races!$F$27),6)  +  0.45 * MIN(MIN(Races!$E$27,DB124+Races!$F$27),6)  +  0.2 * ( MAX(Races!$E$27-6,0) + MAX(DB124+Races!$F$27-6,0) )  -  Races!$N$20</f>
        <v>3.6000000000000005</v>
      </c>
      <c r="ED124" s="57">
        <f t="shared" ca="1" si="204"/>
        <v>0</v>
      </c>
      <c r="EE124" s="663">
        <f>1.8 * MIN(MAX(DC124+Races!$E$47,DD124+Races!$F$47),6)  +  0.45 * MIN(MIN(DC124+Races!$E$47,DD124+Races!$F$47),6)  +  0.2 * ( MAX(DC124+Races!$E$47-6,0) + MAX(DD124+Races!$F$47-6,0) )  -  Races!$N$47</f>
        <v>0</v>
      </c>
      <c r="EF124" s="57">
        <f t="shared" si="205"/>
        <v>0</v>
      </c>
      <c r="EG124" s="663">
        <f ca="1">1.8 * MIN(MAX(DG124+Races!$F$71,Races!$E$71),6)  +  0.45 * MIN(MIN(DG124+Races!$F$71,Races!$E$71),6)  +  0.2 * ( MAX(DG124+Races!$F$71-6,0) + MAX(Races!$E$71-6,0) )  -  Races!$N$71</f>
        <v>1.3499999999999996</v>
      </c>
      <c r="EH124" s="663">
        <f>1.8 * MIN(MAX(DH124+Races!$E$71,Races!$F$71),6)  +  0.45 * MIN(MIN(DH124+Races!$E$71,Races!$F$71),6)  +  0.2 * ( MAX(DH124+Races!$E$71-6,0) + MAX(Races!$F$71-6,0) )  -  Races!$N$71</f>
        <v>0</v>
      </c>
      <c r="EI124" s="57">
        <f t="shared" ca="1" si="206"/>
        <v>0</v>
      </c>
      <c r="EJ124" s="57"/>
      <c r="EK124" s="57"/>
      <c r="EL124" s="57"/>
      <c r="EM124" s="57">
        <f ca="1">Overview!$L$22*E124+Overview!$L$23*F124+Overview!$L$24*G124+Overview!$L$25*H124+Overview!$L$26*I124+Overview!$L$27*J124+Overview!$L$28*K124+Construction!E124*20+Construction!B124*5 + DZ124*$DV$4+EB124*$DV$5+ED124*$DV$6+EF124*$DV$7+EI124*$DV$9</f>
        <v>20900</v>
      </c>
      <c r="EO124" s="734">
        <f>(J124+2*K124)/Construction!E124</f>
        <v>0</v>
      </c>
      <c r="EP124" s="730">
        <f ca="1">EO124*(1+race_wizard_strength+tech_magical_weaponry_wiz*Techs!AV196)</f>
        <v>0</v>
      </c>
      <c r="EQ124" s="16">
        <f>(I124+halfer*H124/3)/Construction!E124</f>
        <v>0</v>
      </c>
    </row>
    <row r="125" spans="1:147" s="16" customFormat="1" x14ac:dyDescent="0.25">
      <c r="A125" s="627">
        <f>Rezone!J125</f>
        <v>123</v>
      </c>
      <c r="B125" s="56">
        <f ca="1">SUM(E125:K125)+SUM(AF117:AG125)+SUM(AH114:AL125)+Z125+Explore!AL125</f>
        <v>5295</v>
      </c>
      <c r="C125" s="97">
        <f ca="1">Population!G125</f>
        <v>0.74159663865546221</v>
      </c>
      <c r="E125" s="52">
        <f t="shared" si="207"/>
        <v>0</v>
      </c>
      <c r="F125" s="16">
        <f t="shared" si="208"/>
        <v>0</v>
      </c>
      <c r="G125" s="16">
        <f t="shared" si="209"/>
        <v>0</v>
      </c>
      <c r="H125" s="16">
        <f t="shared" si="210"/>
        <v>0</v>
      </c>
      <c r="I125" s="16">
        <f t="shared" si="211"/>
        <v>0</v>
      </c>
      <c r="J125" s="16">
        <f t="shared" si="212"/>
        <v>0</v>
      </c>
      <c r="K125" s="53">
        <f t="shared" si="213"/>
        <v>0</v>
      </c>
      <c r="M125" s="64">
        <f ca="1">Production!G125</f>
        <v>20900</v>
      </c>
      <c r="O125" s="142">
        <f t="shared" ca="1" si="179"/>
        <v>0</v>
      </c>
      <c r="P125" s="454">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53"/>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80"/>
        <v>5295</v>
      </c>
      <c r="T125" s="1047">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1">
        <f t="shared" ca="1" si="154"/>
        <v>0</v>
      </c>
      <c r="V125" s="310">
        <f t="shared" ca="1" si="155"/>
        <v>5295</v>
      </c>
      <c r="W125" s="310">
        <f>Construction!E125</f>
        <v>1000</v>
      </c>
      <c r="X125" s="367"/>
      <c r="Y125" s="146">
        <f t="shared" si="178"/>
        <v>0.4</v>
      </c>
      <c r="Z125" s="166">
        <f ca="1">Z124+Population!Z124 - IF(race="Lux",AF125,SUM(AF125:AK125)) - BE125 + SUM(BF125:BL125) - Explore!AI125</f>
        <v>5295</v>
      </c>
      <c r="AA125" s="164"/>
      <c r="AB125" s="91">
        <f>(Construction!$BA125+Construction!BY125)/(Construction!$E125-Explore!S125*20)</f>
        <v>0</v>
      </c>
      <c r="AC125" s="1516">
        <f ca="1">Imps!AE125</f>
        <v>0</v>
      </c>
      <c r="AD125" s="795">
        <f>Rezone!J125</f>
        <v>123</v>
      </c>
      <c r="AE125" s="587">
        <f>Explore!AA125</f>
        <v>43769.270833333037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81"/>
        <v>0</v>
      </c>
      <c r="AV125" s="164">
        <f t="shared" ca="1" si="182"/>
        <v>0</v>
      </c>
      <c r="AW125" s="164">
        <f t="shared" ca="1" si="156"/>
        <v>0</v>
      </c>
      <c r="AX125" s="164">
        <f t="shared" ca="1" si="157"/>
        <v>0</v>
      </c>
      <c r="AY125" s="164">
        <f t="shared" ca="1" si="158"/>
        <v>0</v>
      </c>
      <c r="AZ125" s="164">
        <f t="shared" ca="1" si="159"/>
        <v>0</v>
      </c>
      <c r="BA125" s="166">
        <f t="shared" ca="1" si="160"/>
        <v>0</v>
      </c>
      <c r="BB125" s="16">
        <v>51</v>
      </c>
      <c r="BC125" s="572">
        <f t="shared" si="161"/>
        <v>43769.270833333037</v>
      </c>
      <c r="BD125" s="148">
        <f t="shared" ca="1" si="162"/>
        <v>5295</v>
      </c>
      <c r="BE125" s="356"/>
      <c r="BF125" s="348"/>
      <c r="BG125" s="348"/>
      <c r="BH125" s="348"/>
      <c r="BI125" s="348"/>
      <c r="BJ125" s="348"/>
      <c r="BK125" s="348"/>
      <c r="BL125" s="357"/>
      <c r="BN125" s="501">
        <f>Construction!BM125/Construction!E125</f>
        <v>0</v>
      </c>
      <c r="BO125" s="171">
        <f>Construction!BD125/Construction!E125</f>
        <v>0</v>
      </c>
      <c r="BP125" s="152">
        <f ca="1">ROUNDUP((1-MIN(AB125*smithy_bonus,smithy_bonus_cap)-AC125)*(1+Techs!AO125*tech_master_of_frugality)*spec_op_plat,0)</f>
        <v>275</v>
      </c>
      <c r="BQ125" s="164">
        <f ca="1">ROUNDUP(IF(OR(race="Gnome",race="Imperial Gnome"),1-AC125,(1-MIN(AB125*smithy_bonus,smithy_bonus_cap)-AC125)*(1+Techs!AO125*tech_master_of_frugality))*spec_op_ore,0)</f>
        <v>25</v>
      </c>
      <c r="BR125" s="164">
        <f t="shared" si="116"/>
        <v>0</v>
      </c>
      <c r="BS125" s="164">
        <f t="shared" si="117"/>
        <v>0</v>
      </c>
      <c r="BT125" s="164">
        <f ca="1">ROUNDUP((1-MIN(AB125*smithy_bonus,smithy_bonus_cap)-AC125)*(1+Techs!AO125*tech_master_of_frugality)*spec_dp_plat,0)</f>
        <v>275</v>
      </c>
      <c r="BU125" s="164">
        <f ca="1">ROUNDUP(IF(OR(race="Gnome",race="Imperial Gnome"),1-AC125,(1-MIN(AB125*smithy_bonus,smithy_bonus_cap)-AC125)*(1+Techs!AO125*tech_master_of_frugality))*spec_dp_ore,0)</f>
        <v>10</v>
      </c>
      <c r="BV125" s="164">
        <f t="shared" ca="1" si="118"/>
        <v>0</v>
      </c>
      <c r="BW125" s="164">
        <f t="shared" ca="1" si="119"/>
        <v>0</v>
      </c>
      <c r="BX125" s="164">
        <f t="shared" ca="1" si="120"/>
        <v>0</v>
      </c>
      <c r="BY125" s="164">
        <f ca="1">ROUNDUP((1-MIN(AB125*smithy_bonus,smithy_bonus_cap)-AC125)*(1+Techs!AO125*tech_master_of_frugality)*elite1_plat,0)</f>
        <v>1000</v>
      </c>
      <c r="BZ125" s="164">
        <f ca="1">ROUNDUP(IF(OR(race="Gnome",race="Imperial Gnome"),1-AC125,(1-MIN(AB125*smithy_bonus,smithy_bonus_cap)-AC125)*(1+Techs!AO125*tech_master_of_frugality))*elite1_ore,0)</f>
        <v>75</v>
      </c>
      <c r="CA125" s="164">
        <f t="shared" ca="1" si="163"/>
        <v>0</v>
      </c>
      <c r="CB125" s="164">
        <f t="shared" ca="1" si="121"/>
        <v>0</v>
      </c>
      <c r="CC125" s="164">
        <f t="shared" ca="1" si="122"/>
        <v>0</v>
      </c>
      <c r="CD125" s="164">
        <f t="shared" ca="1" si="123"/>
        <v>0</v>
      </c>
      <c r="CE125" s="164">
        <f t="shared" ca="1" si="124"/>
        <v>0</v>
      </c>
      <c r="CF125" s="164">
        <f ca="1">ROUNDUP((1-MIN(AB125*smithy_bonus,smithy_bonus_cap)-AC125)*(1+Techs!AO125*tech_master_of_frugality)*elite2_plat,0)</f>
        <v>1250</v>
      </c>
      <c r="CG125" s="164">
        <f ca="1">ROUNDUP(IF(OR(race="Gnome",race="Imperial Gnome"),1-AC125,(1-MIN(AB125*smithy_bonus,smithy_bonus_cap)-AC125)*(1+Techs!AO125*tech_master_of_frugality))*elite2_ore,0)</f>
        <v>100</v>
      </c>
      <c r="CH125" s="164">
        <f t="shared" ca="1" si="164"/>
        <v>0</v>
      </c>
      <c r="CI125" s="164">
        <f t="shared" ca="1" si="125"/>
        <v>0</v>
      </c>
      <c r="CJ125" s="164">
        <f t="shared" ca="1" si="126"/>
        <v>0</v>
      </c>
      <c r="CK125" s="164">
        <f t="shared" ca="1" si="127"/>
        <v>0</v>
      </c>
      <c r="CL125" s="164">
        <f t="shared" ca="1" si="128"/>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4">
        <f ca="1">Construction!DF125/Construction!E125</f>
        <v>0.15</v>
      </c>
      <c r="CR125" s="465">
        <f t="shared" si="165"/>
        <v>0</v>
      </c>
      <c r="CS125" s="465">
        <f>Construction!BK125/Construction!E125</f>
        <v>0.05</v>
      </c>
      <c r="CT125" s="465">
        <f>Construction!BJ125/Construction!E125</f>
        <v>0</v>
      </c>
      <c r="CU125" s="465">
        <f>Construction!AY125/Construction!E125</f>
        <v>0</v>
      </c>
      <c r="CV125" s="486">
        <f t="shared" ca="1" si="183"/>
        <v>0.74999999999999989</v>
      </c>
      <c r="CW125" s="487">
        <f t="shared" ca="1" si="184"/>
        <v>0.74999999999999989</v>
      </c>
      <c r="CX125" s="487">
        <f t="shared" ca="1" si="185"/>
        <v>0.74999999999999989</v>
      </c>
      <c r="CY125" s="488">
        <f t="shared" ca="1" si="186"/>
        <v>0.74999999999999989</v>
      </c>
      <c r="CZ125" s="488">
        <f t="shared" si="187"/>
        <v>0</v>
      </c>
      <c r="DA125" s="488">
        <f t="shared" ca="1" si="188"/>
        <v>2.9999999999999996</v>
      </c>
      <c r="DB125" s="488">
        <f t="shared" ca="1" si="189"/>
        <v>0.74999999999999989</v>
      </c>
      <c r="DC125" s="487">
        <f t="shared" si="190"/>
        <v>0</v>
      </c>
      <c r="DD125" s="843">
        <f t="shared" si="191"/>
        <v>0</v>
      </c>
      <c r="DE125" s="441">
        <f t="shared" si="166"/>
        <v>0</v>
      </c>
      <c r="DF125" s="441">
        <f t="shared" si="167"/>
        <v>0</v>
      </c>
      <c r="DG125" s="486">
        <f t="shared" ca="1" si="192"/>
        <v>0.74999999999999989</v>
      </c>
      <c r="DH125" s="451">
        <f t="shared" si="193"/>
        <v>0</v>
      </c>
      <c r="DI125" s="451">
        <f>MIN(valkyrja_cap,Production!O125/valkyrja_bonus)</f>
        <v>1</v>
      </c>
      <c r="DJ125" s="843">
        <f>MIN(voodoo_magi_cap,Production!O125/voodoo_magi_bonus)</f>
        <v>0.83333333333333337</v>
      </c>
      <c r="DK125" s="843">
        <f>MIN(warlock_cap,Production!O125/warlock_bonus)</f>
        <v>1</v>
      </c>
      <c r="DL125" s="843">
        <f ca="1">MIN(nox_nightshade_cap,Construction!DF125/Construction!E125/nox_nightshade_swamp_bonus)</f>
        <v>1.4999999999999998</v>
      </c>
      <c r="DM125" s="487">
        <f t="shared" si="194"/>
        <v>0</v>
      </c>
      <c r="DN125" s="488">
        <f t="shared" ca="1" si="195"/>
        <v>1.4999999999999998</v>
      </c>
      <c r="DO125" s="488">
        <f t="shared" ca="1" si="196"/>
        <v>1.4999999999999998</v>
      </c>
      <c r="DP125" s="488">
        <f t="shared" si="197"/>
        <v>1</v>
      </c>
      <c r="DQ125" s="487">
        <f t="shared" si="198"/>
        <v>0</v>
      </c>
      <c r="DR125" s="488">
        <f t="shared" si="199"/>
        <v>0</v>
      </c>
      <c r="DS125" s="487">
        <f t="shared" si="200"/>
        <v>0</v>
      </c>
      <c r="DT125" s="488">
        <f t="shared" si="201"/>
        <v>0</v>
      </c>
      <c r="DX125" s="486">
        <f ca="1">MIN(6,CV125+Races!$F$19)*1.8 +  IF(CV125+Races!$F$19&gt;6,(CV125+Races!$F$19-6)*0.2,0) - Races!$N$19</f>
        <v>1.3500000000000005</v>
      </c>
      <c r="DY125" s="487">
        <f ca="1">1.8 * MIN(MAX(CW125+Races!$E$20,CX125+Races!$F$20),6)  +  0.45 * MIN(MIN(CW125+Races!$E$20,CX125+Races!$F$20),6)  +  0.2 * ( MAX(CW125+Races!$E$20-6,0) + MAX(CX125+Races!$F$20-6,0) )  -  Races!$N$20</f>
        <v>1.6874999999999991</v>
      </c>
      <c r="DZ125" s="57">
        <f t="shared" ca="1" si="202"/>
        <v>0</v>
      </c>
      <c r="EA125" s="663">
        <f ca="1">MIN(6,CY125+Races!$F$35)*1.8 +  IF(CY125+Races!$F$35&gt;6,(CY125+Races!$F$35-6)*0.2,0) - Races!$N$19</f>
        <v>-0.45000000000000018</v>
      </c>
      <c r="EB125" s="57">
        <f t="shared" ca="1" si="203"/>
        <v>0</v>
      </c>
      <c r="EC125" s="663">
        <f ca="1">1.8 * MIN(MAX(Races!$E$27,DB125+Races!$F$27),6)  +  0.45 * MIN(MIN(Races!$E$27,DB125+Races!$F$27),6)  +  0.2 * ( MAX(Races!$E$27-6,0) + MAX(DB125+Races!$F$27-6,0) )  -  Races!$N$20</f>
        <v>3.6000000000000005</v>
      </c>
      <c r="ED125" s="57">
        <f t="shared" ca="1" si="204"/>
        <v>0</v>
      </c>
      <c r="EE125" s="663">
        <f>1.8 * MIN(MAX(DC125+Races!$E$47,DD125+Races!$F$47),6)  +  0.45 * MIN(MIN(DC125+Races!$E$47,DD125+Races!$F$47),6)  +  0.2 * ( MAX(DC125+Races!$E$47-6,0) + MAX(DD125+Races!$F$47-6,0) )  -  Races!$N$47</f>
        <v>0</v>
      </c>
      <c r="EF125" s="57">
        <f t="shared" si="205"/>
        <v>0</v>
      </c>
      <c r="EG125" s="663">
        <f ca="1">1.8 * MIN(MAX(DG125+Races!$F$71,Races!$E$71),6)  +  0.45 * MIN(MIN(DG125+Races!$F$71,Races!$E$71),6)  +  0.2 * ( MAX(DG125+Races!$F$71-6,0) + MAX(Races!$E$71-6,0) )  -  Races!$N$71</f>
        <v>1.3499999999999996</v>
      </c>
      <c r="EH125" s="663">
        <f>1.8 * MIN(MAX(DH125+Races!$E$71,Races!$F$71),6)  +  0.45 * MIN(MIN(DH125+Races!$E$71,Races!$F$71),6)  +  0.2 * ( MAX(DH125+Races!$E$71-6,0) + MAX(Races!$F$71-6,0) )  -  Races!$N$71</f>
        <v>0</v>
      </c>
      <c r="EI125" s="57">
        <f t="shared" ca="1" si="206"/>
        <v>0</v>
      </c>
      <c r="EJ125" s="57"/>
      <c r="EK125" s="57"/>
      <c r="EL125" s="57"/>
      <c r="EM125" s="57">
        <f ca="1">Overview!$L$22*E125+Overview!$L$23*F125+Overview!$L$24*G125+Overview!$L$25*H125+Overview!$L$26*I125+Overview!$L$27*J125+Overview!$L$28*K125+Construction!E125*20+Construction!B125*5 + DZ125*$DV$4+EB125*$DV$5+ED125*$DV$6+EF125*$DV$7+EI125*$DV$9</f>
        <v>20900</v>
      </c>
      <c r="EO125" s="734">
        <f>(J125+2*K125)/Construction!E125</f>
        <v>0</v>
      </c>
      <c r="EP125" s="730">
        <f ca="1">EO125*(1+race_wizard_strength+tech_magical_weaponry_wiz*Techs!AV197)</f>
        <v>0</v>
      </c>
      <c r="EQ125" s="16">
        <f>(I125+halfer*H125/3)/Construction!E125</f>
        <v>0</v>
      </c>
    </row>
    <row r="126" spans="1:147" s="16" customFormat="1" x14ac:dyDescent="0.25">
      <c r="A126" s="627">
        <f>Rezone!J126</f>
        <v>124</v>
      </c>
      <c r="B126" s="56">
        <f ca="1">SUM(E126:K126)+SUM(AF118:AG126)+SUM(AH115:AL126)+Z126+Explore!AL126</f>
        <v>5295</v>
      </c>
      <c r="C126" s="97">
        <f ca="1">Population!G126</f>
        <v>0.74159663865546221</v>
      </c>
      <c r="E126" s="52">
        <f t="shared" si="207"/>
        <v>0</v>
      </c>
      <c r="F126" s="16">
        <f t="shared" si="208"/>
        <v>0</v>
      </c>
      <c r="G126" s="16">
        <f t="shared" si="209"/>
        <v>0</v>
      </c>
      <c r="H126" s="16">
        <f t="shared" si="210"/>
        <v>0</v>
      </c>
      <c r="I126" s="16">
        <f t="shared" si="211"/>
        <v>0</v>
      </c>
      <c r="J126" s="16">
        <f t="shared" si="212"/>
        <v>0</v>
      </c>
      <c r="K126" s="53">
        <f t="shared" si="213"/>
        <v>0</v>
      </c>
      <c r="M126" s="64">
        <f ca="1">Production!G126</f>
        <v>20900</v>
      </c>
      <c r="O126" s="142">
        <f t="shared" ca="1" si="179"/>
        <v>0</v>
      </c>
      <c r="P126" s="454">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53"/>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80"/>
        <v>5295</v>
      </c>
      <c r="T126" s="1047">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1">
        <f t="shared" ca="1" si="154"/>
        <v>0</v>
      </c>
      <c r="V126" s="310">
        <f t="shared" ca="1" si="155"/>
        <v>5295</v>
      </c>
      <c r="W126" s="310">
        <f>Construction!E126</f>
        <v>1000</v>
      </c>
      <c r="X126" s="367"/>
      <c r="Y126" s="146">
        <f t="shared" si="178"/>
        <v>0.4</v>
      </c>
      <c r="Z126" s="166">
        <f ca="1">Z125+Population!Z125 - IF(race="Lux",AF126,SUM(AF126:AK126)) - BE126 + SUM(BF126:BL126) - Explore!AI126</f>
        <v>5295</v>
      </c>
      <c r="AA126" s="164"/>
      <c r="AB126" s="91">
        <f>(Construction!$BA126+Construction!BY126)/(Construction!$E126-Explore!S126*20)</f>
        <v>0</v>
      </c>
      <c r="AC126" s="1516">
        <f ca="1">Imps!AE126</f>
        <v>0</v>
      </c>
      <c r="AD126" s="795">
        <f>Rezone!J126</f>
        <v>124</v>
      </c>
      <c r="AE126" s="587">
        <f>Explore!AA126</f>
        <v>43769.281249999702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81"/>
        <v>0</v>
      </c>
      <c r="AV126" s="164">
        <f t="shared" ca="1" si="182"/>
        <v>0</v>
      </c>
      <c r="AW126" s="164">
        <f t="shared" ca="1" si="156"/>
        <v>0</v>
      </c>
      <c r="AX126" s="164">
        <f t="shared" ca="1" si="157"/>
        <v>0</v>
      </c>
      <c r="AY126" s="164">
        <f t="shared" ca="1" si="158"/>
        <v>0</v>
      </c>
      <c r="AZ126" s="164">
        <f t="shared" ca="1" si="159"/>
        <v>0</v>
      </c>
      <c r="BA126" s="166">
        <f t="shared" ca="1" si="160"/>
        <v>0</v>
      </c>
      <c r="BB126" s="16">
        <v>52</v>
      </c>
      <c r="BC126" s="572">
        <f t="shared" si="161"/>
        <v>43769.281249999702</v>
      </c>
      <c r="BD126" s="148">
        <f t="shared" ca="1" si="162"/>
        <v>5295</v>
      </c>
      <c r="BE126" s="356"/>
      <c r="BF126" s="348"/>
      <c r="BG126" s="348"/>
      <c r="BH126" s="348"/>
      <c r="BI126" s="348"/>
      <c r="BJ126" s="348"/>
      <c r="BK126" s="348"/>
      <c r="BL126" s="357"/>
      <c r="BN126" s="501">
        <f>Construction!BM126/Construction!E126</f>
        <v>0</v>
      </c>
      <c r="BO126" s="171">
        <f>Construction!BD126/Construction!E126</f>
        <v>0</v>
      </c>
      <c r="BP126" s="152">
        <f ca="1">ROUNDUP((1-MIN(AB126*smithy_bonus,smithy_bonus_cap)-AC126)*(1+Techs!AO126*tech_master_of_frugality)*spec_op_plat,0)</f>
        <v>275</v>
      </c>
      <c r="BQ126" s="164">
        <f ca="1">ROUNDUP(IF(OR(race="Gnome",race="Imperial Gnome"),1-AC126,(1-MIN(AB126*smithy_bonus,smithy_bonus_cap)-AC126)*(1+Techs!AO126*tech_master_of_frugality))*spec_op_ore,0)</f>
        <v>25</v>
      </c>
      <c r="BR126" s="164">
        <f t="shared" si="116"/>
        <v>0</v>
      </c>
      <c r="BS126" s="164">
        <f t="shared" si="117"/>
        <v>0</v>
      </c>
      <c r="BT126" s="164">
        <f ca="1">ROUNDUP((1-MIN(AB126*smithy_bonus,smithy_bonus_cap)-AC126)*(1+Techs!AO126*tech_master_of_frugality)*spec_dp_plat,0)</f>
        <v>275</v>
      </c>
      <c r="BU126" s="164">
        <f ca="1">ROUNDUP(IF(OR(race="Gnome",race="Imperial Gnome"),1-AC126,(1-MIN(AB126*smithy_bonus,smithy_bonus_cap)-AC126)*(1+Techs!AO126*tech_master_of_frugality))*spec_dp_ore,0)</f>
        <v>10</v>
      </c>
      <c r="BV126" s="164">
        <f t="shared" ca="1" si="118"/>
        <v>0</v>
      </c>
      <c r="BW126" s="164">
        <f t="shared" ca="1" si="119"/>
        <v>0</v>
      </c>
      <c r="BX126" s="164">
        <f t="shared" ca="1" si="120"/>
        <v>0</v>
      </c>
      <c r="BY126" s="164">
        <f ca="1">ROUNDUP((1-MIN(AB126*smithy_bonus,smithy_bonus_cap)-AC126)*(1+Techs!AO126*tech_master_of_frugality)*elite1_plat,0)</f>
        <v>1000</v>
      </c>
      <c r="BZ126" s="164">
        <f ca="1">ROUNDUP(IF(OR(race="Gnome",race="Imperial Gnome"),1-AC126,(1-MIN(AB126*smithy_bonus,smithy_bonus_cap)-AC126)*(1+Techs!AO126*tech_master_of_frugality))*elite1_ore,0)</f>
        <v>75</v>
      </c>
      <c r="CA126" s="164">
        <f t="shared" ca="1" si="163"/>
        <v>0</v>
      </c>
      <c r="CB126" s="164">
        <f t="shared" ca="1" si="121"/>
        <v>0</v>
      </c>
      <c r="CC126" s="164">
        <f t="shared" ca="1" si="122"/>
        <v>0</v>
      </c>
      <c r="CD126" s="164">
        <f t="shared" ca="1" si="123"/>
        <v>0</v>
      </c>
      <c r="CE126" s="164">
        <f t="shared" ca="1" si="124"/>
        <v>0</v>
      </c>
      <c r="CF126" s="164">
        <f ca="1">ROUNDUP((1-MIN(AB126*smithy_bonus,smithy_bonus_cap)-AC126)*(1+Techs!AO126*tech_master_of_frugality)*elite2_plat,0)</f>
        <v>1250</v>
      </c>
      <c r="CG126" s="164">
        <f ca="1">ROUNDUP(IF(OR(race="Gnome",race="Imperial Gnome"),1-AC126,(1-MIN(AB126*smithy_bonus,smithy_bonus_cap)-AC126)*(1+Techs!AO126*tech_master_of_frugality))*elite2_ore,0)</f>
        <v>100</v>
      </c>
      <c r="CH126" s="164">
        <f t="shared" ca="1" si="164"/>
        <v>0</v>
      </c>
      <c r="CI126" s="164">
        <f t="shared" ca="1" si="125"/>
        <v>0</v>
      </c>
      <c r="CJ126" s="164">
        <f t="shared" ca="1" si="126"/>
        <v>0</v>
      </c>
      <c r="CK126" s="164">
        <f t="shared" ca="1" si="127"/>
        <v>0</v>
      </c>
      <c r="CL126" s="164">
        <f t="shared" ca="1" si="128"/>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4">
        <f ca="1">Construction!DF126/Construction!E126</f>
        <v>0.15</v>
      </c>
      <c r="CR126" s="465">
        <f t="shared" si="165"/>
        <v>0</v>
      </c>
      <c r="CS126" s="465">
        <f>Construction!BK126/Construction!E126</f>
        <v>0.05</v>
      </c>
      <c r="CT126" s="465">
        <f>Construction!BJ126/Construction!E126</f>
        <v>0</v>
      </c>
      <c r="CU126" s="465">
        <f>Construction!AY126/Construction!E126</f>
        <v>0</v>
      </c>
      <c r="CV126" s="486">
        <f t="shared" ca="1" si="183"/>
        <v>0.74999999999999989</v>
      </c>
      <c r="CW126" s="487">
        <f t="shared" ca="1" si="184"/>
        <v>0.74999999999999989</v>
      </c>
      <c r="CX126" s="487">
        <f t="shared" ca="1" si="185"/>
        <v>0.74999999999999989</v>
      </c>
      <c r="CY126" s="488">
        <f t="shared" ca="1" si="186"/>
        <v>0.74999999999999989</v>
      </c>
      <c r="CZ126" s="488">
        <f t="shared" si="187"/>
        <v>0</v>
      </c>
      <c r="DA126" s="488">
        <f t="shared" ca="1" si="188"/>
        <v>2.9999999999999996</v>
      </c>
      <c r="DB126" s="488">
        <f t="shared" ca="1" si="189"/>
        <v>0.74999999999999989</v>
      </c>
      <c r="DC126" s="487">
        <f t="shared" si="190"/>
        <v>0</v>
      </c>
      <c r="DD126" s="843">
        <f t="shared" si="191"/>
        <v>0</v>
      </c>
      <c r="DE126" s="441">
        <f t="shared" si="166"/>
        <v>0</v>
      </c>
      <c r="DF126" s="441">
        <f t="shared" si="167"/>
        <v>0</v>
      </c>
      <c r="DG126" s="486">
        <f t="shared" ca="1" si="192"/>
        <v>0.74999999999999989</v>
      </c>
      <c r="DH126" s="451">
        <f t="shared" si="193"/>
        <v>0</v>
      </c>
      <c r="DI126" s="451">
        <f>MIN(valkyrja_cap,Production!O126/valkyrja_bonus)</f>
        <v>1</v>
      </c>
      <c r="DJ126" s="843">
        <f>MIN(voodoo_magi_cap,Production!O126/voodoo_magi_bonus)</f>
        <v>0.83333333333333337</v>
      </c>
      <c r="DK126" s="843">
        <f>MIN(warlock_cap,Production!O126/warlock_bonus)</f>
        <v>1</v>
      </c>
      <c r="DL126" s="843">
        <f ca="1">MIN(nox_nightshade_cap,Construction!DF126/Construction!E126/nox_nightshade_swamp_bonus)</f>
        <v>1.4999999999999998</v>
      </c>
      <c r="DM126" s="487">
        <f t="shared" si="194"/>
        <v>0</v>
      </c>
      <c r="DN126" s="488">
        <f t="shared" ca="1" si="195"/>
        <v>1.4999999999999998</v>
      </c>
      <c r="DO126" s="488">
        <f t="shared" ca="1" si="196"/>
        <v>1.4999999999999998</v>
      </c>
      <c r="DP126" s="488">
        <f t="shared" si="197"/>
        <v>1</v>
      </c>
      <c r="DQ126" s="487">
        <f t="shared" si="198"/>
        <v>0</v>
      </c>
      <c r="DR126" s="488">
        <f t="shared" si="199"/>
        <v>0</v>
      </c>
      <c r="DS126" s="487">
        <f t="shared" si="200"/>
        <v>0</v>
      </c>
      <c r="DT126" s="488">
        <f t="shared" si="201"/>
        <v>0</v>
      </c>
      <c r="DX126" s="486">
        <f ca="1">MIN(6,CV126+Races!$F$19)*1.8 +  IF(CV126+Races!$F$19&gt;6,(CV126+Races!$F$19-6)*0.2,0) - Races!$N$19</f>
        <v>1.3500000000000005</v>
      </c>
      <c r="DY126" s="487">
        <f ca="1">1.8 * MIN(MAX(CW126+Races!$E$20,CX126+Races!$F$20),6)  +  0.45 * MIN(MIN(CW126+Races!$E$20,CX126+Races!$F$20),6)  +  0.2 * ( MAX(CW126+Races!$E$20-6,0) + MAX(CX126+Races!$F$20-6,0) )  -  Races!$N$20</f>
        <v>1.6874999999999991</v>
      </c>
      <c r="DZ126" s="57">
        <f t="shared" ca="1" si="202"/>
        <v>0</v>
      </c>
      <c r="EA126" s="663">
        <f ca="1">MIN(6,CY126+Races!$F$35)*1.8 +  IF(CY126+Races!$F$35&gt;6,(CY126+Races!$F$35-6)*0.2,0) - Races!$N$19</f>
        <v>-0.45000000000000018</v>
      </c>
      <c r="EB126" s="57">
        <f t="shared" ca="1" si="203"/>
        <v>0</v>
      </c>
      <c r="EC126" s="663">
        <f ca="1">1.8 * MIN(MAX(Races!$E$27,DB126+Races!$F$27),6)  +  0.45 * MIN(MIN(Races!$E$27,DB126+Races!$F$27),6)  +  0.2 * ( MAX(Races!$E$27-6,0) + MAX(DB126+Races!$F$27-6,0) )  -  Races!$N$20</f>
        <v>3.6000000000000005</v>
      </c>
      <c r="ED126" s="57">
        <f t="shared" ca="1" si="204"/>
        <v>0</v>
      </c>
      <c r="EE126" s="663">
        <f>1.8 * MIN(MAX(DC126+Races!$E$47,DD126+Races!$F$47),6)  +  0.45 * MIN(MIN(DC126+Races!$E$47,DD126+Races!$F$47),6)  +  0.2 * ( MAX(DC126+Races!$E$47-6,0) + MAX(DD126+Races!$F$47-6,0) )  -  Races!$N$47</f>
        <v>0</v>
      </c>
      <c r="EF126" s="57">
        <f t="shared" si="205"/>
        <v>0</v>
      </c>
      <c r="EG126" s="663">
        <f ca="1">1.8 * MIN(MAX(DG126+Races!$F$71,Races!$E$71),6)  +  0.45 * MIN(MIN(DG126+Races!$F$71,Races!$E$71),6)  +  0.2 * ( MAX(DG126+Races!$F$71-6,0) + MAX(Races!$E$71-6,0) )  -  Races!$N$71</f>
        <v>1.3499999999999996</v>
      </c>
      <c r="EH126" s="663">
        <f>1.8 * MIN(MAX(DH126+Races!$E$71,Races!$F$71),6)  +  0.45 * MIN(MIN(DH126+Races!$E$71,Races!$F$71),6)  +  0.2 * ( MAX(DH126+Races!$E$71-6,0) + MAX(Races!$F$71-6,0) )  -  Races!$N$71</f>
        <v>0</v>
      </c>
      <c r="EI126" s="57">
        <f t="shared" ca="1" si="206"/>
        <v>0</v>
      </c>
      <c r="EJ126" s="57"/>
      <c r="EK126" s="57"/>
      <c r="EL126" s="57"/>
      <c r="EM126" s="57">
        <f ca="1">Overview!$L$22*E126+Overview!$L$23*F126+Overview!$L$24*G126+Overview!$L$25*H126+Overview!$L$26*I126+Overview!$L$27*J126+Overview!$L$28*K126+Construction!E126*20+Construction!B126*5 + DZ126*$DV$4+EB126*$DV$5+ED126*$DV$6+EF126*$DV$7+EI126*$DV$9</f>
        <v>20900</v>
      </c>
      <c r="EO126" s="734">
        <f>(J126+2*K126)/Construction!E126</f>
        <v>0</v>
      </c>
      <c r="EP126" s="730">
        <f ca="1">EO126*(1+race_wizard_strength+tech_magical_weaponry_wiz*Techs!AV198)</f>
        <v>0</v>
      </c>
      <c r="EQ126" s="16">
        <f>(I126+halfer*H126/3)/Construction!E126</f>
        <v>0</v>
      </c>
    </row>
    <row r="127" spans="1:147" s="16" customFormat="1" x14ac:dyDescent="0.25">
      <c r="A127" s="627">
        <f>Rezone!J127</f>
        <v>125</v>
      </c>
      <c r="B127" s="56">
        <f ca="1">SUM(E127:K127)+SUM(AF119:AG127)+SUM(AH116:AL127)+Z127+Explore!AL127</f>
        <v>5295</v>
      </c>
      <c r="C127" s="97">
        <f ca="1">Population!G127</f>
        <v>0.74159663865546221</v>
      </c>
      <c r="E127" s="52">
        <f t="shared" si="207"/>
        <v>0</v>
      </c>
      <c r="F127" s="16">
        <f t="shared" si="208"/>
        <v>0</v>
      </c>
      <c r="G127" s="16">
        <f t="shared" si="209"/>
        <v>0</v>
      </c>
      <c r="H127" s="16">
        <f t="shared" si="210"/>
        <v>0</v>
      </c>
      <c r="I127" s="16">
        <f t="shared" si="211"/>
        <v>0</v>
      </c>
      <c r="J127" s="16">
        <f t="shared" si="212"/>
        <v>0</v>
      </c>
      <c r="K127" s="53">
        <f t="shared" si="213"/>
        <v>0</v>
      </c>
      <c r="M127" s="64">
        <f ca="1">Production!G127</f>
        <v>20900</v>
      </c>
      <c r="O127" s="142">
        <f t="shared" ca="1" si="179"/>
        <v>0</v>
      </c>
      <c r="P127" s="454">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53"/>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80"/>
        <v>5295</v>
      </c>
      <c r="T127" s="1047">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1">
        <f t="shared" ca="1" si="154"/>
        <v>0</v>
      </c>
      <c r="V127" s="310">
        <f t="shared" ca="1" si="155"/>
        <v>5295</v>
      </c>
      <c r="W127" s="310">
        <f>Construction!E127</f>
        <v>1000</v>
      </c>
      <c r="X127" s="367"/>
      <c r="Y127" s="146">
        <f t="shared" si="178"/>
        <v>0.4</v>
      </c>
      <c r="Z127" s="166">
        <f ca="1">Z126+Population!Z126 - IF(race="Lux",AF127,SUM(AF127:AK127)) - BE127 + SUM(BF127:BL127) - Explore!AI127</f>
        <v>5295</v>
      </c>
      <c r="AA127" s="164"/>
      <c r="AB127" s="91">
        <f>(Construction!$BA127+Construction!BY127)/(Construction!$E127-Explore!S127*20)</f>
        <v>0</v>
      </c>
      <c r="AC127" s="1516">
        <f ca="1">Imps!AE127</f>
        <v>0</v>
      </c>
      <c r="AD127" s="795">
        <f>Rezone!J127</f>
        <v>125</v>
      </c>
      <c r="AE127" s="587">
        <f>Explore!AA127</f>
        <v>43769.291666666366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81"/>
        <v>0</v>
      </c>
      <c r="AV127" s="164">
        <f t="shared" ca="1" si="182"/>
        <v>0</v>
      </c>
      <c r="AW127" s="164">
        <f t="shared" ca="1" si="156"/>
        <v>0</v>
      </c>
      <c r="AX127" s="164">
        <f t="shared" ca="1" si="157"/>
        <v>0</v>
      </c>
      <c r="AY127" s="164">
        <f t="shared" ca="1" si="158"/>
        <v>0</v>
      </c>
      <c r="AZ127" s="164">
        <f t="shared" ca="1" si="159"/>
        <v>0</v>
      </c>
      <c r="BA127" s="166">
        <f t="shared" ca="1" si="160"/>
        <v>0</v>
      </c>
      <c r="BB127" s="16">
        <v>53</v>
      </c>
      <c r="BC127" s="572">
        <f t="shared" si="161"/>
        <v>43769.291666666366</v>
      </c>
      <c r="BD127" s="148">
        <f t="shared" ca="1" si="162"/>
        <v>5295</v>
      </c>
      <c r="BE127" s="356"/>
      <c r="BF127" s="348"/>
      <c r="BG127" s="348"/>
      <c r="BH127" s="348"/>
      <c r="BI127" s="348"/>
      <c r="BJ127" s="348"/>
      <c r="BK127" s="348"/>
      <c r="BL127" s="357"/>
      <c r="BN127" s="501">
        <f>Construction!BM127/Construction!E127</f>
        <v>0</v>
      </c>
      <c r="BO127" s="171">
        <f>Construction!BD127/Construction!E127</f>
        <v>0</v>
      </c>
      <c r="BP127" s="152">
        <f ca="1">ROUNDUP((1-MIN(AB127*smithy_bonus,smithy_bonus_cap)-AC127)*(1+Techs!AO127*tech_master_of_frugality)*spec_op_plat,0)</f>
        <v>275</v>
      </c>
      <c r="BQ127" s="164">
        <f ca="1">ROUNDUP(IF(OR(race="Gnome",race="Imperial Gnome"),1-AC127,(1-MIN(AB127*smithy_bonus,smithy_bonus_cap)-AC127)*(1+Techs!AO127*tech_master_of_frugality))*spec_op_ore,0)</f>
        <v>25</v>
      </c>
      <c r="BR127" s="164">
        <f t="shared" si="116"/>
        <v>0</v>
      </c>
      <c r="BS127" s="164">
        <f t="shared" si="117"/>
        <v>0</v>
      </c>
      <c r="BT127" s="164">
        <f ca="1">ROUNDUP((1-MIN(AB127*smithy_bonus,smithy_bonus_cap)-AC127)*(1+Techs!AO127*tech_master_of_frugality)*spec_dp_plat,0)</f>
        <v>275</v>
      </c>
      <c r="BU127" s="164">
        <f ca="1">ROUNDUP(IF(OR(race="Gnome",race="Imperial Gnome"),1-AC127,(1-MIN(AB127*smithy_bonus,smithy_bonus_cap)-AC127)*(1+Techs!AO127*tech_master_of_frugality))*spec_dp_ore,0)</f>
        <v>10</v>
      </c>
      <c r="BV127" s="164">
        <f t="shared" ca="1" si="118"/>
        <v>0</v>
      </c>
      <c r="BW127" s="164">
        <f t="shared" ca="1" si="119"/>
        <v>0</v>
      </c>
      <c r="BX127" s="164">
        <f t="shared" ca="1" si="120"/>
        <v>0</v>
      </c>
      <c r="BY127" s="164">
        <f ca="1">ROUNDUP((1-MIN(AB127*smithy_bonus,smithy_bonus_cap)-AC127)*(1+Techs!AO127*tech_master_of_frugality)*elite1_plat,0)</f>
        <v>1000</v>
      </c>
      <c r="BZ127" s="164">
        <f ca="1">ROUNDUP(IF(OR(race="Gnome",race="Imperial Gnome"),1-AC127,(1-MIN(AB127*smithy_bonus,smithy_bonus_cap)-AC127)*(1+Techs!AO127*tech_master_of_frugality))*elite1_ore,0)</f>
        <v>75</v>
      </c>
      <c r="CA127" s="164">
        <f t="shared" ca="1" si="163"/>
        <v>0</v>
      </c>
      <c r="CB127" s="164">
        <f t="shared" ca="1" si="121"/>
        <v>0</v>
      </c>
      <c r="CC127" s="164">
        <f t="shared" ca="1" si="122"/>
        <v>0</v>
      </c>
      <c r="CD127" s="164">
        <f t="shared" ca="1" si="123"/>
        <v>0</v>
      </c>
      <c r="CE127" s="164">
        <f t="shared" ca="1" si="124"/>
        <v>0</v>
      </c>
      <c r="CF127" s="164">
        <f ca="1">ROUNDUP((1-MIN(AB127*smithy_bonus,smithy_bonus_cap)-AC127)*(1+Techs!AO127*tech_master_of_frugality)*elite2_plat,0)</f>
        <v>1250</v>
      </c>
      <c r="CG127" s="164">
        <f ca="1">ROUNDUP(IF(OR(race="Gnome",race="Imperial Gnome"),1-AC127,(1-MIN(AB127*smithy_bonus,smithy_bonus_cap)-AC127)*(1+Techs!AO127*tech_master_of_frugality))*elite2_ore,0)</f>
        <v>100</v>
      </c>
      <c r="CH127" s="164">
        <f t="shared" ca="1" si="164"/>
        <v>0</v>
      </c>
      <c r="CI127" s="164">
        <f t="shared" ca="1" si="125"/>
        <v>0</v>
      </c>
      <c r="CJ127" s="164">
        <f t="shared" ca="1" si="126"/>
        <v>0</v>
      </c>
      <c r="CK127" s="164">
        <f t="shared" ca="1" si="127"/>
        <v>0</v>
      </c>
      <c r="CL127" s="164">
        <f t="shared" ca="1" si="128"/>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4">
        <f ca="1">Construction!DF127/Construction!E127</f>
        <v>0.15</v>
      </c>
      <c r="CR127" s="465">
        <f t="shared" si="165"/>
        <v>0</v>
      </c>
      <c r="CS127" s="465">
        <f>Construction!BK127/Construction!E127</f>
        <v>0.05</v>
      </c>
      <c r="CT127" s="465">
        <f>Construction!BJ127/Construction!E127</f>
        <v>0</v>
      </c>
      <c r="CU127" s="465">
        <f>Construction!AY127/Construction!E127</f>
        <v>0</v>
      </c>
      <c r="CV127" s="486">
        <f t="shared" ca="1" si="183"/>
        <v>0.74999999999999989</v>
      </c>
      <c r="CW127" s="487">
        <f t="shared" ca="1" si="184"/>
        <v>0.74999999999999989</v>
      </c>
      <c r="CX127" s="487">
        <f t="shared" ca="1" si="185"/>
        <v>0.74999999999999989</v>
      </c>
      <c r="CY127" s="488">
        <f t="shared" ca="1" si="186"/>
        <v>0.74999999999999989</v>
      </c>
      <c r="CZ127" s="488">
        <f t="shared" si="187"/>
        <v>0</v>
      </c>
      <c r="DA127" s="488">
        <f t="shared" ca="1" si="188"/>
        <v>2.9999999999999996</v>
      </c>
      <c r="DB127" s="488">
        <f t="shared" ca="1" si="189"/>
        <v>0.74999999999999989</v>
      </c>
      <c r="DC127" s="487">
        <f t="shared" si="190"/>
        <v>0</v>
      </c>
      <c r="DD127" s="843">
        <f t="shared" si="191"/>
        <v>0</v>
      </c>
      <c r="DE127" s="441">
        <f t="shared" si="166"/>
        <v>0</v>
      </c>
      <c r="DF127" s="441">
        <f t="shared" si="167"/>
        <v>0</v>
      </c>
      <c r="DG127" s="486">
        <f t="shared" ca="1" si="192"/>
        <v>0.74999999999999989</v>
      </c>
      <c r="DH127" s="451">
        <f t="shared" si="193"/>
        <v>0</v>
      </c>
      <c r="DI127" s="451">
        <f>MIN(valkyrja_cap,Production!O127/valkyrja_bonus)</f>
        <v>1</v>
      </c>
      <c r="DJ127" s="843">
        <f>MIN(voodoo_magi_cap,Production!O127/voodoo_magi_bonus)</f>
        <v>0.83333333333333337</v>
      </c>
      <c r="DK127" s="843">
        <f>MIN(warlock_cap,Production!O127/warlock_bonus)</f>
        <v>1</v>
      </c>
      <c r="DL127" s="843">
        <f ca="1">MIN(nox_nightshade_cap,Construction!DF127/Construction!E127/nox_nightshade_swamp_bonus)</f>
        <v>1.4999999999999998</v>
      </c>
      <c r="DM127" s="487">
        <f t="shared" si="194"/>
        <v>0</v>
      </c>
      <c r="DN127" s="488">
        <f t="shared" ca="1" si="195"/>
        <v>1.4999999999999998</v>
      </c>
      <c r="DO127" s="488">
        <f t="shared" ca="1" si="196"/>
        <v>1.4999999999999998</v>
      </c>
      <c r="DP127" s="488">
        <f t="shared" si="197"/>
        <v>1</v>
      </c>
      <c r="DQ127" s="487">
        <f t="shared" si="198"/>
        <v>0</v>
      </c>
      <c r="DR127" s="488">
        <f t="shared" si="199"/>
        <v>0</v>
      </c>
      <c r="DS127" s="487">
        <f t="shared" si="200"/>
        <v>0</v>
      </c>
      <c r="DT127" s="488">
        <f t="shared" si="201"/>
        <v>0</v>
      </c>
      <c r="DX127" s="486">
        <f ca="1">MIN(6,CV127+Races!$F$19)*1.8 +  IF(CV127+Races!$F$19&gt;6,(CV127+Races!$F$19-6)*0.2,0) - Races!$N$19</f>
        <v>1.3500000000000005</v>
      </c>
      <c r="DY127" s="487">
        <f ca="1">1.8 * MIN(MAX(CW127+Races!$E$20,CX127+Races!$F$20),6)  +  0.45 * MIN(MIN(CW127+Races!$E$20,CX127+Races!$F$20),6)  +  0.2 * ( MAX(CW127+Races!$E$20-6,0) + MAX(CX127+Races!$F$20-6,0) )  -  Races!$N$20</f>
        <v>1.6874999999999991</v>
      </c>
      <c r="DZ127" s="57">
        <f t="shared" ca="1" si="202"/>
        <v>0</v>
      </c>
      <c r="EA127" s="663">
        <f ca="1">MIN(6,CY127+Races!$F$35)*1.8 +  IF(CY127+Races!$F$35&gt;6,(CY127+Races!$F$35-6)*0.2,0) - Races!$N$19</f>
        <v>-0.45000000000000018</v>
      </c>
      <c r="EB127" s="57">
        <f t="shared" ca="1" si="203"/>
        <v>0</v>
      </c>
      <c r="EC127" s="663">
        <f ca="1">1.8 * MIN(MAX(Races!$E$27,DB127+Races!$F$27),6)  +  0.45 * MIN(MIN(Races!$E$27,DB127+Races!$F$27),6)  +  0.2 * ( MAX(Races!$E$27-6,0) + MAX(DB127+Races!$F$27-6,0) )  -  Races!$N$20</f>
        <v>3.6000000000000005</v>
      </c>
      <c r="ED127" s="57">
        <f t="shared" ca="1" si="204"/>
        <v>0</v>
      </c>
      <c r="EE127" s="663">
        <f>1.8 * MIN(MAX(DC127+Races!$E$47,DD127+Races!$F$47),6)  +  0.45 * MIN(MIN(DC127+Races!$E$47,DD127+Races!$F$47),6)  +  0.2 * ( MAX(DC127+Races!$E$47-6,0) + MAX(DD127+Races!$F$47-6,0) )  -  Races!$N$47</f>
        <v>0</v>
      </c>
      <c r="EF127" s="57">
        <f t="shared" si="205"/>
        <v>0</v>
      </c>
      <c r="EG127" s="663">
        <f ca="1">1.8 * MIN(MAX(DG127+Races!$F$71,Races!$E$71),6)  +  0.45 * MIN(MIN(DG127+Races!$F$71,Races!$E$71),6)  +  0.2 * ( MAX(DG127+Races!$F$71-6,0) + MAX(Races!$E$71-6,0) )  -  Races!$N$71</f>
        <v>1.3499999999999996</v>
      </c>
      <c r="EH127" s="663">
        <f>1.8 * MIN(MAX(DH127+Races!$E$71,Races!$F$71),6)  +  0.45 * MIN(MIN(DH127+Races!$E$71,Races!$F$71),6)  +  0.2 * ( MAX(DH127+Races!$E$71-6,0) + MAX(Races!$F$71-6,0) )  -  Races!$N$71</f>
        <v>0</v>
      </c>
      <c r="EI127" s="57">
        <f t="shared" ca="1" si="206"/>
        <v>0</v>
      </c>
      <c r="EJ127" s="57"/>
      <c r="EK127" s="57"/>
      <c r="EL127" s="57"/>
      <c r="EM127" s="57">
        <f ca="1">Overview!$L$22*E127+Overview!$L$23*F127+Overview!$L$24*G127+Overview!$L$25*H127+Overview!$L$26*I127+Overview!$L$27*J127+Overview!$L$28*K127+Construction!E127*20+Construction!B127*5 + DZ127*$DV$4+EB127*$DV$5+ED127*$DV$6+EF127*$DV$7+EI127*$DV$9</f>
        <v>20900</v>
      </c>
      <c r="EO127" s="734">
        <f>(J127+2*K127)/Construction!E127</f>
        <v>0</v>
      </c>
      <c r="EP127" s="730">
        <f ca="1">EO127*(1+race_wizard_strength+tech_magical_weaponry_wiz*Techs!AV199)</f>
        <v>0</v>
      </c>
      <c r="EQ127" s="16">
        <f>(I127+halfer*H127/3)/Construction!E127</f>
        <v>0</v>
      </c>
    </row>
    <row r="128" spans="1:147" s="16" customFormat="1" x14ac:dyDescent="0.25">
      <c r="A128" s="627">
        <f>Rezone!J128</f>
        <v>126</v>
      </c>
      <c r="B128" s="56">
        <f ca="1">SUM(E128:K128)+SUM(AF120:AG128)+SUM(AH117:AL128)+Z128+Explore!AL128</f>
        <v>5295</v>
      </c>
      <c r="C128" s="97">
        <f ca="1">Population!G128</f>
        <v>0.74159663865546221</v>
      </c>
      <c r="E128" s="52">
        <f t="shared" si="207"/>
        <v>0</v>
      </c>
      <c r="F128" s="16">
        <f t="shared" si="208"/>
        <v>0</v>
      </c>
      <c r="G128" s="16">
        <f t="shared" si="209"/>
        <v>0</v>
      </c>
      <c r="H128" s="16">
        <f t="shared" si="210"/>
        <v>0</v>
      </c>
      <c r="I128" s="16">
        <f t="shared" si="211"/>
        <v>0</v>
      </c>
      <c r="J128" s="16">
        <f t="shared" si="212"/>
        <v>0</v>
      </c>
      <c r="K128" s="53">
        <f t="shared" si="213"/>
        <v>0</v>
      </c>
      <c r="M128" s="64">
        <f ca="1">Production!G128</f>
        <v>20900</v>
      </c>
      <c r="O128" s="142">
        <f t="shared" ca="1" si="179"/>
        <v>0</v>
      </c>
      <c r="P128" s="454">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53"/>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80"/>
        <v>5295</v>
      </c>
      <c r="T128" s="1047">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1">
        <f t="shared" ca="1" si="154"/>
        <v>0</v>
      </c>
      <c r="V128" s="310">
        <f t="shared" ca="1" si="155"/>
        <v>5295</v>
      </c>
      <c r="W128" s="310">
        <f>Construction!E128</f>
        <v>1000</v>
      </c>
      <c r="X128" s="367"/>
      <c r="Y128" s="146">
        <f t="shared" si="178"/>
        <v>0.4</v>
      </c>
      <c r="Z128" s="166">
        <f ca="1">Z127+Population!Z127 - IF(race="Lux",AF128,SUM(AF128:AK128)) - BE128 + SUM(BF128:BL128) - Explore!AI128</f>
        <v>5295</v>
      </c>
      <c r="AA128" s="164"/>
      <c r="AB128" s="91">
        <f>(Construction!$BA128+Construction!BY128)/(Construction!$E128-Explore!S128*20)</f>
        <v>0</v>
      </c>
      <c r="AC128" s="1516">
        <f ca="1">Imps!AE128</f>
        <v>0</v>
      </c>
      <c r="AD128" s="795">
        <f>Rezone!J128</f>
        <v>126</v>
      </c>
      <c r="AE128" s="587">
        <f>Explore!AA128</f>
        <v>43769.30208333303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81"/>
        <v>0</v>
      </c>
      <c r="AV128" s="164">
        <f t="shared" ca="1" si="182"/>
        <v>0</v>
      </c>
      <c r="AW128" s="164">
        <f t="shared" ca="1" si="156"/>
        <v>0</v>
      </c>
      <c r="AX128" s="164">
        <f t="shared" ca="1" si="157"/>
        <v>0</v>
      </c>
      <c r="AY128" s="164">
        <f t="shared" ca="1" si="158"/>
        <v>0</v>
      </c>
      <c r="AZ128" s="164">
        <f t="shared" ca="1" si="159"/>
        <v>0</v>
      </c>
      <c r="BA128" s="166">
        <f t="shared" ca="1" si="160"/>
        <v>0</v>
      </c>
      <c r="BB128" s="16">
        <v>54</v>
      </c>
      <c r="BC128" s="572">
        <f t="shared" si="161"/>
        <v>43769.30208333303</v>
      </c>
      <c r="BD128" s="148">
        <f t="shared" ca="1" si="162"/>
        <v>5295</v>
      </c>
      <c r="BE128" s="356"/>
      <c r="BF128" s="348"/>
      <c r="BG128" s="348"/>
      <c r="BH128" s="348"/>
      <c r="BI128" s="348"/>
      <c r="BJ128" s="348"/>
      <c r="BK128" s="348"/>
      <c r="BL128" s="357"/>
      <c r="BN128" s="501">
        <f>Construction!BM128/Construction!E128</f>
        <v>0</v>
      </c>
      <c r="BO128" s="171">
        <f>Construction!BD128/Construction!E128</f>
        <v>0</v>
      </c>
      <c r="BP128" s="152">
        <f ca="1">ROUNDUP((1-MIN(AB128*smithy_bonus,smithy_bonus_cap)-AC128)*(1+Techs!AO128*tech_master_of_frugality)*spec_op_plat,0)</f>
        <v>275</v>
      </c>
      <c r="BQ128" s="164">
        <f ca="1">ROUNDUP(IF(OR(race="Gnome",race="Imperial Gnome"),1-AC128,(1-MIN(AB128*smithy_bonus,smithy_bonus_cap)-AC128)*(1+Techs!AO128*tech_master_of_frugality))*spec_op_ore,0)</f>
        <v>25</v>
      </c>
      <c r="BR128" s="164">
        <f t="shared" si="116"/>
        <v>0</v>
      </c>
      <c r="BS128" s="164">
        <f t="shared" si="117"/>
        <v>0</v>
      </c>
      <c r="BT128" s="164">
        <f ca="1">ROUNDUP((1-MIN(AB128*smithy_bonus,smithy_bonus_cap)-AC128)*(1+Techs!AO128*tech_master_of_frugality)*spec_dp_plat,0)</f>
        <v>275</v>
      </c>
      <c r="BU128" s="164">
        <f ca="1">ROUNDUP(IF(OR(race="Gnome",race="Imperial Gnome"),1-AC128,(1-MIN(AB128*smithy_bonus,smithy_bonus_cap)-AC128)*(1+Techs!AO128*tech_master_of_frugality))*spec_dp_ore,0)</f>
        <v>10</v>
      </c>
      <c r="BV128" s="164">
        <f t="shared" ca="1" si="118"/>
        <v>0</v>
      </c>
      <c r="BW128" s="164">
        <f t="shared" ca="1" si="119"/>
        <v>0</v>
      </c>
      <c r="BX128" s="164">
        <f t="shared" ca="1" si="120"/>
        <v>0</v>
      </c>
      <c r="BY128" s="164">
        <f ca="1">ROUNDUP((1-MIN(AB128*smithy_bonus,smithy_bonus_cap)-AC128)*(1+Techs!AO128*tech_master_of_frugality)*elite1_plat,0)</f>
        <v>1000</v>
      </c>
      <c r="BZ128" s="164">
        <f ca="1">ROUNDUP(IF(OR(race="Gnome",race="Imperial Gnome"),1-AC128,(1-MIN(AB128*smithy_bonus,smithy_bonus_cap)-AC128)*(1+Techs!AO128*tech_master_of_frugality))*elite1_ore,0)</f>
        <v>75</v>
      </c>
      <c r="CA128" s="164">
        <f t="shared" ca="1" si="163"/>
        <v>0</v>
      </c>
      <c r="CB128" s="164">
        <f t="shared" ca="1" si="121"/>
        <v>0</v>
      </c>
      <c r="CC128" s="164">
        <f t="shared" ca="1" si="122"/>
        <v>0</v>
      </c>
      <c r="CD128" s="164">
        <f t="shared" ca="1" si="123"/>
        <v>0</v>
      </c>
      <c r="CE128" s="164">
        <f t="shared" ca="1" si="124"/>
        <v>0</v>
      </c>
      <c r="CF128" s="164">
        <f ca="1">ROUNDUP((1-MIN(AB128*smithy_bonus,smithy_bonus_cap)-AC128)*(1+Techs!AO128*tech_master_of_frugality)*elite2_plat,0)</f>
        <v>1250</v>
      </c>
      <c r="CG128" s="164">
        <f ca="1">ROUNDUP(IF(OR(race="Gnome",race="Imperial Gnome"),1-AC128,(1-MIN(AB128*smithy_bonus,smithy_bonus_cap)-AC128)*(1+Techs!AO128*tech_master_of_frugality))*elite2_ore,0)</f>
        <v>100</v>
      </c>
      <c r="CH128" s="164">
        <f t="shared" ca="1" si="164"/>
        <v>0</v>
      </c>
      <c r="CI128" s="164">
        <f t="shared" ca="1" si="125"/>
        <v>0</v>
      </c>
      <c r="CJ128" s="164">
        <f t="shared" ca="1" si="126"/>
        <v>0</v>
      </c>
      <c r="CK128" s="164">
        <f t="shared" ca="1" si="127"/>
        <v>0</v>
      </c>
      <c r="CL128" s="164">
        <f t="shared" ca="1" si="128"/>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4">
        <f ca="1">Construction!DF128/Construction!E128</f>
        <v>0.15</v>
      </c>
      <c r="CR128" s="465">
        <f t="shared" si="165"/>
        <v>0</v>
      </c>
      <c r="CS128" s="465">
        <f>Construction!BK128/Construction!E128</f>
        <v>0.05</v>
      </c>
      <c r="CT128" s="465">
        <f>Construction!BJ128/Construction!E128</f>
        <v>0</v>
      </c>
      <c r="CU128" s="465">
        <f>Construction!AY128/Construction!E128</f>
        <v>0</v>
      </c>
      <c r="CV128" s="486">
        <f t="shared" ca="1" si="183"/>
        <v>0.74999999999999989</v>
      </c>
      <c r="CW128" s="487">
        <f t="shared" ca="1" si="184"/>
        <v>0.74999999999999989</v>
      </c>
      <c r="CX128" s="487">
        <f t="shared" ca="1" si="185"/>
        <v>0.74999999999999989</v>
      </c>
      <c r="CY128" s="488">
        <f t="shared" ca="1" si="186"/>
        <v>0.74999999999999989</v>
      </c>
      <c r="CZ128" s="488">
        <f t="shared" si="187"/>
        <v>0</v>
      </c>
      <c r="DA128" s="488">
        <f t="shared" ca="1" si="188"/>
        <v>2.9999999999999996</v>
      </c>
      <c r="DB128" s="488">
        <f t="shared" ca="1" si="189"/>
        <v>0.74999999999999989</v>
      </c>
      <c r="DC128" s="487">
        <f t="shared" si="190"/>
        <v>0</v>
      </c>
      <c r="DD128" s="843">
        <f t="shared" si="191"/>
        <v>0</v>
      </c>
      <c r="DE128" s="441">
        <f t="shared" si="166"/>
        <v>0</v>
      </c>
      <c r="DF128" s="441">
        <f t="shared" si="167"/>
        <v>0</v>
      </c>
      <c r="DG128" s="486">
        <f t="shared" ca="1" si="192"/>
        <v>0.74999999999999989</v>
      </c>
      <c r="DH128" s="451">
        <f t="shared" si="193"/>
        <v>0</v>
      </c>
      <c r="DI128" s="451">
        <f>MIN(valkyrja_cap,Production!O128/valkyrja_bonus)</f>
        <v>1</v>
      </c>
      <c r="DJ128" s="843">
        <f>MIN(voodoo_magi_cap,Production!O128/voodoo_magi_bonus)</f>
        <v>0.83333333333333337</v>
      </c>
      <c r="DK128" s="843">
        <f>MIN(warlock_cap,Production!O128/warlock_bonus)</f>
        <v>1</v>
      </c>
      <c r="DL128" s="843">
        <f ca="1">MIN(nox_nightshade_cap,Construction!DF128/Construction!E128/nox_nightshade_swamp_bonus)</f>
        <v>1.4999999999999998</v>
      </c>
      <c r="DM128" s="487">
        <f t="shared" si="194"/>
        <v>0</v>
      </c>
      <c r="DN128" s="488">
        <f t="shared" ca="1" si="195"/>
        <v>1.4999999999999998</v>
      </c>
      <c r="DO128" s="488">
        <f t="shared" ca="1" si="196"/>
        <v>1.4999999999999998</v>
      </c>
      <c r="DP128" s="488">
        <f t="shared" si="197"/>
        <v>1</v>
      </c>
      <c r="DQ128" s="487">
        <f t="shared" si="198"/>
        <v>0</v>
      </c>
      <c r="DR128" s="488">
        <f t="shared" si="199"/>
        <v>0</v>
      </c>
      <c r="DS128" s="487">
        <f t="shared" si="200"/>
        <v>0</v>
      </c>
      <c r="DT128" s="488">
        <f t="shared" si="201"/>
        <v>0</v>
      </c>
      <c r="DX128" s="486">
        <f ca="1">MIN(6,CV128+Races!$F$19)*1.8 +  IF(CV128+Races!$F$19&gt;6,(CV128+Races!$F$19-6)*0.2,0) - Races!$N$19</f>
        <v>1.3500000000000005</v>
      </c>
      <c r="DY128" s="487">
        <f ca="1">1.8 * MIN(MAX(CW128+Races!$E$20,CX128+Races!$F$20),6)  +  0.45 * MIN(MIN(CW128+Races!$E$20,CX128+Races!$F$20),6)  +  0.2 * ( MAX(CW128+Races!$E$20-6,0) + MAX(CX128+Races!$F$20-6,0) )  -  Races!$N$20</f>
        <v>1.6874999999999991</v>
      </c>
      <c r="DZ128" s="57">
        <f t="shared" ca="1" si="202"/>
        <v>0</v>
      </c>
      <c r="EA128" s="663">
        <f ca="1">MIN(6,CY128+Races!$F$35)*1.8 +  IF(CY128+Races!$F$35&gt;6,(CY128+Races!$F$35-6)*0.2,0) - Races!$N$19</f>
        <v>-0.45000000000000018</v>
      </c>
      <c r="EB128" s="57">
        <f t="shared" ca="1" si="203"/>
        <v>0</v>
      </c>
      <c r="EC128" s="663">
        <f ca="1">1.8 * MIN(MAX(Races!$E$27,DB128+Races!$F$27),6)  +  0.45 * MIN(MIN(Races!$E$27,DB128+Races!$F$27),6)  +  0.2 * ( MAX(Races!$E$27-6,0) + MAX(DB128+Races!$F$27-6,0) )  -  Races!$N$20</f>
        <v>3.6000000000000005</v>
      </c>
      <c r="ED128" s="57">
        <f t="shared" ca="1" si="204"/>
        <v>0</v>
      </c>
      <c r="EE128" s="663">
        <f>1.8 * MIN(MAX(DC128+Races!$E$47,DD128+Races!$F$47),6)  +  0.45 * MIN(MIN(DC128+Races!$E$47,DD128+Races!$F$47),6)  +  0.2 * ( MAX(DC128+Races!$E$47-6,0) + MAX(DD128+Races!$F$47-6,0) )  -  Races!$N$47</f>
        <v>0</v>
      </c>
      <c r="EF128" s="57">
        <f t="shared" si="205"/>
        <v>0</v>
      </c>
      <c r="EG128" s="663">
        <f ca="1">1.8 * MIN(MAX(DG128+Races!$F$71,Races!$E$71),6)  +  0.45 * MIN(MIN(DG128+Races!$F$71,Races!$E$71),6)  +  0.2 * ( MAX(DG128+Races!$F$71-6,0) + MAX(Races!$E$71-6,0) )  -  Races!$N$71</f>
        <v>1.3499999999999996</v>
      </c>
      <c r="EH128" s="663">
        <f>1.8 * MIN(MAX(DH128+Races!$E$71,Races!$F$71),6)  +  0.45 * MIN(MIN(DH128+Races!$E$71,Races!$F$71),6)  +  0.2 * ( MAX(DH128+Races!$E$71-6,0) + MAX(Races!$F$71-6,0) )  -  Races!$N$71</f>
        <v>0</v>
      </c>
      <c r="EI128" s="57">
        <f t="shared" ca="1" si="206"/>
        <v>0</v>
      </c>
      <c r="EJ128" s="57"/>
      <c r="EK128" s="57"/>
      <c r="EL128" s="57"/>
      <c r="EM128" s="57">
        <f ca="1">Overview!$L$22*E128+Overview!$L$23*F128+Overview!$L$24*G128+Overview!$L$25*H128+Overview!$L$26*I128+Overview!$L$27*J128+Overview!$L$28*K128+Construction!E128*20+Construction!B128*5 + DZ128*$DV$4+EB128*$DV$5+ED128*$DV$6+EF128*$DV$7+EI128*$DV$9</f>
        <v>20900</v>
      </c>
      <c r="EO128" s="734">
        <f>(J128+2*K128)/Construction!E128</f>
        <v>0</v>
      </c>
      <c r="EP128" s="730">
        <f ca="1">EO128*(1+race_wizard_strength+tech_magical_weaponry_wiz*Techs!AV200)</f>
        <v>0</v>
      </c>
      <c r="EQ128" s="16">
        <f>(I128+halfer*H128/3)/Construction!E128</f>
        <v>0</v>
      </c>
    </row>
    <row r="129" spans="1:147" s="16" customFormat="1" x14ac:dyDescent="0.25">
      <c r="A129" s="627">
        <f>Rezone!J129</f>
        <v>127</v>
      </c>
      <c r="B129" s="56">
        <f ca="1">SUM(E129:K129)+SUM(AF121:AG129)+SUM(AH118:AL129)+Z129+Explore!AL129</f>
        <v>5295</v>
      </c>
      <c r="C129" s="97">
        <f ca="1">Population!G129</f>
        <v>0.74159663865546221</v>
      </c>
      <c r="E129" s="52">
        <f t="shared" si="207"/>
        <v>0</v>
      </c>
      <c r="F129" s="16">
        <f t="shared" si="208"/>
        <v>0</v>
      </c>
      <c r="G129" s="16">
        <f t="shared" si="209"/>
        <v>0</v>
      </c>
      <c r="H129" s="16">
        <f t="shared" si="210"/>
        <v>0</v>
      </c>
      <c r="I129" s="16">
        <f t="shared" si="211"/>
        <v>0</v>
      </c>
      <c r="J129" s="16">
        <f t="shared" si="212"/>
        <v>0</v>
      </c>
      <c r="K129" s="53">
        <f t="shared" si="213"/>
        <v>0</v>
      </c>
      <c r="M129" s="64">
        <f ca="1">Production!G129</f>
        <v>20900</v>
      </c>
      <c r="O129" s="142">
        <f t="shared" ca="1" si="179"/>
        <v>0</v>
      </c>
      <c r="P129" s="454">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53"/>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80"/>
        <v>5295</v>
      </c>
      <c r="T129" s="1047">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1">
        <f t="shared" ca="1" si="154"/>
        <v>0</v>
      </c>
      <c r="V129" s="310">
        <f t="shared" ca="1" si="155"/>
        <v>5295</v>
      </c>
      <c r="W129" s="310">
        <f>Construction!E129</f>
        <v>1000</v>
      </c>
      <c r="X129" s="367"/>
      <c r="Y129" s="146">
        <f t="shared" si="178"/>
        <v>0.4</v>
      </c>
      <c r="Z129" s="166">
        <f ca="1">Z128+Population!Z128 - IF(race="Lux",AF129,SUM(AF129:AK129)) - BE129 + SUM(BF129:BL129) - Explore!AI129</f>
        <v>5295</v>
      </c>
      <c r="AA129" s="164"/>
      <c r="AB129" s="91">
        <f>(Construction!$BA129+Construction!BY129)/(Construction!$E129-Explore!S129*20)</f>
        <v>0</v>
      </c>
      <c r="AC129" s="1516">
        <f ca="1">Imps!AE129</f>
        <v>0</v>
      </c>
      <c r="AD129" s="795">
        <f>Rezone!J129</f>
        <v>127</v>
      </c>
      <c r="AE129" s="587">
        <f>Explore!AA129</f>
        <v>43769.312499999694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81"/>
        <v>0</v>
      </c>
      <c r="AV129" s="164">
        <f t="shared" ca="1" si="182"/>
        <v>0</v>
      </c>
      <c r="AW129" s="164">
        <f t="shared" ca="1" si="156"/>
        <v>0</v>
      </c>
      <c r="AX129" s="164">
        <f t="shared" ca="1" si="157"/>
        <v>0</v>
      </c>
      <c r="AY129" s="164">
        <f t="shared" ca="1" si="158"/>
        <v>0</v>
      </c>
      <c r="AZ129" s="164">
        <f t="shared" ca="1" si="159"/>
        <v>0</v>
      </c>
      <c r="BA129" s="166">
        <f t="shared" ca="1" si="160"/>
        <v>0</v>
      </c>
      <c r="BB129" s="16">
        <v>55</v>
      </c>
      <c r="BC129" s="572">
        <f t="shared" si="161"/>
        <v>43769.312499999694</v>
      </c>
      <c r="BD129" s="148">
        <f t="shared" ca="1" si="162"/>
        <v>5295</v>
      </c>
      <c r="BE129" s="356"/>
      <c r="BF129" s="348"/>
      <c r="BG129" s="348"/>
      <c r="BH129" s="348"/>
      <c r="BI129" s="348"/>
      <c r="BJ129" s="348"/>
      <c r="BK129" s="348"/>
      <c r="BL129" s="357"/>
      <c r="BN129" s="501">
        <f>Construction!BM129/Construction!E129</f>
        <v>0</v>
      </c>
      <c r="BO129" s="171">
        <f>Construction!BD129/Construction!E129</f>
        <v>0</v>
      </c>
      <c r="BP129" s="152">
        <f ca="1">ROUNDUP((1-MIN(AB129*smithy_bonus,smithy_bonus_cap)-AC129)*(1+Techs!AO129*tech_master_of_frugality)*spec_op_plat,0)</f>
        <v>275</v>
      </c>
      <c r="BQ129" s="164">
        <f ca="1">ROUNDUP(IF(OR(race="Gnome",race="Imperial Gnome"),1-AC129,(1-MIN(AB129*smithy_bonus,smithy_bonus_cap)-AC129)*(1+Techs!AO129*tech_master_of_frugality))*spec_op_ore,0)</f>
        <v>25</v>
      </c>
      <c r="BR129" s="164">
        <f t="shared" si="116"/>
        <v>0</v>
      </c>
      <c r="BS129" s="164">
        <f t="shared" si="117"/>
        <v>0</v>
      </c>
      <c r="BT129" s="164">
        <f ca="1">ROUNDUP((1-MIN(AB129*smithy_bonus,smithy_bonus_cap)-AC129)*(1+Techs!AO129*tech_master_of_frugality)*spec_dp_plat,0)</f>
        <v>275</v>
      </c>
      <c r="BU129" s="164">
        <f ca="1">ROUNDUP(IF(OR(race="Gnome",race="Imperial Gnome"),1-AC129,(1-MIN(AB129*smithy_bonus,smithy_bonus_cap)-AC129)*(1+Techs!AO129*tech_master_of_frugality))*spec_dp_ore,0)</f>
        <v>10</v>
      </c>
      <c r="BV129" s="164">
        <f t="shared" ca="1" si="118"/>
        <v>0</v>
      </c>
      <c r="BW129" s="164">
        <f t="shared" ca="1" si="119"/>
        <v>0</v>
      </c>
      <c r="BX129" s="164">
        <f t="shared" ca="1" si="120"/>
        <v>0</v>
      </c>
      <c r="BY129" s="164">
        <f ca="1">ROUNDUP((1-MIN(AB129*smithy_bonus,smithy_bonus_cap)-AC129)*(1+Techs!AO129*tech_master_of_frugality)*elite1_plat,0)</f>
        <v>1000</v>
      </c>
      <c r="BZ129" s="164">
        <f ca="1">ROUNDUP(IF(OR(race="Gnome",race="Imperial Gnome"),1-AC129,(1-MIN(AB129*smithy_bonus,smithy_bonus_cap)-AC129)*(1+Techs!AO129*tech_master_of_frugality))*elite1_ore,0)</f>
        <v>75</v>
      </c>
      <c r="CA129" s="164">
        <f t="shared" ca="1" si="163"/>
        <v>0</v>
      </c>
      <c r="CB129" s="164">
        <f t="shared" ca="1" si="121"/>
        <v>0</v>
      </c>
      <c r="CC129" s="164">
        <f t="shared" ca="1" si="122"/>
        <v>0</v>
      </c>
      <c r="CD129" s="164">
        <f t="shared" ca="1" si="123"/>
        <v>0</v>
      </c>
      <c r="CE129" s="164">
        <f t="shared" ca="1" si="124"/>
        <v>0</v>
      </c>
      <c r="CF129" s="164">
        <f ca="1">ROUNDUP((1-MIN(AB129*smithy_bonus,smithy_bonus_cap)-AC129)*(1+Techs!AO129*tech_master_of_frugality)*elite2_plat,0)</f>
        <v>1250</v>
      </c>
      <c r="CG129" s="164">
        <f ca="1">ROUNDUP(IF(OR(race="Gnome",race="Imperial Gnome"),1-AC129,(1-MIN(AB129*smithy_bonus,smithy_bonus_cap)-AC129)*(1+Techs!AO129*tech_master_of_frugality))*elite2_ore,0)</f>
        <v>100</v>
      </c>
      <c r="CH129" s="164">
        <f t="shared" ca="1" si="164"/>
        <v>0</v>
      </c>
      <c r="CI129" s="164">
        <f t="shared" ca="1" si="125"/>
        <v>0</v>
      </c>
      <c r="CJ129" s="164">
        <f t="shared" ca="1" si="126"/>
        <v>0</v>
      </c>
      <c r="CK129" s="164">
        <f t="shared" ca="1" si="127"/>
        <v>0</v>
      </c>
      <c r="CL129" s="164">
        <f t="shared" ca="1" si="128"/>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4">
        <f ca="1">Construction!DF129/Construction!E129</f>
        <v>0.15</v>
      </c>
      <c r="CR129" s="465">
        <f t="shared" si="165"/>
        <v>0</v>
      </c>
      <c r="CS129" s="465">
        <f>Construction!BK129/Construction!E129</f>
        <v>0.05</v>
      </c>
      <c r="CT129" s="465">
        <f>Construction!BJ129/Construction!E129</f>
        <v>0</v>
      </c>
      <c r="CU129" s="465">
        <f>Construction!AY129/Construction!E129</f>
        <v>0</v>
      </c>
      <c r="CV129" s="486">
        <f t="shared" ca="1" si="183"/>
        <v>0.74999999999999989</v>
      </c>
      <c r="CW129" s="487">
        <f t="shared" ca="1" si="184"/>
        <v>0.74999999999999989</v>
      </c>
      <c r="CX129" s="487">
        <f t="shared" ca="1" si="185"/>
        <v>0.74999999999999989</v>
      </c>
      <c r="CY129" s="488">
        <f t="shared" ca="1" si="186"/>
        <v>0.74999999999999989</v>
      </c>
      <c r="CZ129" s="488">
        <f t="shared" si="187"/>
        <v>0</v>
      </c>
      <c r="DA129" s="488">
        <f t="shared" ca="1" si="188"/>
        <v>2.9999999999999996</v>
      </c>
      <c r="DB129" s="488">
        <f t="shared" ca="1" si="189"/>
        <v>0.74999999999999989</v>
      </c>
      <c r="DC129" s="487">
        <f t="shared" si="190"/>
        <v>0</v>
      </c>
      <c r="DD129" s="843">
        <f t="shared" si="191"/>
        <v>0</v>
      </c>
      <c r="DE129" s="441">
        <f t="shared" si="166"/>
        <v>0</v>
      </c>
      <c r="DF129" s="441">
        <f t="shared" si="167"/>
        <v>0</v>
      </c>
      <c r="DG129" s="486">
        <f t="shared" ca="1" si="192"/>
        <v>0.74999999999999989</v>
      </c>
      <c r="DH129" s="451">
        <f t="shared" si="193"/>
        <v>0</v>
      </c>
      <c r="DI129" s="451">
        <f>MIN(valkyrja_cap,Production!O129/valkyrja_bonus)</f>
        <v>1</v>
      </c>
      <c r="DJ129" s="843">
        <f>MIN(voodoo_magi_cap,Production!O129/voodoo_magi_bonus)</f>
        <v>0.83333333333333337</v>
      </c>
      <c r="DK129" s="843">
        <f>MIN(warlock_cap,Production!O129/warlock_bonus)</f>
        <v>1</v>
      </c>
      <c r="DL129" s="843">
        <f ca="1">MIN(nox_nightshade_cap,Construction!DF129/Construction!E129/nox_nightshade_swamp_bonus)</f>
        <v>1.4999999999999998</v>
      </c>
      <c r="DM129" s="487">
        <f t="shared" si="194"/>
        <v>0</v>
      </c>
      <c r="DN129" s="488">
        <f t="shared" ca="1" si="195"/>
        <v>1.4999999999999998</v>
      </c>
      <c r="DO129" s="488">
        <f t="shared" ca="1" si="196"/>
        <v>1.4999999999999998</v>
      </c>
      <c r="DP129" s="488">
        <f t="shared" si="197"/>
        <v>1</v>
      </c>
      <c r="DQ129" s="487">
        <f t="shared" si="198"/>
        <v>0</v>
      </c>
      <c r="DR129" s="488">
        <f t="shared" si="199"/>
        <v>0</v>
      </c>
      <c r="DS129" s="487">
        <f t="shared" si="200"/>
        <v>0</v>
      </c>
      <c r="DT129" s="488">
        <f t="shared" si="201"/>
        <v>0</v>
      </c>
      <c r="DX129" s="486">
        <f ca="1">MIN(6,CV129+Races!$F$19)*1.8 +  IF(CV129+Races!$F$19&gt;6,(CV129+Races!$F$19-6)*0.2,0) - Races!$N$19</f>
        <v>1.3500000000000005</v>
      </c>
      <c r="DY129" s="487">
        <f ca="1">1.8 * MIN(MAX(CW129+Races!$E$20,CX129+Races!$F$20),6)  +  0.45 * MIN(MIN(CW129+Races!$E$20,CX129+Races!$F$20),6)  +  0.2 * ( MAX(CW129+Races!$E$20-6,0) + MAX(CX129+Races!$F$20-6,0) )  -  Races!$N$20</f>
        <v>1.6874999999999991</v>
      </c>
      <c r="DZ129" s="57">
        <f t="shared" ca="1" si="202"/>
        <v>0</v>
      </c>
      <c r="EA129" s="663">
        <f ca="1">MIN(6,CY129+Races!$F$35)*1.8 +  IF(CY129+Races!$F$35&gt;6,(CY129+Races!$F$35-6)*0.2,0) - Races!$N$19</f>
        <v>-0.45000000000000018</v>
      </c>
      <c r="EB129" s="57">
        <f t="shared" ca="1" si="203"/>
        <v>0</v>
      </c>
      <c r="EC129" s="663">
        <f ca="1">1.8 * MIN(MAX(Races!$E$27,DB129+Races!$F$27),6)  +  0.45 * MIN(MIN(Races!$E$27,DB129+Races!$F$27),6)  +  0.2 * ( MAX(Races!$E$27-6,0) + MAX(DB129+Races!$F$27-6,0) )  -  Races!$N$20</f>
        <v>3.6000000000000005</v>
      </c>
      <c r="ED129" s="57">
        <f t="shared" ca="1" si="204"/>
        <v>0</v>
      </c>
      <c r="EE129" s="663">
        <f>1.8 * MIN(MAX(DC129+Races!$E$47,DD129+Races!$F$47),6)  +  0.45 * MIN(MIN(DC129+Races!$E$47,DD129+Races!$F$47),6)  +  0.2 * ( MAX(DC129+Races!$E$47-6,0) + MAX(DD129+Races!$F$47-6,0) )  -  Races!$N$47</f>
        <v>0</v>
      </c>
      <c r="EF129" s="57">
        <f t="shared" si="205"/>
        <v>0</v>
      </c>
      <c r="EG129" s="663">
        <f ca="1">1.8 * MIN(MAX(DG129+Races!$F$71,Races!$E$71),6)  +  0.45 * MIN(MIN(DG129+Races!$F$71,Races!$E$71),6)  +  0.2 * ( MAX(DG129+Races!$F$71-6,0) + MAX(Races!$E$71-6,0) )  -  Races!$N$71</f>
        <v>1.3499999999999996</v>
      </c>
      <c r="EH129" s="663">
        <f>1.8 * MIN(MAX(DH129+Races!$E$71,Races!$F$71),6)  +  0.45 * MIN(MIN(DH129+Races!$E$71,Races!$F$71),6)  +  0.2 * ( MAX(DH129+Races!$E$71-6,0) + MAX(Races!$F$71-6,0) )  -  Races!$N$71</f>
        <v>0</v>
      </c>
      <c r="EI129" s="57">
        <f t="shared" ca="1" si="206"/>
        <v>0</v>
      </c>
      <c r="EJ129" s="57"/>
      <c r="EK129" s="57"/>
      <c r="EL129" s="57"/>
      <c r="EM129" s="57">
        <f ca="1">Overview!$L$22*E129+Overview!$L$23*F129+Overview!$L$24*G129+Overview!$L$25*H129+Overview!$L$26*I129+Overview!$L$27*J129+Overview!$L$28*K129+Construction!E129*20+Construction!B129*5 + DZ129*$DV$4+EB129*$DV$5+ED129*$DV$6+EF129*$DV$7+EI129*$DV$9</f>
        <v>20900</v>
      </c>
      <c r="EO129" s="734">
        <f>(J129+2*K129)/Construction!E129</f>
        <v>0</v>
      </c>
      <c r="EP129" s="730">
        <f ca="1">EO129*(1+race_wizard_strength+tech_magical_weaponry_wiz*Techs!AV201)</f>
        <v>0</v>
      </c>
      <c r="EQ129" s="16">
        <f>(I129+halfer*H129/3)/Construction!E129</f>
        <v>0</v>
      </c>
    </row>
    <row r="130" spans="1:147" s="16" customFormat="1" x14ac:dyDescent="0.25">
      <c r="A130" s="627">
        <f>Rezone!J130</f>
        <v>128</v>
      </c>
      <c r="B130" s="56">
        <f ca="1">SUM(E130:K130)+SUM(AF122:AG130)+SUM(AH119:AL130)+Z130+Explore!AL130</f>
        <v>5295</v>
      </c>
      <c r="C130" s="97">
        <f ca="1">Population!G130</f>
        <v>0.74159663865546221</v>
      </c>
      <c r="E130" s="52">
        <f t="shared" si="207"/>
        <v>0</v>
      </c>
      <c r="F130" s="16">
        <f t="shared" si="208"/>
        <v>0</v>
      </c>
      <c r="G130" s="16">
        <f t="shared" si="209"/>
        <v>0</v>
      </c>
      <c r="H130" s="16">
        <f t="shared" si="210"/>
        <v>0</v>
      </c>
      <c r="I130" s="16">
        <f t="shared" si="211"/>
        <v>0</v>
      </c>
      <c r="J130" s="16">
        <f t="shared" si="212"/>
        <v>0</v>
      </c>
      <c r="K130" s="53">
        <f t="shared" si="213"/>
        <v>0</v>
      </c>
      <c r="M130" s="64">
        <f ca="1">Production!G130</f>
        <v>20900</v>
      </c>
      <c r="O130" s="142">
        <f t="shared" ca="1" si="179"/>
        <v>0</v>
      </c>
      <c r="P130" s="454">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53"/>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80"/>
        <v>5295</v>
      </c>
      <c r="T130" s="1047">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1">
        <f t="shared" ca="1" si="154"/>
        <v>0</v>
      </c>
      <c r="V130" s="310">
        <f t="shared" ca="1" si="155"/>
        <v>5295</v>
      </c>
      <c r="W130" s="310">
        <f>Construction!E130</f>
        <v>1000</v>
      </c>
      <c r="X130" s="367"/>
      <c r="Y130" s="146">
        <f t="shared" si="178"/>
        <v>0.4</v>
      </c>
      <c r="Z130" s="166">
        <f ca="1">Z129+Population!Z129 - IF(race="Lux",AF130,SUM(AF130:AK130)) - BE130 + SUM(BF130:BL130) - Explore!AI130</f>
        <v>5295</v>
      </c>
      <c r="AA130" s="164"/>
      <c r="AB130" s="91">
        <f>(Construction!$BA130+Construction!BY130)/(Construction!$E130-Explore!S130*20)</f>
        <v>0</v>
      </c>
      <c r="AC130" s="1516">
        <f ca="1">Imps!AE130</f>
        <v>0</v>
      </c>
      <c r="AD130" s="795">
        <f>Rezone!J130</f>
        <v>128</v>
      </c>
      <c r="AE130" s="587">
        <f>Explore!AA130</f>
        <v>43769.322916666359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81"/>
        <v>0</v>
      </c>
      <c r="AV130" s="164">
        <f t="shared" ca="1" si="182"/>
        <v>0</v>
      </c>
      <c r="AW130" s="164">
        <f t="shared" ca="1" si="156"/>
        <v>0</v>
      </c>
      <c r="AX130" s="164">
        <f t="shared" ca="1" si="157"/>
        <v>0</v>
      </c>
      <c r="AY130" s="164">
        <f t="shared" ca="1" si="158"/>
        <v>0</v>
      </c>
      <c r="AZ130" s="164">
        <f t="shared" ca="1" si="159"/>
        <v>0</v>
      </c>
      <c r="BA130" s="166">
        <f t="shared" ca="1" si="160"/>
        <v>0</v>
      </c>
      <c r="BB130" s="16">
        <v>56</v>
      </c>
      <c r="BC130" s="572">
        <f t="shared" si="161"/>
        <v>43769.322916666359</v>
      </c>
      <c r="BD130" s="148">
        <f t="shared" ca="1" si="162"/>
        <v>5295</v>
      </c>
      <c r="BE130" s="356"/>
      <c r="BF130" s="348"/>
      <c r="BG130" s="348"/>
      <c r="BH130" s="348"/>
      <c r="BI130" s="348"/>
      <c r="BJ130" s="348"/>
      <c r="BK130" s="348"/>
      <c r="BL130" s="357"/>
      <c r="BN130" s="501">
        <f>Construction!BM130/Construction!E130</f>
        <v>0</v>
      </c>
      <c r="BO130" s="171">
        <f>Construction!BD130/Construction!E130</f>
        <v>0</v>
      </c>
      <c r="BP130" s="152">
        <f ca="1">ROUNDUP((1-MIN(AB130*smithy_bonus,smithy_bonus_cap)-AC130)*(1+Techs!AO130*tech_master_of_frugality)*spec_op_plat,0)</f>
        <v>275</v>
      </c>
      <c r="BQ130" s="164">
        <f ca="1">ROUNDUP(IF(OR(race="Gnome",race="Imperial Gnome"),1-AC130,(1-MIN(AB130*smithy_bonus,smithy_bonus_cap)-AC130)*(1+Techs!AO130*tech_master_of_frugality))*spec_op_ore,0)</f>
        <v>25</v>
      </c>
      <c r="BR130" s="164">
        <f t="shared" si="116"/>
        <v>0</v>
      </c>
      <c r="BS130" s="164">
        <f t="shared" si="117"/>
        <v>0</v>
      </c>
      <c r="BT130" s="164">
        <f ca="1">ROUNDUP((1-MIN(AB130*smithy_bonus,smithy_bonus_cap)-AC130)*(1+Techs!AO130*tech_master_of_frugality)*spec_dp_plat,0)</f>
        <v>275</v>
      </c>
      <c r="BU130" s="164">
        <f ca="1">ROUNDUP(IF(OR(race="Gnome",race="Imperial Gnome"),1-AC130,(1-MIN(AB130*smithy_bonus,smithy_bonus_cap)-AC130)*(1+Techs!AO130*tech_master_of_frugality))*spec_dp_ore,0)</f>
        <v>10</v>
      </c>
      <c r="BV130" s="164">
        <f t="shared" ca="1" si="118"/>
        <v>0</v>
      </c>
      <c r="BW130" s="164">
        <f t="shared" ca="1" si="119"/>
        <v>0</v>
      </c>
      <c r="BX130" s="164">
        <f t="shared" ca="1" si="120"/>
        <v>0</v>
      </c>
      <c r="BY130" s="164">
        <f ca="1">ROUNDUP((1-MIN(AB130*smithy_bonus,smithy_bonus_cap)-AC130)*(1+Techs!AO130*tech_master_of_frugality)*elite1_plat,0)</f>
        <v>1000</v>
      </c>
      <c r="BZ130" s="164">
        <f ca="1">ROUNDUP(IF(OR(race="Gnome",race="Imperial Gnome"),1-AC130,(1-MIN(AB130*smithy_bonus,smithy_bonus_cap)-AC130)*(1+Techs!AO130*tech_master_of_frugality))*elite1_ore,0)</f>
        <v>75</v>
      </c>
      <c r="CA130" s="164">
        <f t="shared" ca="1" si="163"/>
        <v>0</v>
      </c>
      <c r="CB130" s="164">
        <f t="shared" ca="1" si="121"/>
        <v>0</v>
      </c>
      <c r="CC130" s="164">
        <f t="shared" ca="1" si="122"/>
        <v>0</v>
      </c>
      <c r="CD130" s="164">
        <f t="shared" ca="1" si="123"/>
        <v>0</v>
      </c>
      <c r="CE130" s="164">
        <f t="shared" ca="1" si="124"/>
        <v>0</v>
      </c>
      <c r="CF130" s="164">
        <f ca="1">ROUNDUP((1-MIN(AB130*smithy_bonus,smithy_bonus_cap)-AC130)*(1+Techs!AO130*tech_master_of_frugality)*elite2_plat,0)</f>
        <v>1250</v>
      </c>
      <c r="CG130" s="164">
        <f ca="1">ROUNDUP(IF(OR(race="Gnome",race="Imperial Gnome"),1-AC130,(1-MIN(AB130*smithy_bonus,smithy_bonus_cap)-AC130)*(1+Techs!AO130*tech_master_of_frugality))*elite2_ore,0)</f>
        <v>100</v>
      </c>
      <c r="CH130" s="164">
        <f t="shared" ca="1" si="164"/>
        <v>0</v>
      </c>
      <c r="CI130" s="164">
        <f t="shared" ca="1" si="125"/>
        <v>0</v>
      </c>
      <c r="CJ130" s="164">
        <f t="shared" ca="1" si="126"/>
        <v>0</v>
      </c>
      <c r="CK130" s="164">
        <f t="shared" ca="1" si="127"/>
        <v>0</v>
      </c>
      <c r="CL130" s="164">
        <f t="shared" ca="1" si="128"/>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4">
        <f ca="1">Construction!DF130/Construction!E130</f>
        <v>0.15</v>
      </c>
      <c r="CR130" s="465">
        <f t="shared" si="165"/>
        <v>0</v>
      </c>
      <c r="CS130" s="465">
        <f>Construction!BK130/Construction!E130</f>
        <v>0.05</v>
      </c>
      <c r="CT130" s="465">
        <f>Construction!BJ130/Construction!E130</f>
        <v>0</v>
      </c>
      <c r="CU130" s="465">
        <f>Construction!AY130/Construction!E130</f>
        <v>0</v>
      </c>
      <c r="CV130" s="486">
        <f t="shared" ca="1" si="183"/>
        <v>0.74999999999999989</v>
      </c>
      <c r="CW130" s="487">
        <f t="shared" ca="1" si="184"/>
        <v>0.74999999999999989</v>
      </c>
      <c r="CX130" s="487">
        <f t="shared" ca="1" si="185"/>
        <v>0.74999999999999989</v>
      </c>
      <c r="CY130" s="488">
        <f t="shared" ca="1" si="186"/>
        <v>0.74999999999999989</v>
      </c>
      <c r="CZ130" s="488">
        <f t="shared" si="187"/>
        <v>0</v>
      </c>
      <c r="DA130" s="488">
        <f t="shared" ca="1" si="188"/>
        <v>2.9999999999999996</v>
      </c>
      <c r="DB130" s="488">
        <f t="shared" ca="1" si="189"/>
        <v>0.74999999999999989</v>
      </c>
      <c r="DC130" s="487">
        <f t="shared" si="190"/>
        <v>0</v>
      </c>
      <c r="DD130" s="843">
        <f t="shared" si="191"/>
        <v>0</v>
      </c>
      <c r="DE130" s="441">
        <f t="shared" si="166"/>
        <v>0</v>
      </c>
      <c r="DF130" s="441">
        <f t="shared" si="167"/>
        <v>0</v>
      </c>
      <c r="DG130" s="486">
        <f t="shared" ca="1" si="192"/>
        <v>0.74999999999999989</v>
      </c>
      <c r="DH130" s="451">
        <f t="shared" si="193"/>
        <v>0</v>
      </c>
      <c r="DI130" s="451">
        <f>MIN(valkyrja_cap,Production!O130/valkyrja_bonus)</f>
        <v>1</v>
      </c>
      <c r="DJ130" s="843">
        <f>MIN(voodoo_magi_cap,Production!O130/voodoo_magi_bonus)</f>
        <v>0.83333333333333337</v>
      </c>
      <c r="DK130" s="843">
        <f>MIN(warlock_cap,Production!O130/warlock_bonus)</f>
        <v>1</v>
      </c>
      <c r="DL130" s="843">
        <f ca="1">MIN(nox_nightshade_cap,Construction!DF130/Construction!E130/nox_nightshade_swamp_bonus)</f>
        <v>1.4999999999999998</v>
      </c>
      <c r="DM130" s="487">
        <f t="shared" si="194"/>
        <v>0</v>
      </c>
      <c r="DN130" s="488">
        <f t="shared" ca="1" si="195"/>
        <v>1.4999999999999998</v>
      </c>
      <c r="DO130" s="488">
        <f t="shared" ca="1" si="196"/>
        <v>1.4999999999999998</v>
      </c>
      <c r="DP130" s="488">
        <f t="shared" si="197"/>
        <v>1</v>
      </c>
      <c r="DQ130" s="487">
        <f t="shared" si="198"/>
        <v>0</v>
      </c>
      <c r="DR130" s="488">
        <f t="shared" si="199"/>
        <v>0</v>
      </c>
      <c r="DS130" s="487">
        <f t="shared" si="200"/>
        <v>0</v>
      </c>
      <c r="DT130" s="488">
        <f t="shared" si="201"/>
        <v>0</v>
      </c>
      <c r="DX130" s="486">
        <f ca="1">MIN(6,CV130+Races!$F$19)*1.8 +  IF(CV130+Races!$F$19&gt;6,(CV130+Races!$F$19-6)*0.2,0) - Races!$N$19</f>
        <v>1.3500000000000005</v>
      </c>
      <c r="DY130" s="487">
        <f ca="1">1.8 * MIN(MAX(CW130+Races!$E$20,CX130+Races!$F$20),6)  +  0.45 * MIN(MIN(CW130+Races!$E$20,CX130+Races!$F$20),6)  +  0.2 * ( MAX(CW130+Races!$E$20-6,0) + MAX(CX130+Races!$F$20-6,0) )  -  Races!$N$20</f>
        <v>1.6874999999999991</v>
      </c>
      <c r="DZ130" s="57">
        <f t="shared" ca="1" si="202"/>
        <v>0</v>
      </c>
      <c r="EA130" s="663">
        <f ca="1">MIN(6,CY130+Races!$F$35)*1.8 +  IF(CY130+Races!$F$35&gt;6,(CY130+Races!$F$35-6)*0.2,0) - Races!$N$19</f>
        <v>-0.45000000000000018</v>
      </c>
      <c r="EB130" s="57">
        <f t="shared" ca="1" si="203"/>
        <v>0</v>
      </c>
      <c r="EC130" s="663">
        <f ca="1">1.8 * MIN(MAX(Races!$E$27,DB130+Races!$F$27),6)  +  0.45 * MIN(MIN(Races!$E$27,DB130+Races!$F$27),6)  +  0.2 * ( MAX(Races!$E$27-6,0) + MAX(DB130+Races!$F$27-6,0) )  -  Races!$N$20</f>
        <v>3.6000000000000005</v>
      </c>
      <c r="ED130" s="57">
        <f t="shared" ca="1" si="204"/>
        <v>0</v>
      </c>
      <c r="EE130" s="663">
        <f>1.8 * MIN(MAX(DC130+Races!$E$47,DD130+Races!$F$47),6)  +  0.45 * MIN(MIN(DC130+Races!$E$47,DD130+Races!$F$47),6)  +  0.2 * ( MAX(DC130+Races!$E$47-6,0) + MAX(DD130+Races!$F$47-6,0) )  -  Races!$N$47</f>
        <v>0</v>
      </c>
      <c r="EF130" s="57">
        <f t="shared" si="205"/>
        <v>0</v>
      </c>
      <c r="EG130" s="663">
        <f ca="1">1.8 * MIN(MAX(DG130+Races!$F$71,Races!$E$71),6)  +  0.45 * MIN(MIN(DG130+Races!$F$71,Races!$E$71),6)  +  0.2 * ( MAX(DG130+Races!$F$71-6,0) + MAX(Races!$E$71-6,0) )  -  Races!$N$71</f>
        <v>1.3499999999999996</v>
      </c>
      <c r="EH130" s="663">
        <f>1.8 * MIN(MAX(DH130+Races!$E$71,Races!$F$71),6)  +  0.45 * MIN(MIN(DH130+Races!$E$71,Races!$F$71),6)  +  0.2 * ( MAX(DH130+Races!$E$71-6,0) + MAX(Races!$F$71-6,0) )  -  Races!$N$71</f>
        <v>0</v>
      </c>
      <c r="EI130" s="57">
        <f t="shared" ca="1" si="206"/>
        <v>0</v>
      </c>
      <c r="EJ130" s="57"/>
      <c r="EK130" s="57"/>
      <c r="EL130" s="57"/>
      <c r="EM130" s="57">
        <f ca="1">Overview!$L$22*E130+Overview!$L$23*F130+Overview!$L$24*G130+Overview!$L$25*H130+Overview!$L$26*I130+Overview!$L$27*J130+Overview!$L$28*K130+Construction!E130*20+Construction!B130*5 + DZ130*$DV$4+EB130*$DV$5+ED130*$DV$6+EF130*$DV$7+EI130*$DV$9</f>
        <v>20900</v>
      </c>
      <c r="EO130" s="734">
        <f>(J130+2*K130)/Construction!E130</f>
        <v>0</v>
      </c>
      <c r="EP130" s="730">
        <f ca="1">EO130*(1+race_wizard_strength+tech_magical_weaponry_wiz*Techs!AV202)</f>
        <v>0</v>
      </c>
      <c r="EQ130" s="16">
        <f>(I130+halfer*H130/3)/Construction!E130</f>
        <v>0</v>
      </c>
    </row>
    <row r="131" spans="1:147" s="16" customFormat="1" x14ac:dyDescent="0.25">
      <c r="A131" s="627">
        <f>Rezone!J131</f>
        <v>129</v>
      </c>
      <c r="B131" s="56">
        <f ca="1">SUM(E131:K131)+SUM(AF123:AG131)+SUM(AH120:AL131)+Z131+Explore!AL131</f>
        <v>5295</v>
      </c>
      <c r="C131" s="97">
        <f ca="1">Population!G131</f>
        <v>0.74159663865546221</v>
      </c>
      <c r="E131" s="52">
        <f t="shared" si="207"/>
        <v>0</v>
      </c>
      <c r="F131" s="16">
        <f t="shared" si="208"/>
        <v>0</v>
      </c>
      <c r="G131" s="16">
        <f t="shared" si="209"/>
        <v>0</v>
      </c>
      <c r="H131" s="16">
        <f t="shared" si="210"/>
        <v>0</v>
      </c>
      <c r="I131" s="16">
        <f t="shared" si="211"/>
        <v>0</v>
      </c>
      <c r="J131" s="16">
        <f t="shared" si="212"/>
        <v>0</v>
      </c>
      <c r="K131" s="53">
        <f t="shared" si="213"/>
        <v>0</v>
      </c>
      <c r="M131" s="64">
        <f ca="1">Production!G131</f>
        <v>20900</v>
      </c>
      <c r="O131" s="142">
        <f t="shared" ca="1" si="179"/>
        <v>0</v>
      </c>
      <c r="P131" s="454">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53"/>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14">R131+Z131*IF(race="Ants",0.1,IF(race="Growth",0.01,1))</f>
        <v>5295</v>
      </c>
      <c r="T131" s="1047">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1">
        <f t="shared" ca="1" si="154"/>
        <v>0</v>
      </c>
      <c r="V131" s="310">
        <f t="shared" ca="1" si="155"/>
        <v>5295</v>
      </c>
      <c r="W131" s="310">
        <f>Construction!E131</f>
        <v>1000</v>
      </c>
      <c r="X131" s="367"/>
      <c r="Y131" s="146">
        <f t="shared" si="178"/>
        <v>0.4</v>
      </c>
      <c r="Z131" s="166">
        <f ca="1">Z130+Population!Z130 - IF(race="Lux",AF131,SUM(AF131:AK131)) - BE131 + SUM(BF131:BL131) - Explore!AI131</f>
        <v>5295</v>
      </c>
      <c r="AA131" s="164"/>
      <c r="AB131" s="91">
        <f>(Construction!$BA131+Construction!BY131)/(Construction!$E131-Explore!S131*20)</f>
        <v>0</v>
      </c>
      <c r="AC131" s="1516">
        <f ca="1">Imps!AE131</f>
        <v>0</v>
      </c>
      <c r="AD131" s="795">
        <f>Rezone!J131</f>
        <v>129</v>
      </c>
      <c r="AE131" s="587">
        <f>Explore!AA131</f>
        <v>43769.333333333023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81"/>
        <v>0</v>
      </c>
      <c r="AV131" s="164">
        <f t="shared" ca="1" si="182"/>
        <v>0</v>
      </c>
      <c r="AW131" s="164">
        <f t="shared" ca="1" si="156"/>
        <v>0</v>
      </c>
      <c r="AX131" s="164">
        <f t="shared" ca="1" si="157"/>
        <v>0</v>
      </c>
      <c r="AY131" s="164">
        <f t="shared" ca="1" si="158"/>
        <v>0</v>
      </c>
      <c r="AZ131" s="164">
        <f t="shared" ca="1" si="159"/>
        <v>0</v>
      </c>
      <c r="BA131" s="166">
        <f t="shared" ca="1" si="160"/>
        <v>0</v>
      </c>
      <c r="BB131" s="16">
        <v>57</v>
      </c>
      <c r="BC131" s="572">
        <f t="shared" si="161"/>
        <v>43769.333333333023</v>
      </c>
      <c r="BD131" s="148">
        <f t="shared" ca="1" si="162"/>
        <v>5295</v>
      </c>
      <c r="BE131" s="356"/>
      <c r="BF131" s="348"/>
      <c r="BG131" s="348"/>
      <c r="BH131" s="348"/>
      <c r="BI131" s="348"/>
      <c r="BJ131" s="348"/>
      <c r="BK131" s="348"/>
      <c r="BL131" s="357"/>
      <c r="BN131" s="501">
        <f>Construction!BM131/Construction!E131</f>
        <v>0</v>
      </c>
      <c r="BO131" s="171">
        <f>Construction!BD131/Construction!E131</f>
        <v>0</v>
      </c>
      <c r="BP131" s="152">
        <f ca="1">ROUNDUP((1-MIN(AB131*smithy_bonus,smithy_bonus_cap)-AC131)*(1+Techs!AO131*tech_master_of_frugality)*spec_op_plat,0)</f>
        <v>275</v>
      </c>
      <c r="BQ131" s="164">
        <f ca="1">ROUNDUP(IF(OR(race="Gnome",race="Imperial Gnome"),1-AC131,(1-MIN(AB131*smithy_bonus,smithy_bonus_cap)-AC131)*(1+Techs!AO131*tech_master_of_frugality))*spec_op_ore,0)</f>
        <v>25</v>
      </c>
      <c r="BR131" s="164">
        <f t="shared" ref="BR131:BR135" si="215">spec1_mana</f>
        <v>0</v>
      </c>
      <c r="BS131" s="164">
        <f t="shared" ref="BS131:BS135" si="216">spec1_food</f>
        <v>0</v>
      </c>
      <c r="BT131" s="164">
        <f ca="1">ROUNDUP((1-MIN(AB131*smithy_bonus,smithy_bonus_cap)-AC131)*(1+Techs!AO131*tech_master_of_frugality)*spec_dp_plat,0)</f>
        <v>275</v>
      </c>
      <c r="BU131" s="164">
        <f ca="1">ROUNDUP(IF(OR(race="Gnome",race="Imperial Gnome"),1-AC131,(1-MIN(AB131*smithy_bonus,smithy_bonus_cap)-AC131)*(1+Techs!AO131*tech_master_of_frugality))*spec_dp_ore,0)</f>
        <v>10</v>
      </c>
      <c r="BV131" s="164">
        <f t="shared" ref="BV131:BV135" ca="1" si="217">spec2_mana</f>
        <v>0</v>
      </c>
      <c r="BW131" s="164">
        <f t="shared" ref="BW131:BW135" ca="1" si="218">spec2_gems</f>
        <v>0</v>
      </c>
      <c r="BX131" s="164">
        <f t="shared" ref="BX131:BX135" ca="1" si="219">spec2_food</f>
        <v>0</v>
      </c>
      <c r="BY131" s="164">
        <f ca="1">ROUNDUP((1-MIN(AB131*smithy_bonus,smithy_bonus_cap)-AC131)*(1+Techs!AO131*tech_master_of_frugality)*elite1_plat,0)</f>
        <v>1000</v>
      </c>
      <c r="BZ131" s="164">
        <f ca="1">ROUNDUP(IF(OR(race="Gnome",race="Imperial Gnome"),1-AC131,(1-MIN(AB131*smithy_bonus,smithy_bonus_cap)-AC131)*(1+Techs!AO131*tech_master_of_frugality))*elite1_ore,0)</f>
        <v>75</v>
      </c>
      <c r="CA131" s="164">
        <f t="shared" ca="1" si="163"/>
        <v>0</v>
      </c>
      <c r="CB131" s="164">
        <f t="shared" ref="CB131:CB135" ca="1" si="220">elite1_gems</f>
        <v>0</v>
      </c>
      <c r="CC131" s="164">
        <f t="shared" ref="CC131:CC135" ca="1" si="221">elite1_mana</f>
        <v>0</v>
      </c>
      <c r="CD131" s="164">
        <f t="shared" ref="CD131:CD135" ca="1" si="222">elite1_food</f>
        <v>0</v>
      </c>
      <c r="CE131" s="164">
        <f t="shared" ref="CE131:CE135" ca="1" si="223">elite1_boats</f>
        <v>0</v>
      </c>
      <c r="CF131" s="164">
        <f ca="1">ROUNDUP((1-MIN(AB131*smithy_bonus,smithy_bonus_cap)-AC131)*(1+Techs!AO131*tech_master_of_frugality)*elite2_plat,0)</f>
        <v>1250</v>
      </c>
      <c r="CG131" s="164">
        <f ca="1">ROUNDUP(IF(OR(race="Gnome",race="Imperial Gnome"),1-AC131,(1-MIN(AB131*smithy_bonus,smithy_bonus_cap)-AC131)*(1+Techs!AO131*tech_master_of_frugality))*elite2_ore,0)</f>
        <v>100</v>
      </c>
      <c r="CH131" s="164">
        <f t="shared" ca="1" si="164"/>
        <v>0</v>
      </c>
      <c r="CI131" s="164">
        <f t="shared" ref="CI131:CI135" ca="1" si="224">elite2_gems</f>
        <v>0</v>
      </c>
      <c r="CJ131" s="164">
        <f t="shared" ref="CJ131:CJ135" ca="1" si="225">elite2_mana</f>
        <v>0</v>
      </c>
      <c r="CK131" s="164">
        <f t="shared" ref="CK131:CK135" ca="1" si="226">elite2_food</f>
        <v>0</v>
      </c>
      <c r="CL131" s="164">
        <f t="shared" ref="CL131:CL135" ca="1" si="227">elite2_boats</f>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4">
        <f ca="1">Construction!DF131/Construction!E131</f>
        <v>0.15</v>
      </c>
      <c r="CR131" s="465">
        <f t="shared" si="165"/>
        <v>0</v>
      </c>
      <c r="CS131" s="465">
        <f>Construction!BK131/Construction!E131</f>
        <v>0.05</v>
      </c>
      <c r="CT131" s="465">
        <f>Construction!BJ131/Construction!E131</f>
        <v>0</v>
      </c>
      <c r="CU131" s="465">
        <f>Construction!AY131/Construction!E131</f>
        <v>0</v>
      </c>
      <c r="CV131" s="486">
        <f t="shared" ca="1" si="183"/>
        <v>0.74999999999999989</v>
      </c>
      <c r="CW131" s="487">
        <f t="shared" ca="1" si="184"/>
        <v>0.74999999999999989</v>
      </c>
      <c r="CX131" s="487">
        <f t="shared" ca="1" si="185"/>
        <v>0.74999999999999989</v>
      </c>
      <c r="CY131" s="488">
        <f t="shared" ca="1" si="186"/>
        <v>0.74999999999999989</v>
      </c>
      <c r="CZ131" s="488">
        <f t="shared" si="187"/>
        <v>0</v>
      </c>
      <c r="DA131" s="488">
        <f t="shared" ca="1" si="188"/>
        <v>2.9999999999999996</v>
      </c>
      <c r="DB131" s="488">
        <f t="shared" ca="1" si="189"/>
        <v>0.74999999999999989</v>
      </c>
      <c r="DC131" s="487">
        <f t="shared" si="190"/>
        <v>0</v>
      </c>
      <c r="DD131" s="843">
        <f t="shared" si="191"/>
        <v>0</v>
      </c>
      <c r="DE131" s="441">
        <f t="shared" si="166"/>
        <v>0</v>
      </c>
      <c r="DF131" s="441">
        <f t="shared" si="167"/>
        <v>0</v>
      </c>
      <c r="DG131" s="486">
        <f t="shared" ca="1" si="192"/>
        <v>0.74999999999999989</v>
      </c>
      <c r="DH131" s="451">
        <f t="shared" si="193"/>
        <v>0</v>
      </c>
      <c r="DI131" s="451">
        <f>MIN(valkyrja_cap,Production!O131/valkyrja_bonus)</f>
        <v>1</v>
      </c>
      <c r="DJ131" s="843">
        <f>MIN(voodoo_magi_cap,Production!O131/voodoo_magi_bonus)</f>
        <v>0.83333333333333337</v>
      </c>
      <c r="DK131" s="843">
        <f>MIN(warlock_cap,Production!O131/warlock_bonus)</f>
        <v>1</v>
      </c>
      <c r="DL131" s="843">
        <f ca="1">MIN(nox_nightshade_cap,Construction!DF131/Construction!E131/nox_nightshade_swamp_bonus)</f>
        <v>1.4999999999999998</v>
      </c>
      <c r="DM131" s="487">
        <f t="shared" si="194"/>
        <v>0</v>
      </c>
      <c r="DN131" s="488">
        <f t="shared" ca="1" si="195"/>
        <v>1.4999999999999998</v>
      </c>
      <c r="DO131" s="488">
        <f t="shared" ca="1" si="196"/>
        <v>1.4999999999999998</v>
      </c>
      <c r="DP131" s="488">
        <f t="shared" si="197"/>
        <v>1</v>
      </c>
      <c r="DQ131" s="487">
        <f t="shared" si="198"/>
        <v>0</v>
      </c>
      <c r="DR131" s="488">
        <f t="shared" si="199"/>
        <v>0</v>
      </c>
      <c r="DS131" s="487">
        <f t="shared" si="200"/>
        <v>0</v>
      </c>
      <c r="DT131" s="488">
        <f t="shared" si="201"/>
        <v>0</v>
      </c>
      <c r="DX131" s="486">
        <f ca="1">MIN(6,CV131+Races!$F$19)*1.8 +  IF(CV131+Races!$F$19&gt;6,(CV131+Races!$F$19-6)*0.2,0) - Races!$N$19</f>
        <v>1.3500000000000005</v>
      </c>
      <c r="DY131" s="487">
        <f ca="1">1.8 * MIN(MAX(CW131+Races!$E$20,CX131+Races!$F$20),6)  +  0.45 * MIN(MIN(CW131+Races!$E$20,CX131+Races!$F$20),6)  +  0.2 * ( MAX(CW131+Races!$E$20-6,0) + MAX(CX131+Races!$F$20-6,0) )  -  Races!$N$20</f>
        <v>1.6874999999999991</v>
      </c>
      <c r="DZ131" s="57">
        <f t="shared" ref="DZ131:DZ135" ca="1" si="228">DX131*G131+DY131*H131</f>
        <v>0</v>
      </c>
      <c r="EA131" s="663">
        <f ca="1">MIN(6,CY131+Races!$F$35)*1.8 +  IF(CY131+Races!$F$35&gt;6,(CY131+Races!$F$35-6)*0.2,0) - Races!$N$19</f>
        <v>-0.45000000000000018</v>
      </c>
      <c r="EB131" s="57">
        <f t="shared" ca="1" si="203"/>
        <v>0</v>
      </c>
      <c r="EC131" s="663">
        <f ca="1">1.8 * MIN(MAX(Races!$E$27,DB131+Races!$F$27),6)  +  0.45 * MIN(MIN(Races!$E$27,DB131+Races!$F$27),6)  +  0.2 * ( MAX(Races!$E$27-6,0) + MAX(DB131+Races!$F$27-6,0) )  -  Races!$N$20</f>
        <v>3.6000000000000005</v>
      </c>
      <c r="ED131" s="57">
        <f t="shared" ref="ED131:ED135" ca="1" si="229">$DV$6*(EC131*G131)</f>
        <v>0</v>
      </c>
      <c r="EE131" s="663">
        <f>1.8 * MIN(MAX(DC131+Races!$E$47,DD131+Races!$F$47),6)  +  0.45 * MIN(MIN(DC131+Races!$E$47,DD131+Races!$F$47),6)  +  0.2 * ( MAX(DC131+Races!$E$47-6,0) + MAX(DD131+Races!$F$47-6,0) )  -  Races!$N$47</f>
        <v>0</v>
      </c>
      <c r="EF131" s="57">
        <f t="shared" ref="EF131:EF135" si="230">$DV$7*(EE131*G131)</f>
        <v>0</v>
      </c>
      <c r="EG131" s="663">
        <f ca="1">1.8 * MIN(MAX(DG131+Races!$F$71,Races!$E$71),6)  +  0.45 * MIN(MIN(DG131+Races!$F$71,Races!$E$71),6)  +  0.2 * ( MAX(DG131+Races!$F$71-6,0) + MAX(Races!$E$71-6,0) )  -  Races!$N$71</f>
        <v>1.3499999999999996</v>
      </c>
      <c r="EH131" s="663">
        <f>1.8 * MIN(MAX(DH131+Races!$E$71,Races!$F$71),6)  +  0.45 * MIN(MIN(DH131+Races!$E$71,Races!$F$71),6)  +  0.2 * ( MAX(DH131+Races!$E$71-6,0) + MAX(Races!$F$71-6,0) )  -  Races!$N$71</f>
        <v>0</v>
      </c>
      <c r="EI131" s="57">
        <f t="shared" ref="EI131:EI135" ca="1" si="231">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4">
        <f>(J131+2*K131)/Construction!E131</f>
        <v>0</v>
      </c>
      <c r="EP131" s="730">
        <f ca="1">EO131*(1+race_wizard_strength+tech_magical_weaponry_wiz*Techs!AV203)</f>
        <v>0</v>
      </c>
      <c r="EQ131" s="16">
        <f>(I131+halfer*H131/3)/Construction!E131</f>
        <v>0</v>
      </c>
    </row>
    <row r="132" spans="1:147" s="16" customFormat="1" x14ac:dyDescent="0.25">
      <c r="A132" s="627">
        <f>Rezone!J132</f>
        <v>130</v>
      </c>
      <c r="B132" s="56">
        <f ca="1">SUM(E132:K132)+SUM(AF124:AG132)+SUM(AH121:AL132)+Z132+Explore!AL132</f>
        <v>5295</v>
      </c>
      <c r="C132" s="97">
        <f ca="1">Population!G132</f>
        <v>0.74159663865546221</v>
      </c>
      <c r="E132" s="52">
        <f t="shared" si="207"/>
        <v>0</v>
      </c>
      <c r="F132" s="16">
        <f t="shared" si="208"/>
        <v>0</v>
      </c>
      <c r="G132" s="16">
        <f t="shared" si="209"/>
        <v>0</v>
      </c>
      <c r="H132" s="16">
        <f t="shared" si="210"/>
        <v>0</v>
      </c>
      <c r="I132" s="16">
        <f t="shared" si="211"/>
        <v>0</v>
      </c>
      <c r="J132" s="16">
        <f t="shared" si="212"/>
        <v>0</v>
      </c>
      <c r="K132" s="53">
        <f t="shared" si="213"/>
        <v>0</v>
      </c>
      <c r="M132" s="64">
        <f ca="1">Production!G132</f>
        <v>20900</v>
      </c>
      <c r="O132" s="142">
        <f t="shared" ca="1" si="179"/>
        <v>0</v>
      </c>
      <c r="P132" s="454">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14"/>
        <v>5295</v>
      </c>
      <c r="T132" s="1047">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1">
        <f ca="1">R132 * (1 + T132)</f>
        <v>0</v>
      </c>
      <c r="V132" s="310">
        <f ca="1">S132 * (1 + T132)</f>
        <v>5295</v>
      </c>
      <c r="W132" s="310">
        <f>Construction!E132</f>
        <v>1000</v>
      </c>
      <c r="X132" s="367"/>
      <c r="Y132" s="146">
        <f t="shared" si="178"/>
        <v>0.4</v>
      </c>
      <c r="Z132" s="166">
        <f ca="1">Z131+Population!Z131 - IF(race="Lux",AF132,SUM(AF132:AK132)) - BE132 + SUM(BF132:BL132) - Explore!AI132</f>
        <v>5295</v>
      </c>
      <c r="AA132" s="164"/>
      <c r="AB132" s="91">
        <f>(Construction!$BA132+Construction!BY132)/(Construction!$E132-Explore!S132*20)</f>
        <v>0</v>
      </c>
      <c r="AC132" s="1516">
        <f ca="1">Imps!AE132</f>
        <v>0</v>
      </c>
      <c r="AD132" s="795">
        <f>Rezone!J132</f>
        <v>130</v>
      </c>
      <c r="AE132" s="587">
        <f>Explore!AA132</f>
        <v>43769.343749999687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81"/>
        <v>0</v>
      </c>
      <c r="AV132" s="164">
        <f t="shared" ca="1" si="182"/>
        <v>0</v>
      </c>
      <c r="AW132" s="164">
        <f t="shared" ref="AW132:AW135" ca="1" si="232">$AH132*CA132+$AI132*CH132</f>
        <v>0</v>
      </c>
      <c r="AX132" s="164">
        <f t="shared" ref="AX132:AX135" ca="1" si="233">$AG132*BW132+$AH132*CB132+$AI132*CI132</f>
        <v>0</v>
      </c>
      <c r="AY132" s="164">
        <f t="shared" ref="AY132:AY135" ca="1" si="234">$AF132*BR132+$AG132*BV132+$AH132*CC132+$AI132*CJ132</f>
        <v>0</v>
      </c>
      <c r="AZ132" s="164">
        <f t="shared" ref="AZ132:AZ135" ca="1" si="235">$AF132*BS132+$AG132*BX132+$AH132*CD132+$AI132*CK132</f>
        <v>0</v>
      </c>
      <c r="BA132" s="166">
        <f t="shared" ref="BA132:BA135" ca="1" si="236">$AH132*CE132+$AI132*CL132</f>
        <v>0</v>
      </c>
      <c r="BB132" s="16">
        <v>58</v>
      </c>
      <c r="BC132" s="572">
        <f>AE132</f>
        <v>43769.343749999687</v>
      </c>
      <c r="BD132" s="148">
        <f ca="1">$Z132</f>
        <v>5295</v>
      </c>
      <c r="BE132" s="356"/>
      <c r="BF132" s="348"/>
      <c r="BG132" s="348"/>
      <c r="BH132" s="348"/>
      <c r="BI132" s="348"/>
      <c r="BJ132" s="348"/>
      <c r="BK132" s="348"/>
      <c r="BL132" s="357"/>
      <c r="BN132" s="501">
        <f>Construction!BM132/Construction!E132</f>
        <v>0</v>
      </c>
      <c r="BO132" s="171">
        <f>Construction!BD132/Construction!E132</f>
        <v>0</v>
      </c>
      <c r="BP132" s="152">
        <f ca="1">ROUNDUP((1-MIN(AB132*smithy_bonus,smithy_bonus_cap)-AC132)*(1+Techs!AO132*tech_master_of_frugality)*spec_op_plat,0)</f>
        <v>275</v>
      </c>
      <c r="BQ132" s="164">
        <f ca="1">ROUNDUP(IF(OR(race="Gnome",race="Imperial Gnome"),1-AC132,(1-MIN(AB132*smithy_bonus,smithy_bonus_cap)-AC132)*(1+Techs!AO132*tech_master_of_frugality))*spec_op_ore,0)</f>
        <v>25</v>
      </c>
      <c r="BR132" s="164">
        <f t="shared" si="215"/>
        <v>0</v>
      </c>
      <c r="BS132" s="164">
        <f t="shared" si="216"/>
        <v>0</v>
      </c>
      <c r="BT132" s="164">
        <f ca="1">ROUNDUP((1-MIN(AB132*smithy_bonus,smithy_bonus_cap)-AC132)*(1+Techs!AO132*tech_master_of_frugality)*spec_dp_plat,0)</f>
        <v>275</v>
      </c>
      <c r="BU132" s="164">
        <f ca="1">ROUNDUP(IF(OR(race="Gnome",race="Imperial Gnome"),1-AC132,(1-MIN(AB132*smithy_bonus,smithy_bonus_cap)-AC132)*(1+Techs!AO132*tech_master_of_frugality))*spec_dp_ore,0)</f>
        <v>10</v>
      </c>
      <c r="BV132" s="164">
        <f t="shared" ca="1" si="217"/>
        <v>0</v>
      </c>
      <c r="BW132" s="164">
        <f t="shared" ca="1" si="218"/>
        <v>0</v>
      </c>
      <c r="BX132" s="164">
        <f t="shared" ca="1" si="219"/>
        <v>0</v>
      </c>
      <c r="BY132" s="164">
        <f ca="1">ROUNDUP((1-MIN(AB132*smithy_bonus,smithy_bonus_cap)-AC132)*(1+Techs!AO132*tech_master_of_frugality)*elite1_plat,0)</f>
        <v>1000</v>
      </c>
      <c r="BZ132" s="164">
        <f ca="1">ROUNDUP(IF(OR(race="Gnome",race="Imperial Gnome"),1-AC132,(1-MIN(AB132*smithy_bonus,smithy_bonus_cap)-AC132)*(1+Techs!AO132*tech_master_of_frugality))*elite1_ore,0)</f>
        <v>75</v>
      </c>
      <c r="CA132" s="164">
        <f t="shared" ref="CA132:CA135" ca="1" si="237">ROUNDUP((1-MIN(AB132*smithy_bonus,smithy_bonus_cap))*elite1_lumber,0)</f>
        <v>0</v>
      </c>
      <c r="CB132" s="164">
        <f t="shared" ca="1" si="220"/>
        <v>0</v>
      </c>
      <c r="CC132" s="164">
        <f t="shared" ca="1" si="221"/>
        <v>0</v>
      </c>
      <c r="CD132" s="164">
        <f t="shared" ca="1" si="222"/>
        <v>0</v>
      </c>
      <c r="CE132" s="164">
        <f t="shared" ca="1" si="223"/>
        <v>0</v>
      </c>
      <c r="CF132" s="164">
        <f ca="1">ROUNDUP((1-MIN(AB132*smithy_bonus,smithy_bonus_cap)-AC132)*(1+Techs!AO132*tech_master_of_frugality)*elite2_plat,0)</f>
        <v>1250</v>
      </c>
      <c r="CG132" s="164">
        <f ca="1">ROUNDUP(IF(OR(race="Gnome",race="Imperial Gnome"),1-AC132,(1-MIN(AB132*smithy_bonus,smithy_bonus_cap)-AC132)*(1+Techs!AO132*tech_master_of_frugality))*elite2_ore,0)</f>
        <v>100</v>
      </c>
      <c r="CH132" s="164">
        <f t="shared" ref="CH132:CH135" ca="1" si="238">ROUNDUP((1-MIN(AB132*smithy_bonus,smithy_bonus_cap))*elite2_lumber,0)</f>
        <v>0</v>
      </c>
      <c r="CI132" s="164">
        <f t="shared" ca="1" si="224"/>
        <v>0</v>
      </c>
      <c r="CJ132" s="164">
        <f t="shared" ca="1" si="225"/>
        <v>0</v>
      </c>
      <c r="CK132" s="164">
        <f t="shared" ca="1" si="226"/>
        <v>0</v>
      </c>
      <c r="CL132" s="164">
        <f t="shared" ca="1" si="227"/>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4">
        <f ca="1">Construction!DF132/Construction!E132</f>
        <v>0.15</v>
      </c>
      <c r="CR132" s="465">
        <f>BN132</f>
        <v>0</v>
      </c>
      <c r="CS132" s="465">
        <f>Construction!BK132/Construction!E132</f>
        <v>0.05</v>
      </c>
      <c r="CT132" s="465">
        <f>Construction!BJ132/Construction!E132</f>
        <v>0</v>
      </c>
      <c r="CU132" s="465">
        <f>Construction!AY132/Construction!E132</f>
        <v>0</v>
      </c>
      <c r="CV132" s="486">
        <f t="shared" ca="1" si="183"/>
        <v>0.74999999999999989</v>
      </c>
      <c r="CW132" s="487">
        <f t="shared" ca="1" si="184"/>
        <v>0.74999999999999989</v>
      </c>
      <c r="CX132" s="487">
        <f t="shared" ca="1" si="185"/>
        <v>0.74999999999999989</v>
      </c>
      <c r="CY132" s="488">
        <f t="shared" ca="1" si="186"/>
        <v>0.74999999999999989</v>
      </c>
      <c r="CZ132" s="488">
        <f t="shared" si="187"/>
        <v>0</v>
      </c>
      <c r="DA132" s="488">
        <f t="shared" ca="1" si="188"/>
        <v>2.9999999999999996</v>
      </c>
      <c r="DB132" s="488">
        <f t="shared" ca="1" si="189"/>
        <v>0.74999999999999989</v>
      </c>
      <c r="DC132" s="487">
        <f t="shared" si="190"/>
        <v>0</v>
      </c>
      <c r="DD132" s="843">
        <f t="shared" si="191"/>
        <v>0</v>
      </c>
      <c r="DE132" s="441">
        <f>MIN(G132,H132)*2</f>
        <v>0</v>
      </c>
      <c r="DF132" s="441">
        <f>MIN(E132,H132)*2</f>
        <v>0</v>
      </c>
      <c r="DG132" s="486">
        <f t="shared" ca="1" si="192"/>
        <v>0.74999999999999989</v>
      </c>
      <c r="DH132" s="451">
        <f t="shared" si="193"/>
        <v>0</v>
      </c>
      <c r="DI132" s="451">
        <f>MIN(valkyrja_cap,Production!O132/valkyrja_bonus)</f>
        <v>1</v>
      </c>
      <c r="DJ132" s="843">
        <f>MIN(voodoo_magi_cap,Production!O132/voodoo_magi_bonus)</f>
        <v>0.83333333333333337</v>
      </c>
      <c r="DK132" s="843">
        <f>MIN(warlock_cap,Production!O132/warlock_bonus)</f>
        <v>1</v>
      </c>
      <c r="DL132" s="843">
        <f ca="1">MIN(nox_nightshade_cap,Construction!DF132/Construction!E132/nox_nightshade_swamp_bonus)</f>
        <v>1.4999999999999998</v>
      </c>
      <c r="DM132" s="487">
        <f t="shared" si="194"/>
        <v>0</v>
      </c>
      <c r="DN132" s="488">
        <f t="shared" ca="1" si="195"/>
        <v>1.4999999999999998</v>
      </c>
      <c r="DO132" s="488">
        <f t="shared" ca="1" si="196"/>
        <v>1.4999999999999998</v>
      </c>
      <c r="DP132" s="488">
        <f t="shared" si="197"/>
        <v>1</v>
      </c>
      <c r="DQ132" s="487">
        <f t="shared" si="198"/>
        <v>0</v>
      </c>
      <c r="DR132" s="488">
        <f t="shared" si="199"/>
        <v>0</v>
      </c>
      <c r="DS132" s="487">
        <f t="shared" si="200"/>
        <v>0</v>
      </c>
      <c r="DT132" s="488">
        <f t="shared" si="201"/>
        <v>0</v>
      </c>
      <c r="DX132" s="486">
        <f ca="1">MIN(6,CV132+Races!$F$19)*1.8 +  IF(CV132+Races!$F$19&gt;6,(CV132+Races!$F$19-6)*0.2,0) - Races!$N$19</f>
        <v>1.3500000000000005</v>
      </c>
      <c r="DY132" s="487">
        <f ca="1">1.8 * MIN(MAX(CW132+Races!$E$20,CX132+Races!$F$20),6)  +  0.45 * MIN(MIN(CW132+Races!$E$20,CX132+Races!$F$20),6)  +  0.2 * ( MAX(CW132+Races!$E$20-6,0) + MAX(CX132+Races!$F$20-6,0) )  -  Races!$N$20</f>
        <v>1.6874999999999991</v>
      </c>
      <c r="DZ132" s="57">
        <f t="shared" ca="1" si="228"/>
        <v>0</v>
      </c>
      <c r="EA132" s="663">
        <f ca="1">MIN(6,CY132+Races!$F$35)*1.8 +  IF(CY132+Races!$F$35&gt;6,(CY132+Races!$F$35-6)*0.2,0) - Races!$N$19</f>
        <v>-0.45000000000000018</v>
      </c>
      <c r="EB132" s="57">
        <f t="shared" ca="1" si="203"/>
        <v>0</v>
      </c>
      <c r="EC132" s="663">
        <f ca="1">1.8 * MIN(MAX(Races!$E$27,DB132+Races!$F$27),6)  +  0.45 * MIN(MIN(Races!$E$27,DB132+Races!$F$27),6)  +  0.2 * ( MAX(Races!$E$27-6,0) + MAX(DB132+Races!$F$27-6,0) )  -  Races!$N$20</f>
        <v>3.6000000000000005</v>
      </c>
      <c r="ED132" s="57">
        <f t="shared" ca="1" si="229"/>
        <v>0</v>
      </c>
      <c r="EE132" s="663">
        <f>1.8 * MIN(MAX(DC132+Races!$E$47,DD132+Races!$F$47),6)  +  0.45 * MIN(MIN(DC132+Races!$E$47,DD132+Races!$F$47),6)  +  0.2 * ( MAX(DC132+Races!$E$47-6,0) + MAX(DD132+Races!$F$47-6,0) )  -  Races!$N$47</f>
        <v>0</v>
      </c>
      <c r="EF132" s="57">
        <f t="shared" si="230"/>
        <v>0</v>
      </c>
      <c r="EG132" s="663">
        <f ca="1">1.8 * MIN(MAX(DG132+Races!$F$71,Races!$E$71),6)  +  0.45 * MIN(MIN(DG132+Races!$F$71,Races!$E$71),6)  +  0.2 * ( MAX(DG132+Races!$F$71-6,0) + MAX(Races!$E$71-6,0) )  -  Races!$N$71</f>
        <v>1.3499999999999996</v>
      </c>
      <c r="EH132" s="663">
        <f>1.8 * MIN(MAX(DH132+Races!$E$71,Races!$F$71),6)  +  0.45 * MIN(MIN(DH132+Races!$E$71,Races!$F$71),6)  +  0.2 * ( MAX(DH132+Races!$E$71-6,0) + MAX(Races!$F$71-6,0) )  -  Races!$N$71</f>
        <v>0</v>
      </c>
      <c r="EI132" s="57">
        <f t="shared" ca="1" si="231"/>
        <v>0</v>
      </c>
      <c r="EJ132" s="57"/>
      <c r="EK132" s="57"/>
      <c r="EL132" s="57"/>
      <c r="EM132" s="57">
        <f ca="1">Overview!$L$22*E132+Overview!$L$23*F132+Overview!$L$24*G132+Overview!$L$25*H132+Overview!$L$26*I132+Overview!$L$27*J132+Overview!$L$28*K132+Construction!E132*20+Construction!B132*5 + DZ132*$DV$4+EB132*$DV$5+ED132*$DV$6+EF132*$DV$7+EI132*$DV$9</f>
        <v>20900</v>
      </c>
      <c r="EO132" s="734">
        <f>(J132+2*K132)/Construction!E132</f>
        <v>0</v>
      </c>
      <c r="EP132" s="730">
        <f ca="1">EO132*(1+race_wizard_strength+tech_magical_weaponry_wiz*Techs!AV204)</f>
        <v>0</v>
      </c>
      <c r="EQ132" s="16">
        <f>(I132+halfer*H132/3)/Construction!E132</f>
        <v>0</v>
      </c>
    </row>
    <row r="133" spans="1:147" s="16" customFormat="1" x14ac:dyDescent="0.25">
      <c r="A133" s="627">
        <f>Rezone!J133</f>
        <v>131</v>
      </c>
      <c r="B133" s="56">
        <f ca="1">SUM(E133:K133)+SUM(AF125:AG133)+SUM(AH122:AL133)+Z133+Explore!AL133</f>
        <v>5295</v>
      </c>
      <c r="C133" s="97">
        <f ca="1">Population!G133</f>
        <v>0.74159663865546221</v>
      </c>
      <c r="E133" s="52">
        <f t="shared" si="207"/>
        <v>0</v>
      </c>
      <c r="F133" s="16">
        <f t="shared" si="208"/>
        <v>0</v>
      </c>
      <c r="G133" s="16">
        <f t="shared" si="209"/>
        <v>0</v>
      </c>
      <c r="H133" s="16">
        <f t="shared" si="210"/>
        <v>0</v>
      </c>
      <c r="I133" s="16">
        <f t="shared" si="211"/>
        <v>0</v>
      </c>
      <c r="J133" s="16">
        <f t="shared" si="212"/>
        <v>0</v>
      </c>
      <c r="K133" s="53">
        <f t="shared" si="213"/>
        <v>0</v>
      </c>
      <c r="M133" s="64">
        <f ca="1">Production!G133</f>
        <v>20900</v>
      </c>
      <c r="O133" s="142">
        <f t="shared" ca="1" si="179"/>
        <v>0</v>
      </c>
      <c r="P133" s="454">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14"/>
        <v>5295</v>
      </c>
      <c r="T133" s="1047">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1">
        <f ca="1">R133 * (1 + T133)</f>
        <v>0</v>
      </c>
      <c r="V133" s="310">
        <f ca="1">S133 * (1 + T133)</f>
        <v>5295</v>
      </c>
      <c r="W133" s="310">
        <f>Construction!E133</f>
        <v>1000</v>
      </c>
      <c r="X133" s="367"/>
      <c r="Y133" s="146">
        <f t="shared" si="178"/>
        <v>0.4</v>
      </c>
      <c r="Z133" s="166">
        <f ca="1">Z132+Population!Z132 - IF(race="Lux",AF133,SUM(AF133:AK133)) - BE133 + SUM(BF133:BL133) - Explore!AI133</f>
        <v>5295</v>
      </c>
      <c r="AA133" s="164"/>
      <c r="AB133" s="91">
        <f>(Construction!$BA133+Construction!BY133)/(Construction!$E133-Explore!S133*20)</f>
        <v>0</v>
      </c>
      <c r="AC133" s="1516">
        <f ca="1">Imps!AE133</f>
        <v>0</v>
      </c>
      <c r="AD133" s="795">
        <f>Rezone!J133</f>
        <v>131</v>
      </c>
      <c r="AE133" s="587">
        <f>Explore!AA133</f>
        <v>43769.354166666351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81"/>
        <v>0</v>
      </c>
      <c r="AV133" s="164">
        <f t="shared" ca="1" si="182"/>
        <v>0</v>
      </c>
      <c r="AW133" s="164">
        <f t="shared" ca="1" si="232"/>
        <v>0</v>
      </c>
      <c r="AX133" s="164">
        <f t="shared" ca="1" si="233"/>
        <v>0</v>
      </c>
      <c r="AY133" s="164">
        <f t="shared" ca="1" si="234"/>
        <v>0</v>
      </c>
      <c r="AZ133" s="164">
        <f t="shared" ca="1" si="235"/>
        <v>0</v>
      </c>
      <c r="BA133" s="166">
        <f t="shared" ca="1" si="236"/>
        <v>0</v>
      </c>
      <c r="BB133" s="16">
        <v>59</v>
      </c>
      <c r="BC133" s="572">
        <f>AE133</f>
        <v>43769.354166666351</v>
      </c>
      <c r="BD133" s="148">
        <f ca="1">$Z133</f>
        <v>5295</v>
      </c>
      <c r="BE133" s="356"/>
      <c r="BF133" s="348"/>
      <c r="BG133" s="348"/>
      <c r="BH133" s="348"/>
      <c r="BI133" s="348"/>
      <c r="BJ133" s="348"/>
      <c r="BK133" s="348"/>
      <c r="BL133" s="357"/>
      <c r="BN133" s="501">
        <f>Construction!BM133/Construction!E133</f>
        <v>0</v>
      </c>
      <c r="BO133" s="171">
        <f>Construction!BD133/Construction!E133</f>
        <v>0</v>
      </c>
      <c r="BP133" s="152">
        <f ca="1">ROUNDUP((1-MIN(AB133*smithy_bonus,smithy_bonus_cap)-AC133)*(1+Techs!AO133*tech_master_of_frugality)*spec_op_plat,0)</f>
        <v>275</v>
      </c>
      <c r="BQ133" s="164">
        <f ca="1">ROUNDUP(IF(OR(race="Gnome",race="Imperial Gnome"),1-AC133,(1-MIN(AB133*smithy_bonus,smithy_bonus_cap)-AC133)*(1+Techs!AO133*tech_master_of_frugality))*spec_op_ore,0)</f>
        <v>25</v>
      </c>
      <c r="BR133" s="164">
        <f t="shared" si="215"/>
        <v>0</v>
      </c>
      <c r="BS133" s="164">
        <f t="shared" si="216"/>
        <v>0</v>
      </c>
      <c r="BT133" s="164">
        <f ca="1">ROUNDUP((1-MIN(AB133*smithy_bonus,smithy_bonus_cap)-AC133)*(1+Techs!AO133*tech_master_of_frugality)*spec_dp_plat,0)</f>
        <v>275</v>
      </c>
      <c r="BU133" s="164">
        <f ca="1">ROUNDUP(IF(OR(race="Gnome",race="Imperial Gnome"),1-AC133,(1-MIN(AB133*smithy_bonus,smithy_bonus_cap)-AC133)*(1+Techs!AO133*tech_master_of_frugality))*spec_dp_ore,0)</f>
        <v>10</v>
      </c>
      <c r="BV133" s="164">
        <f t="shared" ca="1" si="217"/>
        <v>0</v>
      </c>
      <c r="BW133" s="164">
        <f t="shared" ca="1" si="218"/>
        <v>0</v>
      </c>
      <c r="BX133" s="164">
        <f t="shared" ca="1" si="219"/>
        <v>0</v>
      </c>
      <c r="BY133" s="164">
        <f ca="1">ROUNDUP((1-MIN(AB133*smithy_bonus,smithy_bonus_cap)-AC133)*(1+Techs!AO133*tech_master_of_frugality)*elite1_plat,0)</f>
        <v>1000</v>
      </c>
      <c r="BZ133" s="164">
        <f ca="1">ROUNDUP(IF(OR(race="Gnome",race="Imperial Gnome"),1-AC133,(1-MIN(AB133*smithy_bonus,smithy_bonus_cap)-AC133)*(1+Techs!AO133*tech_master_of_frugality))*elite1_ore,0)</f>
        <v>75</v>
      </c>
      <c r="CA133" s="164">
        <f t="shared" ca="1" si="237"/>
        <v>0</v>
      </c>
      <c r="CB133" s="164">
        <f t="shared" ca="1" si="220"/>
        <v>0</v>
      </c>
      <c r="CC133" s="164">
        <f t="shared" ca="1" si="221"/>
        <v>0</v>
      </c>
      <c r="CD133" s="164">
        <f t="shared" ca="1" si="222"/>
        <v>0</v>
      </c>
      <c r="CE133" s="164">
        <f t="shared" ca="1" si="223"/>
        <v>0</v>
      </c>
      <c r="CF133" s="164">
        <f ca="1">ROUNDUP((1-MIN(AB133*smithy_bonus,smithy_bonus_cap)-AC133)*(1+Techs!AO133*tech_master_of_frugality)*elite2_plat,0)</f>
        <v>1250</v>
      </c>
      <c r="CG133" s="164">
        <f ca="1">ROUNDUP(IF(OR(race="Gnome",race="Imperial Gnome"),1-AC133,(1-MIN(AB133*smithy_bonus,smithy_bonus_cap)-AC133)*(1+Techs!AO133*tech_master_of_frugality))*elite2_ore,0)</f>
        <v>100</v>
      </c>
      <c r="CH133" s="164">
        <f t="shared" ca="1" si="238"/>
        <v>0</v>
      </c>
      <c r="CI133" s="164">
        <f t="shared" ca="1" si="224"/>
        <v>0</v>
      </c>
      <c r="CJ133" s="164">
        <f t="shared" ca="1" si="225"/>
        <v>0</v>
      </c>
      <c r="CK133" s="164">
        <f t="shared" ca="1" si="226"/>
        <v>0</v>
      </c>
      <c r="CL133" s="164">
        <f t="shared" ca="1" si="227"/>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4">
        <f ca="1">Construction!DF133/Construction!E133</f>
        <v>0.15</v>
      </c>
      <c r="CR133" s="465">
        <f>BN133</f>
        <v>0</v>
      </c>
      <c r="CS133" s="465">
        <f>Construction!BK133/Construction!E133</f>
        <v>0.05</v>
      </c>
      <c r="CT133" s="465">
        <f>Construction!BJ133/Construction!E133</f>
        <v>0</v>
      </c>
      <c r="CU133" s="465">
        <f>Construction!AY133/Construction!E133</f>
        <v>0</v>
      </c>
      <c r="CV133" s="486">
        <f t="shared" ca="1" si="183"/>
        <v>0.74999999999999989</v>
      </c>
      <c r="CW133" s="487">
        <f t="shared" ca="1" si="184"/>
        <v>0.74999999999999989</v>
      </c>
      <c r="CX133" s="487">
        <f t="shared" ca="1" si="185"/>
        <v>0.74999999999999989</v>
      </c>
      <c r="CY133" s="488">
        <f t="shared" ca="1" si="186"/>
        <v>0.74999999999999989</v>
      </c>
      <c r="CZ133" s="488">
        <f t="shared" si="187"/>
        <v>0</v>
      </c>
      <c r="DA133" s="488">
        <f t="shared" ca="1" si="188"/>
        <v>2.9999999999999996</v>
      </c>
      <c r="DB133" s="488">
        <f t="shared" ca="1" si="189"/>
        <v>0.74999999999999989</v>
      </c>
      <c r="DC133" s="487">
        <f t="shared" si="190"/>
        <v>0</v>
      </c>
      <c r="DD133" s="843">
        <f t="shared" si="191"/>
        <v>0</v>
      </c>
      <c r="DE133" s="441">
        <f>MIN(G133,H133)*2</f>
        <v>0</v>
      </c>
      <c r="DF133" s="441">
        <f>MIN(E133,H133)*2</f>
        <v>0</v>
      </c>
      <c r="DG133" s="486">
        <f t="shared" ca="1" si="192"/>
        <v>0.74999999999999989</v>
      </c>
      <c r="DH133" s="451">
        <f t="shared" si="193"/>
        <v>0</v>
      </c>
      <c r="DI133" s="451">
        <f>MIN(valkyrja_cap,Production!O133/valkyrja_bonus)</f>
        <v>1</v>
      </c>
      <c r="DJ133" s="843">
        <f>MIN(voodoo_magi_cap,Production!O133/voodoo_magi_bonus)</f>
        <v>0.83333333333333337</v>
      </c>
      <c r="DK133" s="843">
        <f>MIN(warlock_cap,Production!O133/warlock_bonus)</f>
        <v>1</v>
      </c>
      <c r="DL133" s="843">
        <f ca="1">MIN(nox_nightshade_cap,Construction!DF133/Construction!E133/nox_nightshade_swamp_bonus)</f>
        <v>1.4999999999999998</v>
      </c>
      <c r="DM133" s="487">
        <f t="shared" si="194"/>
        <v>0</v>
      </c>
      <c r="DN133" s="488">
        <f t="shared" ca="1" si="195"/>
        <v>1.4999999999999998</v>
      </c>
      <c r="DO133" s="488">
        <f t="shared" ca="1" si="196"/>
        <v>1.4999999999999998</v>
      </c>
      <c r="DP133" s="488">
        <f t="shared" si="197"/>
        <v>1</v>
      </c>
      <c r="DQ133" s="487">
        <f t="shared" si="198"/>
        <v>0</v>
      </c>
      <c r="DR133" s="488">
        <f t="shared" si="199"/>
        <v>0</v>
      </c>
      <c r="DS133" s="487">
        <f t="shared" si="200"/>
        <v>0</v>
      </c>
      <c r="DT133" s="488">
        <f t="shared" si="201"/>
        <v>0</v>
      </c>
      <c r="DX133" s="486">
        <f ca="1">MIN(6,CV133+Races!$F$19)*1.8 +  IF(CV133+Races!$F$19&gt;6,(CV133+Races!$F$19-6)*0.2,0) - Races!$N$19</f>
        <v>1.3500000000000005</v>
      </c>
      <c r="DY133" s="487">
        <f ca="1">1.8 * MIN(MAX(CW133+Races!$E$20,CX133+Races!$F$20),6)  +  0.45 * MIN(MIN(CW133+Races!$E$20,CX133+Races!$F$20),6)  +  0.2 * ( MAX(CW133+Races!$E$20-6,0) + MAX(CX133+Races!$F$20-6,0) )  -  Races!$N$20</f>
        <v>1.6874999999999991</v>
      </c>
      <c r="DZ133" s="57">
        <f t="shared" ca="1" si="228"/>
        <v>0</v>
      </c>
      <c r="EA133" s="663">
        <f ca="1">MIN(6,CY133+Races!$F$35)*1.8 +  IF(CY133+Races!$F$35&gt;6,(CY133+Races!$F$35-6)*0.2,0) - Races!$N$19</f>
        <v>-0.45000000000000018</v>
      </c>
      <c r="EB133" s="57">
        <f t="shared" ca="1" si="203"/>
        <v>0</v>
      </c>
      <c r="EC133" s="663">
        <f ca="1">1.8 * MIN(MAX(Races!$E$27,DB133+Races!$F$27),6)  +  0.45 * MIN(MIN(Races!$E$27,DB133+Races!$F$27),6)  +  0.2 * ( MAX(Races!$E$27-6,0) + MAX(DB133+Races!$F$27-6,0) )  -  Races!$N$20</f>
        <v>3.6000000000000005</v>
      </c>
      <c r="ED133" s="57">
        <f t="shared" ca="1" si="229"/>
        <v>0</v>
      </c>
      <c r="EE133" s="663">
        <f>1.8 * MIN(MAX(DC133+Races!$E$47,DD133+Races!$F$47),6)  +  0.45 * MIN(MIN(DC133+Races!$E$47,DD133+Races!$F$47),6)  +  0.2 * ( MAX(DC133+Races!$E$47-6,0) + MAX(DD133+Races!$F$47-6,0) )  -  Races!$N$47</f>
        <v>0</v>
      </c>
      <c r="EF133" s="57">
        <f t="shared" si="230"/>
        <v>0</v>
      </c>
      <c r="EG133" s="663">
        <f ca="1">1.8 * MIN(MAX(DG133+Races!$F$71,Races!$E$71),6)  +  0.45 * MIN(MIN(DG133+Races!$F$71,Races!$E$71),6)  +  0.2 * ( MAX(DG133+Races!$F$71-6,0) + MAX(Races!$E$71-6,0) )  -  Races!$N$71</f>
        <v>1.3499999999999996</v>
      </c>
      <c r="EH133" s="663">
        <f>1.8 * MIN(MAX(DH133+Races!$E$71,Races!$F$71),6)  +  0.45 * MIN(MIN(DH133+Races!$E$71,Races!$F$71),6)  +  0.2 * ( MAX(DH133+Races!$E$71-6,0) + MAX(Races!$F$71-6,0) )  -  Races!$N$71</f>
        <v>0</v>
      </c>
      <c r="EI133" s="57">
        <f t="shared" ca="1" si="231"/>
        <v>0</v>
      </c>
      <c r="EJ133" s="57"/>
      <c r="EK133" s="57"/>
      <c r="EL133" s="57"/>
      <c r="EM133" s="57">
        <f ca="1">Overview!$L$22*E133+Overview!$L$23*F133+Overview!$L$24*G133+Overview!$L$25*H133+Overview!$L$26*I133+Overview!$L$27*J133+Overview!$L$28*K133+Construction!E133*20+Construction!B133*5 + DZ133*$DV$4+EB133*$DV$5+ED133*$DV$6+EF133*$DV$7+EI133*$DV$9</f>
        <v>20900</v>
      </c>
      <c r="EO133" s="734">
        <f>(J133+2*K133)/Construction!E133</f>
        <v>0</v>
      </c>
      <c r="EP133" s="730">
        <f ca="1">EO133*(1+race_wizard_strength+tech_magical_weaponry_wiz*Techs!AV205)</f>
        <v>0</v>
      </c>
      <c r="EQ133" s="16">
        <f>(I133+halfer*H133/3)/Construction!E133</f>
        <v>0</v>
      </c>
    </row>
    <row r="134" spans="1:147" s="16" customFormat="1" x14ac:dyDescent="0.25">
      <c r="A134" s="627">
        <f>Rezone!J134</f>
        <v>132</v>
      </c>
      <c r="B134" s="56">
        <f ca="1">SUM(E134:K134)+SUM(AF126:AG134)+SUM(AH123:AL134)+Z134+Explore!AL134</f>
        <v>5295</v>
      </c>
      <c r="C134" s="97">
        <f ca="1">Population!G134</f>
        <v>0.74159663865546221</v>
      </c>
      <c r="E134" s="52">
        <f t="shared" si="207"/>
        <v>0</v>
      </c>
      <c r="F134" s="16">
        <f t="shared" si="208"/>
        <v>0</v>
      </c>
      <c r="G134" s="16">
        <f t="shared" si="209"/>
        <v>0</v>
      </c>
      <c r="H134" s="16">
        <f t="shared" si="210"/>
        <v>0</v>
      </c>
      <c r="I134" s="16">
        <f t="shared" si="211"/>
        <v>0</v>
      </c>
      <c r="J134" s="16">
        <f t="shared" si="212"/>
        <v>0</v>
      </c>
      <c r="K134" s="53">
        <f t="shared" si="213"/>
        <v>0</v>
      </c>
      <c r="M134" s="64">
        <f ca="1">Production!G134</f>
        <v>20900</v>
      </c>
      <c r="O134" s="142">
        <f t="shared" ca="1" si="179"/>
        <v>0</v>
      </c>
      <c r="P134" s="454">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14"/>
        <v>5295</v>
      </c>
      <c r="T134" s="1047">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1">
        <f ca="1">R134 * (1 + T134)</f>
        <v>0</v>
      </c>
      <c r="V134" s="310">
        <f ca="1">S134 * (1 + T134)</f>
        <v>5295</v>
      </c>
      <c r="W134" s="310">
        <f>Construction!E134</f>
        <v>1000</v>
      </c>
      <c r="X134" s="367"/>
      <c r="Y134" s="146">
        <f t="shared" si="178"/>
        <v>0.4</v>
      </c>
      <c r="Z134" s="166">
        <f ca="1">Z133+Population!Z133 - IF(race="Lux",AF134,SUM(AF134:AK134)) - BE134 + SUM(BF134:BL134) - Explore!AI134</f>
        <v>5295</v>
      </c>
      <c r="AA134" s="164"/>
      <c r="AB134" s="91">
        <f>(Construction!$BA134+Construction!BY134)/(Construction!$E134-Explore!S134*20)</f>
        <v>0</v>
      </c>
      <c r="AC134" s="1516">
        <f ca="1">Imps!AE134</f>
        <v>0</v>
      </c>
      <c r="AD134" s="795">
        <f>Rezone!J134</f>
        <v>132</v>
      </c>
      <c r="AE134" s="587">
        <f>Explore!AA134</f>
        <v>43769.364583333016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81"/>
        <v>0</v>
      </c>
      <c r="AV134" s="164">
        <f t="shared" ca="1" si="182"/>
        <v>0</v>
      </c>
      <c r="AW134" s="164">
        <f t="shared" ca="1" si="232"/>
        <v>0</v>
      </c>
      <c r="AX134" s="164">
        <f t="shared" ca="1" si="233"/>
        <v>0</v>
      </c>
      <c r="AY134" s="164">
        <f t="shared" ca="1" si="234"/>
        <v>0</v>
      </c>
      <c r="AZ134" s="164">
        <f t="shared" ca="1" si="235"/>
        <v>0</v>
      </c>
      <c r="BA134" s="166">
        <f t="shared" ca="1" si="236"/>
        <v>0</v>
      </c>
      <c r="BB134" s="16">
        <v>60</v>
      </c>
      <c r="BC134" s="572">
        <f>AE134</f>
        <v>43769.364583333016</v>
      </c>
      <c r="BD134" s="148">
        <f ca="1">$Z134</f>
        <v>5295</v>
      </c>
      <c r="BE134" s="356"/>
      <c r="BF134" s="348"/>
      <c r="BG134" s="348"/>
      <c r="BH134" s="348"/>
      <c r="BI134" s="348"/>
      <c r="BJ134" s="348"/>
      <c r="BK134" s="348"/>
      <c r="BL134" s="357"/>
      <c r="BN134" s="501">
        <f>Construction!BM134/Construction!E134</f>
        <v>0</v>
      </c>
      <c r="BO134" s="171">
        <f>Construction!BD134/Construction!E134</f>
        <v>0</v>
      </c>
      <c r="BP134" s="152">
        <f ca="1">ROUNDUP((1-MIN(AB134*smithy_bonus,smithy_bonus_cap)-AC134)*(1+Techs!AO134*tech_master_of_frugality)*spec_op_plat,0)</f>
        <v>275</v>
      </c>
      <c r="BQ134" s="164">
        <f ca="1">ROUNDUP(IF(OR(race="Gnome",race="Imperial Gnome"),1-AC134,(1-MIN(AB134*smithy_bonus,smithy_bonus_cap)-AC134)*(1+Techs!AO134*tech_master_of_frugality))*spec_op_ore,0)</f>
        <v>25</v>
      </c>
      <c r="BR134" s="164">
        <f t="shared" si="215"/>
        <v>0</v>
      </c>
      <c r="BS134" s="164">
        <f t="shared" si="216"/>
        <v>0</v>
      </c>
      <c r="BT134" s="164">
        <f ca="1">ROUNDUP((1-MIN(AB134*smithy_bonus,smithy_bonus_cap)-AC134)*(1+Techs!AO134*tech_master_of_frugality)*spec_dp_plat,0)</f>
        <v>275</v>
      </c>
      <c r="BU134" s="164">
        <f ca="1">ROUNDUP(IF(OR(race="Gnome",race="Imperial Gnome"),1-AC134,(1-MIN(AB134*smithy_bonus,smithy_bonus_cap)-AC134)*(1+Techs!AO134*tech_master_of_frugality))*spec_dp_ore,0)</f>
        <v>10</v>
      </c>
      <c r="BV134" s="164">
        <f t="shared" ca="1" si="217"/>
        <v>0</v>
      </c>
      <c r="BW134" s="164">
        <f t="shared" ca="1" si="218"/>
        <v>0</v>
      </c>
      <c r="BX134" s="164">
        <f t="shared" ca="1" si="219"/>
        <v>0</v>
      </c>
      <c r="BY134" s="164">
        <f ca="1">ROUNDUP((1-MIN(AB134*smithy_bonus,smithy_bonus_cap)-AC134)*(1+Techs!AO134*tech_master_of_frugality)*elite1_plat,0)</f>
        <v>1000</v>
      </c>
      <c r="BZ134" s="164">
        <f ca="1">ROUNDUP(IF(OR(race="Gnome",race="Imperial Gnome"),1-AC134,(1-MIN(AB134*smithy_bonus,smithy_bonus_cap)-AC134)*(1+Techs!AO134*tech_master_of_frugality))*elite1_ore,0)</f>
        <v>75</v>
      </c>
      <c r="CA134" s="164">
        <f t="shared" ca="1" si="237"/>
        <v>0</v>
      </c>
      <c r="CB134" s="164">
        <f t="shared" ca="1" si="220"/>
        <v>0</v>
      </c>
      <c r="CC134" s="164">
        <f t="shared" ca="1" si="221"/>
        <v>0</v>
      </c>
      <c r="CD134" s="164">
        <f t="shared" ca="1" si="222"/>
        <v>0</v>
      </c>
      <c r="CE134" s="164">
        <f t="shared" ca="1" si="223"/>
        <v>0</v>
      </c>
      <c r="CF134" s="164">
        <f ca="1">ROUNDUP((1-MIN(AB134*smithy_bonus,smithy_bonus_cap)-AC134)*(1+Techs!AO134*tech_master_of_frugality)*elite2_plat,0)</f>
        <v>1250</v>
      </c>
      <c r="CG134" s="164">
        <f ca="1">ROUNDUP(IF(OR(race="Gnome",race="Imperial Gnome"),1-AC134,(1-MIN(AB134*smithy_bonus,smithy_bonus_cap)-AC134)*(1+Techs!AO134*tech_master_of_frugality))*elite2_ore,0)</f>
        <v>100</v>
      </c>
      <c r="CH134" s="164">
        <f t="shared" ca="1" si="238"/>
        <v>0</v>
      </c>
      <c r="CI134" s="164">
        <f t="shared" ca="1" si="224"/>
        <v>0</v>
      </c>
      <c r="CJ134" s="164">
        <f t="shared" ca="1" si="225"/>
        <v>0</v>
      </c>
      <c r="CK134" s="164">
        <f t="shared" ca="1" si="226"/>
        <v>0</v>
      </c>
      <c r="CL134" s="164">
        <f t="shared" ca="1" si="227"/>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4">
        <f ca="1">Construction!DF134/Construction!E134</f>
        <v>0.15</v>
      </c>
      <c r="CR134" s="465">
        <f>BN134</f>
        <v>0</v>
      </c>
      <c r="CS134" s="465">
        <f>Construction!BK134/Construction!E134</f>
        <v>0.05</v>
      </c>
      <c r="CT134" s="465">
        <f>Construction!BJ134/Construction!E134</f>
        <v>0</v>
      </c>
      <c r="CU134" s="465">
        <f>Construction!AY134/Construction!E134</f>
        <v>0</v>
      </c>
      <c r="CV134" s="486">
        <f t="shared" ca="1" si="183"/>
        <v>0.74999999999999989</v>
      </c>
      <c r="CW134" s="487">
        <f t="shared" ca="1" si="184"/>
        <v>0.74999999999999989</v>
      </c>
      <c r="CX134" s="487">
        <f t="shared" ca="1" si="185"/>
        <v>0.74999999999999989</v>
      </c>
      <c r="CY134" s="488">
        <f t="shared" ca="1" si="186"/>
        <v>0.74999999999999989</v>
      </c>
      <c r="CZ134" s="488">
        <f t="shared" si="187"/>
        <v>0</v>
      </c>
      <c r="DA134" s="488">
        <f t="shared" ca="1" si="188"/>
        <v>2.9999999999999996</v>
      </c>
      <c r="DB134" s="488">
        <f t="shared" ca="1" si="189"/>
        <v>0.74999999999999989</v>
      </c>
      <c r="DC134" s="487">
        <f t="shared" si="190"/>
        <v>0</v>
      </c>
      <c r="DD134" s="843">
        <f t="shared" si="191"/>
        <v>0</v>
      </c>
      <c r="DE134" s="441">
        <f>MIN(G134,H134)*2</f>
        <v>0</v>
      </c>
      <c r="DF134" s="441">
        <f>MIN(E134,H134)*2</f>
        <v>0</v>
      </c>
      <c r="DG134" s="486">
        <f t="shared" ca="1" si="192"/>
        <v>0.74999999999999989</v>
      </c>
      <c r="DH134" s="451">
        <f t="shared" si="193"/>
        <v>0</v>
      </c>
      <c r="DI134" s="451">
        <f>MIN(valkyrja_cap,Production!O134/valkyrja_bonus)</f>
        <v>1</v>
      </c>
      <c r="DJ134" s="843">
        <f>MIN(voodoo_magi_cap,Production!O134/voodoo_magi_bonus)</f>
        <v>0.83333333333333337</v>
      </c>
      <c r="DK134" s="843">
        <f>MIN(warlock_cap,Production!O134/warlock_bonus)</f>
        <v>1</v>
      </c>
      <c r="DL134" s="843">
        <f ca="1">MIN(nox_nightshade_cap,Construction!DF134/Construction!E134/nox_nightshade_swamp_bonus)</f>
        <v>1.4999999999999998</v>
      </c>
      <c r="DM134" s="487">
        <f t="shared" si="194"/>
        <v>0</v>
      </c>
      <c r="DN134" s="488">
        <f t="shared" ca="1" si="195"/>
        <v>1.4999999999999998</v>
      </c>
      <c r="DO134" s="488">
        <f t="shared" ca="1" si="196"/>
        <v>1.4999999999999998</v>
      </c>
      <c r="DP134" s="488">
        <f t="shared" si="197"/>
        <v>1</v>
      </c>
      <c r="DQ134" s="487">
        <f t="shared" si="198"/>
        <v>0</v>
      </c>
      <c r="DR134" s="488">
        <f t="shared" si="199"/>
        <v>0</v>
      </c>
      <c r="DS134" s="487">
        <f t="shared" si="200"/>
        <v>0</v>
      </c>
      <c r="DT134" s="488">
        <f t="shared" si="201"/>
        <v>0</v>
      </c>
      <c r="DX134" s="486">
        <f ca="1">MIN(6,CV134+Races!$F$19)*1.8 +  IF(CV134+Races!$F$19&gt;6,(CV134+Races!$F$19-6)*0.2,0) - Races!$N$19</f>
        <v>1.3500000000000005</v>
      </c>
      <c r="DY134" s="487">
        <f ca="1">1.8 * MIN(MAX(CW134+Races!$E$20,CX134+Races!$F$20),6)  +  0.45 * MIN(MIN(CW134+Races!$E$20,CX134+Races!$F$20),6)  +  0.2 * ( MAX(CW134+Races!$E$20-6,0) + MAX(CX134+Races!$F$20-6,0) )  -  Races!$N$20</f>
        <v>1.6874999999999991</v>
      </c>
      <c r="DZ134" s="57">
        <f t="shared" ca="1" si="228"/>
        <v>0</v>
      </c>
      <c r="EA134" s="663">
        <f ca="1">MIN(6,CY134+Races!$F$35)*1.8 +  IF(CY134+Races!$F$35&gt;6,(CY134+Races!$F$35-6)*0.2,0) - Races!$N$19</f>
        <v>-0.45000000000000018</v>
      </c>
      <c r="EB134" s="57">
        <f t="shared" ca="1" si="203"/>
        <v>0</v>
      </c>
      <c r="EC134" s="663">
        <f ca="1">1.8 * MIN(MAX(Races!$E$27,DB134+Races!$F$27),6)  +  0.45 * MIN(MIN(Races!$E$27,DB134+Races!$F$27),6)  +  0.2 * ( MAX(Races!$E$27-6,0) + MAX(DB134+Races!$F$27-6,0) )  -  Races!$N$20</f>
        <v>3.6000000000000005</v>
      </c>
      <c r="ED134" s="57">
        <f t="shared" ca="1" si="229"/>
        <v>0</v>
      </c>
      <c r="EE134" s="663">
        <f>1.8 * MIN(MAX(DC134+Races!$E$47,DD134+Races!$F$47),6)  +  0.45 * MIN(MIN(DC134+Races!$E$47,DD134+Races!$F$47),6)  +  0.2 * ( MAX(DC134+Races!$E$47-6,0) + MAX(DD134+Races!$F$47-6,0) )  -  Races!$N$47</f>
        <v>0</v>
      </c>
      <c r="EF134" s="57">
        <f t="shared" si="230"/>
        <v>0</v>
      </c>
      <c r="EG134" s="663">
        <f ca="1">1.8 * MIN(MAX(DG134+Races!$F$71,Races!$E$71),6)  +  0.45 * MIN(MIN(DG134+Races!$F$71,Races!$E$71),6)  +  0.2 * ( MAX(DG134+Races!$F$71-6,0) + MAX(Races!$E$71-6,0) )  -  Races!$N$71</f>
        <v>1.3499999999999996</v>
      </c>
      <c r="EH134" s="663">
        <f>1.8 * MIN(MAX(DH134+Races!$E$71,Races!$F$71),6)  +  0.45 * MIN(MIN(DH134+Races!$E$71,Races!$F$71),6)  +  0.2 * ( MAX(DH134+Races!$E$71-6,0) + MAX(Races!$F$71-6,0) )  -  Races!$N$71</f>
        <v>0</v>
      </c>
      <c r="EI134" s="57">
        <f t="shared" ca="1" si="231"/>
        <v>0</v>
      </c>
      <c r="EJ134" s="57"/>
      <c r="EK134" s="57"/>
      <c r="EL134" s="57"/>
      <c r="EM134" s="57">
        <f ca="1">Overview!$L$22*E134+Overview!$L$23*F134+Overview!$L$24*G134+Overview!$L$25*H134+Overview!$L$26*I134+Overview!$L$27*J134+Overview!$L$28*K134+Construction!E134*20+Construction!B134*5 + DZ134*$DV$4+EB134*$DV$5+ED134*$DV$6+EF134*$DV$7+EI134*$DV$9</f>
        <v>20900</v>
      </c>
      <c r="EO134" s="734">
        <f>(J134+2*K134)/Construction!E134</f>
        <v>0</v>
      </c>
      <c r="EP134" s="730">
        <f ca="1">EO134*(1+race_wizard_strength+tech_magical_weaponry_wiz*Techs!AV206)</f>
        <v>0</v>
      </c>
      <c r="EQ134" s="16">
        <f>(I134+halfer*H134/3)/Construction!E134</f>
        <v>0</v>
      </c>
    </row>
    <row r="135" spans="1:147" s="12" customFormat="1" x14ac:dyDescent="0.25">
      <c r="A135" s="319">
        <f>Rezone!J135</f>
        <v>133</v>
      </c>
      <c r="B135" s="54">
        <f ca="1">SUM(E135:K135)+SUM(AF127:AG135)+SUM(AH124:AL135)+Z135+Explore!AL135</f>
        <v>5295</v>
      </c>
      <c r="C135" s="96">
        <f ca="1">Population!G135</f>
        <v>0.74159663865546221</v>
      </c>
      <c r="D135" s="286"/>
      <c r="E135" s="50">
        <f t="shared" si="207"/>
        <v>0</v>
      </c>
      <c r="F135" s="12">
        <f t="shared" si="208"/>
        <v>0</v>
      </c>
      <c r="G135" s="12">
        <f t="shared" si="209"/>
        <v>0</v>
      </c>
      <c r="H135" s="12">
        <f t="shared" si="210"/>
        <v>0</v>
      </c>
      <c r="I135" s="12">
        <f t="shared" si="211"/>
        <v>0</v>
      </c>
      <c r="J135" s="12">
        <f t="shared" si="212"/>
        <v>0</v>
      </c>
      <c r="K135" s="51">
        <f t="shared" si="213"/>
        <v>0</v>
      </c>
      <c r="L135" s="286"/>
      <c r="M135" s="93">
        <f ca="1">Production!G135</f>
        <v>20900</v>
      </c>
      <c r="N135" s="286"/>
      <c r="O135" s="141">
        <f t="shared" ca="1" si="179"/>
        <v>0</v>
      </c>
      <c r="P135" s="446">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14"/>
        <v>5295</v>
      </c>
      <c r="T135" s="1171">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2">
        <f ca="1">R135 * (1 + T135)</f>
        <v>0</v>
      </c>
      <c r="V135" s="311">
        <f ca="1">S135 * (1 + T135)</f>
        <v>5295</v>
      </c>
      <c r="W135" s="311">
        <f>Construction!E135</f>
        <v>1000</v>
      </c>
      <c r="X135" s="368"/>
      <c r="Y135" s="145">
        <f t="shared" si="178"/>
        <v>0.4</v>
      </c>
      <c r="Z135" s="158">
        <f ca="1">Z134+Population!Z134 - IF(race="Lux",AF135,SUM(AF135:AK135)) - BE135 + SUM(BF135:BL135) - Explore!AI135</f>
        <v>5295</v>
      </c>
      <c r="AA135" s="153"/>
      <c r="AB135" s="306">
        <f>(Construction!$BA135+Construction!BY135)/(Construction!$E135-Explore!S135*20)</f>
        <v>0</v>
      </c>
      <c r="AC135" s="1519">
        <f ca="1">Imps!AE135</f>
        <v>0</v>
      </c>
      <c r="AD135" s="1059">
        <f>Rezone!J135</f>
        <v>133</v>
      </c>
      <c r="AE135" s="586">
        <f>Explore!AA135</f>
        <v>43769.37499999968</v>
      </c>
      <c r="AF135" s="373"/>
      <c r="AG135" s="517"/>
      <c r="AH135" s="349"/>
      <c r="AI135" s="517"/>
      <c r="AJ135" s="517"/>
      <c r="AK135" s="517"/>
      <c r="AL135" s="374"/>
      <c r="AM135" s="1058"/>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81"/>
        <v>0</v>
      </c>
      <c r="AV135" s="153">
        <f t="shared" ca="1" si="182"/>
        <v>0</v>
      </c>
      <c r="AW135" s="153">
        <f t="shared" ca="1" si="232"/>
        <v>0</v>
      </c>
      <c r="AX135" s="153">
        <f t="shared" ca="1" si="233"/>
        <v>0</v>
      </c>
      <c r="AY135" s="153">
        <f t="shared" ca="1" si="234"/>
        <v>0</v>
      </c>
      <c r="AZ135" s="153">
        <f t="shared" ca="1" si="235"/>
        <v>0</v>
      </c>
      <c r="BA135" s="158">
        <f t="shared" ca="1" si="236"/>
        <v>0</v>
      </c>
      <c r="BB135" s="12">
        <v>61</v>
      </c>
      <c r="BC135" s="676">
        <f>AE135</f>
        <v>43769.37499999968</v>
      </c>
      <c r="BD135" s="149">
        <f ca="1">$Z135</f>
        <v>5295</v>
      </c>
      <c r="BE135" s="373"/>
      <c r="BF135" s="349"/>
      <c r="BG135" s="349"/>
      <c r="BH135" s="349"/>
      <c r="BI135" s="349"/>
      <c r="BJ135" s="349"/>
      <c r="BK135" s="349"/>
      <c r="BL135" s="374"/>
      <c r="BN135" s="500">
        <f>Construction!BM135/Construction!E135</f>
        <v>0</v>
      </c>
      <c r="BO135" s="162">
        <f>Construction!BD135/Construction!E135</f>
        <v>0</v>
      </c>
      <c r="BP135" s="151">
        <f ca="1">ROUNDUP((1-MIN(AB135*smithy_bonus,smithy_bonus_cap)-AC135)*(1+Techs!AO135*tech_master_of_frugality)*spec_op_plat,0)</f>
        <v>275</v>
      </c>
      <c r="BQ135" s="153">
        <f ca="1">ROUNDUP(IF(OR(race="Gnome",race="Imperial Gnome"),1-AC135,(1-MIN(AB135*smithy_bonus,smithy_bonus_cap)-AC135)*(1+Techs!AO135*tech_master_of_frugality))*spec_op_ore,0)</f>
        <v>25</v>
      </c>
      <c r="BR135" s="153">
        <f t="shared" si="215"/>
        <v>0</v>
      </c>
      <c r="BS135" s="153">
        <f t="shared" si="216"/>
        <v>0</v>
      </c>
      <c r="BT135" s="153">
        <f ca="1">ROUNDUP((1-MIN(AB135*smithy_bonus,smithy_bonus_cap)-AC135)*(1+Techs!AO135*tech_master_of_frugality)*spec_dp_plat,0)</f>
        <v>275</v>
      </c>
      <c r="BU135" s="153">
        <f ca="1">ROUNDUP(IF(OR(race="Gnome",race="Imperial Gnome"),1-AC135,(1-MIN(AB135*smithy_bonus,smithy_bonus_cap)-AC135)*(1+Techs!AO135*tech_master_of_frugality))*spec_dp_ore,0)</f>
        <v>10</v>
      </c>
      <c r="BV135" s="153">
        <f t="shared" ca="1" si="217"/>
        <v>0</v>
      </c>
      <c r="BW135" s="153">
        <f t="shared" ca="1" si="218"/>
        <v>0</v>
      </c>
      <c r="BX135" s="153">
        <f t="shared" ca="1" si="219"/>
        <v>0</v>
      </c>
      <c r="BY135" s="153">
        <f ca="1">ROUNDUP((1-MIN(AB135*smithy_bonus,smithy_bonus_cap)-AC135)*(1+Techs!AO135*tech_master_of_frugality)*elite1_plat,0)</f>
        <v>1000</v>
      </c>
      <c r="BZ135" s="153">
        <f ca="1">ROUNDUP(IF(OR(race="Gnome",race="Imperial Gnome"),1-AC135,(1-MIN(AB135*smithy_bonus,smithy_bonus_cap)-AC135)*(1+Techs!AO135*tech_master_of_frugality))*elite1_ore,0)</f>
        <v>75</v>
      </c>
      <c r="CA135" s="153">
        <f t="shared" ca="1" si="237"/>
        <v>0</v>
      </c>
      <c r="CB135" s="153">
        <f t="shared" ca="1" si="220"/>
        <v>0</v>
      </c>
      <c r="CC135" s="153">
        <f t="shared" ca="1" si="221"/>
        <v>0</v>
      </c>
      <c r="CD135" s="153">
        <f t="shared" ca="1" si="222"/>
        <v>0</v>
      </c>
      <c r="CE135" s="153">
        <f t="shared" ca="1" si="223"/>
        <v>0</v>
      </c>
      <c r="CF135" s="153">
        <f ca="1">ROUNDUP((1-MIN(AB135*smithy_bonus,smithy_bonus_cap)-AC135)*(1+Techs!AO135*tech_master_of_frugality)*elite2_plat,0)</f>
        <v>1250</v>
      </c>
      <c r="CG135" s="153">
        <f ca="1">ROUNDUP(IF(OR(race="Gnome",race="Imperial Gnome"),1-AC135,(1-MIN(AB135*smithy_bonus,smithy_bonus_cap)-AC135)*(1+Techs!AO135*tech_master_of_frugality))*elite2_ore,0)</f>
        <v>100</v>
      </c>
      <c r="CH135" s="153">
        <f t="shared" ca="1" si="238"/>
        <v>0</v>
      </c>
      <c r="CI135" s="153">
        <f t="shared" ca="1" si="224"/>
        <v>0</v>
      </c>
      <c r="CJ135" s="153">
        <f t="shared" ca="1" si="225"/>
        <v>0</v>
      </c>
      <c r="CK135" s="153">
        <f t="shared" ca="1" si="226"/>
        <v>0</v>
      </c>
      <c r="CL135" s="153">
        <f t="shared" ca="1" si="227"/>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6">
        <f ca="1">Construction!DF135/Construction!E135</f>
        <v>0.15</v>
      </c>
      <c r="CR135" s="467">
        <f>BN135</f>
        <v>0</v>
      </c>
      <c r="CS135" s="467">
        <f>Construction!BK135/Construction!E135</f>
        <v>0.05</v>
      </c>
      <c r="CT135" s="467">
        <f>Construction!BJ135/Construction!E135</f>
        <v>0</v>
      </c>
      <c r="CU135" s="467">
        <f>Construction!AY135/Construction!E135</f>
        <v>0</v>
      </c>
      <c r="CV135" s="489">
        <f t="shared" ca="1" si="183"/>
        <v>0.74999999999999989</v>
      </c>
      <c r="CW135" s="490">
        <f t="shared" ca="1" si="184"/>
        <v>0.74999999999999989</v>
      </c>
      <c r="CX135" s="490">
        <f t="shared" ca="1" si="185"/>
        <v>0.74999999999999989</v>
      </c>
      <c r="CY135" s="491">
        <f t="shared" ca="1" si="186"/>
        <v>0.74999999999999989</v>
      </c>
      <c r="CZ135" s="491">
        <f t="shared" si="187"/>
        <v>0</v>
      </c>
      <c r="DA135" s="491">
        <f t="shared" ca="1" si="188"/>
        <v>2.9999999999999996</v>
      </c>
      <c r="DB135" s="491">
        <f t="shared" ca="1" si="189"/>
        <v>0.74999999999999989</v>
      </c>
      <c r="DC135" s="490">
        <f t="shared" si="190"/>
        <v>0</v>
      </c>
      <c r="DD135" s="846">
        <f t="shared" si="191"/>
        <v>0</v>
      </c>
      <c r="DE135" s="728">
        <f>MIN(G135,H135)*2</f>
        <v>0</v>
      </c>
      <c r="DF135" s="728">
        <f>MIN(E135,H135)*2</f>
        <v>0</v>
      </c>
      <c r="DG135" s="489">
        <f t="shared" ca="1" si="192"/>
        <v>0.74999999999999989</v>
      </c>
      <c r="DH135" s="452">
        <f t="shared" si="193"/>
        <v>0</v>
      </c>
      <c r="DI135" s="452">
        <f>MIN(valkyrja_cap,Production!O135/valkyrja_bonus)</f>
        <v>1</v>
      </c>
      <c r="DJ135" s="846">
        <f>MIN(voodoo_magi_cap,Production!O135/voodoo_magi_bonus)</f>
        <v>0.83333333333333337</v>
      </c>
      <c r="DK135" s="846">
        <f>MIN(warlock_cap,Production!O135/warlock_bonus)</f>
        <v>1</v>
      </c>
      <c r="DL135" s="846">
        <f ca="1">MIN(nox_nightshade_cap,Construction!DF135/Construction!E135/nox_nightshade_swamp_bonus)</f>
        <v>1.4999999999999998</v>
      </c>
      <c r="DM135" s="490">
        <f t="shared" si="194"/>
        <v>0</v>
      </c>
      <c r="DN135" s="491">
        <f t="shared" ca="1" si="195"/>
        <v>1.4999999999999998</v>
      </c>
      <c r="DO135" s="491">
        <f t="shared" ca="1" si="196"/>
        <v>1.4999999999999998</v>
      </c>
      <c r="DP135" s="491">
        <f t="shared" si="197"/>
        <v>1</v>
      </c>
      <c r="DQ135" s="490">
        <f t="shared" si="198"/>
        <v>0</v>
      </c>
      <c r="DR135" s="491">
        <f t="shared" si="199"/>
        <v>0</v>
      </c>
      <c r="DS135" s="490">
        <f t="shared" si="200"/>
        <v>0</v>
      </c>
      <c r="DT135" s="491">
        <f t="shared" si="201"/>
        <v>0</v>
      </c>
      <c r="DX135" s="489">
        <f ca="1">MIN(6,CV135+Races!$F$19)*1.8 +  IF(CV135+Races!$F$19&gt;6,(CV135+Races!$F$19-6)*0.2,0) - Races!$N$19</f>
        <v>1.3500000000000005</v>
      </c>
      <c r="DY135" s="490">
        <f ca="1">1.8 * MIN(MAX(CW135+Races!$E$20,CX135+Races!$F$20),6)  +  0.45 * MIN(MIN(CW135+Races!$E$20,CX135+Races!$F$20),6)  +  0.2 * ( MAX(CW135+Races!$E$20-6,0) + MAX(CX135+Races!$F$20-6,0) )  -  Races!$N$20</f>
        <v>1.6874999999999991</v>
      </c>
      <c r="DZ135" s="55">
        <f t="shared" ca="1" si="228"/>
        <v>0</v>
      </c>
      <c r="EA135" s="665">
        <f ca="1">MIN(6,CY135+Races!$F$35)*1.8 +  IF(CY135+Races!$F$35&gt;6,(CY135+Races!$F$35-6)*0.2,0) - Races!$N$19</f>
        <v>-0.45000000000000018</v>
      </c>
      <c r="EB135" s="55">
        <f t="shared" ca="1" si="203"/>
        <v>0</v>
      </c>
      <c r="EC135" s="665">
        <f ca="1">1.8 * MIN(MAX(Races!$E$27,DB135+Races!$F$27),6)  +  0.45 * MIN(MIN(Races!$E$27,DB135+Races!$F$27),6)  +  0.2 * ( MAX(Races!$E$27-6,0) + MAX(DB135+Races!$F$27-6,0) )  -  Races!$N$20</f>
        <v>3.6000000000000005</v>
      </c>
      <c r="ED135" s="55">
        <f t="shared" ca="1" si="229"/>
        <v>0</v>
      </c>
      <c r="EE135" s="665">
        <f>1.8 * MIN(MAX(DC135+Races!$E$47,DD135+Races!$F$47),6)  +  0.45 * MIN(MIN(DC135+Races!$E$47,DD135+Races!$F$47),6)  +  0.2 * ( MAX(DC135+Races!$E$47-6,0) + MAX(DD135+Races!$F$47-6,0) )  -  Races!$N$47</f>
        <v>0</v>
      </c>
      <c r="EF135" s="55">
        <f t="shared" si="230"/>
        <v>0</v>
      </c>
      <c r="EG135" s="665">
        <f ca="1">1.8 * MIN(MAX(DG135+Races!$F$71,Races!$E$71),6)  +  0.45 * MIN(MIN(DG135+Races!$F$71,Races!$E$71),6)  +  0.2 * ( MAX(DG135+Races!$F$71-6,0) + MAX(Races!$E$71-6,0) )  -  Races!$N$71</f>
        <v>1.3499999999999996</v>
      </c>
      <c r="EH135" s="665">
        <f>1.8 * MIN(MAX(DH135+Races!$E$71,Races!$F$71),6)  +  0.45 * MIN(MIN(DH135+Races!$E$71,Races!$F$71),6)  +  0.2 * ( MAX(DH135+Races!$E$71-6,0) + MAX(Races!$F$71-6,0) )  -  Races!$N$71</f>
        <v>0</v>
      </c>
      <c r="EI135" s="55">
        <f t="shared" ca="1" si="231"/>
        <v>0</v>
      </c>
      <c r="EJ135" s="55"/>
      <c r="EK135" s="55"/>
      <c r="EL135" s="55"/>
      <c r="EM135" s="55">
        <f ca="1">Overview!$L$22*E135+Overview!$L$23*F135+Overview!$L$24*G135+Overview!$L$25*H135+Overview!$L$26*I135+Overview!$L$27*J135+Overview!$L$28*K135+Construction!E135*20+Construction!B135*5 + DZ135*$DV$4+EB135*$DV$5+ED135*$DV$6+EF135*$DV$7+EI135*$DV$9</f>
        <v>20900</v>
      </c>
      <c r="EO135" s="737">
        <f>(J135+2*K135)/Construction!E135</f>
        <v>0</v>
      </c>
      <c r="EP135" s="731">
        <f ca="1">EO135*(1+race_wizard_strength+tech_magical_weaponry_wiz*Techs!AV207)</f>
        <v>0</v>
      </c>
      <c r="EQ135" s="12">
        <f>(I135+halfer*H135/3)/Construction!E135</f>
        <v>0</v>
      </c>
    </row>
    <row r="1268" spans="2:3" x14ac:dyDescent="0.25">
      <c r="B1268" s="1464" t="s">
        <v>330</v>
      </c>
      <c r="C1268" s="1464"/>
    </row>
    <row r="1269" spans="2:3" x14ac:dyDescent="0.25">
      <c r="B1269" s="669">
        <f ca="1">Overview!E17</f>
        <v>-42</v>
      </c>
      <c r="C1269" s="669"/>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187" priority="7" stopIfTrue="1">
      <formula>ROW()-2=#REF!</formula>
    </cfRule>
  </conditionalFormatting>
  <conditionalFormatting sqref="A1268:XFD1269">
    <cfRule type="expression" dxfId="186" priority="8" stopIfTrue="1">
      <formula>$B$1269&gt;144</formula>
    </cfRule>
  </conditionalFormatting>
  <conditionalFormatting sqref="A3:A18 BB3:BC18 AC3:AE18 CV3:JY18 CV32:JY135 AC32:AE135 BB32:BC135 A32:A135 CV28:JY30 AC28:AE30 BB28:BC30 A28:A30 CV20:JY26 AC20:AE26 BB20:BC26 A20:A26">
    <cfRule type="expression" dxfId="185" priority="9" stopIfTrue="1">
      <formula>ROW()-3=$B$1269</formula>
    </cfRule>
  </conditionalFormatting>
  <conditionalFormatting sqref="B3:AB18 BD3:CU18 AF3:BA18 AF32:BA135 BD32:CU135 B32:AB135 AF28:BA30 BD28:CU30 B28:AB30 AF20:BA26 BD20:CU26 B20:AB26">
    <cfRule type="expression" dxfId="184" priority="10" stopIfTrue="1">
      <formula>OR(ROW()-3=$B$1269,B3&lt;0)</formula>
    </cfRule>
  </conditionalFormatting>
  <conditionalFormatting sqref="A1:Q2 S2:W2 X1:JY2">
    <cfRule type="expression" dxfId="183" priority="11" stopIfTrue="1">
      <formula>$B$1269&lt;0</formula>
    </cfRule>
  </conditionalFormatting>
  <conditionalFormatting sqref="W1">
    <cfRule type="expression" dxfId="182" priority="12" stopIfTrue="1">
      <formula>$B$1269&lt;0</formula>
    </cfRule>
  </conditionalFormatting>
  <conditionalFormatting sqref="R1:V1 R2">
    <cfRule type="expression" dxfId="181" priority="13" stopIfTrue="1">
      <formula>$B$1269&lt;0</formula>
    </cfRule>
  </conditionalFormatting>
  <conditionalFormatting sqref="A19 BB19:BC19 AC19:AE19 CV19:JY19">
    <cfRule type="expression" dxfId="180" priority="1" stopIfTrue="1">
      <formula>ROW()-3=$B$1269</formula>
    </cfRule>
  </conditionalFormatting>
  <conditionalFormatting sqref="A31 BB31:BC31 AC31:AE31 CV31:JY31">
    <cfRule type="expression" dxfId="179" priority="5" stopIfTrue="1">
      <formula>ROW()-3=$B$1269</formula>
    </cfRule>
  </conditionalFormatting>
  <conditionalFormatting sqref="B31:AB31 BD31:CU31 AF31:BA31">
    <cfRule type="expression" dxfId="178" priority="6" stopIfTrue="1">
      <formula>OR(ROW()-3=$B$1269,B31&lt;0)</formula>
    </cfRule>
  </conditionalFormatting>
  <conditionalFormatting sqref="A27 BB27:BC27 AC27:AE27 CV27:JY27">
    <cfRule type="expression" dxfId="177" priority="3" stopIfTrue="1">
      <formula>ROW()-3=$B$1269</formula>
    </cfRule>
  </conditionalFormatting>
  <conditionalFormatting sqref="B27:AB27 BD27:CU27 AF27:BA27">
    <cfRule type="expression" dxfId="176" priority="4" stopIfTrue="1">
      <formula>OR(ROW()-3=$B$1269,B27&lt;0)</formula>
    </cfRule>
  </conditionalFormatting>
  <conditionalFormatting sqref="B19:AB19 BD19:CU19 AF19:BA19">
    <cfRule type="expression" dxfId="175" priority="2" stopIfTrue="1">
      <formula>OR(ROW()-3=$B$1269,B19&lt;0)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C1269"/>
  <sheetViews>
    <sheetView zoomScale="85" workbookViewId="0">
      <pane ySplit="2" topLeftCell="A3" activePane="bottomLeft" state="frozenSplit"/>
      <selection activeCell="S34" sqref="S34"/>
      <selection pane="bottomLeft" activeCell="A3" sqref="A3"/>
    </sheetView>
  </sheetViews>
  <sheetFormatPr defaultRowHeight="13.2" x14ac:dyDescent="0.25"/>
  <cols>
    <col min="1" max="1" width="5.109375" customWidth="1"/>
    <col min="2" max="2" width="7.44140625" style="2" bestFit="1" customWidth="1"/>
    <col min="3" max="3" width="6.44140625" style="3" bestFit="1" customWidth="1"/>
    <col min="4" max="4" width="9.5546875" style="4" customWidth="1"/>
    <col min="5" max="5" width="4.5546875" style="5" customWidth="1"/>
    <col min="6" max="6" width="7.44140625" style="6" bestFit="1" customWidth="1"/>
    <col min="7" max="7" width="8" style="7" bestFit="1" customWidth="1"/>
    <col min="8" max="8" width="6" style="8" customWidth="1"/>
    <col min="9" max="9" width="2.5546875" customWidth="1"/>
    <col min="10" max="10" width="5.109375" style="320" bestFit="1" customWidth="1"/>
    <col min="11" max="11" width="6" customWidth="1"/>
    <col min="12" max="12" width="8.6640625" bestFit="1" customWidth="1"/>
    <col min="13" max="13" width="6.44140625" bestFit="1" customWidth="1"/>
    <col min="14" max="14" width="8.5546875" bestFit="1" customWidth="1"/>
    <col min="15" max="15" width="3.88671875" bestFit="1" customWidth="1"/>
    <col min="16" max="16" width="7.44140625" bestFit="1" customWidth="1"/>
    <col min="17" max="17" width="7" bestFit="1" customWidth="1"/>
    <col min="18" max="18" width="6" bestFit="1" customWidth="1"/>
    <col min="19" max="19" width="10.33203125" bestFit="1" customWidth="1"/>
    <col min="20" max="20" width="5.109375" customWidth="1"/>
    <col min="21" max="21" width="2.88671875" customWidth="1"/>
    <col min="22" max="22" width="11" bestFit="1" customWidth="1"/>
    <col min="23" max="23" width="2.5546875" customWidth="1"/>
    <col min="24" max="24" width="8.44140625" bestFit="1" customWidth="1"/>
    <col min="25" max="25" width="8.33203125" bestFit="1" customWidth="1"/>
    <col min="26" max="26" width="3.88671875" customWidth="1"/>
    <col min="27" max="27" width="9.44140625" bestFit="1" customWidth="1"/>
    <col min="28" max="28" width="3.5546875" customWidth="1"/>
    <col min="29" max="29" width="7.44140625" bestFit="1" customWidth="1"/>
  </cols>
  <sheetData>
    <row r="1" spans="1:29" s="34" customFormat="1" x14ac:dyDescent="0.25">
      <c r="B1" s="76" t="s">
        <v>56</v>
      </c>
      <c r="C1" s="77"/>
      <c r="D1" s="78"/>
      <c r="E1" s="79"/>
      <c r="F1" s="80"/>
      <c r="G1" s="81"/>
      <c r="H1" s="82"/>
      <c r="J1" s="445"/>
      <c r="L1" s="519" t="s">
        <v>318</v>
      </c>
      <c r="V1" s="34" t="s">
        <v>205</v>
      </c>
      <c r="X1" s="34" t="s">
        <v>33</v>
      </c>
      <c r="AA1" s="34" t="s">
        <v>204</v>
      </c>
    </row>
    <row r="2" spans="1:29" s="521" customFormat="1" ht="13.8" thickBot="1" x14ac:dyDescent="0.3">
      <c r="A2" s="521" t="s">
        <v>1</v>
      </c>
      <c r="B2" s="650" t="s">
        <v>57</v>
      </c>
      <c r="C2" s="651" t="s">
        <v>60</v>
      </c>
      <c r="D2" s="652" t="s">
        <v>189</v>
      </c>
      <c r="E2" s="653" t="s">
        <v>62</v>
      </c>
      <c r="F2" s="654" t="s">
        <v>63</v>
      </c>
      <c r="G2" s="655" t="s">
        <v>64</v>
      </c>
      <c r="H2" s="656" t="s">
        <v>65</v>
      </c>
      <c r="J2" s="1404" t="s">
        <v>760</v>
      </c>
      <c r="K2" s="521" t="s">
        <v>325</v>
      </c>
      <c r="L2" s="650" t="s">
        <v>257</v>
      </c>
      <c r="M2" s="651" t="s">
        <v>60</v>
      </c>
      <c r="N2" s="652" t="s">
        <v>259</v>
      </c>
      <c r="O2" s="653" t="s">
        <v>258</v>
      </c>
      <c r="P2" s="654" t="s">
        <v>63</v>
      </c>
      <c r="Q2" s="655" t="s">
        <v>256</v>
      </c>
      <c r="R2" s="656" t="s">
        <v>65</v>
      </c>
      <c r="S2" s="521" t="s">
        <v>316</v>
      </c>
      <c r="T2" s="657" t="s">
        <v>206</v>
      </c>
      <c r="V2" s="521" t="s">
        <v>2</v>
      </c>
      <c r="X2" s="521" t="s">
        <v>59</v>
      </c>
      <c r="Y2" s="521" t="s">
        <v>2</v>
      </c>
      <c r="AA2" s="521" t="s">
        <v>273</v>
      </c>
      <c r="AC2" s="521" t="s">
        <v>202</v>
      </c>
    </row>
    <row r="3" spans="1:29" s="686" customFormat="1" x14ac:dyDescent="0.25">
      <c r="A3" s="686">
        <f>Construction!E3</f>
        <v>1000</v>
      </c>
      <c r="B3" s="689">
        <f>Construction!F3</f>
        <v>70</v>
      </c>
      <c r="C3" s="690">
        <f>Construction!G3</f>
        <v>100</v>
      </c>
      <c r="D3" s="691">
        <f>Construction!H3</f>
        <v>150</v>
      </c>
      <c r="E3" s="692">
        <f>Construction!I3</f>
        <v>150</v>
      </c>
      <c r="F3" s="693">
        <f>Construction!J3</f>
        <v>100</v>
      </c>
      <c r="G3" s="694">
        <f>Construction!K3</f>
        <v>150</v>
      </c>
      <c r="H3" s="695">
        <f>Construction!L3</f>
        <v>100</v>
      </c>
      <c r="J3" s="688">
        <v>1</v>
      </c>
      <c r="K3" s="701">
        <f>Imps!CM3</f>
        <v>43768</v>
      </c>
      <c r="L3" s="821"/>
      <c r="M3" s="822"/>
      <c r="N3" s="696"/>
      <c r="O3" s="822"/>
      <c r="P3" s="822"/>
      <c r="Q3" s="822"/>
      <c r="R3" s="790"/>
      <c r="S3" s="684">
        <f t="shared" ref="S3:S66" si="0">SUMIF(L3:R3,"&gt;0")</f>
        <v>0</v>
      </c>
      <c r="T3" s="698" t="str">
        <f t="shared" ref="T3:T66" si="1">IF(SUM(L3:R3)=0,"Ok","Nope")</f>
        <v>Ok</v>
      </c>
      <c r="V3" s="698">
        <f ca="1">Production!H3</f>
        <v>4350000</v>
      </c>
      <c r="X3" s="682">
        <f ca="1">ROUND( (1-MIN(ROUND(facs_rezone_factor*AC3,4),facs_rezone_max)) * (1+MIN(tech_construction_rezone*Techs!AD3,tech_conquerors_crafts*Techs!AS3)) * AA3*(1+race_rezone_cost),0)</f>
        <v>700</v>
      </c>
      <c r="Y3" s="684">
        <f t="shared" ref="Y3:Y34" ca="1" si="2">S3*X3</f>
        <v>0</v>
      </c>
      <c r="AA3" s="698">
        <f>250+0.6*(A3-Explore!S3*20-250)</f>
        <v>700</v>
      </c>
      <c r="AC3" s="699">
        <f>Construction!AH3</f>
        <v>0</v>
      </c>
    </row>
    <row r="4" spans="1:29" s="170" customFormat="1" x14ac:dyDescent="0.25">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7">
        <f t="shared" ref="J4:J14" si="3">J3+1</f>
        <v>2</v>
      </c>
      <c r="K4" s="530">
        <f>Imps!CM4</f>
        <v>43768.010416666664</v>
      </c>
      <c r="L4" s="352"/>
      <c r="M4" s="345"/>
      <c r="N4" s="345"/>
      <c r="O4" s="345"/>
      <c r="P4" s="345"/>
      <c r="Q4" s="345"/>
      <c r="R4" s="353"/>
      <c r="S4" s="166">
        <f t="shared" si="0"/>
        <v>0</v>
      </c>
      <c r="T4" s="160" t="str">
        <f t="shared" si="1"/>
        <v>Ok</v>
      </c>
      <c r="V4" s="160">
        <f ca="1">Production!H4</f>
        <v>4359720</v>
      </c>
      <c r="X4" s="152">
        <f ca="1">ROUND( (1-MIN(ROUND(facs_rezone_factor*AC4,4),facs_rezone_max)) * (1+MIN(tech_construction_rezone*Techs!AD4,tech_conquerors_crafts*Techs!AS4)) * AA4*(1+race_rezone_cost),0)</f>
        <v>700</v>
      </c>
      <c r="Y4" s="166">
        <f t="shared" ca="1" si="2"/>
        <v>0</v>
      </c>
      <c r="AA4" s="160">
        <f t="shared" ref="AA4:AA66" si="4">250+0.6*(A4-250)</f>
        <v>700</v>
      </c>
      <c r="AC4" s="212">
        <f>Construction!AH4</f>
        <v>0</v>
      </c>
    </row>
    <row r="5" spans="1:29" s="170" customFormat="1" x14ac:dyDescent="0.25">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7">
        <f t="shared" si="3"/>
        <v>3</v>
      </c>
      <c r="K5" s="530">
        <f>Imps!CM5</f>
        <v>43768.020833333328</v>
      </c>
      <c r="L5" s="352"/>
      <c r="M5" s="345"/>
      <c r="N5" s="345"/>
      <c r="O5" s="345"/>
      <c r="P5" s="345"/>
      <c r="Q5" s="345"/>
      <c r="R5" s="353"/>
      <c r="S5" s="166">
        <f t="shared" si="0"/>
        <v>0</v>
      </c>
      <c r="T5" s="160" t="str">
        <f t="shared" si="1"/>
        <v>Ok</v>
      </c>
      <c r="V5" s="160">
        <f ca="1">Production!H5</f>
        <v>4369440</v>
      </c>
      <c r="X5" s="152">
        <f ca="1">ROUND( (1-MIN(ROUND(facs_rezone_factor*AC5,4),facs_rezone_max)) * (1+MIN(tech_construction_rezone*Techs!AD5,tech_conquerors_crafts*Techs!AS5)) * AA5*(1+race_rezone_cost),0)</f>
        <v>700</v>
      </c>
      <c r="Y5" s="166">
        <f t="shared" ca="1" si="2"/>
        <v>0</v>
      </c>
      <c r="AA5" s="160">
        <f t="shared" si="4"/>
        <v>700</v>
      </c>
      <c r="AC5" s="212">
        <f>Construction!AH5</f>
        <v>0</v>
      </c>
    </row>
    <row r="6" spans="1:29" s="16" customFormat="1" x14ac:dyDescent="0.25">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7">
        <f t="shared" si="3"/>
        <v>4</v>
      </c>
      <c r="K6" s="572">
        <f>Imps!CM6</f>
        <v>43768.031249999993</v>
      </c>
      <c r="L6" s="356"/>
      <c r="M6" s="348"/>
      <c r="N6" s="348"/>
      <c r="O6" s="348"/>
      <c r="P6" s="348"/>
      <c r="Q6" s="348"/>
      <c r="R6" s="357"/>
      <c r="S6" s="166">
        <f t="shared" si="0"/>
        <v>0</v>
      </c>
      <c r="T6" s="160" t="str">
        <f t="shared" si="1"/>
        <v>Ok</v>
      </c>
      <c r="V6" s="64">
        <f ca="1">Production!H6</f>
        <v>4379160</v>
      </c>
      <c r="X6" s="152">
        <f ca="1">ROUND( (1-MIN(ROUND(facs_rezone_factor*AC6,4),facs_rezone_max)) * (1+MIN(tech_construction_rezone*Techs!AD6,tech_conquerors_crafts*Techs!AS6)) * AA6*(1+race_rezone_cost),0)</f>
        <v>700</v>
      </c>
      <c r="Y6" s="166">
        <f t="shared" ca="1" si="2"/>
        <v>0</v>
      </c>
      <c r="AA6" s="160">
        <f t="shared" si="4"/>
        <v>700</v>
      </c>
      <c r="AC6" s="95">
        <f>Construction!AH6</f>
        <v>0</v>
      </c>
    </row>
    <row r="7" spans="1:29" s="16" customFormat="1" x14ac:dyDescent="0.25">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7">
        <f t="shared" si="3"/>
        <v>5</v>
      </c>
      <c r="K7" s="572">
        <f>Imps!CM7</f>
        <v>43768.041666666657</v>
      </c>
      <c r="L7" s="356"/>
      <c r="M7" s="348"/>
      <c r="N7" s="348"/>
      <c r="O7" s="348"/>
      <c r="P7" s="348"/>
      <c r="Q7" s="348"/>
      <c r="R7" s="357"/>
      <c r="S7" s="166">
        <f t="shared" si="0"/>
        <v>0</v>
      </c>
      <c r="T7" s="160" t="str">
        <f t="shared" si="1"/>
        <v>Ok</v>
      </c>
      <c r="V7" s="64">
        <f ca="1">Production!H7</f>
        <v>4388880</v>
      </c>
      <c r="X7" s="152">
        <f ca="1">ROUND( (1-MIN(ROUND(facs_rezone_factor*AC7,4),facs_rezone_max)) * (1+MIN(tech_construction_rezone*Techs!AD7,tech_conquerors_crafts*Techs!AS7)) * AA7*(1+race_rezone_cost),0)</f>
        <v>700</v>
      </c>
      <c r="Y7" s="166">
        <f t="shared" ca="1" si="2"/>
        <v>0</v>
      </c>
      <c r="AA7" s="160">
        <f t="shared" si="4"/>
        <v>700</v>
      </c>
      <c r="AC7" s="95">
        <f>Construction!AH7</f>
        <v>0</v>
      </c>
    </row>
    <row r="8" spans="1:29" s="16" customFormat="1" x14ac:dyDescent="0.25">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7">
        <f t="shared" si="3"/>
        <v>6</v>
      </c>
      <c r="K8" s="572">
        <f>Imps!CM8</f>
        <v>43768.052083333321</v>
      </c>
      <c r="L8" s="356"/>
      <c r="M8" s="348"/>
      <c r="N8" s="348"/>
      <c r="O8" s="348"/>
      <c r="P8" s="348"/>
      <c r="Q8" s="348"/>
      <c r="R8" s="357"/>
      <c r="S8" s="166">
        <f t="shared" si="0"/>
        <v>0</v>
      </c>
      <c r="T8" s="160" t="str">
        <f t="shared" si="1"/>
        <v>Ok</v>
      </c>
      <c r="V8" s="64">
        <f ca="1">Production!H8</f>
        <v>4398600</v>
      </c>
      <c r="X8" s="152">
        <f ca="1">ROUND( (1-MIN(ROUND(facs_rezone_factor*AC8,4),facs_rezone_max)) * (1+MIN(tech_construction_rezone*Techs!AD8,tech_conquerors_crafts*Techs!AS8)) * AA8*(1+race_rezone_cost),0)</f>
        <v>700</v>
      </c>
      <c r="Y8" s="166">
        <f t="shared" ca="1" si="2"/>
        <v>0</v>
      </c>
      <c r="AA8" s="160">
        <f t="shared" si="4"/>
        <v>700</v>
      </c>
      <c r="AC8" s="95">
        <f>Construction!AH8</f>
        <v>0</v>
      </c>
    </row>
    <row r="9" spans="1:29" s="16" customFormat="1" x14ac:dyDescent="0.25">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7">
        <f t="shared" si="3"/>
        <v>7</v>
      </c>
      <c r="K9" s="572">
        <f>Imps!CM9</f>
        <v>43768.062499999985</v>
      </c>
      <c r="L9" s="356"/>
      <c r="M9" s="348"/>
      <c r="N9" s="348"/>
      <c r="O9" s="348"/>
      <c r="P9" s="348"/>
      <c r="Q9" s="348"/>
      <c r="R9" s="357"/>
      <c r="S9" s="166">
        <f t="shared" si="0"/>
        <v>0</v>
      </c>
      <c r="T9" s="160" t="str">
        <f t="shared" si="1"/>
        <v>Ok</v>
      </c>
      <c r="V9" s="64">
        <f ca="1">Production!H9</f>
        <v>4408320</v>
      </c>
      <c r="X9" s="152">
        <f ca="1">ROUND( (1-MIN(ROUND(facs_rezone_factor*AC9,4),facs_rezone_max)) * (1+MIN(tech_construction_rezone*Techs!AD9,tech_conquerors_crafts*Techs!AS9)) * AA9*(1+race_rezone_cost),0)</f>
        <v>700</v>
      </c>
      <c r="Y9" s="166">
        <f t="shared" ca="1" si="2"/>
        <v>0</v>
      </c>
      <c r="AA9" s="160">
        <f t="shared" si="4"/>
        <v>700</v>
      </c>
      <c r="AC9" s="95">
        <f>Construction!AH9</f>
        <v>0</v>
      </c>
    </row>
    <row r="10" spans="1:29" s="16" customFormat="1" x14ac:dyDescent="0.25">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7">
        <f t="shared" si="3"/>
        <v>8</v>
      </c>
      <c r="K10" s="572">
        <f>Imps!CM10</f>
        <v>43768.07291666665</v>
      </c>
      <c r="L10" s="356"/>
      <c r="M10" s="348"/>
      <c r="N10" s="348"/>
      <c r="O10" s="348"/>
      <c r="P10" s="348"/>
      <c r="Q10" s="348"/>
      <c r="R10" s="357"/>
      <c r="S10" s="166">
        <f t="shared" si="0"/>
        <v>0</v>
      </c>
      <c r="T10" s="160" t="str">
        <f t="shared" si="1"/>
        <v>Ok</v>
      </c>
      <c r="V10" s="64">
        <f ca="1">Production!H10</f>
        <v>4418040</v>
      </c>
      <c r="X10" s="152">
        <f ca="1">ROUND( (1-MIN(ROUND(facs_rezone_factor*AC10,4),facs_rezone_max)) * (1+MIN(tech_construction_rezone*Techs!AD10,tech_conquerors_crafts*Techs!AS10)) * AA10*(1+race_rezone_cost),0)</f>
        <v>700</v>
      </c>
      <c r="Y10" s="166">
        <f t="shared" ca="1" si="2"/>
        <v>0</v>
      </c>
      <c r="AA10" s="160">
        <f t="shared" si="4"/>
        <v>700</v>
      </c>
      <c r="AC10" s="95">
        <f>Construction!AH10</f>
        <v>0</v>
      </c>
    </row>
    <row r="11" spans="1:29" s="16" customFormat="1" x14ac:dyDescent="0.25">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7">
        <f t="shared" si="3"/>
        <v>9</v>
      </c>
      <c r="K11" s="572">
        <f>Imps!CM11</f>
        <v>43768.083333333314</v>
      </c>
      <c r="L11" s="356"/>
      <c r="M11" s="348"/>
      <c r="N11" s="348"/>
      <c r="O11" s="348"/>
      <c r="P11" s="348"/>
      <c r="Q11" s="348"/>
      <c r="R11" s="357"/>
      <c r="S11" s="166">
        <f t="shared" si="0"/>
        <v>0</v>
      </c>
      <c r="T11" s="160" t="str">
        <f t="shared" si="1"/>
        <v>Ok</v>
      </c>
      <c r="V11" s="64">
        <f ca="1">Production!H11</f>
        <v>4427760</v>
      </c>
      <c r="X11" s="152">
        <f ca="1">ROUND( (1-MIN(ROUND(facs_rezone_factor*AC11,4),facs_rezone_max)) * (1+MIN(tech_construction_rezone*Techs!AD11,tech_conquerors_crafts*Techs!AS11)) * AA11*(1+race_rezone_cost),0)</f>
        <v>700</v>
      </c>
      <c r="Y11" s="166">
        <f t="shared" ca="1" si="2"/>
        <v>0</v>
      </c>
      <c r="AA11" s="160">
        <f t="shared" si="4"/>
        <v>700</v>
      </c>
      <c r="AC11" s="95">
        <f>Construction!AH11</f>
        <v>0</v>
      </c>
    </row>
    <row r="12" spans="1:29" s="16" customFormat="1" x14ac:dyDescent="0.25">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7">
        <f t="shared" si="3"/>
        <v>10</v>
      </c>
      <c r="K12" s="572">
        <f>Imps!CM12</f>
        <v>43768.093749999978</v>
      </c>
      <c r="L12" s="356"/>
      <c r="M12" s="348"/>
      <c r="N12" s="348"/>
      <c r="O12" s="348"/>
      <c r="P12" s="348"/>
      <c r="Q12" s="348"/>
      <c r="R12" s="357"/>
      <c r="S12" s="166">
        <f t="shared" si="0"/>
        <v>0</v>
      </c>
      <c r="T12" s="160" t="str">
        <f t="shared" si="1"/>
        <v>Ok</v>
      </c>
      <c r="V12" s="64">
        <f ca="1">Production!H12</f>
        <v>4437480</v>
      </c>
      <c r="X12" s="152">
        <f ca="1">ROUND( (1-MIN(ROUND(facs_rezone_factor*AC12,4),facs_rezone_max)) * (1+MIN(tech_construction_rezone*Techs!AD12,tech_conquerors_crafts*Techs!AS12)) * AA12*(1+race_rezone_cost),0)</f>
        <v>700</v>
      </c>
      <c r="Y12" s="166">
        <f t="shared" ca="1" si="2"/>
        <v>0</v>
      </c>
      <c r="AA12" s="160">
        <f t="shared" si="4"/>
        <v>700</v>
      </c>
      <c r="AC12" s="95">
        <f>Construction!AH12</f>
        <v>0</v>
      </c>
    </row>
    <row r="13" spans="1:29" s="16" customFormat="1" x14ac:dyDescent="0.25">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7">
        <f t="shared" si="3"/>
        <v>11</v>
      </c>
      <c r="K13" s="572">
        <f>Imps!CM13</f>
        <v>43768.104166666642</v>
      </c>
      <c r="L13" s="356"/>
      <c r="M13" s="348"/>
      <c r="N13" s="348"/>
      <c r="O13" s="348"/>
      <c r="P13" s="348"/>
      <c r="Q13" s="348"/>
      <c r="R13" s="357"/>
      <c r="S13" s="166">
        <f t="shared" si="0"/>
        <v>0</v>
      </c>
      <c r="T13" s="160" t="str">
        <f t="shared" si="1"/>
        <v>Ok</v>
      </c>
      <c r="V13" s="64">
        <f ca="1">Production!H13</f>
        <v>4447200</v>
      </c>
      <c r="X13" s="152">
        <f ca="1">ROUND( (1-MIN(ROUND(facs_rezone_factor*AC13,4),facs_rezone_max)) * (1+MIN(tech_construction_rezone*Techs!AD13,tech_conquerors_crafts*Techs!AS13)) * AA13*(1+race_rezone_cost),0)</f>
        <v>700</v>
      </c>
      <c r="Y13" s="166">
        <f t="shared" ca="1" si="2"/>
        <v>0</v>
      </c>
      <c r="AA13" s="160">
        <f t="shared" si="4"/>
        <v>700</v>
      </c>
      <c r="AC13" s="95">
        <f>Construction!AH13</f>
        <v>0</v>
      </c>
    </row>
    <row r="14" spans="1:29" s="170" customFormat="1" x14ac:dyDescent="0.25">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7">
        <f t="shared" si="3"/>
        <v>12</v>
      </c>
      <c r="K14" s="530">
        <f>Imps!CM14</f>
        <v>43768.114583333307</v>
      </c>
      <c r="L14" s="352"/>
      <c r="M14" s="345"/>
      <c r="N14" s="345"/>
      <c r="O14" s="345"/>
      <c r="P14" s="345"/>
      <c r="Q14" s="345"/>
      <c r="R14" s="353"/>
      <c r="S14" s="166">
        <f t="shared" si="0"/>
        <v>0</v>
      </c>
      <c r="T14" s="160" t="str">
        <f t="shared" si="1"/>
        <v>Ok</v>
      </c>
      <c r="V14" s="160">
        <f ca="1">Production!H14</f>
        <v>4456920</v>
      </c>
      <c r="X14" s="152">
        <f ca="1">ROUND( (1-MIN(ROUND(facs_rezone_factor*AC14,4),facs_rezone_max)) * (1+MIN(tech_construction_rezone*Techs!AD14,tech_conquerors_crafts*Techs!AS14)) * AA14*(1+race_rezone_cost),0)</f>
        <v>700</v>
      </c>
      <c r="Y14" s="166">
        <f t="shared" ca="1" si="2"/>
        <v>0</v>
      </c>
      <c r="AA14" s="160">
        <f t="shared" si="4"/>
        <v>700</v>
      </c>
      <c r="AC14" s="212">
        <f>Construction!AH14</f>
        <v>0</v>
      </c>
    </row>
    <row r="15" spans="1:29" s="163" customFormat="1" x14ac:dyDescent="0.25">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5">
        <f>J14+1</f>
        <v>13</v>
      </c>
      <c r="K15" s="674">
        <f>Imps!CM15</f>
        <v>43768.124999999971</v>
      </c>
      <c r="L15" s="823"/>
      <c r="M15" s="767"/>
      <c r="N15" s="346"/>
      <c r="O15" s="346"/>
      <c r="P15" s="346"/>
      <c r="Q15" s="767"/>
      <c r="R15" s="791"/>
      <c r="S15" s="158">
        <f t="shared" si="0"/>
        <v>0</v>
      </c>
      <c r="T15" s="203" t="str">
        <f t="shared" si="1"/>
        <v>Ok</v>
      </c>
      <c r="V15" s="203">
        <f ca="1">Production!H15</f>
        <v>4466640</v>
      </c>
      <c r="X15" s="151">
        <f ca="1">ROUND( (1-MIN(ROUND(facs_rezone_factor*AC15,4),facs_rezone_max)) * (1+MIN(tech_construction_rezone*Techs!AD15,tech_conquerors_crafts*Techs!AS15)) * AA15*(1+race_rezone_cost),0)</f>
        <v>700</v>
      </c>
      <c r="Y15" s="158">
        <f t="shared" ca="1" si="2"/>
        <v>0</v>
      </c>
      <c r="AA15" s="203">
        <f t="shared" si="4"/>
        <v>700</v>
      </c>
      <c r="AC15" s="204">
        <f>Construction!AH15</f>
        <v>0</v>
      </c>
    </row>
    <row r="16" spans="1:29" s="170" customFormat="1" x14ac:dyDescent="0.25">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7">
        <f t="shared" ref="J16:J75" si="5">J15+1</f>
        <v>14</v>
      </c>
      <c r="K16" s="530">
        <f>Imps!CM16</f>
        <v>43768.135416666635</v>
      </c>
      <c r="L16" s="352"/>
      <c r="M16" s="345"/>
      <c r="N16" s="345"/>
      <c r="O16" s="345"/>
      <c r="P16" s="345"/>
      <c r="Q16" s="345"/>
      <c r="R16" s="353"/>
      <c r="S16" s="166">
        <f t="shared" si="0"/>
        <v>0</v>
      </c>
      <c r="T16" s="160" t="str">
        <f t="shared" si="1"/>
        <v>Ok</v>
      </c>
      <c r="V16" s="160">
        <f ca="1">Production!H16</f>
        <v>4476360</v>
      </c>
      <c r="X16" s="152">
        <f ca="1">ROUND( (1-MIN(ROUND(facs_rezone_factor*AC16,4),facs_rezone_max)) * (1+MIN(tech_construction_rezone*Techs!AD16,tech_conquerors_crafts*Techs!AS16)) * AA16*(1+race_rezone_cost),0)</f>
        <v>700</v>
      </c>
      <c r="Y16" s="166">
        <f t="shared" ca="1" si="2"/>
        <v>0</v>
      </c>
      <c r="AA16" s="160">
        <f t="shared" si="4"/>
        <v>700</v>
      </c>
      <c r="AC16" s="212">
        <f>Construction!AH16</f>
        <v>0</v>
      </c>
    </row>
    <row r="17" spans="1:29" s="170" customFormat="1" x14ac:dyDescent="0.25">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7">
        <f t="shared" si="5"/>
        <v>15</v>
      </c>
      <c r="K17" s="530">
        <f>Imps!CM17</f>
        <v>43768.145833333299</v>
      </c>
      <c r="L17" s="352"/>
      <c r="M17" s="345"/>
      <c r="N17" s="345"/>
      <c r="O17" s="345"/>
      <c r="P17" s="345"/>
      <c r="Q17" s="345"/>
      <c r="R17" s="353"/>
      <c r="S17" s="166">
        <f t="shared" si="0"/>
        <v>0</v>
      </c>
      <c r="T17" s="160" t="str">
        <f t="shared" si="1"/>
        <v>Ok</v>
      </c>
      <c r="V17" s="160">
        <f ca="1">Production!H17</f>
        <v>4486080</v>
      </c>
      <c r="X17" s="152">
        <f ca="1">ROUND( (1-MIN(ROUND(facs_rezone_factor*AC17,4),facs_rezone_max)) * (1+MIN(tech_construction_rezone*Techs!AD17,tech_conquerors_crafts*Techs!AS17)) * AA17*(1+race_rezone_cost),0)</f>
        <v>700</v>
      </c>
      <c r="Y17" s="166">
        <f t="shared" ca="1" si="2"/>
        <v>0</v>
      </c>
      <c r="AA17" s="160">
        <f t="shared" si="4"/>
        <v>700</v>
      </c>
      <c r="AC17" s="212">
        <f>Construction!AH17</f>
        <v>0</v>
      </c>
    </row>
    <row r="18" spans="1:29" s="16" customFormat="1" x14ac:dyDescent="0.25">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7">
        <f t="shared" si="5"/>
        <v>16</v>
      </c>
      <c r="K18" s="572">
        <f>Imps!CM18</f>
        <v>43768.156249999964</v>
      </c>
      <c r="L18" s="356"/>
      <c r="M18" s="348"/>
      <c r="N18" s="348"/>
      <c r="O18" s="348"/>
      <c r="P18" s="348"/>
      <c r="Q18" s="348"/>
      <c r="R18" s="357"/>
      <c r="S18" s="166">
        <f t="shared" si="0"/>
        <v>0</v>
      </c>
      <c r="T18" s="160" t="str">
        <f t="shared" si="1"/>
        <v>Ok</v>
      </c>
      <c r="V18" s="64">
        <f ca="1">Production!H18</f>
        <v>4495800</v>
      </c>
      <c r="X18" s="152">
        <f ca="1">ROUND( (1-MIN(ROUND(facs_rezone_factor*AC18,4),facs_rezone_max)) * (1+MIN(tech_construction_rezone*Techs!AD18,tech_conquerors_crafts*Techs!AS18)) * AA18*(1+race_rezone_cost),0)</f>
        <v>700</v>
      </c>
      <c r="Y18" s="166">
        <f t="shared" ca="1" si="2"/>
        <v>0</v>
      </c>
      <c r="AA18" s="160">
        <f t="shared" si="4"/>
        <v>700</v>
      </c>
      <c r="AC18" s="95">
        <f>Construction!AH18</f>
        <v>0</v>
      </c>
    </row>
    <row r="19" spans="1:29" s="163" customFormat="1" x14ac:dyDescent="0.25">
      <c r="A19" s="163">
        <f>Construction!E19</f>
        <v>1000</v>
      </c>
      <c r="B19" s="196">
        <f>Construction!F19</f>
        <v>70</v>
      </c>
      <c r="C19" s="197">
        <f>Construction!G19</f>
        <v>100</v>
      </c>
      <c r="D19" s="198">
        <f>Construction!H19</f>
        <v>150</v>
      </c>
      <c r="E19" s="199">
        <f>Construction!I19</f>
        <v>150</v>
      </c>
      <c r="F19" s="200">
        <f>Construction!J19</f>
        <v>100</v>
      </c>
      <c r="G19" s="201">
        <f>Construction!K19</f>
        <v>150</v>
      </c>
      <c r="H19" s="202">
        <f>Construction!L19</f>
        <v>100</v>
      </c>
      <c r="J19" s="625">
        <f t="shared" si="5"/>
        <v>17</v>
      </c>
      <c r="K19" s="674">
        <f>Imps!CM19</f>
        <v>43768.166666666628</v>
      </c>
      <c r="L19" s="823"/>
      <c r="M19" s="767"/>
      <c r="N19" s="346"/>
      <c r="O19" s="346"/>
      <c r="P19" s="346"/>
      <c r="Q19" s="767"/>
      <c r="R19" s="791"/>
      <c r="S19" s="158">
        <f t="shared" si="0"/>
        <v>0</v>
      </c>
      <c r="T19" s="203" t="str">
        <f t="shared" si="1"/>
        <v>Ok</v>
      </c>
      <c r="V19" s="203">
        <f ca="1">Production!H19</f>
        <v>4505520</v>
      </c>
      <c r="X19" s="151">
        <f ca="1">ROUND( (1-MIN(ROUND(facs_rezone_factor*AC19,4),facs_rezone_max)) * (1+MIN(tech_construction_rezone*Techs!AD19,tech_conquerors_crafts*Techs!AS19)) * AA19*(1+race_rezone_cost),0)</f>
        <v>700</v>
      </c>
      <c r="Y19" s="158">
        <f t="shared" ca="1" si="2"/>
        <v>0</v>
      </c>
      <c r="AA19" s="203">
        <f t="shared" si="4"/>
        <v>700</v>
      </c>
      <c r="AC19" s="204">
        <f>Construction!AH19</f>
        <v>0</v>
      </c>
    </row>
    <row r="20" spans="1:29" s="16" customFormat="1" x14ac:dyDescent="0.25">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7">
        <f t="shared" si="5"/>
        <v>18</v>
      </c>
      <c r="K20" s="572">
        <f>Imps!CM20</f>
        <v>43768.177083333292</v>
      </c>
      <c r="L20" s="356"/>
      <c r="M20" s="348"/>
      <c r="N20" s="348"/>
      <c r="O20" s="348"/>
      <c r="P20" s="348"/>
      <c r="Q20" s="348"/>
      <c r="R20" s="357"/>
      <c r="S20" s="166">
        <f t="shared" si="0"/>
        <v>0</v>
      </c>
      <c r="T20" s="160" t="str">
        <f t="shared" si="1"/>
        <v>Ok</v>
      </c>
      <c r="V20" s="64">
        <f ca="1">Production!H20</f>
        <v>4515240</v>
      </c>
      <c r="X20" s="152">
        <f ca="1">ROUND( (1-MIN(ROUND(facs_rezone_factor*AC20,4),facs_rezone_max)) * (1+MIN(tech_construction_rezone*Techs!AD20,tech_conquerors_crafts*Techs!AS20)) * AA20*(1+race_rezone_cost),0)</f>
        <v>700</v>
      </c>
      <c r="Y20" s="166">
        <f t="shared" ca="1" si="2"/>
        <v>0</v>
      </c>
      <c r="AA20" s="160">
        <f t="shared" si="4"/>
        <v>700</v>
      </c>
      <c r="AC20" s="95">
        <f>Construction!AH20</f>
        <v>0</v>
      </c>
    </row>
    <row r="21" spans="1:29" s="16" customFormat="1" x14ac:dyDescent="0.25">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7">
        <f t="shared" si="5"/>
        <v>19</v>
      </c>
      <c r="K21" s="572">
        <f>Imps!CM21</f>
        <v>43768.187499999956</v>
      </c>
      <c r="L21" s="356"/>
      <c r="M21" s="348"/>
      <c r="N21" s="348"/>
      <c r="O21" s="348"/>
      <c r="P21" s="348"/>
      <c r="Q21" s="348"/>
      <c r="R21" s="357"/>
      <c r="S21" s="166">
        <f t="shared" si="0"/>
        <v>0</v>
      </c>
      <c r="T21" s="160" t="str">
        <f t="shared" si="1"/>
        <v>Ok</v>
      </c>
      <c r="V21" s="64">
        <f ca="1">Production!H21</f>
        <v>4524960</v>
      </c>
      <c r="X21" s="152">
        <f ca="1">ROUND( (1-MIN(ROUND(facs_rezone_factor*AC21,4),facs_rezone_max)) * (1+MIN(tech_construction_rezone*Techs!AD21,tech_conquerors_crafts*Techs!AS21)) * AA21*(1+race_rezone_cost),0)</f>
        <v>700</v>
      </c>
      <c r="Y21" s="166">
        <f t="shared" ca="1" si="2"/>
        <v>0</v>
      </c>
      <c r="AA21" s="160">
        <f t="shared" si="4"/>
        <v>700</v>
      </c>
      <c r="AC21" s="95">
        <f>Construction!AH21</f>
        <v>0</v>
      </c>
    </row>
    <row r="22" spans="1:29" s="16" customFormat="1" x14ac:dyDescent="0.25">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7">
        <f t="shared" si="5"/>
        <v>20</v>
      </c>
      <c r="K22" s="572">
        <f>Imps!CM22</f>
        <v>43768.197916666621</v>
      </c>
      <c r="L22" s="356"/>
      <c r="M22" s="348"/>
      <c r="N22" s="348"/>
      <c r="O22" s="348"/>
      <c r="P22" s="348"/>
      <c r="Q22" s="348"/>
      <c r="R22" s="357"/>
      <c r="S22" s="166">
        <f t="shared" si="0"/>
        <v>0</v>
      </c>
      <c r="T22" s="160" t="str">
        <f t="shared" si="1"/>
        <v>Ok</v>
      </c>
      <c r="V22" s="64">
        <f ca="1">Production!H22</f>
        <v>4534680</v>
      </c>
      <c r="X22" s="152">
        <f ca="1">ROUND( (1-MIN(ROUND(facs_rezone_factor*AC22,4),facs_rezone_max)) * (1+MIN(tech_construction_rezone*Techs!AD22,tech_conquerors_crafts*Techs!AS22)) * AA22*(1+race_rezone_cost),0)</f>
        <v>700</v>
      </c>
      <c r="Y22" s="166">
        <f t="shared" ca="1" si="2"/>
        <v>0</v>
      </c>
      <c r="AA22" s="160">
        <f t="shared" si="4"/>
        <v>700</v>
      </c>
      <c r="AC22" s="95">
        <f>Construction!AH22</f>
        <v>0</v>
      </c>
    </row>
    <row r="23" spans="1:29" s="16" customFormat="1" x14ac:dyDescent="0.25">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7">
        <f t="shared" si="5"/>
        <v>21</v>
      </c>
      <c r="K23" s="572">
        <f>Imps!CM23</f>
        <v>43768.208333333285</v>
      </c>
      <c r="L23" s="356"/>
      <c r="M23" s="348"/>
      <c r="N23" s="348"/>
      <c r="O23" s="348"/>
      <c r="P23" s="348"/>
      <c r="Q23" s="348"/>
      <c r="R23" s="357"/>
      <c r="S23" s="166">
        <f t="shared" si="0"/>
        <v>0</v>
      </c>
      <c r="T23" s="160" t="str">
        <f t="shared" si="1"/>
        <v>Ok</v>
      </c>
      <c r="V23" s="64">
        <f ca="1">Production!H23</f>
        <v>4544400</v>
      </c>
      <c r="X23" s="152">
        <f ca="1">ROUND( (1-MIN(ROUND(facs_rezone_factor*AC23,4),facs_rezone_max)) * (1+MIN(tech_construction_rezone*Techs!AD23,tech_conquerors_crafts*Techs!AS23)) * AA23*(1+race_rezone_cost),0)</f>
        <v>700</v>
      </c>
      <c r="Y23" s="166">
        <f t="shared" ca="1" si="2"/>
        <v>0</v>
      </c>
      <c r="AA23" s="160">
        <f t="shared" si="4"/>
        <v>700</v>
      </c>
      <c r="AC23" s="95">
        <f>Construction!AH23</f>
        <v>0</v>
      </c>
    </row>
    <row r="24" spans="1:29" s="16" customFormat="1" x14ac:dyDescent="0.25">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7">
        <f t="shared" si="5"/>
        <v>22</v>
      </c>
      <c r="K24" s="572">
        <f>Imps!CM24</f>
        <v>43768.218749999949</v>
      </c>
      <c r="L24" s="356"/>
      <c r="M24" s="348"/>
      <c r="N24" s="348"/>
      <c r="O24" s="348"/>
      <c r="P24" s="348"/>
      <c r="Q24" s="348"/>
      <c r="R24" s="357"/>
      <c r="S24" s="166">
        <f t="shared" si="0"/>
        <v>0</v>
      </c>
      <c r="T24" s="160" t="str">
        <f t="shared" si="1"/>
        <v>Ok</v>
      </c>
      <c r="V24" s="64">
        <f ca="1">Production!H24</f>
        <v>4554120</v>
      </c>
      <c r="X24" s="152">
        <f ca="1">ROUND( (1-MIN(ROUND(facs_rezone_factor*AC24,4),facs_rezone_max)) * (1+MIN(tech_construction_rezone*Techs!AD24,tech_conquerors_crafts*Techs!AS24)) * AA24*(1+race_rezone_cost),0)</f>
        <v>700</v>
      </c>
      <c r="Y24" s="166">
        <f t="shared" ca="1" si="2"/>
        <v>0</v>
      </c>
      <c r="AA24" s="160">
        <f t="shared" si="4"/>
        <v>700</v>
      </c>
      <c r="AC24" s="95">
        <f>Construction!AH24</f>
        <v>0</v>
      </c>
    </row>
    <row r="25" spans="1:29" s="16" customFormat="1" x14ac:dyDescent="0.25">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7">
        <f t="shared" si="5"/>
        <v>23</v>
      </c>
      <c r="K25" s="572">
        <f>Imps!CM25</f>
        <v>43768.229166666613</v>
      </c>
      <c r="L25" s="356"/>
      <c r="M25" s="348"/>
      <c r="N25" s="348"/>
      <c r="O25" s="348"/>
      <c r="P25" s="348"/>
      <c r="Q25" s="348"/>
      <c r="R25" s="357"/>
      <c r="S25" s="166">
        <f t="shared" si="0"/>
        <v>0</v>
      </c>
      <c r="T25" s="160" t="str">
        <f t="shared" si="1"/>
        <v>Ok</v>
      </c>
      <c r="V25" s="64">
        <f ca="1">Production!H25</f>
        <v>4563633</v>
      </c>
      <c r="X25" s="152">
        <f ca="1">ROUND( (1-MIN(ROUND(facs_rezone_factor*AC25,4),facs_rezone_max)) * (1+MIN(tech_construction_rezone*Techs!AD25,tech_conquerors_crafts*Techs!AS25)) * AA25*(1+race_rezone_cost),0)</f>
        <v>700</v>
      </c>
      <c r="Y25" s="166">
        <f t="shared" ca="1" si="2"/>
        <v>0</v>
      </c>
      <c r="AA25" s="160">
        <f t="shared" si="4"/>
        <v>700</v>
      </c>
      <c r="AC25" s="95">
        <f>Construction!AH25</f>
        <v>0</v>
      </c>
    </row>
    <row r="26" spans="1:29" s="170" customFormat="1" x14ac:dyDescent="0.25">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7">
        <f t="shared" si="5"/>
        <v>24</v>
      </c>
      <c r="K26" s="530">
        <f>Imps!CM26</f>
        <v>43768.239583333278</v>
      </c>
      <c r="L26" s="352"/>
      <c r="M26" s="345"/>
      <c r="N26" s="345"/>
      <c r="O26" s="345"/>
      <c r="P26" s="345"/>
      <c r="Q26" s="345"/>
      <c r="R26" s="353"/>
      <c r="S26" s="166">
        <f t="shared" si="0"/>
        <v>0</v>
      </c>
      <c r="T26" s="160" t="str">
        <f t="shared" si="1"/>
        <v>Ok</v>
      </c>
      <c r="V26" s="160">
        <f ca="1">Production!H26</f>
        <v>4572671</v>
      </c>
      <c r="X26" s="152">
        <f ca="1">ROUND( (1-MIN(ROUND(facs_rezone_factor*AC26,4),facs_rezone_max)) * (1+MIN(tech_construction_rezone*Techs!AD26,tech_conquerors_crafts*Techs!AS26)) * AA26*(1+race_rezone_cost),0)</f>
        <v>700</v>
      </c>
      <c r="Y26" s="166">
        <f t="shared" ca="1" si="2"/>
        <v>0</v>
      </c>
      <c r="AA26" s="160">
        <f t="shared" si="4"/>
        <v>700</v>
      </c>
      <c r="AC26" s="212">
        <f>Construction!AH26</f>
        <v>0</v>
      </c>
    </row>
    <row r="27" spans="1:29" s="16" customFormat="1" x14ac:dyDescent="0.25">
      <c r="A27" s="16">
        <f>Construction!E27</f>
        <v>1000</v>
      </c>
      <c r="B27" s="68">
        <f>Construction!F27</f>
        <v>70</v>
      </c>
      <c r="C27" s="29">
        <f>Construction!G27</f>
        <v>100</v>
      </c>
      <c r="D27" s="30">
        <f>Construction!H27</f>
        <v>150</v>
      </c>
      <c r="E27" s="31">
        <f>Construction!I27</f>
        <v>150</v>
      </c>
      <c r="F27" s="32">
        <f>Construction!J27</f>
        <v>100</v>
      </c>
      <c r="G27" s="33">
        <f>Construction!K27</f>
        <v>150</v>
      </c>
      <c r="H27" s="69">
        <f>Construction!L27</f>
        <v>100</v>
      </c>
      <c r="J27" s="527">
        <f t="shared" si="5"/>
        <v>25</v>
      </c>
      <c r="K27" s="572">
        <f>Imps!CM27</f>
        <v>43768.249999999942</v>
      </c>
      <c r="L27" s="356"/>
      <c r="M27" s="348"/>
      <c r="N27" s="348"/>
      <c r="O27" s="348"/>
      <c r="P27" s="348"/>
      <c r="Q27" s="348"/>
      <c r="R27" s="357"/>
      <c r="S27" s="166">
        <f>SUMIF(L27:R27,"&gt;0")</f>
        <v>0</v>
      </c>
      <c r="T27" s="160" t="str">
        <f>IF(SUM(L27:R27)=0,"Ok","Nope")</f>
        <v>Ok</v>
      </c>
      <c r="V27" s="64">
        <f ca="1">Production!H27</f>
        <v>4581257</v>
      </c>
      <c r="X27" s="152">
        <f ca="1">ROUND( (1-MIN(ROUND(facs_rezone_factor*AC27,4),facs_rezone_max)) * (1+MIN(tech_construction_rezone*Techs!AD27,tech_conquerors_crafts*Techs!AS27)) * AA27*(1+race_rezone_cost),0)</f>
        <v>700</v>
      </c>
      <c r="Y27" s="166">
        <f t="shared" ca="1" si="2"/>
        <v>0</v>
      </c>
      <c r="AA27" s="160">
        <f t="shared" si="4"/>
        <v>700</v>
      </c>
      <c r="AC27" s="95">
        <f>Construction!AH27</f>
        <v>0</v>
      </c>
    </row>
    <row r="28" spans="1:29" s="170" customFormat="1" x14ac:dyDescent="0.25">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7">
        <f t="shared" si="5"/>
        <v>26</v>
      </c>
      <c r="K28" s="530">
        <f>Imps!CM28</f>
        <v>43768.260416666606</v>
      </c>
      <c r="L28" s="352"/>
      <c r="M28" s="345"/>
      <c r="N28" s="345"/>
      <c r="O28" s="345"/>
      <c r="P28" s="345"/>
      <c r="Q28" s="345"/>
      <c r="R28" s="353"/>
      <c r="S28" s="166">
        <f t="shared" si="0"/>
        <v>0</v>
      </c>
      <c r="T28" s="160" t="str">
        <f t="shared" si="1"/>
        <v>Ok</v>
      </c>
      <c r="V28" s="160">
        <f ca="1">Production!H28</f>
        <v>4589413</v>
      </c>
      <c r="X28" s="152">
        <f ca="1">ROUND( (1-MIN(ROUND(facs_rezone_factor*AC28,4),facs_rezone_max)) * (1+MIN(tech_construction_rezone*Techs!AD28,tech_conquerors_crafts*Techs!AS28)) * AA28*(1+race_rezone_cost),0)</f>
        <v>700</v>
      </c>
      <c r="Y28" s="166">
        <f t="shared" ca="1" si="2"/>
        <v>0</v>
      </c>
      <c r="AA28" s="160">
        <f t="shared" si="4"/>
        <v>700</v>
      </c>
      <c r="AC28" s="212">
        <f>Construction!AH28</f>
        <v>0</v>
      </c>
    </row>
    <row r="29" spans="1:29" s="170" customFormat="1" x14ac:dyDescent="0.25">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7">
        <f t="shared" si="5"/>
        <v>27</v>
      </c>
      <c r="K29" s="530">
        <f>Imps!CM29</f>
        <v>43768.27083333327</v>
      </c>
      <c r="L29" s="352"/>
      <c r="M29" s="345"/>
      <c r="N29" s="345"/>
      <c r="O29" s="345"/>
      <c r="P29" s="345"/>
      <c r="Q29" s="345"/>
      <c r="R29" s="353"/>
      <c r="S29" s="166">
        <f t="shared" si="0"/>
        <v>0</v>
      </c>
      <c r="T29" s="160" t="str">
        <f t="shared" si="1"/>
        <v>Ok</v>
      </c>
      <c r="V29" s="160">
        <f ca="1">Production!H29</f>
        <v>4597162</v>
      </c>
      <c r="X29" s="152">
        <f ca="1">ROUND( (1-MIN(ROUND(facs_rezone_factor*AC29,4),facs_rezone_max)) * (1+MIN(tech_construction_rezone*Techs!AD29,tech_conquerors_crafts*Techs!AS29)) * AA29*(1+race_rezone_cost),0)</f>
        <v>700</v>
      </c>
      <c r="Y29" s="166">
        <f t="shared" ca="1" si="2"/>
        <v>0</v>
      </c>
      <c r="AA29" s="160">
        <f t="shared" si="4"/>
        <v>700</v>
      </c>
      <c r="AC29" s="212">
        <f>Construction!AH29</f>
        <v>0</v>
      </c>
    </row>
    <row r="30" spans="1:29" s="16" customFormat="1" ht="13.8" thickBot="1" x14ac:dyDescent="0.3">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7">
        <f t="shared" si="5"/>
        <v>28</v>
      </c>
      <c r="K30" s="572">
        <f>Imps!CM30</f>
        <v>43768.281249999935</v>
      </c>
      <c r="L30" s="356"/>
      <c r="M30" s="348"/>
      <c r="N30" s="348"/>
      <c r="O30" s="348"/>
      <c r="P30" s="348"/>
      <c r="Q30" s="348"/>
      <c r="R30" s="357"/>
      <c r="S30" s="166">
        <f t="shared" si="0"/>
        <v>0</v>
      </c>
      <c r="T30" s="160" t="str">
        <f t="shared" si="1"/>
        <v>Ok</v>
      </c>
      <c r="V30" s="64">
        <f ca="1">Production!H30</f>
        <v>4604523</v>
      </c>
      <c r="X30" s="152">
        <f ca="1">ROUND( (1-MIN(ROUND(facs_rezone_factor*AC30,4),facs_rezone_max)) * (1+MIN(tech_construction_rezone*Techs!AD30,tech_conquerors_crafts*Techs!AS30)) * AA30*(1+race_rezone_cost),0)</f>
        <v>700</v>
      </c>
      <c r="Y30" s="166">
        <f t="shared" ca="1" si="2"/>
        <v>0</v>
      </c>
      <c r="AA30" s="160">
        <f t="shared" si="4"/>
        <v>700</v>
      </c>
      <c r="AC30" s="95">
        <f>Construction!AH30</f>
        <v>0</v>
      </c>
    </row>
    <row r="31" spans="1:29" s="1203" customFormat="1" ht="14.4" thickTop="1" thickBot="1" x14ac:dyDescent="0.3">
      <c r="A31" s="1203">
        <f>Construction!E31</f>
        <v>1000</v>
      </c>
      <c r="B31" s="1199">
        <f>Construction!F31</f>
        <v>70</v>
      </c>
      <c r="C31" s="1203">
        <f>Construction!G31</f>
        <v>100</v>
      </c>
      <c r="D31" s="1203">
        <f>Construction!H31</f>
        <v>150</v>
      </c>
      <c r="E31" s="1203">
        <f>Construction!I31</f>
        <v>150</v>
      </c>
      <c r="F31" s="1203">
        <f>Construction!J31</f>
        <v>100</v>
      </c>
      <c r="G31" s="1203">
        <f>Construction!K31</f>
        <v>150</v>
      </c>
      <c r="H31" s="1222">
        <f>Construction!L31</f>
        <v>100</v>
      </c>
      <c r="J31" s="1238">
        <f t="shared" si="5"/>
        <v>29</v>
      </c>
      <c r="K31" s="1204">
        <f>Imps!CM31</f>
        <v>43768.291666666599</v>
      </c>
      <c r="L31" s="1217"/>
      <c r="M31" s="1200"/>
      <c r="N31" s="1200"/>
      <c r="O31" s="1200"/>
      <c r="P31" s="1200"/>
      <c r="Q31" s="1200"/>
      <c r="R31" s="1223"/>
      <c r="S31" s="1198">
        <f t="shared" si="0"/>
        <v>0</v>
      </c>
      <c r="T31" s="1230" t="str">
        <f t="shared" si="1"/>
        <v>Ok</v>
      </c>
      <c r="V31" s="1230">
        <f ca="1">Production!H31</f>
        <v>4611516</v>
      </c>
      <c r="X31" s="1192">
        <f ca="1">ROUND( (1-MIN(ROUND(facs_rezone_factor*AC31,4),facs_rezone_max)) * (1+MIN(tech_construction_rezone*Techs!AD31,tech_conquerors_crafts*Techs!AS31)) * AA31*(1+race_rezone_cost),0)</f>
        <v>700</v>
      </c>
      <c r="Y31" s="1198">
        <f t="shared" ca="1" si="2"/>
        <v>0</v>
      </c>
      <c r="AA31" s="1230">
        <f t="shared" si="4"/>
        <v>700</v>
      </c>
      <c r="AC31" s="1249">
        <f>Construction!AH31</f>
        <v>0</v>
      </c>
    </row>
    <row r="32" spans="1:29" s="16" customFormat="1" ht="13.8" thickTop="1" x14ac:dyDescent="0.25">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7">
        <f t="shared" si="5"/>
        <v>30</v>
      </c>
      <c r="K32" s="572">
        <f>Imps!CM32</f>
        <v>43768.302083333263</v>
      </c>
      <c r="L32" s="356"/>
      <c r="M32" s="348"/>
      <c r="N32" s="348"/>
      <c r="O32" s="348"/>
      <c r="P32" s="348"/>
      <c r="Q32" s="348"/>
      <c r="R32" s="357"/>
      <c r="S32" s="166">
        <f t="shared" si="0"/>
        <v>0</v>
      </c>
      <c r="T32" s="160" t="str">
        <f t="shared" si="1"/>
        <v>Ok</v>
      </c>
      <c r="V32" s="64">
        <f ca="1">Production!H32</f>
        <v>4618159</v>
      </c>
      <c r="X32" s="152">
        <f ca="1">ROUND( (1-MIN(ROUND(facs_rezone_factor*AC32,4),facs_rezone_max)) * (1+MIN(tech_construction_rezone*Techs!AD32,tech_conquerors_crafts*Techs!AS32)) * AA32*(1+race_rezone_cost),0)</f>
        <v>700</v>
      </c>
      <c r="Y32" s="166">
        <f t="shared" ca="1" si="2"/>
        <v>0</v>
      </c>
      <c r="AA32" s="160">
        <f t="shared" si="4"/>
        <v>700</v>
      </c>
      <c r="AC32" s="95">
        <f>Construction!AH32</f>
        <v>0</v>
      </c>
    </row>
    <row r="33" spans="1:29" s="16" customFormat="1" x14ac:dyDescent="0.25">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7">
        <f t="shared" si="5"/>
        <v>31</v>
      </c>
      <c r="K33" s="572">
        <f>Imps!CM33</f>
        <v>43768.312499999927</v>
      </c>
      <c r="L33" s="356"/>
      <c r="M33" s="348"/>
      <c r="N33" s="348"/>
      <c r="O33" s="348"/>
      <c r="P33" s="348"/>
      <c r="Q33" s="348"/>
      <c r="R33" s="357"/>
      <c r="S33" s="166">
        <f t="shared" si="0"/>
        <v>0</v>
      </c>
      <c r="T33" s="160" t="str">
        <f t="shared" si="1"/>
        <v>Ok</v>
      </c>
      <c r="V33" s="64">
        <f ca="1">Production!H33</f>
        <v>4624470</v>
      </c>
      <c r="X33" s="152">
        <f ca="1">ROUND( (1-MIN(ROUND(facs_rezone_factor*AC33,4),facs_rezone_max)) * (1+MIN(tech_construction_rezone*Techs!AD33,tech_conquerors_crafts*Techs!AS33)) * AA33*(1+race_rezone_cost),0)</f>
        <v>700</v>
      </c>
      <c r="Y33" s="166">
        <f t="shared" ca="1" si="2"/>
        <v>0</v>
      </c>
      <c r="AA33" s="160">
        <f t="shared" si="4"/>
        <v>700</v>
      </c>
      <c r="AC33" s="95">
        <f>Construction!AH33</f>
        <v>0</v>
      </c>
    </row>
    <row r="34" spans="1:29" s="16" customFormat="1" x14ac:dyDescent="0.25">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7">
        <f t="shared" si="5"/>
        <v>32</v>
      </c>
      <c r="K34" s="572">
        <f>Imps!CM34</f>
        <v>43768.322916666591</v>
      </c>
      <c r="L34" s="356"/>
      <c r="M34" s="348"/>
      <c r="N34" s="348"/>
      <c r="O34" s="348"/>
      <c r="P34" s="348"/>
      <c r="Q34" s="348"/>
      <c r="R34" s="357"/>
      <c r="S34" s="166">
        <f t="shared" si="0"/>
        <v>0</v>
      </c>
      <c r="T34" s="160" t="str">
        <f t="shared" si="1"/>
        <v>Ok</v>
      </c>
      <c r="V34" s="64">
        <f ca="1">Production!H34</f>
        <v>4630466</v>
      </c>
      <c r="X34" s="152">
        <f ca="1">ROUND( (1-MIN(ROUND(facs_rezone_factor*AC34,4),facs_rezone_max)) * (1+MIN(tech_construction_rezone*Techs!AD34,tech_conquerors_crafts*Techs!AS34)) * AA34*(1+race_rezone_cost),0)</f>
        <v>700</v>
      </c>
      <c r="Y34" s="166">
        <f t="shared" ca="1" si="2"/>
        <v>0</v>
      </c>
      <c r="AA34" s="160">
        <f t="shared" si="4"/>
        <v>700</v>
      </c>
      <c r="AC34" s="95">
        <f>Construction!AH34</f>
        <v>0</v>
      </c>
    </row>
    <row r="35" spans="1:29" s="16" customFormat="1" x14ac:dyDescent="0.25">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7">
        <f t="shared" si="5"/>
        <v>33</v>
      </c>
      <c r="K35" s="572">
        <f>Imps!CM35</f>
        <v>43768.333333333256</v>
      </c>
      <c r="L35" s="356"/>
      <c r="M35" s="348"/>
      <c r="N35" s="348"/>
      <c r="O35" s="348"/>
      <c r="P35" s="348"/>
      <c r="Q35" s="348"/>
      <c r="R35" s="357"/>
      <c r="S35" s="166">
        <f t="shared" si="0"/>
        <v>0</v>
      </c>
      <c r="T35" s="160" t="str">
        <f t="shared" si="1"/>
        <v>Ok</v>
      </c>
      <c r="V35" s="64">
        <f ca="1">Production!H35</f>
        <v>4636162</v>
      </c>
      <c r="X35" s="152">
        <f ca="1">ROUND( (1-MIN(ROUND(facs_rezone_factor*AC35,4),facs_rezone_max)) * (1+MIN(tech_construction_rezone*Techs!AD35,tech_conquerors_crafts*Techs!AS35)) * AA35*(1+race_rezone_cost),0)</f>
        <v>700</v>
      </c>
      <c r="Y35" s="166">
        <f t="shared" ref="Y35:Y66" ca="1" si="6">S35*X35</f>
        <v>0</v>
      </c>
      <c r="AA35" s="160">
        <f t="shared" si="4"/>
        <v>700</v>
      </c>
      <c r="AC35" s="95">
        <f>Construction!AH35</f>
        <v>0</v>
      </c>
    </row>
    <row r="36" spans="1:29" s="16" customFormat="1" x14ac:dyDescent="0.25">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7">
        <f t="shared" si="5"/>
        <v>34</v>
      </c>
      <c r="K36" s="572">
        <f>Imps!CM36</f>
        <v>43768.34374999992</v>
      </c>
      <c r="L36" s="356"/>
      <c r="M36" s="348"/>
      <c r="N36" s="348"/>
      <c r="O36" s="348"/>
      <c r="P36" s="348"/>
      <c r="Q36" s="348"/>
      <c r="R36" s="357"/>
      <c r="S36" s="166">
        <f t="shared" si="0"/>
        <v>0</v>
      </c>
      <c r="T36" s="160" t="str">
        <f t="shared" si="1"/>
        <v>Ok</v>
      </c>
      <c r="V36" s="64">
        <f ca="1">Production!H36</f>
        <v>4641573</v>
      </c>
      <c r="X36" s="152">
        <f ca="1">ROUND( (1-MIN(ROUND(facs_rezone_factor*AC36,4),facs_rezone_max)) * (1+MIN(tech_construction_rezone*Techs!AD36,tech_conquerors_crafts*Techs!AS36)) * AA36*(1+race_rezone_cost),0)</f>
        <v>700</v>
      </c>
      <c r="Y36" s="166">
        <f t="shared" ca="1" si="6"/>
        <v>0</v>
      </c>
      <c r="AA36" s="160">
        <f t="shared" si="4"/>
        <v>700</v>
      </c>
      <c r="AC36" s="95">
        <f>Construction!AH36</f>
        <v>0</v>
      </c>
    </row>
    <row r="37" spans="1:29" s="16" customFormat="1" x14ac:dyDescent="0.25">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7">
        <f t="shared" si="5"/>
        <v>35</v>
      </c>
      <c r="K37" s="572">
        <f>Imps!CM37</f>
        <v>43768.354166666584</v>
      </c>
      <c r="L37" s="356"/>
      <c r="M37" s="348"/>
      <c r="N37" s="348"/>
      <c r="O37" s="348"/>
      <c r="P37" s="348"/>
      <c r="Q37" s="348"/>
      <c r="R37" s="357"/>
      <c r="S37" s="166">
        <f t="shared" si="0"/>
        <v>0</v>
      </c>
      <c r="T37" s="160" t="str">
        <f t="shared" si="1"/>
        <v>Ok</v>
      </c>
      <c r="V37" s="64">
        <f ca="1">Production!H37</f>
        <v>4646713</v>
      </c>
      <c r="X37" s="152">
        <f ca="1">ROUND( (1-MIN(ROUND(facs_rezone_factor*AC37,4),facs_rezone_max)) * (1+MIN(tech_construction_rezone*Techs!AD37,tech_conquerors_crafts*Techs!AS37)) * AA37*(1+race_rezone_cost),0)</f>
        <v>700</v>
      </c>
      <c r="Y37" s="166">
        <f t="shared" ca="1" si="6"/>
        <v>0</v>
      </c>
      <c r="AA37" s="160">
        <f t="shared" si="4"/>
        <v>700</v>
      </c>
      <c r="AC37" s="95">
        <f>Construction!AH37</f>
        <v>0</v>
      </c>
    </row>
    <row r="38" spans="1:29" s="16" customFormat="1" x14ac:dyDescent="0.25">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7">
        <f t="shared" si="5"/>
        <v>36</v>
      </c>
      <c r="K38" s="572">
        <f>Imps!CM38</f>
        <v>43768.364583333248</v>
      </c>
      <c r="L38" s="356"/>
      <c r="M38" s="348"/>
      <c r="N38" s="348"/>
      <c r="O38" s="348"/>
      <c r="P38" s="348"/>
      <c r="Q38" s="348"/>
      <c r="R38" s="357"/>
      <c r="S38" s="166">
        <f t="shared" si="0"/>
        <v>0</v>
      </c>
      <c r="T38" s="160" t="str">
        <f t="shared" si="1"/>
        <v>Ok</v>
      </c>
      <c r="V38" s="64">
        <f ca="1">Production!H38</f>
        <v>4651694</v>
      </c>
      <c r="X38" s="152">
        <f ca="1">ROUND( (1-MIN(ROUND(facs_rezone_factor*AC38,4),facs_rezone_max)) * (1+MIN(tech_construction_rezone*Techs!AD38,tech_conquerors_crafts*Techs!AS38)) * AA38*(1+race_rezone_cost),0)</f>
        <v>700</v>
      </c>
      <c r="Y38" s="166">
        <f t="shared" ca="1" si="6"/>
        <v>0</v>
      </c>
      <c r="AA38" s="160">
        <f t="shared" si="4"/>
        <v>700</v>
      </c>
      <c r="AC38" s="95">
        <f>Construction!AH38</f>
        <v>0</v>
      </c>
    </row>
    <row r="39" spans="1:29" s="12" customFormat="1" x14ac:dyDescent="0.25">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29">
        <f t="shared" si="5"/>
        <v>37</v>
      </c>
      <c r="K39" s="676">
        <f>Imps!CM39</f>
        <v>43768.374999999913</v>
      </c>
      <c r="L39" s="373"/>
      <c r="M39" s="349"/>
      <c r="N39" s="349"/>
      <c r="O39" s="349"/>
      <c r="P39" s="349"/>
      <c r="Q39" s="349"/>
      <c r="R39" s="374"/>
      <c r="S39" s="158">
        <f t="shared" si="0"/>
        <v>0</v>
      </c>
      <c r="T39" s="203" t="str">
        <f t="shared" si="1"/>
        <v>Ok</v>
      </c>
      <c r="V39" s="93">
        <f ca="1">Production!H39</f>
        <v>4656675</v>
      </c>
      <c r="X39" s="151">
        <f ca="1">ROUND( (1-MIN(ROUND(facs_rezone_factor*AC39,4),facs_rezone_max)) * (1+MIN(tech_construction_rezone*Techs!AD39,tech_conquerors_crafts*Techs!AS39)) * AA39*(1+race_rezone_cost),0)</f>
        <v>700</v>
      </c>
      <c r="Y39" s="158">
        <f t="shared" ca="1" si="6"/>
        <v>0</v>
      </c>
      <c r="AA39" s="203">
        <f t="shared" si="4"/>
        <v>700</v>
      </c>
      <c r="AC39" s="94">
        <f>Construction!AH39</f>
        <v>0</v>
      </c>
    </row>
    <row r="40" spans="1:29" s="16" customFormat="1" x14ac:dyDescent="0.25">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7">
        <f t="shared" si="5"/>
        <v>38</v>
      </c>
      <c r="K40" s="572">
        <f>Imps!CM40</f>
        <v>43768.385416666577</v>
      </c>
      <c r="L40" s="356"/>
      <c r="M40" s="348"/>
      <c r="N40" s="348"/>
      <c r="O40" s="348"/>
      <c r="P40" s="348"/>
      <c r="Q40" s="348"/>
      <c r="R40" s="357"/>
      <c r="S40" s="166">
        <f t="shared" si="0"/>
        <v>0</v>
      </c>
      <c r="T40" s="160" t="str">
        <f t="shared" si="1"/>
        <v>Ok</v>
      </c>
      <c r="V40" s="64">
        <f ca="1">Production!H40</f>
        <v>4661656</v>
      </c>
      <c r="X40" s="152">
        <f ca="1">ROUND( (1-MIN(ROUND(facs_rezone_factor*AC40,4),facs_rezone_max)) * (1+MIN(tech_construction_rezone*Techs!AD40,tech_conquerors_crafts*Techs!AS40)) * AA40*(1+race_rezone_cost),0)</f>
        <v>700</v>
      </c>
      <c r="Y40" s="166">
        <f t="shared" ca="1" si="6"/>
        <v>0</v>
      </c>
      <c r="AA40" s="160">
        <f t="shared" si="4"/>
        <v>700</v>
      </c>
      <c r="AC40" s="95">
        <f>Construction!AH40</f>
        <v>0</v>
      </c>
    </row>
    <row r="41" spans="1:29" s="16" customFormat="1" x14ac:dyDescent="0.25">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7">
        <f t="shared" si="5"/>
        <v>39</v>
      </c>
      <c r="K41" s="572">
        <f>Imps!CM41</f>
        <v>43768.395833333241</v>
      </c>
      <c r="L41" s="356"/>
      <c r="M41" s="348"/>
      <c r="N41" s="348"/>
      <c r="O41" s="348"/>
      <c r="P41" s="348"/>
      <c r="Q41" s="348"/>
      <c r="R41" s="357"/>
      <c r="S41" s="166">
        <f t="shared" si="0"/>
        <v>0</v>
      </c>
      <c r="T41" s="160" t="str">
        <f t="shared" si="1"/>
        <v>Ok</v>
      </c>
      <c r="V41" s="64">
        <f ca="1">Production!H41</f>
        <v>4666637</v>
      </c>
      <c r="X41" s="152">
        <f ca="1">ROUND( (1-MIN(ROUND(facs_rezone_factor*AC41,4),facs_rezone_max)) * (1+MIN(tech_construction_rezone*Techs!AD41,tech_conquerors_crafts*Techs!AS41)) * AA41*(1+race_rezone_cost),0)</f>
        <v>700</v>
      </c>
      <c r="Y41" s="166">
        <f t="shared" ca="1" si="6"/>
        <v>0</v>
      </c>
      <c r="AA41" s="160">
        <f t="shared" si="4"/>
        <v>700</v>
      </c>
      <c r="AC41" s="95">
        <f>Construction!AH41</f>
        <v>0</v>
      </c>
    </row>
    <row r="42" spans="1:29" s="16" customFormat="1" x14ac:dyDescent="0.25">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7">
        <f t="shared" si="5"/>
        <v>40</v>
      </c>
      <c r="K42" s="572">
        <f>Imps!CM42</f>
        <v>43768.406249999905</v>
      </c>
      <c r="L42" s="356"/>
      <c r="M42" s="348"/>
      <c r="N42" s="348"/>
      <c r="O42" s="348"/>
      <c r="P42" s="348"/>
      <c r="Q42" s="348"/>
      <c r="R42" s="357"/>
      <c r="S42" s="166">
        <f t="shared" si="0"/>
        <v>0</v>
      </c>
      <c r="T42" s="160" t="str">
        <f t="shared" si="1"/>
        <v>Ok</v>
      </c>
      <c r="V42" s="64">
        <f ca="1">Production!H42</f>
        <v>4671618</v>
      </c>
      <c r="X42" s="152">
        <f ca="1">ROUND( (1-MIN(ROUND(facs_rezone_factor*AC42,4),facs_rezone_max)) * (1+MIN(tech_construction_rezone*Techs!AD42,tech_conquerors_crafts*Techs!AS42)) * AA42*(1+race_rezone_cost),0)</f>
        <v>700</v>
      </c>
      <c r="Y42" s="166">
        <f t="shared" ca="1" si="6"/>
        <v>0</v>
      </c>
      <c r="AA42" s="160">
        <f t="shared" si="4"/>
        <v>700</v>
      </c>
      <c r="AC42" s="95">
        <f>Construction!AH42</f>
        <v>0</v>
      </c>
    </row>
    <row r="43" spans="1:29" s="16" customFormat="1" x14ac:dyDescent="0.25">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7">
        <f t="shared" si="5"/>
        <v>41</v>
      </c>
      <c r="K43" s="572">
        <f>Imps!CM43</f>
        <v>43768.41666666657</v>
      </c>
      <c r="L43" s="356"/>
      <c r="M43" s="348"/>
      <c r="N43" s="348"/>
      <c r="O43" s="348"/>
      <c r="P43" s="348"/>
      <c r="Q43" s="348"/>
      <c r="R43" s="357"/>
      <c r="S43" s="166">
        <f t="shared" si="0"/>
        <v>0</v>
      </c>
      <c r="T43" s="160" t="str">
        <f t="shared" si="1"/>
        <v>Ok</v>
      </c>
      <c r="V43" s="64">
        <f ca="1">Production!H43</f>
        <v>4676599</v>
      </c>
      <c r="X43" s="152">
        <f ca="1">ROUND( (1-MIN(ROUND(facs_rezone_factor*AC43,4),facs_rezone_max)) * (1+MIN(tech_construction_rezone*Techs!AD43,tech_conquerors_crafts*Techs!AS43)) * AA43*(1+race_rezone_cost),0)</f>
        <v>700</v>
      </c>
      <c r="Y43" s="166">
        <f t="shared" ca="1" si="6"/>
        <v>0</v>
      </c>
      <c r="AA43" s="160">
        <f t="shared" si="4"/>
        <v>700</v>
      </c>
      <c r="AC43" s="95">
        <f>Construction!AH43</f>
        <v>0</v>
      </c>
    </row>
    <row r="44" spans="1:29" s="16" customFormat="1" x14ac:dyDescent="0.25">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7">
        <f t="shared" si="5"/>
        <v>42</v>
      </c>
      <c r="K44" s="572">
        <f>Imps!CM44</f>
        <v>43768.427083333234</v>
      </c>
      <c r="L44" s="356"/>
      <c r="M44" s="348"/>
      <c r="N44" s="348"/>
      <c r="O44" s="348"/>
      <c r="P44" s="348"/>
      <c r="Q44" s="348"/>
      <c r="R44" s="357"/>
      <c r="S44" s="166">
        <f t="shared" si="0"/>
        <v>0</v>
      </c>
      <c r="T44" s="160" t="str">
        <f t="shared" si="1"/>
        <v>Ok</v>
      </c>
      <c r="V44" s="64">
        <f ca="1">Production!H44</f>
        <v>4681580</v>
      </c>
      <c r="X44" s="152">
        <f ca="1">ROUND( (1-MIN(ROUND(facs_rezone_factor*AC44,4),facs_rezone_max)) * (1+MIN(tech_construction_rezone*Techs!AD44,tech_conquerors_crafts*Techs!AS44)) * AA44*(1+race_rezone_cost),0)</f>
        <v>700</v>
      </c>
      <c r="Y44" s="166">
        <f t="shared" ca="1" si="6"/>
        <v>0</v>
      </c>
      <c r="AA44" s="160">
        <f t="shared" si="4"/>
        <v>700</v>
      </c>
      <c r="AC44" s="95">
        <f>Construction!AH44</f>
        <v>0</v>
      </c>
    </row>
    <row r="45" spans="1:29" s="16" customFormat="1" x14ac:dyDescent="0.25">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7">
        <f t="shared" si="5"/>
        <v>43</v>
      </c>
      <c r="K45" s="572">
        <f>Imps!CM45</f>
        <v>43768.437499999898</v>
      </c>
      <c r="L45" s="356"/>
      <c r="M45" s="348"/>
      <c r="N45" s="348"/>
      <c r="O45" s="348"/>
      <c r="P45" s="348"/>
      <c r="Q45" s="348"/>
      <c r="R45" s="357"/>
      <c r="S45" s="166">
        <f t="shared" si="0"/>
        <v>0</v>
      </c>
      <c r="T45" s="160" t="str">
        <f t="shared" si="1"/>
        <v>Ok</v>
      </c>
      <c r="V45" s="64">
        <f ca="1">Production!H45</f>
        <v>4686561</v>
      </c>
      <c r="X45" s="152">
        <f ca="1">ROUND( (1-MIN(ROUND(facs_rezone_factor*AC45,4),facs_rezone_max)) * (1+MIN(tech_construction_rezone*Techs!AD45,tech_conquerors_crafts*Techs!AS45)) * AA45*(1+race_rezone_cost),0)</f>
        <v>700</v>
      </c>
      <c r="Y45" s="166">
        <f t="shared" ca="1" si="6"/>
        <v>0</v>
      </c>
      <c r="AA45" s="160">
        <f t="shared" si="4"/>
        <v>700</v>
      </c>
      <c r="AC45" s="95">
        <f>Construction!AH45</f>
        <v>0</v>
      </c>
    </row>
    <row r="46" spans="1:29" s="16" customFormat="1" x14ac:dyDescent="0.25">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7">
        <f t="shared" si="5"/>
        <v>44</v>
      </c>
      <c r="K46" s="572">
        <f>Imps!CM46</f>
        <v>43768.447916666562</v>
      </c>
      <c r="L46" s="356"/>
      <c r="M46" s="348"/>
      <c r="N46" s="348"/>
      <c r="O46" s="348"/>
      <c r="P46" s="348"/>
      <c r="Q46" s="348"/>
      <c r="R46" s="357"/>
      <c r="S46" s="166">
        <f t="shared" si="0"/>
        <v>0</v>
      </c>
      <c r="T46" s="160" t="str">
        <f t="shared" si="1"/>
        <v>Ok</v>
      </c>
      <c r="V46" s="64">
        <f ca="1">Production!H46</f>
        <v>4691542</v>
      </c>
      <c r="X46" s="152">
        <f ca="1">ROUND( (1-MIN(ROUND(facs_rezone_factor*AC46,4),facs_rezone_max)) * (1+MIN(tech_construction_rezone*Techs!AD46,tech_conquerors_crafts*Techs!AS46)) * AA46*(1+race_rezone_cost),0)</f>
        <v>700</v>
      </c>
      <c r="Y46" s="166">
        <f t="shared" ca="1" si="6"/>
        <v>0</v>
      </c>
      <c r="AA46" s="160">
        <f t="shared" si="4"/>
        <v>700</v>
      </c>
      <c r="AC46" s="95">
        <f>Construction!AH46</f>
        <v>0</v>
      </c>
    </row>
    <row r="47" spans="1:29" s="16" customFormat="1" x14ac:dyDescent="0.25">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7">
        <f t="shared" si="5"/>
        <v>45</v>
      </c>
      <c r="K47" s="572">
        <f>Imps!CM47</f>
        <v>43768.458333333227</v>
      </c>
      <c r="L47" s="356"/>
      <c r="M47" s="348"/>
      <c r="N47" s="348"/>
      <c r="O47" s="348"/>
      <c r="P47" s="348"/>
      <c r="Q47" s="348"/>
      <c r="R47" s="357"/>
      <c r="S47" s="166">
        <f t="shared" si="0"/>
        <v>0</v>
      </c>
      <c r="T47" s="160" t="str">
        <f t="shared" si="1"/>
        <v>Ok</v>
      </c>
      <c r="V47" s="64">
        <f ca="1">Production!H47</f>
        <v>4696523</v>
      </c>
      <c r="X47" s="152">
        <f ca="1">ROUND( (1-MIN(ROUND(facs_rezone_factor*AC47,4),facs_rezone_max)) * (1+MIN(tech_construction_rezone*Techs!AD47,tech_conquerors_crafts*Techs!AS47)) * AA47*(1+race_rezone_cost),0)</f>
        <v>700</v>
      </c>
      <c r="Y47" s="166">
        <f t="shared" ca="1" si="6"/>
        <v>0</v>
      </c>
      <c r="AA47" s="160">
        <f t="shared" si="4"/>
        <v>700</v>
      </c>
      <c r="AC47" s="95">
        <f>Construction!AH47</f>
        <v>0</v>
      </c>
    </row>
    <row r="48" spans="1:29" s="16" customFormat="1" x14ac:dyDescent="0.25">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7">
        <f t="shared" si="5"/>
        <v>46</v>
      </c>
      <c r="K48" s="572">
        <f>Imps!CM48</f>
        <v>43768.468749999891</v>
      </c>
      <c r="L48" s="356"/>
      <c r="M48" s="348"/>
      <c r="N48" s="348"/>
      <c r="O48" s="348"/>
      <c r="P48" s="348"/>
      <c r="Q48" s="348"/>
      <c r="R48" s="357"/>
      <c r="S48" s="166">
        <f t="shared" si="0"/>
        <v>0</v>
      </c>
      <c r="T48" s="160" t="str">
        <f t="shared" si="1"/>
        <v>Ok</v>
      </c>
      <c r="V48" s="64">
        <f ca="1">Production!H48</f>
        <v>4701504</v>
      </c>
      <c r="X48" s="152">
        <f ca="1">ROUND( (1-MIN(ROUND(facs_rezone_factor*AC48,4),facs_rezone_max)) * (1+MIN(tech_construction_rezone*Techs!AD48,tech_conquerors_crafts*Techs!AS48)) * AA48*(1+race_rezone_cost),0)</f>
        <v>700</v>
      </c>
      <c r="Y48" s="166">
        <f t="shared" ca="1" si="6"/>
        <v>0</v>
      </c>
      <c r="AA48" s="160">
        <f t="shared" si="4"/>
        <v>700</v>
      </c>
      <c r="AC48" s="95">
        <f>Construction!AH48</f>
        <v>0</v>
      </c>
    </row>
    <row r="49" spans="1:29" s="16" customFormat="1" x14ac:dyDescent="0.25">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7">
        <f t="shared" si="5"/>
        <v>47</v>
      </c>
      <c r="K49" s="572">
        <f>Imps!CM49</f>
        <v>43768.479166666555</v>
      </c>
      <c r="L49" s="356"/>
      <c r="M49" s="348"/>
      <c r="N49" s="348"/>
      <c r="O49" s="348"/>
      <c r="P49" s="348"/>
      <c r="Q49" s="348"/>
      <c r="R49" s="357"/>
      <c r="S49" s="166">
        <f t="shared" si="0"/>
        <v>0</v>
      </c>
      <c r="T49" s="160" t="str">
        <f t="shared" si="1"/>
        <v>Ok</v>
      </c>
      <c r="V49" s="64">
        <f ca="1">Production!H49</f>
        <v>4706485</v>
      </c>
      <c r="X49" s="152">
        <f ca="1">ROUND( (1-MIN(ROUND(facs_rezone_factor*AC49,4),facs_rezone_max)) * (1+MIN(tech_construction_rezone*Techs!AD49,tech_conquerors_crafts*Techs!AS49)) * AA49*(1+race_rezone_cost),0)</f>
        <v>700</v>
      </c>
      <c r="Y49" s="166">
        <f t="shared" ca="1" si="6"/>
        <v>0</v>
      </c>
      <c r="AA49" s="160">
        <f t="shared" si="4"/>
        <v>700</v>
      </c>
      <c r="AC49" s="95">
        <f>Construction!AH49</f>
        <v>0</v>
      </c>
    </row>
    <row r="50" spans="1:29" s="16" customFormat="1" ht="13.8" thickBot="1" x14ac:dyDescent="0.3">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7">
        <f t="shared" si="5"/>
        <v>48</v>
      </c>
      <c r="K50" s="572">
        <f>Imps!CM50</f>
        <v>43768.489583333219</v>
      </c>
      <c r="L50" s="356"/>
      <c r="M50" s="348"/>
      <c r="N50" s="348"/>
      <c r="O50" s="348"/>
      <c r="P50" s="348"/>
      <c r="Q50" s="348"/>
      <c r="R50" s="357"/>
      <c r="S50" s="166">
        <f t="shared" si="0"/>
        <v>0</v>
      </c>
      <c r="T50" s="160" t="str">
        <f t="shared" si="1"/>
        <v>Ok</v>
      </c>
      <c r="V50" s="64">
        <f ca="1">Production!H50</f>
        <v>4711466</v>
      </c>
      <c r="X50" s="152">
        <f ca="1">ROUND( (1-MIN(ROUND(facs_rezone_factor*AC50,4),facs_rezone_max)) * (1+MIN(tech_construction_rezone*Techs!AD50,tech_conquerors_crafts*Techs!AS50)) * AA50*(1+race_rezone_cost),0)</f>
        <v>700</v>
      </c>
      <c r="Y50" s="166">
        <f t="shared" ca="1" si="6"/>
        <v>0</v>
      </c>
      <c r="AA50" s="160">
        <f t="shared" si="4"/>
        <v>700</v>
      </c>
      <c r="AC50" s="95">
        <f>Construction!AH50</f>
        <v>0</v>
      </c>
    </row>
    <row r="51" spans="1:29" s="111" customFormat="1" ht="14.4" thickTop="1" thickBot="1" x14ac:dyDescent="0.3">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1">
        <f t="shared" si="5"/>
        <v>49</v>
      </c>
      <c r="K51" s="573">
        <f>Imps!CM51</f>
        <v>43768.499999999884</v>
      </c>
      <c r="L51" s="358"/>
      <c r="M51" s="350"/>
      <c r="N51" s="350"/>
      <c r="O51" s="350"/>
      <c r="P51" s="350"/>
      <c r="Q51" s="350"/>
      <c r="R51" s="359"/>
      <c r="S51" s="274">
        <f t="shared" si="0"/>
        <v>0</v>
      </c>
      <c r="T51" s="504" t="str">
        <f t="shared" si="1"/>
        <v>Ok</v>
      </c>
      <c r="V51" s="117">
        <f ca="1">Production!H51</f>
        <v>4716447</v>
      </c>
      <c r="X51" s="273">
        <f ca="1">ROUND( (1-MIN(ROUND(facs_rezone_factor*AC51,4),facs_rezone_max)) * (1+MIN(tech_construction_rezone*Techs!AD51,tech_conquerors_crafts*Techs!AS51)) * AA51*(1+race_rezone_cost),0)</f>
        <v>700</v>
      </c>
      <c r="Y51" s="274">
        <f t="shared" ca="1" si="6"/>
        <v>0</v>
      </c>
      <c r="AA51" s="504">
        <f t="shared" si="4"/>
        <v>700</v>
      </c>
      <c r="AC51" s="134">
        <f>Construction!AH51</f>
        <v>0</v>
      </c>
    </row>
    <row r="52" spans="1:29" s="16" customFormat="1" ht="13.8" thickTop="1" x14ac:dyDescent="0.25">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7">
        <f t="shared" si="5"/>
        <v>50</v>
      </c>
      <c r="K52" s="572">
        <f>Imps!CM52</f>
        <v>43768.510416666548</v>
      </c>
      <c r="L52" s="356"/>
      <c r="M52" s="348"/>
      <c r="N52" s="348"/>
      <c r="O52" s="348"/>
      <c r="P52" s="348"/>
      <c r="Q52" s="348"/>
      <c r="R52" s="357"/>
      <c r="S52" s="166">
        <f t="shared" si="0"/>
        <v>0</v>
      </c>
      <c r="T52" s="160" t="str">
        <f t="shared" si="1"/>
        <v>Ok</v>
      </c>
      <c r="V52" s="64">
        <f ca="1">Production!H52</f>
        <v>4721428</v>
      </c>
      <c r="X52" s="152">
        <f ca="1">ROUND( (1-MIN(ROUND(facs_rezone_factor*AC52,4),facs_rezone_max)) * (1+MIN(tech_construction_rezone*Techs!AD52,tech_conquerors_crafts*Techs!AS52)) * AA52*(1+race_rezone_cost),0)</f>
        <v>700</v>
      </c>
      <c r="Y52" s="166">
        <f t="shared" ca="1" si="6"/>
        <v>0</v>
      </c>
      <c r="AA52" s="160">
        <f t="shared" si="4"/>
        <v>700</v>
      </c>
      <c r="AC52" s="95">
        <f>Construction!AH52</f>
        <v>0</v>
      </c>
    </row>
    <row r="53" spans="1:29" s="16" customFormat="1" x14ac:dyDescent="0.25">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7">
        <f t="shared" si="5"/>
        <v>51</v>
      </c>
      <c r="K53" s="572">
        <f>Imps!CM53</f>
        <v>43768.520833333212</v>
      </c>
      <c r="L53" s="356"/>
      <c r="M53" s="348"/>
      <c r="N53" s="348"/>
      <c r="O53" s="348"/>
      <c r="P53" s="348"/>
      <c r="Q53" s="348"/>
      <c r="R53" s="357"/>
      <c r="S53" s="166">
        <f t="shared" si="0"/>
        <v>0</v>
      </c>
      <c r="T53" s="160" t="str">
        <f t="shared" si="1"/>
        <v>Ok</v>
      </c>
      <c r="V53" s="64">
        <f ca="1">Production!H53</f>
        <v>4726409</v>
      </c>
      <c r="X53" s="152">
        <f ca="1">ROUND( (1-MIN(ROUND(facs_rezone_factor*AC53,4),facs_rezone_max)) * (1+MIN(tech_construction_rezone*Techs!AD53,tech_conquerors_crafts*Techs!AS53)) * AA53*(1+race_rezone_cost),0)</f>
        <v>700</v>
      </c>
      <c r="Y53" s="166">
        <f t="shared" ca="1" si="6"/>
        <v>0</v>
      </c>
      <c r="AA53" s="160">
        <f t="shared" si="4"/>
        <v>700</v>
      </c>
      <c r="AC53" s="95">
        <f>Construction!AH53</f>
        <v>0</v>
      </c>
    </row>
    <row r="54" spans="1:29" s="16" customFormat="1" x14ac:dyDescent="0.25">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7">
        <f t="shared" si="5"/>
        <v>52</v>
      </c>
      <c r="K54" s="572">
        <f>Imps!CM54</f>
        <v>43768.531249999876</v>
      </c>
      <c r="L54" s="356"/>
      <c r="M54" s="348"/>
      <c r="N54" s="348"/>
      <c r="O54" s="348"/>
      <c r="P54" s="348"/>
      <c r="Q54" s="348"/>
      <c r="R54" s="357"/>
      <c r="S54" s="166">
        <f t="shared" si="0"/>
        <v>0</v>
      </c>
      <c r="T54" s="160" t="str">
        <f t="shared" si="1"/>
        <v>Ok</v>
      </c>
      <c r="V54" s="64">
        <f ca="1">Production!H54</f>
        <v>4731390</v>
      </c>
      <c r="X54" s="152">
        <f ca="1">ROUND( (1-MIN(ROUND(facs_rezone_factor*AC54,4),facs_rezone_max)) * (1+MIN(tech_construction_rezone*Techs!AD54,tech_conquerors_crafts*Techs!AS54)) * AA54*(1+race_rezone_cost),0)</f>
        <v>700</v>
      </c>
      <c r="Y54" s="166">
        <f t="shared" ca="1" si="6"/>
        <v>0</v>
      </c>
      <c r="AA54" s="160">
        <f t="shared" si="4"/>
        <v>700</v>
      </c>
      <c r="AC54" s="95">
        <f>Construction!AH54</f>
        <v>0</v>
      </c>
    </row>
    <row r="55" spans="1:29" s="16" customFormat="1" x14ac:dyDescent="0.25">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7">
        <f t="shared" si="5"/>
        <v>53</v>
      </c>
      <c r="K55" s="572">
        <f>Imps!CM55</f>
        <v>43768.541666666541</v>
      </c>
      <c r="L55" s="356"/>
      <c r="M55" s="348"/>
      <c r="N55" s="348"/>
      <c r="O55" s="348"/>
      <c r="P55" s="348"/>
      <c r="Q55" s="348"/>
      <c r="R55" s="357"/>
      <c r="S55" s="166">
        <f t="shared" si="0"/>
        <v>0</v>
      </c>
      <c r="T55" s="160" t="str">
        <f t="shared" si="1"/>
        <v>Ok</v>
      </c>
      <c r="V55" s="64">
        <f ca="1">Production!H55</f>
        <v>4736371</v>
      </c>
      <c r="X55" s="152">
        <f ca="1">ROUND( (1-MIN(ROUND(facs_rezone_factor*AC55,4),facs_rezone_max)) * (1+MIN(tech_construction_rezone*Techs!AD55,tech_conquerors_crafts*Techs!AS55)) * AA55*(1+race_rezone_cost),0)</f>
        <v>700</v>
      </c>
      <c r="Y55" s="166">
        <f t="shared" ca="1" si="6"/>
        <v>0</v>
      </c>
      <c r="AA55" s="160">
        <f t="shared" si="4"/>
        <v>700</v>
      </c>
      <c r="AC55" s="95">
        <f>Construction!AH55</f>
        <v>0</v>
      </c>
    </row>
    <row r="56" spans="1:29" s="16" customFormat="1" x14ac:dyDescent="0.25">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7">
        <f t="shared" si="5"/>
        <v>54</v>
      </c>
      <c r="K56" s="572">
        <f>Imps!CM56</f>
        <v>43768.552083333205</v>
      </c>
      <c r="L56" s="356"/>
      <c r="M56" s="348"/>
      <c r="N56" s="348"/>
      <c r="O56" s="348"/>
      <c r="P56" s="348"/>
      <c r="Q56" s="348"/>
      <c r="R56" s="357"/>
      <c r="S56" s="166">
        <f t="shared" si="0"/>
        <v>0</v>
      </c>
      <c r="T56" s="160" t="str">
        <f t="shared" si="1"/>
        <v>Ok</v>
      </c>
      <c r="V56" s="64">
        <f ca="1">Production!H56</f>
        <v>4741352</v>
      </c>
      <c r="X56" s="152">
        <f ca="1">ROUND( (1-MIN(ROUND(facs_rezone_factor*AC56,4),facs_rezone_max)) * (1+MIN(tech_construction_rezone*Techs!AD56,tech_conquerors_crafts*Techs!AS56)) * AA56*(1+race_rezone_cost),0)</f>
        <v>700</v>
      </c>
      <c r="Y56" s="166">
        <f t="shared" ca="1" si="6"/>
        <v>0</v>
      </c>
      <c r="AA56" s="160">
        <f t="shared" si="4"/>
        <v>700</v>
      </c>
      <c r="AC56" s="95">
        <f>Construction!AH56</f>
        <v>0</v>
      </c>
    </row>
    <row r="57" spans="1:29" s="16" customFormat="1" x14ac:dyDescent="0.25">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7">
        <f t="shared" si="5"/>
        <v>55</v>
      </c>
      <c r="K57" s="572">
        <f>Imps!CM57</f>
        <v>43768.562499999869</v>
      </c>
      <c r="L57" s="356"/>
      <c r="M57" s="348"/>
      <c r="N57" s="348"/>
      <c r="O57" s="348"/>
      <c r="P57" s="348"/>
      <c r="Q57" s="348"/>
      <c r="R57" s="357"/>
      <c r="S57" s="166">
        <f t="shared" si="0"/>
        <v>0</v>
      </c>
      <c r="T57" s="160" t="str">
        <f t="shared" si="1"/>
        <v>Ok</v>
      </c>
      <c r="V57" s="64">
        <f ca="1">Production!H57</f>
        <v>4746333</v>
      </c>
      <c r="X57" s="152">
        <f ca="1">ROUND( (1-MIN(ROUND(facs_rezone_factor*AC57,4),facs_rezone_max)) * (1+MIN(tech_construction_rezone*Techs!AD57,tech_conquerors_crafts*Techs!AS57)) * AA57*(1+race_rezone_cost),0)</f>
        <v>700</v>
      </c>
      <c r="Y57" s="166">
        <f t="shared" ca="1" si="6"/>
        <v>0</v>
      </c>
      <c r="AA57" s="160">
        <f t="shared" si="4"/>
        <v>700</v>
      </c>
      <c r="AC57" s="95">
        <f>Construction!AH57</f>
        <v>0</v>
      </c>
    </row>
    <row r="58" spans="1:29" s="16" customFormat="1" x14ac:dyDescent="0.25">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7">
        <f t="shared" si="5"/>
        <v>56</v>
      </c>
      <c r="K58" s="572">
        <f>Imps!CM58</f>
        <v>43768.572916666533</v>
      </c>
      <c r="L58" s="356"/>
      <c r="M58" s="348"/>
      <c r="N58" s="348"/>
      <c r="O58" s="348"/>
      <c r="P58" s="348"/>
      <c r="Q58" s="348"/>
      <c r="R58" s="357"/>
      <c r="S58" s="166">
        <f t="shared" si="0"/>
        <v>0</v>
      </c>
      <c r="T58" s="160" t="str">
        <f t="shared" si="1"/>
        <v>Ok</v>
      </c>
      <c r="V58" s="64">
        <f ca="1">Production!H58</f>
        <v>4751314</v>
      </c>
      <c r="X58" s="152">
        <f ca="1">ROUND( (1-MIN(ROUND(facs_rezone_factor*AC58,4),facs_rezone_max)) * (1+MIN(tech_construction_rezone*Techs!AD58,tech_conquerors_crafts*Techs!AS58)) * AA58*(1+race_rezone_cost),0)</f>
        <v>700</v>
      </c>
      <c r="Y58" s="166">
        <f t="shared" ca="1" si="6"/>
        <v>0</v>
      </c>
      <c r="AA58" s="160">
        <f t="shared" si="4"/>
        <v>700</v>
      </c>
      <c r="AC58" s="95">
        <f>Construction!AH58</f>
        <v>0</v>
      </c>
    </row>
    <row r="59" spans="1:29" s="16" customFormat="1" x14ac:dyDescent="0.25">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7">
        <f t="shared" si="5"/>
        <v>57</v>
      </c>
      <c r="K59" s="572">
        <f>Imps!CM59</f>
        <v>43768.583333333198</v>
      </c>
      <c r="L59" s="356"/>
      <c r="M59" s="348"/>
      <c r="N59" s="348"/>
      <c r="O59" s="348"/>
      <c r="P59" s="348"/>
      <c r="Q59" s="348"/>
      <c r="R59" s="357"/>
      <c r="S59" s="166">
        <f t="shared" si="0"/>
        <v>0</v>
      </c>
      <c r="T59" s="160" t="str">
        <f t="shared" si="1"/>
        <v>Ok</v>
      </c>
      <c r="V59" s="64">
        <f ca="1">Production!H59</f>
        <v>4756295</v>
      </c>
      <c r="X59" s="152">
        <f ca="1">ROUND( (1-MIN(ROUND(facs_rezone_factor*AC59,4),facs_rezone_max)) * (1+MIN(tech_construction_rezone*Techs!AD59,tech_conquerors_crafts*Techs!AS59)) * AA59*(1+race_rezone_cost),0)</f>
        <v>700</v>
      </c>
      <c r="Y59" s="166">
        <f t="shared" ca="1" si="6"/>
        <v>0</v>
      </c>
      <c r="AA59" s="160">
        <f t="shared" si="4"/>
        <v>700</v>
      </c>
      <c r="AC59" s="95">
        <f>Construction!AH59</f>
        <v>0</v>
      </c>
    </row>
    <row r="60" spans="1:29" s="16" customFormat="1" x14ac:dyDescent="0.25">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7">
        <f t="shared" si="5"/>
        <v>58</v>
      </c>
      <c r="K60" s="572">
        <f>Imps!CM60</f>
        <v>43768.593749999862</v>
      </c>
      <c r="L60" s="356"/>
      <c r="M60" s="348"/>
      <c r="N60" s="348"/>
      <c r="O60" s="348"/>
      <c r="P60" s="348"/>
      <c r="Q60" s="348"/>
      <c r="R60" s="357"/>
      <c r="S60" s="166">
        <f t="shared" si="0"/>
        <v>0</v>
      </c>
      <c r="T60" s="160" t="str">
        <f t="shared" si="1"/>
        <v>Ok</v>
      </c>
      <c r="V60" s="64">
        <f ca="1">Production!H60</f>
        <v>4761276</v>
      </c>
      <c r="X60" s="152">
        <f ca="1">ROUND( (1-MIN(ROUND(facs_rezone_factor*AC60,4),facs_rezone_max)) * (1+MIN(tech_construction_rezone*Techs!AD60,tech_conquerors_crafts*Techs!AS60)) * AA60*(1+race_rezone_cost),0)</f>
        <v>700</v>
      </c>
      <c r="Y60" s="166">
        <f t="shared" ca="1" si="6"/>
        <v>0</v>
      </c>
      <c r="AA60" s="160">
        <f t="shared" si="4"/>
        <v>700</v>
      </c>
      <c r="AC60" s="95">
        <f>Construction!AH60</f>
        <v>0</v>
      </c>
    </row>
    <row r="61" spans="1:29" s="16" customFormat="1" x14ac:dyDescent="0.25">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7">
        <f t="shared" si="5"/>
        <v>59</v>
      </c>
      <c r="K61" s="572">
        <f>Imps!CM61</f>
        <v>43768.604166666526</v>
      </c>
      <c r="L61" s="356"/>
      <c r="M61" s="348"/>
      <c r="N61" s="348"/>
      <c r="O61" s="348"/>
      <c r="P61" s="348"/>
      <c r="Q61" s="348"/>
      <c r="R61" s="357"/>
      <c r="S61" s="166">
        <f t="shared" si="0"/>
        <v>0</v>
      </c>
      <c r="T61" s="160" t="str">
        <f t="shared" si="1"/>
        <v>Ok</v>
      </c>
      <c r="V61" s="64">
        <f ca="1">Production!H61</f>
        <v>4766257</v>
      </c>
      <c r="X61" s="152">
        <f ca="1">ROUND( (1-MIN(ROUND(facs_rezone_factor*AC61,4),facs_rezone_max)) * (1+MIN(tech_construction_rezone*Techs!AD61,tech_conquerors_crafts*Techs!AS61)) * AA61*(1+race_rezone_cost),0)</f>
        <v>700</v>
      </c>
      <c r="Y61" s="166">
        <f t="shared" ca="1" si="6"/>
        <v>0</v>
      </c>
      <c r="AA61" s="160">
        <f t="shared" si="4"/>
        <v>700</v>
      </c>
      <c r="AC61" s="95">
        <f>Construction!AH61</f>
        <v>0</v>
      </c>
    </row>
    <row r="62" spans="1:29" s="16" customFormat="1" x14ac:dyDescent="0.25">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7">
        <f t="shared" si="5"/>
        <v>60</v>
      </c>
      <c r="K62" s="572">
        <f>Imps!CM62</f>
        <v>43768.61458333319</v>
      </c>
      <c r="L62" s="356"/>
      <c r="M62" s="348"/>
      <c r="N62" s="348"/>
      <c r="O62" s="348"/>
      <c r="P62" s="348"/>
      <c r="Q62" s="348"/>
      <c r="R62" s="357"/>
      <c r="S62" s="166">
        <f t="shared" si="0"/>
        <v>0</v>
      </c>
      <c r="T62" s="160" t="str">
        <f t="shared" si="1"/>
        <v>Ok</v>
      </c>
      <c r="V62" s="64">
        <f ca="1">Production!H62</f>
        <v>4771238</v>
      </c>
      <c r="X62" s="152">
        <f ca="1">ROUND( (1-MIN(ROUND(facs_rezone_factor*AC62,4),facs_rezone_max)) * (1+MIN(tech_construction_rezone*Techs!AD62,tech_conquerors_crafts*Techs!AS62)) * AA62*(1+race_rezone_cost),0)</f>
        <v>700</v>
      </c>
      <c r="Y62" s="166">
        <f t="shared" ca="1" si="6"/>
        <v>0</v>
      </c>
      <c r="AA62" s="160">
        <f t="shared" si="4"/>
        <v>700</v>
      </c>
      <c r="AC62" s="95">
        <f>Construction!AH62</f>
        <v>0</v>
      </c>
    </row>
    <row r="63" spans="1:29" s="12" customFormat="1" x14ac:dyDescent="0.25">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29">
        <f t="shared" si="5"/>
        <v>61</v>
      </c>
      <c r="K63" s="676">
        <f>Imps!CM63</f>
        <v>43768.624999999854</v>
      </c>
      <c r="L63" s="373"/>
      <c r="M63" s="349"/>
      <c r="N63" s="349"/>
      <c r="O63" s="349"/>
      <c r="P63" s="349"/>
      <c r="Q63" s="349"/>
      <c r="R63" s="374"/>
      <c r="S63" s="158">
        <f t="shared" si="0"/>
        <v>0</v>
      </c>
      <c r="T63" s="203" t="str">
        <f t="shared" si="1"/>
        <v>Ok</v>
      </c>
      <c r="V63" s="93">
        <f ca="1">Production!H63</f>
        <v>4776219</v>
      </c>
      <c r="X63" s="151">
        <f ca="1">ROUND( (1-MIN(ROUND(facs_rezone_factor*AC63,4),facs_rezone_max)) * (1+MIN(tech_construction_rezone*Techs!AD63,tech_conquerors_crafts*Techs!AS63)) * AA63*(1+race_rezone_cost),0)</f>
        <v>700</v>
      </c>
      <c r="Y63" s="158">
        <f t="shared" ca="1" si="6"/>
        <v>0</v>
      </c>
      <c r="AA63" s="203">
        <f t="shared" si="4"/>
        <v>700</v>
      </c>
      <c r="AC63" s="94">
        <f>Construction!AH63</f>
        <v>0</v>
      </c>
    </row>
    <row r="64" spans="1:29" s="16" customFormat="1" x14ac:dyDescent="0.25">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7">
        <f t="shared" si="5"/>
        <v>62</v>
      </c>
      <c r="K64" s="572">
        <f>Imps!CM64</f>
        <v>43768.635416666519</v>
      </c>
      <c r="L64" s="356"/>
      <c r="M64" s="348"/>
      <c r="N64" s="348"/>
      <c r="O64" s="348"/>
      <c r="P64" s="348"/>
      <c r="Q64" s="348"/>
      <c r="R64" s="357"/>
      <c r="S64" s="166">
        <f t="shared" si="0"/>
        <v>0</v>
      </c>
      <c r="T64" s="160" t="str">
        <f t="shared" si="1"/>
        <v>Ok</v>
      </c>
      <c r="V64" s="64">
        <f ca="1">Production!H64</f>
        <v>4781200</v>
      </c>
      <c r="X64" s="152">
        <f ca="1">ROUND( (1-MIN(ROUND(facs_rezone_factor*AC64,4),facs_rezone_max)) * (1+MIN(tech_construction_rezone*Techs!AD64,tech_conquerors_crafts*Techs!AS64)) * AA64*(1+race_rezone_cost),0)</f>
        <v>700</v>
      </c>
      <c r="Y64" s="166">
        <f t="shared" ca="1" si="6"/>
        <v>0</v>
      </c>
      <c r="AA64" s="160">
        <f t="shared" si="4"/>
        <v>700</v>
      </c>
      <c r="AC64" s="95">
        <f>Construction!AH64</f>
        <v>0</v>
      </c>
    </row>
    <row r="65" spans="1:29" s="16" customFormat="1" x14ac:dyDescent="0.25">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7">
        <f t="shared" si="5"/>
        <v>63</v>
      </c>
      <c r="K65" s="572">
        <f>Imps!CM65</f>
        <v>43768.645833333183</v>
      </c>
      <c r="L65" s="356"/>
      <c r="M65" s="348"/>
      <c r="N65" s="348"/>
      <c r="O65" s="348"/>
      <c r="P65" s="348"/>
      <c r="Q65" s="348"/>
      <c r="R65" s="357"/>
      <c r="S65" s="166">
        <f t="shared" si="0"/>
        <v>0</v>
      </c>
      <c r="T65" s="160" t="str">
        <f t="shared" si="1"/>
        <v>Ok</v>
      </c>
      <c r="V65" s="64">
        <f ca="1">Production!H65</f>
        <v>4786181</v>
      </c>
      <c r="X65" s="152">
        <f ca="1">ROUND( (1-MIN(ROUND(facs_rezone_factor*AC65,4),facs_rezone_max)) * (1+MIN(tech_construction_rezone*Techs!AD65,tech_conquerors_crafts*Techs!AS65)) * AA65*(1+race_rezone_cost),0)</f>
        <v>700</v>
      </c>
      <c r="Y65" s="166">
        <f t="shared" ca="1" si="6"/>
        <v>0</v>
      </c>
      <c r="AA65" s="160">
        <f t="shared" si="4"/>
        <v>700</v>
      </c>
      <c r="AC65" s="95">
        <f>Construction!AH65</f>
        <v>0</v>
      </c>
    </row>
    <row r="66" spans="1:29" s="16" customFormat="1" x14ac:dyDescent="0.25">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7">
        <f t="shared" si="5"/>
        <v>64</v>
      </c>
      <c r="K66" s="572">
        <f>Imps!CM66</f>
        <v>43768.656249999847</v>
      </c>
      <c r="L66" s="356"/>
      <c r="M66" s="348"/>
      <c r="N66" s="348"/>
      <c r="O66" s="348"/>
      <c r="P66" s="348"/>
      <c r="Q66" s="348"/>
      <c r="R66" s="357"/>
      <c r="S66" s="166">
        <f t="shared" si="0"/>
        <v>0</v>
      </c>
      <c r="T66" s="160" t="str">
        <f t="shared" si="1"/>
        <v>Ok</v>
      </c>
      <c r="V66" s="64">
        <f ca="1">Production!H66</f>
        <v>4791162</v>
      </c>
      <c r="X66" s="152">
        <f ca="1">ROUND( (1-MIN(ROUND(facs_rezone_factor*AC66,4),facs_rezone_max)) * (1+MIN(tech_construction_rezone*Techs!AD66,tech_conquerors_crafts*Techs!AS66)) * AA66*(1+race_rezone_cost),0)</f>
        <v>700</v>
      </c>
      <c r="Y66" s="166">
        <f t="shared" ca="1" si="6"/>
        <v>0</v>
      </c>
      <c r="AA66" s="160">
        <f t="shared" si="4"/>
        <v>700</v>
      </c>
      <c r="AC66" s="95">
        <f>Construction!AH66</f>
        <v>0</v>
      </c>
    </row>
    <row r="67" spans="1:29" s="16" customFormat="1" x14ac:dyDescent="0.25">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7">
        <f t="shared" si="5"/>
        <v>65</v>
      </c>
      <c r="K67" s="572">
        <f>Imps!CM67</f>
        <v>43768.666666666511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(1-MIN(ROUND(facs_rezone_factor*AC67,4),facs_rezone_max)) * (1+MIN(tech_construction_rezone*Techs!AD67,tech_conquerors_crafts*Techs!AS67)) * AA67*(1+race_rezone_cost),0)</f>
        <v>700</v>
      </c>
      <c r="Y67" s="166">
        <f t="shared" ref="Y67:Y130" ca="1" si="9">S67*X67</f>
        <v>0</v>
      </c>
      <c r="AA67" s="160">
        <f t="shared" ref="AA67:AA130" si="10">250+0.6*(A67-250)</f>
        <v>700</v>
      </c>
      <c r="AC67" s="95">
        <f>Construction!AH67</f>
        <v>0</v>
      </c>
    </row>
    <row r="68" spans="1:29" s="16" customFormat="1" x14ac:dyDescent="0.25">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7">
        <f t="shared" si="5"/>
        <v>66</v>
      </c>
      <c r="K68" s="572">
        <f>Imps!CM68</f>
        <v>43768.677083333176</v>
      </c>
      <c r="L68" s="356"/>
      <c r="M68" s="348"/>
      <c r="N68" s="348"/>
      <c r="O68" s="348"/>
      <c r="P68" s="348"/>
      <c r="Q68" s="348"/>
      <c r="R68" s="357"/>
      <c r="S68" s="166">
        <f t="shared" si="7"/>
        <v>0</v>
      </c>
      <c r="T68" s="160" t="str">
        <f t="shared" si="8"/>
        <v>Ok</v>
      </c>
      <c r="V68" s="64">
        <f ca="1">Production!H68</f>
        <v>4801124</v>
      </c>
      <c r="X68" s="152">
        <f ca="1">ROUND( (1-MIN(ROUND(facs_rezone_factor*AC68,4),facs_rezone_max)) * (1+MIN(tech_construction_rezone*Techs!AD68,tech_conquerors_crafts*Techs!AS68)) * AA68*(1+race_rezone_cost),0)</f>
        <v>700</v>
      </c>
      <c r="Y68" s="166">
        <f t="shared" ca="1" si="9"/>
        <v>0</v>
      </c>
      <c r="AA68" s="160">
        <f t="shared" si="10"/>
        <v>700</v>
      </c>
      <c r="AC68" s="95">
        <f>Construction!AH68</f>
        <v>0</v>
      </c>
    </row>
    <row r="69" spans="1:29" s="16" customFormat="1" x14ac:dyDescent="0.25">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7">
        <f t="shared" si="5"/>
        <v>67</v>
      </c>
      <c r="K69" s="572">
        <f>Imps!CM69</f>
        <v>43768.68749999984</v>
      </c>
      <c r="L69" s="356"/>
      <c r="M69" s="348"/>
      <c r="N69" s="348"/>
      <c r="O69" s="348"/>
      <c r="P69" s="348"/>
      <c r="Q69" s="348"/>
      <c r="R69" s="357"/>
      <c r="S69" s="166">
        <f t="shared" si="7"/>
        <v>0</v>
      </c>
      <c r="T69" s="160" t="str">
        <f t="shared" si="8"/>
        <v>Ok</v>
      </c>
      <c r="V69" s="64">
        <f ca="1">Production!H69</f>
        <v>4806105</v>
      </c>
      <c r="X69" s="152">
        <f ca="1">ROUND( (1-MIN(ROUND(facs_rezone_factor*AC69,4),facs_rezone_max)) * (1+MIN(tech_construction_rezone*Techs!AD69,tech_conquerors_crafts*Techs!AS69)) * AA69*(1+race_rezone_cost),0)</f>
        <v>700</v>
      </c>
      <c r="Y69" s="166">
        <f t="shared" ca="1" si="9"/>
        <v>0</v>
      </c>
      <c r="AA69" s="160">
        <f t="shared" si="10"/>
        <v>700</v>
      </c>
      <c r="AC69" s="95">
        <f>Construction!AH69</f>
        <v>0</v>
      </c>
    </row>
    <row r="70" spans="1:29" s="16" customFormat="1" x14ac:dyDescent="0.25">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7">
        <f t="shared" si="5"/>
        <v>68</v>
      </c>
      <c r="K70" s="572">
        <f>Imps!CM70</f>
        <v>43768.697916666504</v>
      </c>
      <c r="L70" s="356"/>
      <c r="M70" s="348"/>
      <c r="N70" s="348"/>
      <c r="O70" s="348"/>
      <c r="P70" s="348"/>
      <c r="Q70" s="348"/>
      <c r="R70" s="357"/>
      <c r="S70" s="166">
        <f t="shared" si="7"/>
        <v>0</v>
      </c>
      <c r="T70" s="160" t="str">
        <f t="shared" si="8"/>
        <v>Ok</v>
      </c>
      <c r="V70" s="64">
        <f ca="1">Production!H70</f>
        <v>4811086</v>
      </c>
      <c r="X70" s="152">
        <f ca="1">ROUND( (1-MIN(ROUND(facs_rezone_factor*AC70,4),facs_rezone_max)) * (1+MIN(tech_construction_rezone*Techs!AD70,tech_conquerors_crafts*Techs!AS70)) * AA70*(1+race_rezone_cost),0)</f>
        <v>700</v>
      </c>
      <c r="Y70" s="166">
        <f t="shared" ca="1" si="9"/>
        <v>0</v>
      </c>
      <c r="AA70" s="160">
        <f t="shared" si="10"/>
        <v>700</v>
      </c>
      <c r="AC70" s="95">
        <f>Construction!AH70</f>
        <v>0</v>
      </c>
    </row>
    <row r="71" spans="1:29" s="16" customFormat="1" x14ac:dyDescent="0.25">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7">
        <f t="shared" si="5"/>
        <v>69</v>
      </c>
      <c r="K71" s="572">
        <f>Imps!CM71</f>
        <v>43768.708333333168</v>
      </c>
      <c r="L71" s="356"/>
      <c r="M71" s="348"/>
      <c r="N71" s="348"/>
      <c r="O71" s="348"/>
      <c r="P71" s="348"/>
      <c r="Q71" s="348"/>
      <c r="R71" s="357"/>
      <c r="S71" s="166">
        <f t="shared" si="7"/>
        <v>0</v>
      </c>
      <c r="T71" s="160" t="str">
        <f t="shared" si="8"/>
        <v>Ok</v>
      </c>
      <c r="V71" s="64">
        <f ca="1">Production!H71</f>
        <v>4816067</v>
      </c>
      <c r="X71" s="152">
        <f ca="1">ROUND( (1-MIN(ROUND(facs_rezone_factor*AC71,4),facs_rezone_max)) * (1+MIN(tech_construction_rezone*Techs!AD71,tech_conquerors_crafts*Techs!AS71)) * AA71*(1+race_rezone_cost),0)</f>
        <v>700</v>
      </c>
      <c r="Y71" s="166">
        <f t="shared" ca="1" si="9"/>
        <v>0</v>
      </c>
      <c r="AA71" s="160">
        <f t="shared" si="10"/>
        <v>700</v>
      </c>
      <c r="AC71" s="95">
        <f>Construction!AH71</f>
        <v>0</v>
      </c>
    </row>
    <row r="72" spans="1:29" s="16" customFormat="1" x14ac:dyDescent="0.25">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7">
        <f t="shared" si="5"/>
        <v>70</v>
      </c>
      <c r="K72" s="572">
        <f>Imps!CM72</f>
        <v>43768.718749999833</v>
      </c>
      <c r="L72" s="356"/>
      <c r="M72" s="348"/>
      <c r="N72" s="348"/>
      <c r="O72" s="348"/>
      <c r="P72" s="348"/>
      <c r="Q72" s="348"/>
      <c r="R72" s="357"/>
      <c r="S72" s="166">
        <f t="shared" si="7"/>
        <v>0</v>
      </c>
      <c r="T72" s="160" t="str">
        <f t="shared" si="8"/>
        <v>Ok</v>
      </c>
      <c r="V72" s="64">
        <f ca="1">Production!H72</f>
        <v>4821048</v>
      </c>
      <c r="X72" s="152">
        <f ca="1">ROUND( (1-MIN(ROUND(facs_rezone_factor*AC72,4),facs_rezone_max)) * (1+MIN(tech_construction_rezone*Techs!AD72,tech_conquerors_crafts*Techs!AS72)) * AA72*(1+race_rezone_cost),0)</f>
        <v>700</v>
      </c>
      <c r="Y72" s="166">
        <f t="shared" ca="1" si="9"/>
        <v>0</v>
      </c>
      <c r="AA72" s="160">
        <f t="shared" si="10"/>
        <v>700</v>
      </c>
      <c r="AC72" s="95">
        <f>Construction!AH72</f>
        <v>0</v>
      </c>
    </row>
    <row r="73" spans="1:29" s="16" customFormat="1" x14ac:dyDescent="0.25">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7">
        <f t="shared" si="5"/>
        <v>71</v>
      </c>
      <c r="K73" s="572">
        <f>Imps!CM73</f>
        <v>43768.729166666497</v>
      </c>
      <c r="L73" s="356"/>
      <c r="M73" s="348"/>
      <c r="N73" s="348"/>
      <c r="O73" s="348"/>
      <c r="P73" s="348"/>
      <c r="Q73" s="348"/>
      <c r="R73" s="357"/>
      <c r="S73" s="166">
        <f t="shared" si="7"/>
        <v>0</v>
      </c>
      <c r="T73" s="160" t="str">
        <f t="shared" si="8"/>
        <v>Ok</v>
      </c>
      <c r="V73" s="64">
        <f ca="1">Production!H73</f>
        <v>4826029</v>
      </c>
      <c r="X73" s="152">
        <f ca="1">ROUND( (1-MIN(ROUND(facs_rezone_factor*AC73,4),facs_rezone_max)) * (1+MIN(tech_construction_rezone*Techs!AD73,tech_conquerors_crafts*Techs!AS73)) * AA73*(1+race_rezone_cost),0)</f>
        <v>700</v>
      </c>
      <c r="Y73" s="166">
        <f t="shared" ca="1" si="9"/>
        <v>0</v>
      </c>
      <c r="AA73" s="160">
        <f t="shared" si="10"/>
        <v>700</v>
      </c>
      <c r="AC73" s="95">
        <f>Construction!AH73</f>
        <v>0</v>
      </c>
    </row>
    <row r="74" spans="1:29" s="16" customFormat="1" ht="13.8" thickBot="1" x14ac:dyDescent="0.3">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7">
        <f t="shared" si="5"/>
        <v>72</v>
      </c>
      <c r="K74" s="572">
        <f>Imps!CM74</f>
        <v>43768.739583333161</v>
      </c>
      <c r="L74" s="356"/>
      <c r="M74" s="348"/>
      <c r="N74" s="348"/>
      <c r="O74" s="348"/>
      <c r="P74" s="348"/>
      <c r="Q74" s="348"/>
      <c r="R74" s="357"/>
      <c r="S74" s="166">
        <f t="shared" si="7"/>
        <v>0</v>
      </c>
      <c r="T74" s="160" t="str">
        <f t="shared" si="8"/>
        <v>Ok</v>
      </c>
      <c r="V74" s="64">
        <f ca="1">Production!H74</f>
        <v>4831010</v>
      </c>
      <c r="X74" s="152">
        <f ca="1">ROUND( (1-MIN(ROUND(facs_rezone_factor*AC74,4),facs_rezone_max)) * (1+MIN(tech_construction_rezone*Techs!AD74,tech_conquerors_crafts*Techs!AS74)) * AA74*(1+race_rezone_cost),0)</f>
        <v>700</v>
      </c>
      <c r="Y74" s="166">
        <f t="shared" ca="1" si="9"/>
        <v>0</v>
      </c>
      <c r="AA74" s="160">
        <f t="shared" si="10"/>
        <v>700</v>
      </c>
      <c r="AC74" s="95">
        <f>Construction!AH74</f>
        <v>0</v>
      </c>
    </row>
    <row r="75" spans="1:29" s="931" customFormat="1" ht="13.8" thickBot="1" x14ac:dyDescent="0.3">
      <c r="A75" s="1310">
        <f>Construction!E75</f>
        <v>1000</v>
      </c>
      <c r="B75" s="1311">
        <f>Construction!F75</f>
        <v>70</v>
      </c>
      <c r="C75" s="1312">
        <f>Construction!G75</f>
        <v>100</v>
      </c>
      <c r="D75" s="1313">
        <f>Construction!H75</f>
        <v>150</v>
      </c>
      <c r="E75" s="1314">
        <f>Construction!I75</f>
        <v>150</v>
      </c>
      <c r="F75" s="1315">
        <f>Construction!J75</f>
        <v>100</v>
      </c>
      <c r="G75" s="1316">
        <f>Construction!K75</f>
        <v>150</v>
      </c>
      <c r="H75" s="1317">
        <f>Construction!L75</f>
        <v>100</v>
      </c>
      <c r="J75" s="1292">
        <f t="shared" si="5"/>
        <v>73</v>
      </c>
      <c r="K75" s="1318">
        <f>Imps!CM75</f>
        <v>43768.749999999825</v>
      </c>
      <c r="L75" s="1319"/>
      <c r="M75" s="537"/>
      <c r="N75" s="537"/>
      <c r="O75" s="537"/>
      <c r="P75" s="537"/>
      <c r="Q75" s="537"/>
      <c r="R75" s="1320"/>
      <c r="S75" s="179">
        <f t="shared" si="7"/>
        <v>0</v>
      </c>
      <c r="T75" s="181" t="str">
        <f t="shared" si="8"/>
        <v>Ok</v>
      </c>
      <c r="V75" s="1297">
        <f ca="1">Production!H75</f>
        <v>4835991</v>
      </c>
      <c r="X75" s="175">
        <f ca="1">ROUND( (1-MIN(ROUND(facs_rezone_factor*AC75,4),facs_rezone_max)) * (1+MIN(tech_construction_rezone*Techs!AD75,tech_conquerors_crafts*Techs!AS75)) * AA75*(1+race_rezone_cost),0)</f>
        <v>700</v>
      </c>
      <c r="Y75" s="179">
        <f t="shared" ca="1" si="9"/>
        <v>0</v>
      </c>
      <c r="AA75" s="181">
        <f t="shared" si="10"/>
        <v>700</v>
      </c>
      <c r="AC75" s="1321">
        <f>Construction!AH75</f>
        <v>0</v>
      </c>
    </row>
    <row r="76" spans="1:29" s="170" customFormat="1" x14ac:dyDescent="0.25">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7">
        <f t="shared" ref="J76:J86" si="11">J75+1</f>
        <v>74</v>
      </c>
      <c r="K76" s="530">
        <f>Imps!CM76</f>
        <v>43768.76041666649</v>
      </c>
      <c r="L76" s="352"/>
      <c r="M76" s="345"/>
      <c r="N76" s="345"/>
      <c r="O76" s="345"/>
      <c r="P76" s="345"/>
      <c r="Q76" s="345"/>
      <c r="R76" s="353"/>
      <c r="S76" s="166">
        <f t="shared" si="7"/>
        <v>0</v>
      </c>
      <c r="T76" s="160" t="str">
        <f t="shared" si="8"/>
        <v>Ok</v>
      </c>
      <c r="V76" s="160">
        <f ca="1">Production!H76</f>
        <v>4840972</v>
      </c>
      <c r="X76" s="152">
        <f ca="1">ROUND( (1-MIN(ROUND(facs_rezone_factor*AC76,4),facs_rezone_max)) * (1+MIN(tech_construction_rezone*Techs!AD76,tech_conquerors_crafts*Techs!AS76)) * AA76*(1+race_rezone_cost),0)</f>
        <v>700</v>
      </c>
      <c r="Y76" s="166">
        <f t="shared" ca="1" si="9"/>
        <v>0</v>
      </c>
      <c r="AA76" s="160">
        <f t="shared" si="10"/>
        <v>700</v>
      </c>
      <c r="AC76" s="212">
        <f>Construction!AH76</f>
        <v>0</v>
      </c>
    </row>
    <row r="77" spans="1:29" s="170" customFormat="1" x14ac:dyDescent="0.25">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7">
        <f t="shared" si="11"/>
        <v>75</v>
      </c>
      <c r="K77" s="530">
        <f>Imps!CM77</f>
        <v>43768.770833333154</v>
      </c>
      <c r="L77" s="352"/>
      <c r="M77" s="345"/>
      <c r="N77" s="345"/>
      <c r="O77" s="345"/>
      <c r="P77" s="345"/>
      <c r="Q77" s="345"/>
      <c r="R77" s="353"/>
      <c r="S77" s="166">
        <f t="shared" si="7"/>
        <v>0</v>
      </c>
      <c r="T77" s="160" t="str">
        <f t="shared" si="8"/>
        <v>Ok</v>
      </c>
      <c r="V77" s="160">
        <f ca="1">Production!H77</f>
        <v>4845953</v>
      </c>
      <c r="X77" s="152">
        <f ca="1">ROUND( (1-MIN(ROUND(facs_rezone_factor*AC77,4),facs_rezone_max)) * (1+MIN(tech_construction_rezone*Techs!AD77,tech_conquerors_crafts*Techs!AS77)) * AA77*(1+race_rezone_cost),0)</f>
        <v>700</v>
      </c>
      <c r="Y77" s="166">
        <f t="shared" ca="1" si="9"/>
        <v>0</v>
      </c>
      <c r="AA77" s="160">
        <f t="shared" si="10"/>
        <v>700</v>
      </c>
      <c r="AC77" s="212">
        <f>Construction!AH77</f>
        <v>0</v>
      </c>
    </row>
    <row r="78" spans="1:29" s="16" customFormat="1" x14ac:dyDescent="0.25">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7">
        <f t="shared" si="11"/>
        <v>76</v>
      </c>
      <c r="K78" s="572">
        <f>Imps!CM78</f>
        <v>43768.781249999818</v>
      </c>
      <c r="L78" s="356"/>
      <c r="M78" s="348"/>
      <c r="N78" s="348"/>
      <c r="O78" s="348"/>
      <c r="P78" s="348"/>
      <c r="Q78" s="348"/>
      <c r="R78" s="357"/>
      <c r="S78" s="166">
        <f t="shared" si="7"/>
        <v>0</v>
      </c>
      <c r="T78" s="160" t="str">
        <f t="shared" si="8"/>
        <v>Ok</v>
      </c>
      <c r="V78" s="64">
        <f ca="1">Production!H78</f>
        <v>4850934</v>
      </c>
      <c r="X78" s="152">
        <f ca="1">ROUND( (1-MIN(ROUND(facs_rezone_factor*AC78,4),facs_rezone_max)) * (1+MIN(tech_construction_rezone*Techs!AD78,tech_conquerors_crafts*Techs!AS78)) * AA78*(1+race_rezone_cost),0)</f>
        <v>700</v>
      </c>
      <c r="Y78" s="166">
        <f t="shared" ca="1" si="9"/>
        <v>0</v>
      </c>
      <c r="AA78" s="160">
        <f t="shared" si="10"/>
        <v>700</v>
      </c>
      <c r="AC78" s="95">
        <f>Construction!AH78</f>
        <v>0</v>
      </c>
    </row>
    <row r="79" spans="1:29" s="16" customFormat="1" x14ac:dyDescent="0.25">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7">
        <f t="shared" si="11"/>
        <v>77</v>
      </c>
      <c r="K79" s="572">
        <f>Imps!CM79</f>
        <v>43768.791666666482</v>
      </c>
      <c r="L79" s="356"/>
      <c r="M79" s="348"/>
      <c r="N79" s="348"/>
      <c r="O79" s="348"/>
      <c r="P79" s="348"/>
      <c r="Q79" s="348"/>
      <c r="R79" s="357"/>
      <c r="S79" s="166">
        <f t="shared" si="7"/>
        <v>0</v>
      </c>
      <c r="T79" s="160" t="str">
        <f t="shared" si="8"/>
        <v>Ok</v>
      </c>
      <c r="V79" s="64">
        <f ca="1">Production!H79</f>
        <v>4855915</v>
      </c>
      <c r="X79" s="152">
        <f ca="1">ROUND( (1-MIN(ROUND(facs_rezone_factor*AC79,4),facs_rezone_max)) * (1+MIN(tech_construction_rezone*Techs!AD79,tech_conquerors_crafts*Techs!AS79)) * AA79*(1+race_rezone_cost),0)</f>
        <v>700</v>
      </c>
      <c r="Y79" s="166">
        <f t="shared" ca="1" si="9"/>
        <v>0</v>
      </c>
      <c r="AA79" s="160">
        <f t="shared" si="10"/>
        <v>700</v>
      </c>
      <c r="AC79" s="95">
        <f>Construction!AH79</f>
        <v>0</v>
      </c>
    </row>
    <row r="80" spans="1:29" s="16" customFormat="1" x14ac:dyDescent="0.25">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7">
        <f t="shared" si="11"/>
        <v>78</v>
      </c>
      <c r="K80" s="572">
        <f>Imps!CM80</f>
        <v>43768.802083333147</v>
      </c>
      <c r="L80" s="356"/>
      <c r="M80" s="348"/>
      <c r="N80" s="348"/>
      <c r="O80" s="348"/>
      <c r="P80" s="348"/>
      <c r="Q80" s="348"/>
      <c r="R80" s="357"/>
      <c r="S80" s="166">
        <f t="shared" si="7"/>
        <v>0</v>
      </c>
      <c r="T80" s="160" t="str">
        <f t="shared" si="8"/>
        <v>Ok</v>
      </c>
      <c r="V80" s="64">
        <f ca="1">Production!H80</f>
        <v>4860896</v>
      </c>
      <c r="X80" s="152">
        <f ca="1">ROUND( (1-MIN(ROUND(facs_rezone_factor*AC80,4),facs_rezone_max)) * (1+MIN(tech_construction_rezone*Techs!AD80,tech_conquerors_crafts*Techs!AS80)) * AA80*(1+race_rezone_cost),0)</f>
        <v>700</v>
      </c>
      <c r="Y80" s="166">
        <f t="shared" ca="1" si="9"/>
        <v>0</v>
      </c>
      <c r="AA80" s="160">
        <f t="shared" si="10"/>
        <v>700</v>
      </c>
      <c r="AC80" s="95">
        <f>Construction!AH80</f>
        <v>0</v>
      </c>
    </row>
    <row r="81" spans="1:29" s="16" customFormat="1" x14ac:dyDescent="0.25">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7">
        <f t="shared" si="11"/>
        <v>79</v>
      </c>
      <c r="K81" s="572">
        <f>Imps!CM81</f>
        <v>43768.812499999811</v>
      </c>
      <c r="L81" s="356"/>
      <c r="M81" s="348"/>
      <c r="N81" s="348"/>
      <c r="O81" s="348"/>
      <c r="P81" s="348"/>
      <c r="Q81" s="348"/>
      <c r="R81" s="357"/>
      <c r="S81" s="166">
        <f t="shared" si="7"/>
        <v>0</v>
      </c>
      <c r="T81" s="160" t="str">
        <f t="shared" si="8"/>
        <v>Ok</v>
      </c>
      <c r="V81" s="64">
        <f ca="1">Production!H81</f>
        <v>4865877</v>
      </c>
      <c r="X81" s="152">
        <f ca="1">ROUND( (1-MIN(ROUND(facs_rezone_factor*AC81,4),facs_rezone_max)) * (1+MIN(tech_construction_rezone*Techs!AD81,tech_conquerors_crafts*Techs!AS81)) * AA81*(1+race_rezone_cost),0)</f>
        <v>700</v>
      </c>
      <c r="Y81" s="166">
        <f t="shared" ca="1" si="9"/>
        <v>0</v>
      </c>
      <c r="AA81" s="160">
        <f t="shared" si="10"/>
        <v>700</v>
      </c>
      <c r="AC81" s="95">
        <f>Construction!AH81</f>
        <v>0</v>
      </c>
    </row>
    <row r="82" spans="1:29" s="16" customFormat="1" x14ac:dyDescent="0.25">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7">
        <f t="shared" si="11"/>
        <v>80</v>
      </c>
      <c r="K82" s="572">
        <f>Imps!CM82</f>
        <v>43768.822916666475</v>
      </c>
      <c r="L82" s="356"/>
      <c r="M82" s="348"/>
      <c r="N82" s="348"/>
      <c r="O82" s="348"/>
      <c r="P82" s="348"/>
      <c r="Q82" s="348"/>
      <c r="R82" s="357"/>
      <c r="S82" s="166">
        <f t="shared" si="7"/>
        <v>0</v>
      </c>
      <c r="T82" s="160" t="str">
        <f t="shared" si="8"/>
        <v>Ok</v>
      </c>
      <c r="V82" s="64">
        <f ca="1">Production!H82</f>
        <v>4870858</v>
      </c>
      <c r="X82" s="152">
        <f ca="1">ROUND( (1-MIN(ROUND(facs_rezone_factor*AC82,4),facs_rezone_max)) * (1+MIN(tech_construction_rezone*Techs!AD82,tech_conquerors_crafts*Techs!AS82)) * AA82*(1+race_rezone_cost),0)</f>
        <v>700</v>
      </c>
      <c r="Y82" s="166">
        <f t="shared" ca="1" si="9"/>
        <v>0</v>
      </c>
      <c r="AA82" s="160">
        <f t="shared" si="10"/>
        <v>700</v>
      </c>
      <c r="AC82" s="95">
        <f>Construction!AH82</f>
        <v>0</v>
      </c>
    </row>
    <row r="83" spans="1:29" s="16" customFormat="1" x14ac:dyDescent="0.25">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7">
        <f t="shared" si="11"/>
        <v>81</v>
      </c>
      <c r="K83" s="572">
        <f>Imps!CM83</f>
        <v>43768.833333333139</v>
      </c>
      <c r="L83" s="356"/>
      <c r="M83" s="348"/>
      <c r="N83" s="348"/>
      <c r="O83" s="348"/>
      <c r="P83" s="348"/>
      <c r="Q83" s="348"/>
      <c r="R83" s="357"/>
      <c r="S83" s="166">
        <f t="shared" si="7"/>
        <v>0</v>
      </c>
      <c r="T83" s="160" t="str">
        <f t="shared" si="8"/>
        <v>Ok</v>
      </c>
      <c r="V83" s="64">
        <f ca="1">Production!H83</f>
        <v>4875839</v>
      </c>
      <c r="X83" s="152">
        <f ca="1">ROUND( (1-MIN(ROUND(facs_rezone_factor*AC83,4),facs_rezone_max)) * (1+MIN(tech_construction_rezone*Techs!AD83,tech_conquerors_crafts*Techs!AS83)) * AA83*(1+race_rezone_cost),0)</f>
        <v>700</v>
      </c>
      <c r="Y83" s="166">
        <f t="shared" ca="1" si="9"/>
        <v>0</v>
      </c>
      <c r="AA83" s="160">
        <f t="shared" si="10"/>
        <v>700</v>
      </c>
      <c r="AC83" s="95">
        <f>Construction!AH83</f>
        <v>0</v>
      </c>
    </row>
    <row r="84" spans="1:29" s="16" customFormat="1" x14ac:dyDescent="0.25">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7">
        <f t="shared" si="11"/>
        <v>82</v>
      </c>
      <c r="K84" s="572">
        <f>Imps!CM84</f>
        <v>43768.843749999804</v>
      </c>
      <c r="L84" s="356"/>
      <c r="M84" s="348"/>
      <c r="N84" s="348"/>
      <c r="O84" s="348"/>
      <c r="P84" s="348"/>
      <c r="Q84" s="348"/>
      <c r="R84" s="357"/>
      <c r="S84" s="166">
        <f t="shared" si="7"/>
        <v>0</v>
      </c>
      <c r="T84" s="160" t="str">
        <f t="shared" si="8"/>
        <v>Ok</v>
      </c>
      <c r="V84" s="64">
        <f ca="1">Production!H84</f>
        <v>4880820</v>
      </c>
      <c r="X84" s="152">
        <f ca="1">ROUND( (1-MIN(ROUND(facs_rezone_factor*AC84,4),facs_rezone_max)) * (1+MIN(tech_construction_rezone*Techs!AD84,tech_conquerors_crafts*Techs!AS84)) * AA84*(1+race_rezone_cost),0)</f>
        <v>700</v>
      </c>
      <c r="Y84" s="166">
        <f t="shared" ca="1" si="9"/>
        <v>0</v>
      </c>
      <c r="AA84" s="160">
        <f t="shared" si="10"/>
        <v>700</v>
      </c>
      <c r="AC84" s="95">
        <f>Construction!AH84</f>
        <v>0</v>
      </c>
    </row>
    <row r="85" spans="1:29" s="16" customFormat="1" x14ac:dyDescent="0.25">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7">
        <f t="shared" si="11"/>
        <v>83</v>
      </c>
      <c r="K85" s="572">
        <f>Imps!CM85</f>
        <v>43768.854166666468</v>
      </c>
      <c r="L85" s="356"/>
      <c r="M85" s="348"/>
      <c r="N85" s="348"/>
      <c r="O85" s="348"/>
      <c r="P85" s="348"/>
      <c r="Q85" s="348"/>
      <c r="R85" s="357"/>
      <c r="S85" s="166">
        <f t="shared" si="7"/>
        <v>0</v>
      </c>
      <c r="T85" s="160" t="str">
        <f t="shared" si="8"/>
        <v>Ok</v>
      </c>
      <c r="V85" s="64">
        <f ca="1">Production!H85</f>
        <v>4885801</v>
      </c>
      <c r="X85" s="152">
        <f ca="1">ROUND( (1-MIN(ROUND(facs_rezone_factor*AC85,4),facs_rezone_max)) * (1+MIN(tech_construction_rezone*Techs!AD85,tech_conquerors_crafts*Techs!AS85)) * AA85*(1+race_rezone_cost),0)</f>
        <v>700</v>
      </c>
      <c r="Y85" s="166">
        <f t="shared" ca="1" si="9"/>
        <v>0</v>
      </c>
      <c r="AA85" s="160">
        <f t="shared" si="10"/>
        <v>700</v>
      </c>
      <c r="AC85" s="95">
        <f>Construction!AH85</f>
        <v>0</v>
      </c>
    </row>
    <row r="86" spans="1:29" s="170" customFormat="1" x14ac:dyDescent="0.25">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7">
        <f t="shared" si="11"/>
        <v>84</v>
      </c>
      <c r="K86" s="530">
        <f>Imps!CM86</f>
        <v>43768.864583333132</v>
      </c>
      <c r="L86" s="352"/>
      <c r="M86" s="345"/>
      <c r="N86" s="345"/>
      <c r="O86" s="345"/>
      <c r="P86" s="345"/>
      <c r="Q86" s="345"/>
      <c r="R86" s="353"/>
      <c r="S86" s="166">
        <f t="shared" si="7"/>
        <v>0</v>
      </c>
      <c r="T86" s="160" t="str">
        <f t="shared" si="8"/>
        <v>Ok</v>
      </c>
      <c r="V86" s="160">
        <f ca="1">Production!H86</f>
        <v>4890782</v>
      </c>
      <c r="X86" s="152">
        <f ca="1">ROUND( (1-MIN(ROUND(facs_rezone_factor*AC86,4),facs_rezone_max)) * (1+MIN(tech_construction_rezone*Techs!AD86,tech_conquerors_crafts*Techs!AS86)) * AA86*(1+race_rezone_cost),0)</f>
        <v>700</v>
      </c>
      <c r="Y86" s="166">
        <f t="shared" ca="1" si="9"/>
        <v>0</v>
      </c>
      <c r="AA86" s="160">
        <f t="shared" si="10"/>
        <v>700</v>
      </c>
      <c r="AC86" s="212">
        <f>Construction!AH86</f>
        <v>0</v>
      </c>
    </row>
    <row r="87" spans="1:29" s="163" customFormat="1" x14ac:dyDescent="0.25">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5">
        <f>J86+1</f>
        <v>85</v>
      </c>
      <c r="K87" s="674">
        <f>Imps!CM87</f>
        <v>43768.874999999796</v>
      </c>
      <c r="L87" s="823"/>
      <c r="M87" s="767"/>
      <c r="N87" s="346"/>
      <c r="O87" s="346"/>
      <c r="P87" s="346"/>
      <c r="Q87" s="346"/>
      <c r="R87" s="791"/>
      <c r="S87" s="158">
        <f t="shared" si="7"/>
        <v>0</v>
      </c>
      <c r="T87" s="203" t="str">
        <f t="shared" si="8"/>
        <v>Ok</v>
      </c>
      <c r="V87" s="203">
        <f ca="1">Production!H87</f>
        <v>4895763</v>
      </c>
      <c r="X87" s="151">
        <f ca="1">ROUND( (1-MIN(ROUND(facs_rezone_factor*AC87,4),facs_rezone_max)) * (1+MIN(tech_construction_rezone*Techs!AD87,tech_conquerors_crafts*Techs!AS87)) * AA87*(1+race_rezone_cost),0)</f>
        <v>700</v>
      </c>
      <c r="Y87" s="158">
        <f t="shared" ca="1" si="9"/>
        <v>0</v>
      </c>
      <c r="AA87" s="203">
        <f t="shared" si="10"/>
        <v>700</v>
      </c>
      <c r="AC87" s="204">
        <f>Construction!AH87</f>
        <v>0</v>
      </c>
    </row>
    <row r="88" spans="1:29" s="170" customFormat="1" x14ac:dyDescent="0.25">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7">
        <f t="shared" ref="J88:J135" si="12">J87+1</f>
        <v>86</v>
      </c>
      <c r="K88" s="530">
        <f>Imps!CM88</f>
        <v>43768.885416666461</v>
      </c>
      <c r="L88" s="352"/>
      <c r="M88" s="345"/>
      <c r="N88" s="345"/>
      <c r="O88" s="345"/>
      <c r="P88" s="345"/>
      <c r="Q88" s="345"/>
      <c r="R88" s="353"/>
      <c r="S88" s="166">
        <f t="shared" si="7"/>
        <v>0</v>
      </c>
      <c r="T88" s="160" t="str">
        <f t="shared" si="8"/>
        <v>Ok</v>
      </c>
      <c r="V88" s="160">
        <f ca="1">Production!H88</f>
        <v>4900744</v>
      </c>
      <c r="X88" s="152">
        <f ca="1">ROUND( (1-MIN(ROUND(facs_rezone_factor*AC88,4),facs_rezone_max)) * (1+MIN(tech_construction_rezone*Techs!AD88,tech_conquerors_crafts*Techs!AS88)) * AA88*(1+race_rezone_cost),0)</f>
        <v>700</v>
      </c>
      <c r="Y88" s="166">
        <f t="shared" ca="1" si="9"/>
        <v>0</v>
      </c>
      <c r="AA88" s="160">
        <f t="shared" si="10"/>
        <v>700</v>
      </c>
      <c r="AC88" s="212">
        <f>Construction!AH88</f>
        <v>0</v>
      </c>
    </row>
    <row r="89" spans="1:29" s="170" customFormat="1" x14ac:dyDescent="0.25">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7">
        <f t="shared" si="12"/>
        <v>87</v>
      </c>
      <c r="K89" s="530">
        <f>Imps!CM89</f>
        <v>43768.895833333125</v>
      </c>
      <c r="L89" s="352"/>
      <c r="M89" s="345"/>
      <c r="N89" s="345"/>
      <c r="O89" s="345"/>
      <c r="P89" s="345"/>
      <c r="Q89" s="345"/>
      <c r="R89" s="353"/>
      <c r="S89" s="166">
        <f t="shared" si="7"/>
        <v>0</v>
      </c>
      <c r="T89" s="160" t="str">
        <f t="shared" si="8"/>
        <v>Ok</v>
      </c>
      <c r="V89" s="160">
        <f ca="1">Production!H89</f>
        <v>4905725</v>
      </c>
      <c r="X89" s="152">
        <f ca="1">ROUND( (1-MIN(ROUND(facs_rezone_factor*AC89,4),facs_rezone_max)) * (1+MIN(tech_construction_rezone*Techs!AD89,tech_conquerors_crafts*Techs!AS89)) * AA89*(1+race_rezone_cost),0)</f>
        <v>700</v>
      </c>
      <c r="Y89" s="166">
        <f t="shared" ca="1" si="9"/>
        <v>0</v>
      </c>
      <c r="AA89" s="160">
        <f t="shared" si="10"/>
        <v>700</v>
      </c>
      <c r="AC89" s="212">
        <f>Construction!AH89</f>
        <v>0</v>
      </c>
    </row>
    <row r="90" spans="1:29" s="16" customFormat="1" x14ac:dyDescent="0.25">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7">
        <f t="shared" si="12"/>
        <v>88</v>
      </c>
      <c r="K90" s="572">
        <f>Imps!CM90</f>
        <v>43768.906249999789</v>
      </c>
      <c r="L90" s="356"/>
      <c r="M90" s="348"/>
      <c r="N90" s="348"/>
      <c r="O90" s="348"/>
      <c r="P90" s="348"/>
      <c r="Q90" s="348"/>
      <c r="R90" s="357"/>
      <c r="S90" s="166">
        <f t="shared" si="7"/>
        <v>0</v>
      </c>
      <c r="T90" s="160" t="str">
        <f t="shared" si="8"/>
        <v>Ok</v>
      </c>
      <c r="V90" s="64">
        <f ca="1">Production!H90</f>
        <v>4910706</v>
      </c>
      <c r="X90" s="152">
        <f ca="1">ROUND( (1-MIN(ROUND(facs_rezone_factor*AC90,4),facs_rezone_max)) * (1+MIN(tech_construction_rezone*Techs!AD90,tech_conquerors_crafts*Techs!AS90)) * AA90*(1+race_rezone_cost),0)</f>
        <v>700</v>
      </c>
      <c r="Y90" s="166">
        <f t="shared" ca="1" si="9"/>
        <v>0</v>
      </c>
      <c r="AA90" s="160">
        <f t="shared" si="10"/>
        <v>700</v>
      </c>
      <c r="AC90" s="95">
        <f>Construction!AH90</f>
        <v>0</v>
      </c>
    </row>
    <row r="91" spans="1:29" s="16" customFormat="1" x14ac:dyDescent="0.25">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7">
        <f t="shared" si="12"/>
        <v>89</v>
      </c>
      <c r="K91" s="572">
        <f>Imps!CM91</f>
        <v>43768.916666666453</v>
      </c>
      <c r="L91" s="356"/>
      <c r="M91" s="348"/>
      <c r="N91" s="348"/>
      <c r="O91" s="348"/>
      <c r="P91" s="348"/>
      <c r="Q91" s="348"/>
      <c r="R91" s="357"/>
      <c r="S91" s="166">
        <f t="shared" si="7"/>
        <v>0</v>
      </c>
      <c r="T91" s="160" t="str">
        <f t="shared" si="8"/>
        <v>Ok</v>
      </c>
      <c r="V91" s="64">
        <f ca="1">Production!H91</f>
        <v>4915687</v>
      </c>
      <c r="X91" s="152">
        <f ca="1">ROUND( (1-MIN(ROUND(facs_rezone_factor*AC91,4),facs_rezone_max)) * (1+MIN(tech_construction_rezone*Techs!AD91,tech_conquerors_crafts*Techs!AS91)) * AA91*(1+race_rezone_cost),0)</f>
        <v>700</v>
      </c>
      <c r="Y91" s="166">
        <f t="shared" ca="1" si="9"/>
        <v>0</v>
      </c>
      <c r="AA91" s="160">
        <f t="shared" si="10"/>
        <v>700</v>
      </c>
      <c r="AC91" s="95">
        <f>Construction!AH91</f>
        <v>0</v>
      </c>
    </row>
    <row r="92" spans="1:29" s="16" customFormat="1" x14ac:dyDescent="0.25">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7">
        <f t="shared" si="12"/>
        <v>90</v>
      </c>
      <c r="K92" s="572">
        <f>Imps!CM92</f>
        <v>43768.927083333117</v>
      </c>
      <c r="L92" s="356"/>
      <c r="M92" s="348"/>
      <c r="N92" s="348"/>
      <c r="O92" s="348"/>
      <c r="P92" s="348"/>
      <c r="Q92" s="348"/>
      <c r="R92" s="357"/>
      <c r="S92" s="166">
        <f t="shared" si="7"/>
        <v>0</v>
      </c>
      <c r="T92" s="160" t="str">
        <f t="shared" si="8"/>
        <v>Ok</v>
      </c>
      <c r="V92" s="64">
        <f ca="1">Production!H92</f>
        <v>4920668</v>
      </c>
      <c r="X92" s="152">
        <f ca="1">ROUND( (1-MIN(ROUND(facs_rezone_factor*AC92,4),facs_rezone_max)) * (1+MIN(tech_construction_rezone*Techs!AD92,tech_conquerors_crafts*Techs!AS92)) * AA92*(1+race_rezone_cost),0)</f>
        <v>700</v>
      </c>
      <c r="Y92" s="166">
        <f t="shared" ca="1" si="9"/>
        <v>0</v>
      </c>
      <c r="AA92" s="160">
        <f t="shared" si="10"/>
        <v>700</v>
      </c>
      <c r="AC92" s="95">
        <f>Construction!AH92</f>
        <v>0</v>
      </c>
    </row>
    <row r="93" spans="1:29" s="16" customFormat="1" x14ac:dyDescent="0.25">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7">
        <f t="shared" si="12"/>
        <v>91</v>
      </c>
      <c r="K93" s="572">
        <f>Imps!CM93</f>
        <v>43768.937499999782</v>
      </c>
      <c r="L93" s="356"/>
      <c r="M93" s="348"/>
      <c r="N93" s="348"/>
      <c r="O93" s="348"/>
      <c r="P93" s="348"/>
      <c r="Q93" s="348"/>
      <c r="R93" s="357"/>
      <c r="S93" s="166">
        <f t="shared" si="7"/>
        <v>0</v>
      </c>
      <c r="T93" s="160" t="str">
        <f t="shared" si="8"/>
        <v>Ok</v>
      </c>
      <c r="V93" s="64">
        <f ca="1">Production!H93</f>
        <v>4925649</v>
      </c>
      <c r="X93" s="152">
        <f ca="1">ROUND( (1-MIN(ROUND(facs_rezone_factor*AC93,4),facs_rezone_max)) * (1+MIN(tech_construction_rezone*Techs!AD93,tech_conquerors_crafts*Techs!AS93)) * AA93*(1+race_rezone_cost),0)</f>
        <v>700</v>
      </c>
      <c r="Y93" s="166">
        <f t="shared" ca="1" si="9"/>
        <v>0</v>
      </c>
      <c r="AA93" s="160">
        <f t="shared" si="10"/>
        <v>700</v>
      </c>
      <c r="AC93" s="95">
        <f>Construction!AH93</f>
        <v>0</v>
      </c>
    </row>
    <row r="94" spans="1:29" s="16" customFormat="1" x14ac:dyDescent="0.25">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7">
        <f t="shared" si="12"/>
        <v>92</v>
      </c>
      <c r="K94" s="572">
        <f>Imps!CM94</f>
        <v>43768.947916666446</v>
      </c>
      <c r="L94" s="356"/>
      <c r="M94" s="348"/>
      <c r="N94" s="348"/>
      <c r="O94" s="348"/>
      <c r="P94" s="348"/>
      <c r="Q94" s="348"/>
      <c r="R94" s="357"/>
      <c r="S94" s="166">
        <f t="shared" si="7"/>
        <v>0</v>
      </c>
      <c r="T94" s="160" t="str">
        <f t="shared" si="8"/>
        <v>Ok</v>
      </c>
      <c r="V94" s="64">
        <f ca="1">Production!H94</f>
        <v>4930630</v>
      </c>
      <c r="X94" s="152">
        <f ca="1">ROUND( (1-MIN(ROUND(facs_rezone_factor*AC94,4),facs_rezone_max)) * (1+MIN(tech_construction_rezone*Techs!AD94,tech_conquerors_crafts*Techs!AS94)) * AA94*(1+race_rezone_cost),0)</f>
        <v>700</v>
      </c>
      <c r="Y94" s="166">
        <f t="shared" ca="1" si="9"/>
        <v>0</v>
      </c>
      <c r="AA94" s="160">
        <f t="shared" si="10"/>
        <v>700</v>
      </c>
      <c r="AC94" s="95">
        <f>Construction!AH94</f>
        <v>0</v>
      </c>
    </row>
    <row r="95" spans="1:29" s="16" customFormat="1" x14ac:dyDescent="0.25">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7">
        <f t="shared" si="12"/>
        <v>93</v>
      </c>
      <c r="K95" s="572">
        <f>Imps!CM95</f>
        <v>43768.95833333311</v>
      </c>
      <c r="L95" s="356"/>
      <c r="M95" s="348"/>
      <c r="N95" s="348"/>
      <c r="O95" s="348"/>
      <c r="P95" s="348"/>
      <c r="Q95" s="348"/>
      <c r="R95" s="357"/>
      <c r="S95" s="166">
        <f t="shared" si="7"/>
        <v>0</v>
      </c>
      <c r="T95" s="160" t="str">
        <f t="shared" si="8"/>
        <v>Ok</v>
      </c>
      <c r="V95" s="64">
        <f ca="1">Production!H95</f>
        <v>4935611</v>
      </c>
      <c r="X95" s="152">
        <f ca="1">ROUND( (1-MIN(ROUND(facs_rezone_factor*AC95,4),facs_rezone_max)) * (1+MIN(tech_construction_rezone*Techs!AD95,tech_conquerors_crafts*Techs!AS95)) * AA95*(1+race_rezone_cost),0)</f>
        <v>700</v>
      </c>
      <c r="Y95" s="166">
        <f t="shared" ca="1" si="9"/>
        <v>0</v>
      </c>
      <c r="AA95" s="160">
        <f t="shared" si="10"/>
        <v>700</v>
      </c>
      <c r="AC95" s="95">
        <f>Construction!AH95</f>
        <v>0</v>
      </c>
    </row>
    <row r="96" spans="1:29" s="16" customFormat="1" x14ac:dyDescent="0.25">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7">
        <f t="shared" si="12"/>
        <v>94</v>
      </c>
      <c r="K96" s="572">
        <f>Imps!CM96</f>
        <v>43768.968749999774</v>
      </c>
      <c r="L96" s="356"/>
      <c r="M96" s="348"/>
      <c r="N96" s="348"/>
      <c r="O96" s="348"/>
      <c r="P96" s="348"/>
      <c r="Q96" s="348"/>
      <c r="R96" s="357"/>
      <c r="S96" s="166">
        <f t="shared" si="7"/>
        <v>0</v>
      </c>
      <c r="T96" s="160" t="str">
        <f t="shared" si="8"/>
        <v>Ok</v>
      </c>
      <c r="V96" s="64">
        <f ca="1">Production!H96</f>
        <v>4940592</v>
      </c>
      <c r="X96" s="152">
        <f ca="1">ROUND( (1-MIN(ROUND(facs_rezone_factor*AC96,4),facs_rezone_max)) * (1+MIN(tech_construction_rezone*Techs!AD96,tech_conquerors_crafts*Techs!AS96)) * AA96*(1+race_rezone_cost),0)</f>
        <v>700</v>
      </c>
      <c r="Y96" s="166">
        <f t="shared" ca="1" si="9"/>
        <v>0</v>
      </c>
      <c r="AA96" s="160">
        <f t="shared" si="10"/>
        <v>700</v>
      </c>
      <c r="AC96" s="95">
        <f>Construction!AH96</f>
        <v>0</v>
      </c>
    </row>
    <row r="97" spans="1:29" s="16" customFormat="1" x14ac:dyDescent="0.25">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7">
        <f t="shared" si="12"/>
        <v>95</v>
      </c>
      <c r="K97" s="572">
        <f>Imps!CM97</f>
        <v>43768.979166666439</v>
      </c>
      <c r="L97" s="356"/>
      <c r="M97" s="348"/>
      <c r="N97" s="348"/>
      <c r="O97" s="348"/>
      <c r="P97" s="348"/>
      <c r="Q97" s="348"/>
      <c r="R97" s="357"/>
      <c r="S97" s="166">
        <f t="shared" si="7"/>
        <v>0</v>
      </c>
      <c r="T97" s="160" t="str">
        <f t="shared" si="8"/>
        <v>Ok</v>
      </c>
      <c r="V97" s="64">
        <f ca="1">Production!H97</f>
        <v>4945573</v>
      </c>
      <c r="X97" s="152">
        <f ca="1">ROUND( (1-MIN(ROUND(facs_rezone_factor*AC97,4),facs_rezone_max)) * (1+MIN(tech_construction_rezone*Techs!AD97,tech_conquerors_crafts*Techs!AS97)) * AA97*(1+race_rezone_cost),0)</f>
        <v>700</v>
      </c>
      <c r="Y97" s="166">
        <f t="shared" ca="1" si="9"/>
        <v>0</v>
      </c>
      <c r="AA97" s="160">
        <f t="shared" si="10"/>
        <v>700</v>
      </c>
      <c r="AC97" s="95">
        <f>Construction!AH97</f>
        <v>0</v>
      </c>
    </row>
    <row r="98" spans="1:29" s="170" customFormat="1" ht="13.8" thickBot="1" x14ac:dyDescent="0.3">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7">
        <f t="shared" si="12"/>
        <v>96</v>
      </c>
      <c r="K98" s="530">
        <f>Imps!CM98</f>
        <v>43768.989583333103</v>
      </c>
      <c r="L98" s="352"/>
      <c r="M98" s="345"/>
      <c r="N98" s="345"/>
      <c r="O98" s="345"/>
      <c r="P98" s="345"/>
      <c r="Q98" s="345"/>
      <c r="R98" s="353"/>
      <c r="S98" s="166">
        <f t="shared" si="7"/>
        <v>0</v>
      </c>
      <c r="T98" s="160" t="str">
        <f t="shared" si="8"/>
        <v>Ok</v>
      </c>
      <c r="V98" s="160">
        <f ca="1">Production!H98</f>
        <v>4950554</v>
      </c>
      <c r="X98" s="152">
        <f ca="1">ROUND( (1-MIN(ROUND(facs_rezone_factor*AC98,4),facs_rezone_max)) * (1+MIN(tech_construction_rezone*Techs!AD98,tech_conquerors_crafts*Techs!AS98)) * AA98*(1+race_rezone_cost),0)</f>
        <v>700</v>
      </c>
      <c r="Y98" s="166">
        <f t="shared" ca="1" si="9"/>
        <v>0</v>
      </c>
      <c r="AA98" s="160">
        <f t="shared" si="10"/>
        <v>700</v>
      </c>
      <c r="AC98" s="212">
        <f>Construction!AH98</f>
        <v>0</v>
      </c>
    </row>
    <row r="99" spans="1:29" s="173" customFormat="1" ht="13.8" thickBot="1" x14ac:dyDescent="0.3">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28">
        <f t="shared" si="12"/>
        <v>97</v>
      </c>
      <c r="K99" s="571">
        <f>Imps!CM99</f>
        <v>43768.999999999767</v>
      </c>
      <c r="L99" s="354"/>
      <c r="M99" s="347"/>
      <c r="N99" s="347"/>
      <c r="O99" s="347"/>
      <c r="P99" s="347"/>
      <c r="Q99" s="347"/>
      <c r="R99" s="355"/>
      <c r="S99" s="179">
        <f>SUMIF(L99:R99,"&gt;0")</f>
        <v>0</v>
      </c>
      <c r="T99" s="181" t="str">
        <f>IF(SUM(L99:R99)=0,"Ok","Nope")</f>
        <v>Ok</v>
      </c>
      <c r="V99" s="181">
        <f ca="1">Production!H99</f>
        <v>4955535</v>
      </c>
      <c r="X99" s="175">
        <f ca="1">ROUND( (1-MIN(ROUND(facs_rezone_factor*AC99,4),facs_rezone_max)) * (1+MIN(tech_construction_rezone*Techs!AD99,tech_conquerors_crafts*Techs!AS99)) * AA99*(1+race_rezone_cost),0)</f>
        <v>700</v>
      </c>
      <c r="Y99" s="179">
        <f t="shared" ca="1" si="9"/>
        <v>0</v>
      </c>
      <c r="AA99" s="181">
        <f t="shared" si="10"/>
        <v>700</v>
      </c>
      <c r="AC99" s="226">
        <f>Construction!AH99</f>
        <v>0</v>
      </c>
    </row>
    <row r="100" spans="1:29" s="170" customFormat="1" x14ac:dyDescent="0.25">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7">
        <f t="shared" si="12"/>
        <v>98</v>
      </c>
      <c r="K100" s="530">
        <f>Imps!CM100</f>
        <v>43769.010416666431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(1-MIN(ROUND(facs_rezone_factor*AC100,4),facs_rezone_max)) * (1+MIN(tech_construction_rezone*Techs!AD100,tech_conquerors_crafts*Techs!AS100)) * AA100*(1+race_rezone_cost),0)</f>
        <v>700</v>
      </c>
      <c r="Y100" s="166">
        <f t="shared" ca="1" si="9"/>
        <v>0</v>
      </c>
      <c r="AA100" s="160">
        <f t="shared" si="10"/>
        <v>700</v>
      </c>
      <c r="AC100" s="212">
        <f>Construction!AH100</f>
        <v>0</v>
      </c>
    </row>
    <row r="101" spans="1:29" s="170" customFormat="1" x14ac:dyDescent="0.25">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7">
        <f t="shared" si="12"/>
        <v>99</v>
      </c>
      <c r="K101" s="530">
        <f>Imps!CM101</f>
        <v>43769.020833333096</v>
      </c>
      <c r="L101" s="352"/>
      <c r="M101" s="345"/>
      <c r="N101" s="345"/>
      <c r="O101" s="345"/>
      <c r="P101" s="345"/>
      <c r="Q101" s="345"/>
      <c r="R101" s="353"/>
      <c r="S101" s="166">
        <f t="shared" si="13"/>
        <v>0</v>
      </c>
      <c r="T101" s="160" t="str">
        <f t="shared" si="14"/>
        <v>Ok</v>
      </c>
      <c r="V101" s="160">
        <f ca="1">Production!H101</f>
        <v>4965497</v>
      </c>
      <c r="X101" s="152">
        <f ca="1">ROUND( (1-MIN(ROUND(facs_rezone_factor*AC101,4),facs_rezone_max)) * (1+MIN(tech_construction_rezone*Techs!AD101,tech_conquerors_crafts*Techs!AS101)) * AA101*(1+race_rezone_cost),0)</f>
        <v>700</v>
      </c>
      <c r="Y101" s="166">
        <f t="shared" ca="1" si="9"/>
        <v>0</v>
      </c>
      <c r="AA101" s="160">
        <f t="shared" si="10"/>
        <v>700</v>
      </c>
      <c r="AC101" s="212">
        <f>Construction!AH101</f>
        <v>0</v>
      </c>
    </row>
    <row r="102" spans="1:29" s="16" customFormat="1" x14ac:dyDescent="0.25">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7">
        <f t="shared" si="12"/>
        <v>100</v>
      </c>
      <c r="K102" s="572">
        <f>Imps!CM102</f>
        <v>43769.03124999976</v>
      </c>
      <c r="L102" s="356"/>
      <c r="M102" s="348"/>
      <c r="N102" s="348"/>
      <c r="O102" s="348"/>
      <c r="P102" s="348"/>
      <c r="Q102" s="348"/>
      <c r="R102" s="357"/>
      <c r="S102" s="166">
        <f t="shared" si="13"/>
        <v>0</v>
      </c>
      <c r="T102" s="160" t="str">
        <f t="shared" si="14"/>
        <v>Ok</v>
      </c>
      <c r="V102" s="64">
        <f ca="1">Production!H102</f>
        <v>4970478</v>
      </c>
      <c r="X102" s="152">
        <f ca="1">ROUND( (1-MIN(ROUND(facs_rezone_factor*AC102,4),facs_rezone_max)) * (1+MIN(tech_construction_rezone*Techs!AD102,tech_conquerors_crafts*Techs!AS102)) * AA102*(1+race_rezone_cost),0)</f>
        <v>700</v>
      </c>
      <c r="Y102" s="166">
        <f t="shared" ca="1" si="9"/>
        <v>0</v>
      </c>
      <c r="AA102" s="160">
        <f t="shared" si="10"/>
        <v>700</v>
      </c>
      <c r="AC102" s="95">
        <f>Construction!AH102</f>
        <v>0</v>
      </c>
    </row>
    <row r="103" spans="1:29" s="16" customFormat="1" x14ac:dyDescent="0.25">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7">
        <f t="shared" si="12"/>
        <v>101</v>
      </c>
      <c r="K103" s="572">
        <f>Imps!CM103</f>
        <v>43769.041666666424</v>
      </c>
      <c r="L103" s="356"/>
      <c r="M103" s="348"/>
      <c r="N103" s="348"/>
      <c r="O103" s="348"/>
      <c r="P103" s="348"/>
      <c r="Q103" s="348"/>
      <c r="R103" s="357"/>
      <c r="S103" s="166">
        <f t="shared" si="13"/>
        <v>0</v>
      </c>
      <c r="T103" s="160" t="str">
        <f t="shared" si="14"/>
        <v>Ok</v>
      </c>
      <c r="V103" s="64">
        <f ca="1">Production!H103</f>
        <v>4975459</v>
      </c>
      <c r="X103" s="152">
        <f ca="1">ROUND( (1-MIN(ROUND(facs_rezone_factor*AC103,4),facs_rezone_max)) * (1+MIN(tech_construction_rezone*Techs!AD103,tech_conquerors_crafts*Techs!AS103)) * AA103*(1+race_rezone_cost),0)</f>
        <v>700</v>
      </c>
      <c r="Y103" s="166">
        <f t="shared" ca="1" si="9"/>
        <v>0</v>
      </c>
      <c r="AA103" s="160">
        <f t="shared" si="10"/>
        <v>700</v>
      </c>
      <c r="AC103" s="95">
        <f>Construction!AH103</f>
        <v>0</v>
      </c>
    </row>
    <row r="104" spans="1:29" s="16" customFormat="1" x14ac:dyDescent="0.25">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7">
        <f t="shared" si="12"/>
        <v>102</v>
      </c>
      <c r="K104" s="572">
        <f>Imps!CM104</f>
        <v>43769.052083333088</v>
      </c>
      <c r="L104" s="356"/>
      <c r="M104" s="348"/>
      <c r="N104" s="348"/>
      <c r="O104" s="348"/>
      <c r="P104" s="348"/>
      <c r="Q104" s="348"/>
      <c r="R104" s="357"/>
      <c r="S104" s="166">
        <f t="shared" si="13"/>
        <v>0</v>
      </c>
      <c r="T104" s="160" t="str">
        <f t="shared" si="14"/>
        <v>Ok</v>
      </c>
      <c r="V104" s="64">
        <f ca="1">Production!H104</f>
        <v>4980440</v>
      </c>
      <c r="X104" s="152">
        <f ca="1">ROUND( (1-MIN(ROUND(facs_rezone_factor*AC104,4),facs_rezone_max)) * (1+MIN(tech_construction_rezone*Techs!AD104,tech_conquerors_crafts*Techs!AS104)) * AA104*(1+race_rezone_cost),0)</f>
        <v>700</v>
      </c>
      <c r="Y104" s="166">
        <f t="shared" ca="1" si="9"/>
        <v>0</v>
      </c>
      <c r="AA104" s="160">
        <f t="shared" si="10"/>
        <v>700</v>
      </c>
      <c r="AC104" s="95">
        <f>Construction!AH104</f>
        <v>0</v>
      </c>
    </row>
    <row r="105" spans="1:29" s="16" customFormat="1" x14ac:dyDescent="0.25">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7">
        <f t="shared" si="12"/>
        <v>103</v>
      </c>
      <c r="K105" s="572">
        <f>Imps!CM105</f>
        <v>43769.062499999753</v>
      </c>
      <c r="L105" s="356"/>
      <c r="M105" s="348"/>
      <c r="N105" s="348"/>
      <c r="O105" s="348"/>
      <c r="P105" s="348"/>
      <c r="Q105" s="348"/>
      <c r="R105" s="357"/>
      <c r="S105" s="166">
        <f t="shared" si="13"/>
        <v>0</v>
      </c>
      <c r="T105" s="160" t="str">
        <f t="shared" si="14"/>
        <v>Ok</v>
      </c>
      <c r="V105" s="64">
        <f ca="1">Production!H105</f>
        <v>4985421</v>
      </c>
      <c r="X105" s="152">
        <f ca="1">ROUND( (1-MIN(ROUND(facs_rezone_factor*AC105,4),facs_rezone_max)) * (1+MIN(tech_construction_rezone*Techs!AD105,tech_conquerors_crafts*Techs!AS105)) * AA105*(1+race_rezone_cost),0)</f>
        <v>700</v>
      </c>
      <c r="Y105" s="166">
        <f t="shared" ca="1" si="9"/>
        <v>0</v>
      </c>
      <c r="AA105" s="160">
        <f t="shared" si="10"/>
        <v>700</v>
      </c>
      <c r="AC105" s="95">
        <f>Construction!AH105</f>
        <v>0</v>
      </c>
    </row>
    <row r="106" spans="1:29" s="16" customFormat="1" x14ac:dyDescent="0.25">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7">
        <f t="shared" si="12"/>
        <v>104</v>
      </c>
      <c r="K106" s="572">
        <f>Imps!CM106</f>
        <v>43769.072916666417</v>
      </c>
      <c r="L106" s="356"/>
      <c r="M106" s="348"/>
      <c r="N106" s="348"/>
      <c r="O106" s="348"/>
      <c r="P106" s="348"/>
      <c r="Q106" s="348"/>
      <c r="R106" s="357"/>
      <c r="S106" s="166">
        <f t="shared" si="13"/>
        <v>0</v>
      </c>
      <c r="T106" s="160" t="str">
        <f t="shared" si="14"/>
        <v>Ok</v>
      </c>
      <c r="V106" s="64">
        <f ca="1">Production!H106</f>
        <v>4990402</v>
      </c>
      <c r="X106" s="152">
        <f ca="1">ROUND( (1-MIN(ROUND(facs_rezone_factor*AC106,4),facs_rezone_max)) * (1+MIN(tech_construction_rezone*Techs!AD106,tech_conquerors_crafts*Techs!AS106)) * AA106*(1+race_rezone_cost),0)</f>
        <v>700</v>
      </c>
      <c r="Y106" s="166">
        <f t="shared" ca="1" si="9"/>
        <v>0</v>
      </c>
      <c r="AA106" s="160">
        <f t="shared" si="10"/>
        <v>700</v>
      </c>
      <c r="AC106" s="95">
        <f>Construction!AH106</f>
        <v>0</v>
      </c>
    </row>
    <row r="107" spans="1:29" s="16" customFormat="1" x14ac:dyDescent="0.25">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7">
        <f t="shared" si="12"/>
        <v>105</v>
      </c>
      <c r="K107" s="572">
        <f>Imps!CM107</f>
        <v>43769.083333333081</v>
      </c>
      <c r="L107" s="356"/>
      <c r="M107" s="348"/>
      <c r="N107" s="348"/>
      <c r="O107" s="348"/>
      <c r="P107" s="348"/>
      <c r="Q107" s="348"/>
      <c r="R107" s="357"/>
      <c r="S107" s="166">
        <f t="shared" si="13"/>
        <v>0</v>
      </c>
      <c r="T107" s="160" t="str">
        <f t="shared" si="14"/>
        <v>Ok</v>
      </c>
      <c r="V107" s="64">
        <f ca="1">Production!H107</f>
        <v>4995383</v>
      </c>
      <c r="X107" s="152">
        <f ca="1">ROUND( (1-MIN(ROUND(facs_rezone_factor*AC107,4),facs_rezone_max)) * (1+MIN(tech_construction_rezone*Techs!AD107,tech_conquerors_crafts*Techs!AS107)) * AA107*(1+race_rezone_cost),0)</f>
        <v>700</v>
      </c>
      <c r="Y107" s="166">
        <f t="shared" ca="1" si="9"/>
        <v>0</v>
      </c>
      <c r="AA107" s="160">
        <f t="shared" si="10"/>
        <v>700</v>
      </c>
      <c r="AC107" s="95">
        <f>Construction!AH107</f>
        <v>0</v>
      </c>
    </row>
    <row r="108" spans="1:29" s="16" customFormat="1" x14ac:dyDescent="0.25">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7">
        <f t="shared" si="12"/>
        <v>106</v>
      </c>
      <c r="K108" s="572">
        <f>Imps!CM108</f>
        <v>43769.093749999745</v>
      </c>
      <c r="L108" s="356"/>
      <c r="M108" s="348"/>
      <c r="N108" s="348"/>
      <c r="O108" s="348"/>
      <c r="P108" s="348"/>
      <c r="Q108" s="348"/>
      <c r="R108" s="357"/>
      <c r="S108" s="166">
        <f t="shared" si="13"/>
        <v>0</v>
      </c>
      <c r="T108" s="160" t="str">
        <f t="shared" si="14"/>
        <v>Ok</v>
      </c>
      <c r="V108" s="64">
        <f ca="1">Production!H108</f>
        <v>5000364</v>
      </c>
      <c r="X108" s="152">
        <f ca="1">ROUND( (1-MIN(ROUND(facs_rezone_factor*AC108,4),facs_rezone_max)) * (1+MIN(tech_construction_rezone*Techs!AD108,tech_conquerors_crafts*Techs!AS108)) * AA108*(1+race_rezone_cost),0)</f>
        <v>700</v>
      </c>
      <c r="Y108" s="166">
        <f t="shared" ca="1" si="9"/>
        <v>0</v>
      </c>
      <c r="AA108" s="160">
        <f t="shared" si="10"/>
        <v>700</v>
      </c>
      <c r="AC108" s="95">
        <f>Construction!AH108</f>
        <v>0</v>
      </c>
    </row>
    <row r="109" spans="1:29" s="16" customFormat="1" x14ac:dyDescent="0.25">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7">
        <f t="shared" si="12"/>
        <v>107</v>
      </c>
      <c r="K109" s="572">
        <f>Imps!CM109</f>
        <v>43769.10416666641</v>
      </c>
      <c r="L109" s="356"/>
      <c r="M109" s="348"/>
      <c r="N109" s="348"/>
      <c r="O109" s="348"/>
      <c r="P109" s="348"/>
      <c r="Q109" s="348"/>
      <c r="R109" s="357"/>
      <c r="S109" s="166">
        <f t="shared" si="13"/>
        <v>0</v>
      </c>
      <c r="T109" s="160" t="str">
        <f t="shared" si="14"/>
        <v>Ok</v>
      </c>
      <c r="V109" s="64">
        <f ca="1">Production!H109</f>
        <v>5005345</v>
      </c>
      <c r="X109" s="152">
        <f ca="1">ROUND( (1-MIN(ROUND(facs_rezone_factor*AC109,4),facs_rezone_max)) * (1+MIN(tech_construction_rezone*Techs!AD109,tech_conquerors_crafts*Techs!AS109)) * AA109*(1+race_rezone_cost),0)</f>
        <v>700</v>
      </c>
      <c r="Y109" s="166">
        <f t="shared" ca="1" si="9"/>
        <v>0</v>
      </c>
      <c r="AA109" s="160">
        <f t="shared" si="10"/>
        <v>700</v>
      </c>
      <c r="AC109" s="95">
        <f>Construction!AH109</f>
        <v>0</v>
      </c>
    </row>
    <row r="110" spans="1:29" s="16" customFormat="1" x14ac:dyDescent="0.25">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7">
        <f t="shared" si="12"/>
        <v>108</v>
      </c>
      <c r="K110" s="572">
        <f>Imps!CM110</f>
        <v>43769.114583333074</v>
      </c>
      <c r="L110" s="356"/>
      <c r="M110" s="348"/>
      <c r="N110" s="348"/>
      <c r="O110" s="348"/>
      <c r="P110" s="348"/>
      <c r="Q110" s="348"/>
      <c r="R110" s="357"/>
      <c r="S110" s="166">
        <f t="shared" si="13"/>
        <v>0</v>
      </c>
      <c r="T110" s="160" t="str">
        <f t="shared" si="14"/>
        <v>Ok</v>
      </c>
      <c r="V110" s="64">
        <f ca="1">Production!H110</f>
        <v>5010326</v>
      </c>
      <c r="X110" s="152">
        <f ca="1">ROUND( (1-MIN(ROUND(facs_rezone_factor*AC110,4),facs_rezone_max)) * (1+MIN(tech_construction_rezone*Techs!AD110,tech_conquerors_crafts*Techs!AS110)) * AA110*(1+race_rezone_cost),0)</f>
        <v>700</v>
      </c>
      <c r="Y110" s="166">
        <f t="shared" ca="1" si="9"/>
        <v>0</v>
      </c>
      <c r="AA110" s="160">
        <f t="shared" si="10"/>
        <v>700</v>
      </c>
      <c r="AC110" s="95">
        <f>Construction!AH110</f>
        <v>0</v>
      </c>
    </row>
    <row r="111" spans="1:29" s="12" customFormat="1" x14ac:dyDescent="0.25">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29">
        <f t="shared" si="12"/>
        <v>109</v>
      </c>
      <c r="K111" s="676">
        <f>Imps!CM111</f>
        <v>43769.124999999738</v>
      </c>
      <c r="L111" s="373"/>
      <c r="M111" s="349"/>
      <c r="N111" s="349"/>
      <c r="O111" s="349"/>
      <c r="P111" s="349"/>
      <c r="Q111" s="349"/>
      <c r="R111" s="374"/>
      <c r="S111" s="158">
        <f t="shared" si="13"/>
        <v>0</v>
      </c>
      <c r="T111" s="203" t="str">
        <f t="shared" si="14"/>
        <v>Ok</v>
      </c>
      <c r="V111" s="93">
        <f ca="1">Production!H111</f>
        <v>5015307</v>
      </c>
      <c r="X111" s="151">
        <f ca="1">ROUND( (1-MIN(ROUND(facs_rezone_factor*AC111,4),facs_rezone_max)) * (1+MIN(tech_construction_rezone*Techs!AD111,tech_conquerors_crafts*Techs!AS111)) * AA111*(1+race_rezone_cost),0)</f>
        <v>700</v>
      </c>
      <c r="Y111" s="158">
        <f t="shared" ca="1" si="9"/>
        <v>0</v>
      </c>
      <c r="AA111" s="203">
        <f t="shared" si="10"/>
        <v>700</v>
      </c>
      <c r="AC111" s="94">
        <f>Construction!AH111</f>
        <v>0</v>
      </c>
    </row>
    <row r="112" spans="1:29" s="16" customFormat="1" x14ac:dyDescent="0.25">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7">
        <f t="shared" si="12"/>
        <v>110</v>
      </c>
      <c r="K112" s="572">
        <f>Imps!CM112</f>
        <v>43769.135416666402</v>
      </c>
      <c r="L112" s="356"/>
      <c r="M112" s="348"/>
      <c r="N112" s="348"/>
      <c r="O112" s="348"/>
      <c r="P112" s="348"/>
      <c r="Q112" s="348"/>
      <c r="R112" s="357"/>
      <c r="S112" s="166">
        <f t="shared" si="13"/>
        <v>0</v>
      </c>
      <c r="T112" s="160" t="str">
        <f t="shared" si="14"/>
        <v>Ok</v>
      </c>
      <c r="V112" s="64">
        <f ca="1">Production!H112</f>
        <v>5020288</v>
      </c>
      <c r="X112" s="152">
        <f ca="1">ROUND( (1-MIN(ROUND(facs_rezone_factor*AC112,4),facs_rezone_max)) * (1+MIN(tech_construction_rezone*Techs!AD112,tech_conquerors_crafts*Techs!AS112)) * AA112*(1+race_rezone_cost),0)</f>
        <v>700</v>
      </c>
      <c r="Y112" s="166">
        <f t="shared" ca="1" si="9"/>
        <v>0</v>
      </c>
      <c r="AA112" s="160">
        <f t="shared" si="10"/>
        <v>700</v>
      </c>
      <c r="AC112" s="95">
        <f>Construction!AH112</f>
        <v>0</v>
      </c>
    </row>
    <row r="113" spans="1:29" s="16" customFormat="1" x14ac:dyDescent="0.25">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7">
        <f t="shared" si="12"/>
        <v>111</v>
      </c>
      <c r="K113" s="572">
        <f>Imps!CM113</f>
        <v>43769.145833333067</v>
      </c>
      <c r="L113" s="356"/>
      <c r="M113" s="348"/>
      <c r="N113" s="348"/>
      <c r="O113" s="348"/>
      <c r="P113" s="348"/>
      <c r="Q113" s="348"/>
      <c r="R113" s="357"/>
      <c r="S113" s="166">
        <f t="shared" si="13"/>
        <v>0</v>
      </c>
      <c r="T113" s="160" t="str">
        <f t="shared" si="14"/>
        <v>Ok</v>
      </c>
      <c r="V113" s="64">
        <f ca="1">Production!H113</f>
        <v>5025269</v>
      </c>
      <c r="X113" s="152">
        <f ca="1">ROUND( (1-MIN(ROUND(facs_rezone_factor*AC113,4),facs_rezone_max)) * (1+MIN(tech_construction_rezone*Techs!AD113,tech_conquerors_crafts*Techs!AS113)) * AA113*(1+race_rezone_cost),0)</f>
        <v>700</v>
      </c>
      <c r="Y113" s="166">
        <f t="shared" ca="1" si="9"/>
        <v>0</v>
      </c>
      <c r="AA113" s="160">
        <f t="shared" si="10"/>
        <v>700</v>
      </c>
      <c r="AC113" s="95">
        <f>Construction!AH113</f>
        <v>0</v>
      </c>
    </row>
    <row r="114" spans="1:29" s="16" customFormat="1" x14ac:dyDescent="0.25">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7">
        <f t="shared" si="12"/>
        <v>112</v>
      </c>
      <c r="K114" s="572">
        <f>Imps!CM114</f>
        <v>43769.156249999731</v>
      </c>
      <c r="L114" s="356"/>
      <c r="M114" s="348"/>
      <c r="N114" s="348"/>
      <c r="O114" s="348"/>
      <c r="P114" s="348"/>
      <c r="Q114" s="348"/>
      <c r="R114" s="357"/>
      <c r="S114" s="166">
        <f t="shared" si="13"/>
        <v>0</v>
      </c>
      <c r="T114" s="160" t="str">
        <f t="shared" si="14"/>
        <v>Ok</v>
      </c>
      <c r="V114" s="64">
        <f ca="1">Production!H114</f>
        <v>5030250</v>
      </c>
      <c r="X114" s="152">
        <f ca="1">ROUND( (1-MIN(ROUND(facs_rezone_factor*AC114,4),facs_rezone_max)) * (1+MIN(tech_construction_rezone*Techs!AD114,tech_conquerors_crafts*Techs!AS114)) * AA114*(1+race_rezone_cost),0)</f>
        <v>700</v>
      </c>
      <c r="Y114" s="166">
        <f t="shared" ca="1" si="9"/>
        <v>0</v>
      </c>
      <c r="AA114" s="160">
        <f t="shared" si="10"/>
        <v>700</v>
      </c>
      <c r="AC114" s="95">
        <f>Construction!AH114</f>
        <v>0</v>
      </c>
    </row>
    <row r="115" spans="1:29" s="16" customFormat="1" x14ac:dyDescent="0.25">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7">
        <f t="shared" si="12"/>
        <v>113</v>
      </c>
      <c r="K115" s="572">
        <f>Imps!CM115</f>
        <v>43769.166666666395</v>
      </c>
      <c r="L115" s="356"/>
      <c r="M115" s="348"/>
      <c r="N115" s="348"/>
      <c r="O115" s="348"/>
      <c r="P115" s="348"/>
      <c r="Q115" s="348"/>
      <c r="R115" s="357"/>
      <c r="S115" s="166">
        <f t="shared" si="13"/>
        <v>0</v>
      </c>
      <c r="T115" s="160" t="str">
        <f t="shared" si="14"/>
        <v>Ok</v>
      </c>
      <c r="V115" s="64">
        <f ca="1">Production!H115</f>
        <v>5035231</v>
      </c>
      <c r="X115" s="152">
        <f ca="1">ROUND( (1-MIN(ROUND(facs_rezone_factor*AC115,4),facs_rezone_max)) * (1+MIN(tech_construction_rezone*Techs!AD115,tech_conquerors_crafts*Techs!AS115)) * AA115*(1+race_rezone_cost),0)</f>
        <v>700</v>
      </c>
      <c r="Y115" s="166">
        <f t="shared" ca="1" si="9"/>
        <v>0</v>
      </c>
      <c r="AA115" s="160">
        <f t="shared" si="10"/>
        <v>700</v>
      </c>
      <c r="AC115" s="95">
        <f>Construction!AH115</f>
        <v>0</v>
      </c>
    </row>
    <row r="116" spans="1:29" s="16" customFormat="1" x14ac:dyDescent="0.25">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7">
        <f t="shared" si="12"/>
        <v>114</v>
      </c>
      <c r="K116" s="572">
        <f>Imps!CM116</f>
        <v>43769.177083333059</v>
      </c>
      <c r="L116" s="356"/>
      <c r="M116" s="348"/>
      <c r="N116" s="348"/>
      <c r="O116" s="348"/>
      <c r="P116" s="348"/>
      <c r="Q116" s="348"/>
      <c r="R116" s="357"/>
      <c r="S116" s="166">
        <f t="shared" si="13"/>
        <v>0</v>
      </c>
      <c r="T116" s="160" t="str">
        <f t="shared" si="14"/>
        <v>Ok</v>
      </c>
      <c r="V116" s="64">
        <f ca="1">Production!H116</f>
        <v>5040212</v>
      </c>
      <c r="X116" s="152">
        <f ca="1">ROUND( (1-MIN(ROUND(facs_rezone_factor*AC116,4),facs_rezone_max)) * (1+MIN(tech_construction_rezone*Techs!AD116,tech_conquerors_crafts*Techs!AS116)) * AA116*(1+race_rezone_cost),0)</f>
        <v>700</v>
      </c>
      <c r="Y116" s="166">
        <f t="shared" ca="1" si="9"/>
        <v>0</v>
      </c>
      <c r="AA116" s="160">
        <f t="shared" si="10"/>
        <v>700</v>
      </c>
      <c r="AC116" s="95">
        <f>Construction!AH116</f>
        <v>0</v>
      </c>
    </row>
    <row r="117" spans="1:29" s="16" customFormat="1" x14ac:dyDescent="0.25">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7">
        <f t="shared" si="12"/>
        <v>115</v>
      </c>
      <c r="K117" s="572">
        <f>Imps!CM117</f>
        <v>43769.187499999724</v>
      </c>
      <c r="L117" s="356"/>
      <c r="M117" s="348"/>
      <c r="N117" s="348"/>
      <c r="O117" s="348"/>
      <c r="P117" s="348"/>
      <c r="Q117" s="348"/>
      <c r="R117" s="357"/>
      <c r="S117" s="166">
        <f t="shared" si="13"/>
        <v>0</v>
      </c>
      <c r="T117" s="160" t="str">
        <f t="shared" si="14"/>
        <v>Ok</v>
      </c>
      <c r="V117" s="64">
        <f ca="1">Production!H117</f>
        <v>5045193</v>
      </c>
      <c r="X117" s="152">
        <f ca="1">ROUND( (1-MIN(ROUND(facs_rezone_factor*AC117,4),facs_rezone_max)) * (1+MIN(tech_construction_rezone*Techs!AD117,tech_conquerors_crafts*Techs!AS117)) * AA117*(1+race_rezone_cost),0)</f>
        <v>700</v>
      </c>
      <c r="Y117" s="166">
        <f t="shared" ca="1" si="9"/>
        <v>0</v>
      </c>
      <c r="AA117" s="160">
        <f t="shared" si="10"/>
        <v>700</v>
      </c>
      <c r="AC117" s="95">
        <f>Construction!AH117</f>
        <v>0</v>
      </c>
    </row>
    <row r="118" spans="1:29" s="16" customFormat="1" x14ac:dyDescent="0.25">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7">
        <f t="shared" si="12"/>
        <v>116</v>
      </c>
      <c r="K118" s="572">
        <f>Imps!CM118</f>
        <v>43769.197916666388</v>
      </c>
      <c r="L118" s="356"/>
      <c r="M118" s="348"/>
      <c r="N118" s="348"/>
      <c r="O118" s="348"/>
      <c r="P118" s="348"/>
      <c r="Q118" s="348"/>
      <c r="R118" s="357"/>
      <c r="S118" s="166">
        <f t="shared" si="13"/>
        <v>0</v>
      </c>
      <c r="T118" s="160" t="str">
        <f t="shared" si="14"/>
        <v>Ok</v>
      </c>
      <c r="V118" s="64">
        <f ca="1">Production!H118</f>
        <v>5050174</v>
      </c>
      <c r="X118" s="152">
        <f ca="1">ROUND( (1-MIN(ROUND(facs_rezone_factor*AC118,4),facs_rezone_max)) * (1+MIN(tech_construction_rezone*Techs!AD118,tech_conquerors_crafts*Techs!AS118)) * AA118*(1+race_rezone_cost),0)</f>
        <v>700</v>
      </c>
      <c r="Y118" s="166">
        <f t="shared" ca="1" si="9"/>
        <v>0</v>
      </c>
      <c r="AA118" s="160">
        <f t="shared" si="10"/>
        <v>700</v>
      </c>
      <c r="AC118" s="95">
        <f>Construction!AH118</f>
        <v>0</v>
      </c>
    </row>
    <row r="119" spans="1:29" s="16" customFormat="1" x14ac:dyDescent="0.25">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7">
        <f t="shared" si="12"/>
        <v>117</v>
      </c>
      <c r="K119" s="572">
        <f>Imps!CM119</f>
        <v>43769.208333333052</v>
      </c>
      <c r="L119" s="356"/>
      <c r="M119" s="348"/>
      <c r="N119" s="348"/>
      <c r="O119" s="348"/>
      <c r="P119" s="348"/>
      <c r="Q119" s="348"/>
      <c r="R119" s="357"/>
      <c r="S119" s="166">
        <f t="shared" si="13"/>
        <v>0</v>
      </c>
      <c r="T119" s="160" t="str">
        <f t="shared" si="14"/>
        <v>Ok</v>
      </c>
      <c r="V119" s="64">
        <f ca="1">Production!H119</f>
        <v>5055155</v>
      </c>
      <c r="X119" s="152">
        <f ca="1">ROUND( (1-MIN(ROUND(facs_rezone_factor*AC119,4),facs_rezone_max)) * (1+MIN(tech_construction_rezone*Techs!AD119,tech_conquerors_crafts*Techs!AS119)) * AA119*(1+race_rezone_cost),0)</f>
        <v>700</v>
      </c>
      <c r="Y119" s="166">
        <f t="shared" ca="1" si="9"/>
        <v>0</v>
      </c>
      <c r="AA119" s="160">
        <f t="shared" si="10"/>
        <v>700</v>
      </c>
      <c r="AC119" s="95">
        <f>Construction!AH119</f>
        <v>0</v>
      </c>
    </row>
    <row r="120" spans="1:29" s="16" customFormat="1" x14ac:dyDescent="0.25">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7">
        <f t="shared" si="12"/>
        <v>118</v>
      </c>
      <c r="K120" s="572">
        <f>Imps!CM120</f>
        <v>43769.218749999716</v>
      </c>
      <c r="L120" s="356"/>
      <c r="M120" s="348"/>
      <c r="N120" s="348"/>
      <c r="O120" s="348"/>
      <c r="P120" s="348"/>
      <c r="Q120" s="348"/>
      <c r="R120" s="357"/>
      <c r="S120" s="166">
        <f t="shared" si="13"/>
        <v>0</v>
      </c>
      <c r="T120" s="160" t="str">
        <f t="shared" si="14"/>
        <v>Ok</v>
      </c>
      <c r="V120" s="64">
        <f ca="1">Production!H120</f>
        <v>5060136</v>
      </c>
      <c r="X120" s="152">
        <f ca="1">ROUND( (1-MIN(ROUND(facs_rezone_factor*AC120,4),facs_rezone_max)) * (1+MIN(tech_construction_rezone*Techs!AD120,tech_conquerors_crafts*Techs!AS120)) * AA120*(1+race_rezone_cost),0)</f>
        <v>700</v>
      </c>
      <c r="Y120" s="166">
        <f t="shared" ca="1" si="9"/>
        <v>0</v>
      </c>
      <c r="AA120" s="160">
        <f t="shared" si="10"/>
        <v>700</v>
      </c>
      <c r="AC120" s="95">
        <f>Construction!AH120</f>
        <v>0</v>
      </c>
    </row>
    <row r="121" spans="1:29" s="16" customFormat="1" x14ac:dyDescent="0.25">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7">
        <f t="shared" si="12"/>
        <v>119</v>
      </c>
      <c r="K121" s="572">
        <f>Imps!CM121</f>
        <v>43769.22916666638</v>
      </c>
      <c r="L121" s="356"/>
      <c r="M121" s="348"/>
      <c r="N121" s="348"/>
      <c r="O121" s="348"/>
      <c r="P121" s="348"/>
      <c r="Q121" s="348"/>
      <c r="R121" s="357"/>
      <c r="S121" s="166">
        <f t="shared" si="13"/>
        <v>0</v>
      </c>
      <c r="T121" s="160" t="str">
        <f t="shared" si="14"/>
        <v>Ok</v>
      </c>
      <c r="V121" s="64">
        <f ca="1">Production!H121</f>
        <v>5065117</v>
      </c>
      <c r="X121" s="152">
        <f ca="1">ROUND( (1-MIN(ROUND(facs_rezone_factor*AC121,4),facs_rezone_max)) * (1+MIN(tech_construction_rezone*Techs!AD121,tech_conquerors_crafts*Techs!AS121)) * AA121*(1+race_rezone_cost),0)</f>
        <v>700</v>
      </c>
      <c r="Y121" s="166">
        <f t="shared" ca="1" si="9"/>
        <v>0</v>
      </c>
      <c r="AA121" s="160">
        <f t="shared" si="10"/>
        <v>700</v>
      </c>
      <c r="AC121" s="95">
        <f>Construction!AH121</f>
        <v>0</v>
      </c>
    </row>
    <row r="122" spans="1:29" s="16" customFormat="1" ht="13.8" thickBot="1" x14ac:dyDescent="0.3">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7">
        <f t="shared" si="12"/>
        <v>120</v>
      </c>
      <c r="K122" s="572">
        <f>Imps!CM122</f>
        <v>43769.239583333045</v>
      </c>
      <c r="L122" s="356"/>
      <c r="M122" s="348"/>
      <c r="N122" s="348"/>
      <c r="O122" s="348"/>
      <c r="P122" s="348"/>
      <c r="Q122" s="348"/>
      <c r="R122" s="357"/>
      <c r="S122" s="166">
        <f t="shared" si="13"/>
        <v>0</v>
      </c>
      <c r="T122" s="160" t="str">
        <f t="shared" si="14"/>
        <v>Ok</v>
      </c>
      <c r="V122" s="64">
        <f ca="1">Production!H122</f>
        <v>5070098</v>
      </c>
      <c r="X122" s="152">
        <f ca="1">ROUND( (1-MIN(ROUND(facs_rezone_factor*AC122,4),facs_rezone_max)) * (1+MIN(tech_construction_rezone*Techs!AD122,tech_conquerors_crafts*Techs!AS122)) * AA122*(1+race_rezone_cost),0)</f>
        <v>700</v>
      </c>
      <c r="Y122" s="166">
        <f t="shared" ca="1" si="9"/>
        <v>0</v>
      </c>
      <c r="AA122" s="160">
        <f t="shared" si="10"/>
        <v>700</v>
      </c>
      <c r="AC122" s="95">
        <f>Construction!AH122</f>
        <v>0</v>
      </c>
    </row>
    <row r="123" spans="1:29" s="111" customFormat="1" ht="14.4" thickTop="1" thickBot="1" x14ac:dyDescent="0.3">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1">
        <f t="shared" si="12"/>
        <v>121</v>
      </c>
      <c r="K123" s="573">
        <f>Imps!CM123</f>
        <v>43769.249999999709</v>
      </c>
      <c r="L123" s="358"/>
      <c r="M123" s="350"/>
      <c r="N123" s="350"/>
      <c r="O123" s="350"/>
      <c r="P123" s="350"/>
      <c r="Q123" s="350"/>
      <c r="R123" s="359"/>
      <c r="S123" s="274">
        <f t="shared" si="13"/>
        <v>0</v>
      </c>
      <c r="T123" s="504" t="str">
        <f t="shared" si="14"/>
        <v>Ok</v>
      </c>
      <c r="V123" s="117">
        <f ca="1">Production!H123</f>
        <v>5075079</v>
      </c>
      <c r="X123" s="273">
        <f ca="1">ROUND( (1-MIN(ROUND(facs_rezone_factor*AC123,4),facs_rezone_max)) * (1+MIN(tech_construction_rezone*Techs!AD123,tech_conquerors_crafts*Techs!AS123)) * AA123*(1+race_rezone_cost),0)</f>
        <v>700</v>
      </c>
      <c r="Y123" s="274">
        <f t="shared" ca="1" si="9"/>
        <v>0</v>
      </c>
      <c r="AA123" s="504">
        <f t="shared" si="10"/>
        <v>700</v>
      </c>
      <c r="AC123" s="134">
        <f>Construction!AH123</f>
        <v>0</v>
      </c>
    </row>
    <row r="124" spans="1:29" s="16" customFormat="1" ht="13.8" thickTop="1" x14ac:dyDescent="0.25">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7">
        <f t="shared" si="12"/>
        <v>122</v>
      </c>
      <c r="K124" s="572">
        <f>Imps!CM124</f>
        <v>43769.260416666373</v>
      </c>
      <c r="L124" s="356"/>
      <c r="M124" s="348"/>
      <c r="N124" s="348"/>
      <c r="O124" s="348"/>
      <c r="P124" s="348"/>
      <c r="Q124" s="348"/>
      <c r="R124" s="357"/>
      <c r="S124" s="166">
        <f t="shared" si="13"/>
        <v>0</v>
      </c>
      <c r="T124" s="160" t="str">
        <f t="shared" si="14"/>
        <v>Ok</v>
      </c>
      <c r="V124" s="64">
        <f ca="1">Production!H124</f>
        <v>5080060</v>
      </c>
      <c r="X124" s="152">
        <f ca="1">ROUND( (1-MIN(ROUND(facs_rezone_factor*AC124,4),facs_rezone_max)) * (1+MIN(tech_construction_rezone*Techs!AD124,tech_conquerors_crafts*Techs!AS124)) * AA124*(1+race_rezone_cost),0)</f>
        <v>700</v>
      </c>
      <c r="Y124" s="166">
        <f t="shared" ca="1" si="9"/>
        <v>0</v>
      </c>
      <c r="AA124" s="160">
        <f t="shared" si="10"/>
        <v>700</v>
      </c>
      <c r="AC124" s="95">
        <f>Construction!AH124</f>
        <v>0</v>
      </c>
    </row>
    <row r="125" spans="1:29" s="16" customFormat="1" x14ac:dyDescent="0.25">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7">
        <f t="shared" si="12"/>
        <v>123</v>
      </c>
      <c r="K125" s="572">
        <f>Imps!CM125</f>
        <v>43769.270833333037</v>
      </c>
      <c r="L125" s="356"/>
      <c r="M125" s="348"/>
      <c r="N125" s="348"/>
      <c r="O125" s="348"/>
      <c r="P125" s="348"/>
      <c r="Q125" s="348"/>
      <c r="R125" s="357"/>
      <c r="S125" s="166">
        <f t="shared" si="13"/>
        <v>0</v>
      </c>
      <c r="T125" s="160" t="str">
        <f t="shared" si="14"/>
        <v>Ok</v>
      </c>
      <c r="V125" s="64">
        <f ca="1">Production!H125</f>
        <v>5085041</v>
      </c>
      <c r="X125" s="152">
        <f ca="1">ROUND( (1-MIN(ROUND(facs_rezone_factor*AC125,4),facs_rezone_max)) * (1+MIN(tech_construction_rezone*Techs!AD125,tech_conquerors_crafts*Techs!AS125)) * AA125*(1+race_rezone_cost),0)</f>
        <v>700</v>
      </c>
      <c r="Y125" s="166">
        <f t="shared" ca="1" si="9"/>
        <v>0</v>
      </c>
      <c r="AA125" s="160">
        <f t="shared" si="10"/>
        <v>700</v>
      </c>
      <c r="AC125" s="95">
        <f>Construction!AH125</f>
        <v>0</v>
      </c>
    </row>
    <row r="126" spans="1:29" s="16" customFormat="1" x14ac:dyDescent="0.25">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7">
        <f t="shared" si="12"/>
        <v>124</v>
      </c>
      <c r="K126" s="572">
        <f>Imps!CM126</f>
        <v>43769.281249999702</v>
      </c>
      <c r="L126" s="356"/>
      <c r="M126" s="348"/>
      <c r="N126" s="348"/>
      <c r="O126" s="348"/>
      <c r="P126" s="348"/>
      <c r="Q126" s="348"/>
      <c r="R126" s="357"/>
      <c r="S126" s="166">
        <f t="shared" si="13"/>
        <v>0</v>
      </c>
      <c r="T126" s="160" t="str">
        <f t="shared" si="14"/>
        <v>Ok</v>
      </c>
      <c r="V126" s="64">
        <f ca="1">Production!H126</f>
        <v>5090022</v>
      </c>
      <c r="X126" s="152">
        <f ca="1">ROUND( (1-MIN(ROUND(facs_rezone_factor*AC126,4),facs_rezone_max)) * (1+MIN(tech_construction_rezone*Techs!AD126,tech_conquerors_crafts*Techs!AS126)) * AA126*(1+race_rezone_cost),0)</f>
        <v>700</v>
      </c>
      <c r="Y126" s="166">
        <f t="shared" ca="1" si="9"/>
        <v>0</v>
      </c>
      <c r="AA126" s="160">
        <f t="shared" si="10"/>
        <v>700</v>
      </c>
      <c r="AC126" s="95">
        <f>Construction!AH126</f>
        <v>0</v>
      </c>
    </row>
    <row r="127" spans="1:29" s="16" customFormat="1" x14ac:dyDescent="0.25">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7">
        <f t="shared" si="12"/>
        <v>125</v>
      </c>
      <c r="K127" s="572">
        <f>Imps!CM127</f>
        <v>43769.291666666366</v>
      </c>
      <c r="L127" s="356"/>
      <c r="M127" s="348"/>
      <c r="N127" s="348"/>
      <c r="O127" s="348"/>
      <c r="P127" s="348"/>
      <c r="Q127" s="348"/>
      <c r="R127" s="357"/>
      <c r="S127" s="166">
        <f t="shared" si="13"/>
        <v>0</v>
      </c>
      <c r="T127" s="160" t="str">
        <f t="shared" si="14"/>
        <v>Ok</v>
      </c>
      <c r="V127" s="64">
        <f ca="1">Production!H127</f>
        <v>5095003</v>
      </c>
      <c r="X127" s="152">
        <f ca="1">ROUND( (1-MIN(ROUND(facs_rezone_factor*AC127,4),facs_rezone_max)) * (1+MIN(tech_construction_rezone*Techs!AD127,tech_conquerors_crafts*Techs!AS127)) * AA127*(1+race_rezone_cost),0)</f>
        <v>700</v>
      </c>
      <c r="Y127" s="166">
        <f t="shared" ca="1" si="9"/>
        <v>0</v>
      </c>
      <c r="AA127" s="160">
        <f t="shared" si="10"/>
        <v>700</v>
      </c>
      <c r="AC127" s="95">
        <f>Construction!AH127</f>
        <v>0</v>
      </c>
    </row>
    <row r="128" spans="1:29" s="16" customFormat="1" x14ac:dyDescent="0.25">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7">
        <f t="shared" si="12"/>
        <v>126</v>
      </c>
      <c r="K128" s="572">
        <f>Imps!CM128</f>
        <v>43769.30208333303</v>
      </c>
      <c r="L128" s="356"/>
      <c r="M128" s="348"/>
      <c r="N128" s="348"/>
      <c r="O128" s="348"/>
      <c r="P128" s="348"/>
      <c r="Q128" s="348"/>
      <c r="R128" s="357"/>
      <c r="S128" s="166">
        <f t="shared" si="13"/>
        <v>0</v>
      </c>
      <c r="T128" s="160" t="str">
        <f t="shared" si="14"/>
        <v>Ok</v>
      </c>
      <c r="V128" s="64">
        <f ca="1">Production!H128</f>
        <v>5099984</v>
      </c>
      <c r="X128" s="152">
        <f ca="1">ROUND( (1-MIN(ROUND(facs_rezone_factor*AC128,4),facs_rezone_max)) * (1+MIN(tech_construction_rezone*Techs!AD128,tech_conquerors_crafts*Techs!AS128)) * AA128*(1+race_rezone_cost),0)</f>
        <v>700</v>
      </c>
      <c r="Y128" s="166">
        <f t="shared" ca="1" si="9"/>
        <v>0</v>
      </c>
      <c r="AA128" s="160">
        <f t="shared" si="10"/>
        <v>700</v>
      </c>
      <c r="AC128" s="95">
        <f>Construction!AH128</f>
        <v>0</v>
      </c>
    </row>
    <row r="129" spans="1:29" s="16" customFormat="1" x14ac:dyDescent="0.25">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7">
        <f t="shared" si="12"/>
        <v>127</v>
      </c>
      <c r="K129" s="572">
        <f>Imps!CM129</f>
        <v>43769.312499999694</v>
      </c>
      <c r="L129" s="356"/>
      <c r="M129" s="348"/>
      <c r="N129" s="348"/>
      <c r="O129" s="348"/>
      <c r="P129" s="348"/>
      <c r="Q129" s="348"/>
      <c r="R129" s="357"/>
      <c r="S129" s="166">
        <f t="shared" si="13"/>
        <v>0</v>
      </c>
      <c r="T129" s="160" t="str">
        <f t="shared" si="14"/>
        <v>Ok</v>
      </c>
      <c r="V129" s="64">
        <f ca="1">Production!H129</f>
        <v>5104965</v>
      </c>
      <c r="X129" s="152">
        <f ca="1">ROUND( (1-MIN(ROUND(facs_rezone_factor*AC129,4),facs_rezone_max)) * (1+MIN(tech_construction_rezone*Techs!AD129,tech_conquerors_crafts*Techs!AS129)) * AA129*(1+race_rezone_cost),0)</f>
        <v>700</v>
      </c>
      <c r="Y129" s="166">
        <f t="shared" ca="1" si="9"/>
        <v>0</v>
      </c>
      <c r="AA129" s="160">
        <f t="shared" si="10"/>
        <v>700</v>
      </c>
      <c r="AC129" s="95">
        <f>Construction!AH129</f>
        <v>0</v>
      </c>
    </row>
    <row r="130" spans="1:29" s="16" customFormat="1" x14ac:dyDescent="0.25">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7">
        <f t="shared" si="12"/>
        <v>128</v>
      </c>
      <c r="K130" s="572">
        <f>Imps!CM130</f>
        <v>43769.322916666359</v>
      </c>
      <c r="L130" s="356"/>
      <c r="M130" s="348"/>
      <c r="N130" s="348"/>
      <c r="O130" s="348"/>
      <c r="P130" s="348"/>
      <c r="Q130" s="348"/>
      <c r="R130" s="357"/>
      <c r="S130" s="166">
        <f t="shared" si="13"/>
        <v>0</v>
      </c>
      <c r="T130" s="160" t="str">
        <f t="shared" si="14"/>
        <v>Ok</v>
      </c>
      <c r="V130" s="64">
        <f ca="1">Production!H130</f>
        <v>5109946</v>
      </c>
      <c r="X130" s="152">
        <f ca="1">ROUND( (1-MIN(ROUND(facs_rezone_factor*AC130,4),facs_rezone_max)) * (1+MIN(tech_construction_rezone*Techs!AD130,tech_conquerors_crafts*Techs!AS130)) * AA130*(1+race_rezone_cost),0)</f>
        <v>700</v>
      </c>
      <c r="Y130" s="166">
        <f t="shared" ca="1" si="9"/>
        <v>0</v>
      </c>
      <c r="AA130" s="160">
        <f t="shared" si="10"/>
        <v>700</v>
      </c>
      <c r="AC130" s="95">
        <f>Construction!AH130</f>
        <v>0</v>
      </c>
    </row>
    <row r="131" spans="1:29" s="16" customFormat="1" x14ac:dyDescent="0.25">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7">
        <f t="shared" si="12"/>
        <v>129</v>
      </c>
      <c r="K131" s="572">
        <f>Imps!CM131</f>
        <v>43769.333333333023</v>
      </c>
      <c r="L131" s="356"/>
      <c r="M131" s="348"/>
      <c r="N131" s="348"/>
      <c r="O131" s="348"/>
      <c r="P131" s="348"/>
      <c r="Q131" s="348"/>
      <c r="R131" s="357"/>
      <c r="S131" s="166">
        <f t="shared" si="13"/>
        <v>0</v>
      </c>
      <c r="T131" s="160" t="str">
        <f t="shared" si="14"/>
        <v>Ok</v>
      </c>
      <c r="V131" s="64">
        <f ca="1">Production!H131</f>
        <v>5114927</v>
      </c>
      <c r="X131" s="152">
        <f ca="1">ROUND( (1-MIN(ROUND(facs_rezone_factor*AC131,4),facs_rezone_max)) * (1+MIN(tech_construction_rezone*Techs!AD131,tech_conquerors_crafts*Techs!AS131)) * AA131*(1+race_rezone_cost),0)</f>
        <v>700</v>
      </c>
      <c r="Y131" s="166">
        <f ca="1">S131*X131</f>
        <v>0</v>
      </c>
      <c r="AA131" s="160">
        <f>250+0.6*(A131-250)</f>
        <v>700</v>
      </c>
      <c r="AC131" s="95">
        <f>Construction!AH131</f>
        <v>0</v>
      </c>
    </row>
    <row r="132" spans="1:29" s="16" customFormat="1" x14ac:dyDescent="0.25">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7">
        <f t="shared" si="12"/>
        <v>130</v>
      </c>
      <c r="K132" s="572">
        <f>Imps!CM132</f>
        <v>43769.343749999687</v>
      </c>
      <c r="L132" s="356"/>
      <c r="M132" s="348"/>
      <c r="N132" s="348"/>
      <c r="O132" s="348"/>
      <c r="P132" s="348"/>
      <c r="Q132" s="348"/>
      <c r="R132" s="357"/>
      <c r="S132" s="166">
        <f t="shared" si="13"/>
        <v>0</v>
      </c>
      <c r="T132" s="160" t="str">
        <f t="shared" si="14"/>
        <v>Ok</v>
      </c>
      <c r="V132" s="64">
        <f ca="1">Production!H132</f>
        <v>5119908</v>
      </c>
      <c r="X132" s="152">
        <f ca="1">ROUND( (1-MIN(ROUND(facs_rezone_factor*AC132,4),facs_rezone_max)) * (1+MIN(tech_construction_rezone*Techs!AD132,tech_conquerors_crafts*Techs!AS132)) * AA132*(1+race_rezone_cost),0)</f>
        <v>700</v>
      </c>
      <c r="Y132" s="166">
        <f ca="1">S132*X132</f>
        <v>0</v>
      </c>
      <c r="AA132" s="160">
        <f>250+0.6*(A132-250)</f>
        <v>700</v>
      </c>
      <c r="AC132" s="95">
        <f>Construction!AH132</f>
        <v>0</v>
      </c>
    </row>
    <row r="133" spans="1:29" s="16" customFormat="1" x14ac:dyDescent="0.25">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7">
        <f t="shared" si="12"/>
        <v>131</v>
      </c>
      <c r="K133" s="572">
        <f>Imps!CM133</f>
        <v>43769.354166666351</v>
      </c>
      <c r="L133" s="356"/>
      <c r="M133" s="348"/>
      <c r="N133" s="348"/>
      <c r="O133" s="348"/>
      <c r="P133" s="348"/>
      <c r="Q133" s="348"/>
      <c r="R133" s="357"/>
      <c r="S133" s="166">
        <f t="shared" si="13"/>
        <v>0</v>
      </c>
      <c r="T133" s="160" t="str">
        <f t="shared" si="14"/>
        <v>Ok</v>
      </c>
      <c r="V133" s="64">
        <f ca="1">Production!H133</f>
        <v>5124889</v>
      </c>
      <c r="X133" s="152">
        <f ca="1">ROUND( (1-MIN(ROUND(facs_rezone_factor*AC133,4),facs_rezone_max)) * (1+MIN(tech_construction_rezone*Techs!AD133,tech_conquerors_crafts*Techs!AS133)) * AA133*(1+race_rezone_cost),0)</f>
        <v>700</v>
      </c>
      <c r="Y133" s="166">
        <f ca="1">S133*X133</f>
        <v>0</v>
      </c>
      <c r="AA133" s="160">
        <f>250+0.6*(A133-250)</f>
        <v>700</v>
      </c>
      <c r="AC133" s="95">
        <f>Construction!AH133</f>
        <v>0</v>
      </c>
    </row>
    <row r="134" spans="1:29" s="16" customFormat="1" x14ac:dyDescent="0.25">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7">
        <f t="shared" si="12"/>
        <v>132</v>
      </c>
      <c r="K134" s="572">
        <f>Imps!CM134</f>
        <v>43769.364583333016</v>
      </c>
      <c r="L134" s="356"/>
      <c r="M134" s="348"/>
      <c r="N134" s="348"/>
      <c r="O134" s="348"/>
      <c r="P134" s="348"/>
      <c r="Q134" s="348"/>
      <c r="R134" s="357"/>
      <c r="S134" s="166">
        <f t="shared" si="13"/>
        <v>0</v>
      </c>
      <c r="T134" s="160" t="str">
        <f t="shared" si="14"/>
        <v>Ok</v>
      </c>
      <c r="V134" s="64">
        <f ca="1">Production!H134</f>
        <v>5129870</v>
      </c>
      <c r="X134" s="152">
        <f ca="1">ROUND( (1-MIN(ROUND(facs_rezone_factor*AC134,4),facs_rezone_max)) * (1+MIN(tech_construction_rezone*Techs!AD134,tech_conquerors_crafts*Techs!AS134)) * AA134*(1+race_rezone_cost),0)</f>
        <v>700</v>
      </c>
      <c r="Y134" s="166">
        <f ca="1">S134*X134</f>
        <v>0</v>
      </c>
      <c r="AA134" s="160">
        <f>250+0.6*(A134-250)</f>
        <v>700</v>
      </c>
      <c r="AC134" s="95">
        <f>Construction!AH134</f>
        <v>0</v>
      </c>
    </row>
    <row r="135" spans="1:29" s="12" customFormat="1" x14ac:dyDescent="0.25">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29">
        <f t="shared" si="12"/>
        <v>133</v>
      </c>
      <c r="K135" s="676">
        <f>Imps!CM135</f>
        <v>43769.37499999968</v>
      </c>
      <c r="L135" s="373"/>
      <c r="M135" s="349"/>
      <c r="N135" s="349"/>
      <c r="O135" s="349"/>
      <c r="P135" s="349"/>
      <c r="Q135" s="349"/>
      <c r="R135" s="374"/>
      <c r="S135" s="158">
        <f t="shared" si="13"/>
        <v>0</v>
      </c>
      <c r="T135" s="203" t="str">
        <f t="shared" si="14"/>
        <v>Ok</v>
      </c>
      <c r="V135" s="93">
        <f ca="1">Production!H135</f>
        <v>5134851</v>
      </c>
      <c r="X135" s="151">
        <f ca="1">ROUND( (1-MIN(ROUND(facs_rezone_factor*AC135,4),facs_rezone_max)) * (1+MIN(tech_construction_rezone*Techs!AD135,tech_conquerors_crafts*Techs!AS135)) * AA135*(1+race_rezone_cost),0)</f>
        <v>700</v>
      </c>
      <c r="Y135" s="158">
        <f ca="1">S135*X135</f>
        <v>0</v>
      </c>
      <c r="AA135" s="203">
        <f>250+0.6*(A135-250)</f>
        <v>700</v>
      </c>
      <c r="AC135" s="94">
        <f>Construction!AH135</f>
        <v>0</v>
      </c>
    </row>
    <row r="1268" spans="1:18" x14ac:dyDescent="0.25">
      <c r="A1268" s="1464" t="s">
        <v>330</v>
      </c>
      <c r="B1268" s="1464"/>
      <c r="I1268" s="505" t="s">
        <v>320</v>
      </c>
      <c r="L1268" s="520"/>
      <c r="M1268" s="520">
        <v>-10</v>
      </c>
      <c r="N1268" s="520">
        <v>10</v>
      </c>
      <c r="O1268" s="520"/>
      <c r="P1268" s="520"/>
      <c r="Q1268" s="520"/>
      <c r="R1268" s="520"/>
    </row>
    <row r="1269" spans="1:18" x14ac:dyDescent="0.25">
      <c r="A1269" s="669">
        <f ca="1">Overview!E17</f>
        <v>-42</v>
      </c>
      <c r="B1269" s="669"/>
      <c r="L1269" s="1484" t="s">
        <v>319</v>
      </c>
      <c r="M1269" s="1415"/>
      <c r="N1269" s="1415"/>
      <c r="O1269" s="1415"/>
      <c r="P1269" s="1415"/>
      <c r="Q1269" s="1415"/>
      <c r="R1269" s="1415"/>
    </row>
  </sheetData>
  <mergeCells count="2">
    <mergeCell ref="L1269:R1269"/>
    <mergeCell ref="A1268:B1268"/>
  </mergeCells>
  <phoneticPr fontId="0" type="noConversion"/>
  <conditionalFormatting sqref="T3:T18 T76:T135 T32:T74 T28:T30 T20:T26">
    <cfRule type="expression" dxfId="174" priority="24" stopIfTrue="1">
      <formula>OR(AND(ROW()-3=$A$1269,T3="Ok",S3&lt;&gt;0),T3="Nope")</formula>
    </cfRule>
    <cfRule type="expression" dxfId="173" priority="25" stopIfTrue="1">
      <formula>AND(ROW()-3=$A$1269,T3="Ok",S3=0)</formula>
    </cfRule>
    <cfRule type="expression" dxfId="172" priority="26" stopIfTrue="1">
      <formula>S3=0</formula>
    </cfRule>
  </conditionalFormatting>
  <conditionalFormatting sqref="T75">
    <cfRule type="expression" dxfId="171" priority="27" stopIfTrue="1">
      <formula>OR(AND(ROW()-3=$A$1269,T75="Ok",S75&lt;&gt;0),T75="Nope")</formula>
    </cfRule>
    <cfRule type="expression" dxfId="170" priority="28" stopIfTrue="1">
      <formula>AND(ROW()-3=$A$1269,T75="Ok",S75=0)</formula>
    </cfRule>
    <cfRule type="expression" dxfId="169" priority="29" stopIfTrue="1">
      <formula>S75=0</formula>
    </cfRule>
  </conditionalFormatting>
  <conditionalFormatting sqref="A1270:AC60157 A136:XFD1267 AD1270:IV60114 BJ92:IV135 BJ20:IV26 BJ32:IV75 BJ28:IV30">
    <cfRule type="expression" dxfId="168" priority="30" stopIfTrue="1">
      <formula>ROW()-2=#REF!</formula>
    </cfRule>
  </conditionalFormatting>
  <conditionalFormatting sqref="A1268:XFD1269">
    <cfRule type="expression" dxfId="167" priority="31" stopIfTrue="1">
      <formula>$A$1269&gt;144</formula>
    </cfRule>
  </conditionalFormatting>
  <conditionalFormatting sqref="BJ3:IV18 BJ32:IV135 BJ28:IV30 BJ20:IV26">
    <cfRule type="expression" dxfId="166" priority="32" stopIfTrue="1">
      <formula>ROW()-2=$A$1269</formula>
    </cfRule>
  </conditionalFormatting>
  <conditionalFormatting sqref="U3:U18 A3:S18 Z3:BI18 Z32:BI135 A32:S135 U32:U135 Z28:BI30 A28:S30 U28:U30 Z20:BI26 A20:S26 U20:U26">
    <cfRule type="expression" dxfId="165" priority="33" stopIfTrue="1">
      <formula>ROW()-3=$A$1269</formula>
    </cfRule>
  </conditionalFormatting>
  <conditionalFormatting sqref="V3:Y18 V32:Y135 V28:Y30 V20:Y26">
    <cfRule type="expression" dxfId="164" priority="34" stopIfTrue="1">
      <formula>OR(ROW()-3=$A$1269,V3&lt;0)</formula>
    </cfRule>
  </conditionalFormatting>
  <conditionalFormatting sqref="A1:XFD2">
    <cfRule type="expression" dxfId="163" priority="35" stopIfTrue="1">
      <formula>$A$1269&lt;0</formula>
    </cfRule>
  </conditionalFormatting>
  <conditionalFormatting sqref="T75">
    <cfRule type="expression" dxfId="162" priority="21" stopIfTrue="1">
      <formula>OR(AND(ROW()-3=$A$1269,T75="Ok",S75&lt;&gt;0),T75="Nope")</formula>
    </cfRule>
    <cfRule type="expression" dxfId="161" priority="22" stopIfTrue="1">
      <formula>AND(ROW()-3=$A$1269,T75="Ok",S75=0)</formula>
    </cfRule>
    <cfRule type="expression" dxfId="160" priority="23" stopIfTrue="1">
      <formula>S75=0</formula>
    </cfRule>
  </conditionalFormatting>
  <conditionalFormatting sqref="T19">
    <cfRule type="expression" dxfId="159" priority="1" stopIfTrue="1">
      <formula>OR(AND(ROW()-3=$A$1269,T19="Ok",S19&lt;&gt;0),T19="Nope")</formula>
    </cfRule>
    <cfRule type="expression" dxfId="158" priority="2" stopIfTrue="1">
      <formula>AND(ROW()-3=$A$1269,T19="Ok",S19=0)</formula>
    </cfRule>
    <cfRule type="expression" dxfId="157" priority="3" stopIfTrue="1">
      <formula>S19=0</formula>
    </cfRule>
  </conditionalFormatting>
  <conditionalFormatting sqref="T31">
    <cfRule type="expression" dxfId="156" priority="14" stopIfTrue="1">
      <formula>OR(AND(ROW()-3=$A$1269,T31="Ok",S31&lt;&gt;0),T31="Nope")</formula>
    </cfRule>
    <cfRule type="expression" dxfId="155" priority="15" stopIfTrue="1">
      <formula>AND(ROW()-3=$A$1269,T31="Ok",S31=0)</formula>
    </cfRule>
    <cfRule type="expression" dxfId="154" priority="16" stopIfTrue="1">
      <formula>S31=0</formula>
    </cfRule>
  </conditionalFormatting>
  <conditionalFormatting sqref="BJ31:IV31">
    <cfRule type="expression" dxfId="153" priority="17" stopIfTrue="1">
      <formula>ROW()-2=#REF!</formula>
    </cfRule>
  </conditionalFormatting>
  <conditionalFormatting sqref="BJ31:IV31">
    <cfRule type="expression" dxfId="152" priority="18" stopIfTrue="1">
      <formula>ROW()-2=$A$1269</formula>
    </cfRule>
  </conditionalFormatting>
  <conditionalFormatting sqref="U31 A31:S31 Z31:BI31">
    <cfRule type="expression" dxfId="151" priority="19" stopIfTrue="1">
      <formula>ROW()-3=$A$1269</formula>
    </cfRule>
  </conditionalFormatting>
  <conditionalFormatting sqref="V31:Y31">
    <cfRule type="expression" dxfId="150" priority="20" stopIfTrue="1">
      <formula>OR(ROW()-3=$A$1269,V31&lt;0)</formula>
    </cfRule>
  </conditionalFormatting>
  <conditionalFormatting sqref="T27">
    <cfRule type="expression" dxfId="149" priority="7" stopIfTrue="1">
      <formula>OR(AND(ROW()-3=$A$1269,T27="Ok",S27&lt;&gt;0),T27="Nope")</formula>
    </cfRule>
    <cfRule type="expression" dxfId="148" priority="8" stopIfTrue="1">
      <formula>AND(ROW()-3=$A$1269,T27="Ok",S27=0)</formula>
    </cfRule>
    <cfRule type="expression" dxfId="147" priority="9" stopIfTrue="1">
      <formula>S27=0</formula>
    </cfRule>
  </conditionalFormatting>
  <conditionalFormatting sqref="BJ27:IV27">
    <cfRule type="expression" dxfId="146" priority="10" stopIfTrue="1">
      <formula>ROW()-2=#REF!</formula>
    </cfRule>
  </conditionalFormatting>
  <conditionalFormatting sqref="BJ27:IV27">
    <cfRule type="expression" dxfId="145" priority="11" stopIfTrue="1">
      <formula>ROW()-2=$A$1269</formula>
    </cfRule>
  </conditionalFormatting>
  <conditionalFormatting sqref="U27 A27:S27 Z27:BI27">
    <cfRule type="expression" dxfId="144" priority="12" stopIfTrue="1">
      <formula>ROW()-3=$A$1269</formula>
    </cfRule>
  </conditionalFormatting>
  <conditionalFormatting sqref="V27:Y27">
    <cfRule type="expression" dxfId="143" priority="13" stopIfTrue="1">
      <formula>OR(ROW()-3=$A$1269,V27&lt;0)</formula>
    </cfRule>
  </conditionalFormatting>
  <conditionalFormatting sqref="BJ19:IV19">
    <cfRule type="expression" dxfId="142" priority="4" stopIfTrue="1">
      <formula>ROW()-2=$A$1269</formula>
    </cfRule>
  </conditionalFormatting>
  <conditionalFormatting sqref="U19 A19:S19 Z19:BI19">
    <cfRule type="expression" dxfId="141" priority="5" stopIfTrue="1">
      <formula>ROW()-3=$A$1269</formula>
    </cfRule>
  </conditionalFormatting>
  <conditionalFormatting sqref="V19:Y19">
    <cfRule type="expression" dxfId="140" priority="6" stopIfTrue="1">
      <formula>OR(ROW()-3=$A$1269,V19&lt;0)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B1269"/>
  <sheetViews>
    <sheetView zoomScale="85" workbookViewId="0">
      <pane ySplit="2" topLeftCell="A3" activePane="bottomLeft" state="frozenSplit"/>
      <selection activeCell="S34" sqref="S34"/>
      <selection pane="bottomLeft" activeCell="A3" sqref="A3"/>
    </sheetView>
  </sheetViews>
  <sheetFormatPr defaultRowHeight="13.2" x14ac:dyDescent="0.25"/>
  <cols>
    <col min="1" max="1" width="5" style="988" customWidth="1"/>
    <col min="2" max="2" width="5.109375" style="16" bestFit="1" customWidth="1"/>
    <col min="3" max="3" width="6.44140625" bestFit="1" customWidth="1"/>
    <col min="4" max="4" width="7" bestFit="1" customWidth="1"/>
    <col min="5" max="5" width="5.6640625" bestFit="1" customWidth="1"/>
    <col min="6" max="6" width="5.88671875" bestFit="1" customWidth="1"/>
    <col min="7" max="7" width="12.109375" bestFit="1" customWidth="1"/>
    <col min="8" max="8" width="14" bestFit="1" customWidth="1"/>
    <col min="9" max="9" width="8.5546875" bestFit="1" customWidth="1"/>
    <col min="10" max="10" width="11.5546875" bestFit="1" customWidth="1"/>
    <col min="11" max="11" width="8.44140625" bestFit="1" customWidth="1"/>
    <col min="12" max="12" width="13.33203125" bestFit="1" customWidth="1"/>
    <col min="13" max="13" width="18" bestFit="1" customWidth="1"/>
    <col min="14" max="14" width="17.88671875" bestFit="1" customWidth="1"/>
    <col min="15" max="15" width="13.88671875" bestFit="1" customWidth="1"/>
    <col min="16" max="17" width="7.6640625" bestFit="1" customWidth="1"/>
    <col min="18" max="18" width="17.88671875" bestFit="1" customWidth="1"/>
    <col min="19" max="19" width="7.5546875" bestFit="1" customWidth="1"/>
    <col min="20" max="20" width="21.88671875" bestFit="1" customWidth="1"/>
    <col min="21" max="21" width="10.88671875" bestFit="1" customWidth="1"/>
    <col min="22" max="22" width="14.6640625" bestFit="1" customWidth="1"/>
    <col min="23" max="23" width="9.44140625" bestFit="1" customWidth="1"/>
    <col min="24" max="24" width="15.44140625" bestFit="1" customWidth="1"/>
    <col min="25" max="25" width="6.88671875" bestFit="1" customWidth="1"/>
    <col min="26" max="26" width="10.5546875" bestFit="1" customWidth="1"/>
    <col min="27" max="27" width="16.5546875" bestFit="1" customWidth="1"/>
    <col min="28" max="28" width="16" customWidth="1"/>
    <col min="29" max="29" width="4.6640625" customWidth="1"/>
    <col min="30" max="30" width="8.5546875" bestFit="1" customWidth="1"/>
    <col min="31" max="31" width="7" bestFit="1" customWidth="1"/>
    <col min="32" max="32" width="5.5546875" customWidth="1"/>
    <col min="33" max="33" width="13.109375" bestFit="1" customWidth="1"/>
    <col min="34" max="34" width="14" bestFit="1" customWidth="1"/>
    <col min="35" max="35" width="8.5546875" bestFit="1" customWidth="1"/>
    <col min="36" max="36" width="11.5546875" bestFit="1" customWidth="1"/>
    <col min="37" max="37" width="8.44140625" bestFit="1" customWidth="1"/>
    <col min="38" max="38" width="13.88671875" bestFit="1" customWidth="1"/>
    <col min="39" max="39" width="8" bestFit="1" customWidth="1"/>
    <col min="40" max="40" width="17.88671875" bestFit="1" customWidth="1"/>
    <col min="41" max="41" width="14" bestFit="1" customWidth="1"/>
    <col min="42" max="43" width="7.6640625" bestFit="1" customWidth="1"/>
    <col min="44" max="44" width="17.88671875" bestFit="1" customWidth="1"/>
    <col min="45" max="45" width="7.5546875" bestFit="1" customWidth="1"/>
    <col min="46" max="46" width="21.88671875" bestFit="1" customWidth="1"/>
    <col min="47" max="47" width="10.88671875" bestFit="1" customWidth="1"/>
    <col min="48" max="48" width="14.6640625" bestFit="1" customWidth="1"/>
    <col min="49" max="49" width="9.109375" style="16"/>
    <col min="50" max="50" width="15.44140625" bestFit="1" customWidth="1"/>
    <col min="51" max="51" width="6.88671875" bestFit="1" customWidth="1"/>
    <col min="52" max="52" width="10.5546875" bestFit="1" customWidth="1"/>
    <col min="53" max="53" width="16.5546875" bestFit="1" customWidth="1"/>
    <col min="54" max="54" width="14.6640625" style="965" bestFit="1" customWidth="1"/>
  </cols>
  <sheetData>
    <row r="1" spans="1:54" s="445" customFormat="1" x14ac:dyDescent="0.25">
      <c r="A1" s="980"/>
      <c r="B1" s="929"/>
      <c r="G1" s="445" t="s">
        <v>208</v>
      </c>
      <c r="L1" s="445" t="s">
        <v>572</v>
      </c>
      <c r="M1" s="1395" t="s">
        <v>758</v>
      </c>
      <c r="N1" s="1355" t="s">
        <v>738</v>
      </c>
      <c r="O1" s="445" t="s">
        <v>95</v>
      </c>
      <c r="P1" s="445" t="s">
        <v>106</v>
      </c>
      <c r="Q1" s="445" t="s">
        <v>344</v>
      </c>
      <c r="R1" s="1357" t="s">
        <v>739</v>
      </c>
      <c r="S1" s="1353" t="s">
        <v>574</v>
      </c>
      <c r="T1" s="1353" t="s">
        <v>736</v>
      </c>
      <c r="U1" s="1353" t="s">
        <v>100</v>
      </c>
      <c r="V1" s="1353" t="s">
        <v>737</v>
      </c>
      <c r="W1" s="1271" t="s">
        <v>598</v>
      </c>
      <c r="X1" s="1273" t="s">
        <v>603</v>
      </c>
      <c r="Y1" s="1273" t="s">
        <v>613</v>
      </c>
      <c r="Z1" s="1273" t="s">
        <v>180</v>
      </c>
      <c r="AA1" s="1273" t="s">
        <v>657</v>
      </c>
      <c r="AB1" s="1347" t="str">
        <f>IF(ISNUMBER(MATCH(Overview!$B$14,useless_spell_races,0)),Overview!$B$14,Constants!$P$102)</f>
        <v>Other</v>
      </c>
      <c r="AD1" s="445" t="s">
        <v>33</v>
      </c>
      <c r="AG1" s="445" t="s">
        <v>218</v>
      </c>
      <c r="AL1" s="1340" t="s">
        <v>572</v>
      </c>
      <c r="AM1" s="1340" t="s">
        <v>96</v>
      </c>
      <c r="AN1" s="1365" t="s">
        <v>738</v>
      </c>
      <c r="AO1" s="1340" t="s">
        <v>95</v>
      </c>
      <c r="AP1" s="1340" t="s">
        <v>106</v>
      </c>
      <c r="AQ1" s="1340" t="s">
        <v>344</v>
      </c>
      <c r="AR1" s="1365" t="s">
        <v>739</v>
      </c>
      <c r="AS1" s="1365" t="s">
        <v>574</v>
      </c>
      <c r="AT1" s="1365" t="s">
        <v>736</v>
      </c>
      <c r="AU1" s="1365" t="s">
        <v>100</v>
      </c>
      <c r="AV1" s="1365" t="s">
        <v>737</v>
      </c>
      <c r="AW1" s="1271" t="s">
        <v>598</v>
      </c>
      <c r="AX1" s="1273" t="s">
        <v>603</v>
      </c>
      <c r="AY1" s="1273" t="s">
        <v>613</v>
      </c>
      <c r="AZ1" s="1273" t="s">
        <v>180</v>
      </c>
      <c r="BA1" s="1273" t="s">
        <v>657</v>
      </c>
      <c r="BB1" s="1369" t="str">
        <f>AB1</f>
        <v>Other</v>
      </c>
    </row>
    <row r="2" spans="1:54" s="820" customFormat="1" ht="13.8" thickBot="1" x14ac:dyDescent="0.3">
      <c r="A2" s="1402" t="s">
        <v>760</v>
      </c>
      <c r="B2" s="820" t="s">
        <v>1</v>
      </c>
      <c r="C2" s="820" t="s">
        <v>12</v>
      </c>
      <c r="D2" s="820" t="s">
        <v>207</v>
      </c>
      <c r="E2" s="820" t="s">
        <v>325</v>
      </c>
      <c r="F2" s="820" t="s">
        <v>339</v>
      </c>
      <c r="G2" s="820" t="s">
        <v>209</v>
      </c>
      <c r="H2" s="820" t="s">
        <v>210</v>
      </c>
      <c r="I2" s="1397" t="s">
        <v>211</v>
      </c>
      <c r="J2" s="1397" t="s">
        <v>212</v>
      </c>
      <c r="K2" s="820" t="s">
        <v>213</v>
      </c>
      <c r="L2" s="820" t="s">
        <v>275</v>
      </c>
      <c r="M2" s="1346" t="s">
        <v>759</v>
      </c>
      <c r="N2" s="1356" t="s">
        <v>725</v>
      </c>
      <c r="O2" s="820" t="s">
        <v>313</v>
      </c>
      <c r="P2" s="820" t="s">
        <v>350</v>
      </c>
      <c r="Q2" s="820" t="s">
        <v>349</v>
      </c>
      <c r="R2" s="1358" t="s">
        <v>356</v>
      </c>
      <c r="S2" s="1354" t="s">
        <v>489</v>
      </c>
      <c r="T2" s="1354" t="s">
        <v>721</v>
      </c>
      <c r="U2" s="1354" t="s">
        <v>722</v>
      </c>
      <c r="V2" s="1354" t="s">
        <v>723</v>
      </c>
      <c r="W2" s="1346" t="s">
        <v>712</v>
      </c>
      <c r="X2" s="1346" t="s">
        <v>713</v>
      </c>
      <c r="Y2" s="1346" t="s">
        <v>714</v>
      </c>
      <c r="Z2" s="1346" t="s">
        <v>715</v>
      </c>
      <c r="AA2" s="1346" t="s">
        <v>716</v>
      </c>
      <c r="AB2" s="1367" t="str">
        <f>VLOOKUP(IF(ISNUMBER(MATCH(Overview!$B$14,useless_spell_races,0)),Overview!$B$14,"Other"),Constants!$P$89:$S$102,2,FALSE)</f>
        <v>Useless Spell</v>
      </c>
      <c r="AD2" s="820" t="s">
        <v>12</v>
      </c>
      <c r="AE2" s="820" t="s">
        <v>207</v>
      </c>
      <c r="AG2" s="820" t="s">
        <v>209</v>
      </c>
      <c r="AH2" s="820" t="s">
        <v>210</v>
      </c>
      <c r="AI2" s="820" t="s">
        <v>211</v>
      </c>
      <c r="AJ2" s="820" t="s">
        <v>212</v>
      </c>
      <c r="AK2" s="820" t="s">
        <v>213</v>
      </c>
      <c r="AL2" s="1342" t="s">
        <v>275</v>
      </c>
      <c r="AM2" s="1342" t="s">
        <v>274</v>
      </c>
      <c r="AN2" s="1366" t="s">
        <v>725</v>
      </c>
      <c r="AO2" s="1342" t="s">
        <v>313</v>
      </c>
      <c r="AP2" s="1342" t="s">
        <v>350</v>
      </c>
      <c r="AQ2" s="1342" t="s">
        <v>349</v>
      </c>
      <c r="AR2" s="1366" t="s">
        <v>356</v>
      </c>
      <c r="AS2" s="1366" t="s">
        <v>489</v>
      </c>
      <c r="AT2" s="1366" t="s">
        <v>721</v>
      </c>
      <c r="AU2" s="1366" t="s">
        <v>722</v>
      </c>
      <c r="AV2" s="1366" t="s">
        <v>723</v>
      </c>
      <c r="AW2" s="1346" t="s">
        <v>712</v>
      </c>
      <c r="AX2" s="1346" t="s">
        <v>713</v>
      </c>
      <c r="AY2" s="1346" t="s">
        <v>714</v>
      </c>
      <c r="AZ2" s="1346" t="s">
        <v>715</v>
      </c>
      <c r="BA2" s="1346" t="s">
        <v>716</v>
      </c>
      <c r="BB2" s="1368" t="str">
        <f>AB2</f>
        <v>Useless Spell</v>
      </c>
    </row>
    <row r="3" spans="1:54" s="1006" customFormat="1" x14ac:dyDescent="0.25">
      <c r="A3" s="1096">
        <f>Rezone!J3</f>
        <v>1</v>
      </c>
      <c r="B3" s="1006">
        <f>Construction!E3</f>
        <v>1000</v>
      </c>
      <c r="C3" s="1074">
        <f ca="1">Production!K3</f>
        <v>20000</v>
      </c>
      <c r="D3" s="1107">
        <f>1-AE3</f>
        <v>1</v>
      </c>
      <c r="E3" s="792">
        <f>Imps!L3</f>
        <v>43768</v>
      </c>
      <c r="F3" s="1107">
        <f ca="1">Imps!J3</f>
        <v>2.2058823529411766</v>
      </c>
      <c r="G3" s="1143"/>
      <c r="H3" s="396"/>
      <c r="I3" s="396"/>
      <c r="J3" s="396"/>
      <c r="K3" s="1144"/>
      <c r="L3" s="1143"/>
      <c r="M3" s="396"/>
      <c r="N3" s="1144"/>
      <c r="O3" s="1144"/>
      <c r="P3" s="1144"/>
      <c r="Q3" s="1144"/>
      <c r="R3" s="1144"/>
      <c r="S3" s="1144"/>
      <c r="T3" s="1144"/>
      <c r="U3" s="1144"/>
      <c r="V3" s="1144"/>
      <c r="W3" s="1144"/>
      <c r="X3" s="1144"/>
      <c r="Y3" s="1144"/>
      <c r="Z3" s="1144"/>
      <c r="AA3" s="1144"/>
      <c r="AB3" s="1145"/>
      <c r="AD3" s="1063">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AB3*VLOOKUP(IF(ISNUMBER(MATCH(Overview!$B$14,useless_spell_races,0)),Overview!$B$14,"Other"),Constants!$P$89:$S$102,3,FALSE))</f>
        <v>0</v>
      </c>
      <c r="AE3" s="1107">
        <f t="shared" ref="AE3:AE15" si="0">SUMIF(G3:AB3,1)*0.05</f>
        <v>0</v>
      </c>
      <c r="AG3" s="817">
        <f>G3*12*4</f>
        <v>0</v>
      </c>
      <c r="AH3" s="1062">
        <f t="shared" ref="AH3:AK3" si="1">H3*12*4</f>
        <v>0</v>
      </c>
      <c r="AI3" s="1062">
        <f t="shared" si="1"/>
        <v>0</v>
      </c>
      <c r="AJ3" s="1062">
        <f t="shared" si="1"/>
        <v>0</v>
      </c>
      <c r="AK3" s="1146">
        <f t="shared" si="1"/>
        <v>0</v>
      </c>
      <c r="AL3" s="1062">
        <f>L3*dwarf_spell_time</f>
        <v>0</v>
      </c>
      <c r="AM3" s="1062">
        <f>M3*halfling_spell_time</f>
        <v>0</v>
      </c>
      <c r="AN3" s="1062">
        <f>N3*sylvan_spell_time</f>
        <v>0</v>
      </c>
      <c r="AO3" s="1062">
        <f>O3*woodelf_spell_time</f>
        <v>0</v>
      </c>
      <c r="AP3" s="1062">
        <f>P3*kobold_spell_time</f>
        <v>0</v>
      </c>
      <c r="AQ3" s="1062">
        <f>Q3*icekin_spell_time</f>
        <v>0</v>
      </c>
      <c r="AR3" s="1147">
        <f>R3*firewalker_spell_time</f>
        <v>0</v>
      </c>
      <c r="AS3" s="1147">
        <f>S3*nox_spell_time</f>
        <v>0</v>
      </c>
      <c r="AT3" s="1147">
        <f>T3*human_spell_time</f>
        <v>0</v>
      </c>
      <c r="AU3" s="1147">
        <f>U3*goblin_spell_time</f>
        <v>0</v>
      </c>
      <c r="AV3" s="1147">
        <f>V3*orc_spell_time</f>
        <v>0</v>
      </c>
      <c r="AW3" s="1006">
        <f>W3*ants_spell_time</f>
        <v>0</v>
      </c>
      <c r="AX3" s="1006">
        <f>X3*armada_spell_time</f>
        <v>0</v>
      </c>
      <c r="AY3" s="1006">
        <f>Y3*lux_spell_time</f>
        <v>0</v>
      </c>
      <c r="AZ3" s="1006">
        <f>Z3*growth_spell_time</f>
        <v>0</v>
      </c>
      <c r="BA3" s="1006">
        <f>AA3*impgnome_spell_time</f>
        <v>0</v>
      </c>
      <c r="BB3" s="1370">
        <f>AB3*VLOOKUP(IF(ISNUMBER(MATCH(Overview!$B$14,useless_spell_races,0)),Overview!$B$14,"Other"),Constants!$P$89:$S$102,4,FALSE)</f>
        <v>0</v>
      </c>
    </row>
    <row r="4" spans="1:54" s="191" customFormat="1" x14ac:dyDescent="0.25">
      <c r="A4" s="990">
        <f>Rezone!J4</f>
        <v>2</v>
      </c>
      <c r="B4" s="191">
        <f>Construction!E4</f>
        <v>1000</v>
      </c>
      <c r="C4" s="168">
        <f ca="1">Production!K4</f>
        <v>20850</v>
      </c>
      <c r="D4" s="193">
        <f>MIN(1,D3+0.04+ROUNDDOWN(10*Military!BN3,0)+MAX(Techs!AN3,Techs!AW3*3))-AE4</f>
        <v>1</v>
      </c>
      <c r="E4" s="530">
        <f>Imps!L4</f>
        <v>43768.010416666664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AB4*VLOOKUP(IF(ISNUMBER(MATCH(Overview!$B$14,useless_spell_races,0)),Overview!$B$14,"Other"),Constants!$P$89:$S$102,3,FALSE))</f>
        <v>0</v>
      </c>
      <c r="AE4" s="268">
        <f t="shared" si="0"/>
        <v>0</v>
      </c>
      <c r="AF4" s="170"/>
      <c r="AG4" s="750">
        <f>IF(G4,12*4,IF(AG3&gt;0,AG3-1,0))</f>
        <v>0</v>
      </c>
      <c r="AH4" s="626">
        <f>IF(H4,12*4,IF(AH3&gt;0,AH3-1,0))</f>
        <v>0</v>
      </c>
      <c r="AI4" s="626">
        <f>IF(I4,12*4,IF(AI3&gt;0,AI3-1,0))</f>
        <v>0</v>
      </c>
      <c r="AJ4" s="626">
        <f>IF(J4,12*4,IF(AJ3&gt;0,AJ3-1,0))</f>
        <v>0</v>
      </c>
      <c r="AK4" s="547">
        <f>IF(K4,12*4,IF(AK3&gt;0,AK3-1,0))</f>
        <v>0</v>
      </c>
      <c r="AL4" s="626">
        <f t="shared" ref="AL4:AL35" si="2">IF(L4,dwarf_spell_time,IF(AL3&gt;0,AL3-1,0))</f>
        <v>0</v>
      </c>
      <c r="AM4" s="626">
        <f t="shared" ref="AM4:AM35" si="3">IF(M4,halfling_spell_time,IF(AM3&gt;0,AM3-1,0))</f>
        <v>0</v>
      </c>
      <c r="AN4" s="626">
        <f t="shared" ref="AN4:AN35" si="4">IF(N4,sylvan_spell_time,IF(AN3&gt;0,AN3-1,0))</f>
        <v>0</v>
      </c>
      <c r="AO4" s="626">
        <f t="shared" ref="AO4:AO35" si="5">IF(O4,woodelf_spell_time,IF(AO3&gt;0,AO3-1,0))</f>
        <v>0</v>
      </c>
      <c r="AP4" s="626">
        <f t="shared" ref="AP4:AP35" si="6">IF(P4,kobold_spell_time,IF(AP3&gt;0,AP3-1,0))</f>
        <v>0</v>
      </c>
      <c r="AQ4" s="626">
        <f t="shared" ref="AQ4:AQ35" si="7">IF(Q4,icekin_spell_time,IF(AQ3&gt;0,AQ3-1,0))</f>
        <v>0</v>
      </c>
      <c r="AR4" s="952">
        <f t="shared" ref="AR4:AR35" si="8">IF(R4,firewalker_spell_time,IF(AR3&gt;0,AR3-1,0))</f>
        <v>0</v>
      </c>
      <c r="AS4" s="952">
        <f t="shared" ref="AS4:AS35" si="9">IF(S4,nox_spell_time,IF(AS3&gt;0,AS3-1,0))</f>
        <v>0</v>
      </c>
      <c r="AT4" s="952">
        <f t="shared" ref="AT4:AT35" si="10">IF(T4,human_spell_time,IF(AT3&gt;0,AT3-1,0))</f>
        <v>0</v>
      </c>
      <c r="AU4" s="952">
        <f t="shared" ref="AU4:AU35" si="11">IF(U4,goblin_spell_time,IF(AU3&gt;0,AU3-1,0))</f>
        <v>0</v>
      </c>
      <c r="AV4" s="952">
        <f t="shared" ref="AV4:AV35" si="12">IF(V4,orc_spell_time,IF(AV3&gt;0,AV3-1,0))</f>
        <v>0</v>
      </c>
      <c r="AW4" s="191">
        <f t="shared" ref="AW4:AW35" si="13">IF(W4,ants_spell_time,IF(AW3&gt;0,AW3-1,0))</f>
        <v>0</v>
      </c>
      <c r="AX4" s="191">
        <f t="shared" ref="AX4:AX35" si="14">IF(X4,armada_spell_time,IF(AX3&gt;0,AX3-1,0))</f>
        <v>0</v>
      </c>
      <c r="AY4" s="191">
        <f t="shared" ref="AY4:AY35" si="15">IF(Y4,lux_spell_time,IF(AY3&gt;0,AY3-1,0))</f>
        <v>0</v>
      </c>
      <c r="AZ4" s="191">
        <f t="shared" ref="AZ4:AZ35" si="16">IF(Z4,growth_spell_time,IF(AZ3&gt;0,AZ3-1,0))</f>
        <v>0</v>
      </c>
      <c r="BA4" s="191">
        <f t="shared" ref="BA4:BA35" si="17">IF(AA4,impgnome_spell_time,IF(BA3&gt;0,BA3-1,0))</f>
        <v>0</v>
      </c>
      <c r="BB4" s="1371">
        <f>IF(AB4,VLOOKUP(IF(ISNUMBER(MATCH(Overview!$B$14,useless_spell_races,0)),Overview!$B$14,"Other"),Constants!$P$89:$S$102,4,FALSE),IF(BB3&gt;0,BB3-1,0))</f>
        <v>0</v>
      </c>
    </row>
    <row r="5" spans="1:54" s="170" customFormat="1" x14ac:dyDescent="0.25">
      <c r="A5" s="981">
        <f>Rezone!J5</f>
        <v>3</v>
      </c>
      <c r="B5" s="170">
        <f>Construction!E5</f>
        <v>1000</v>
      </c>
      <c r="C5" s="164">
        <f ca="1">Production!K5</f>
        <v>21683</v>
      </c>
      <c r="D5" s="193">
        <f>MIN(1,D4+0.04+ROUNDDOWN(10*Military!BN4,0)+MAX(Techs!AN4,Techs!AW4*3))-AE5</f>
        <v>1</v>
      </c>
      <c r="E5" s="530">
        <f>Imps!L5</f>
        <v>43768.020833333328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AB5*VLOOKUP(IF(ISNUMBER(MATCH(Overview!$B$14,useless_spell_races,0)),Overview!$B$14,"Other"),Constants!$P$89:$S$102,3,FALSE))</f>
        <v>0</v>
      </c>
      <c r="AE5" s="193">
        <f t="shared" si="0"/>
        <v>0</v>
      </c>
      <c r="AG5" s="632">
        <f t="shared" ref="AG5:AG68" si="18">IF(G5,12*4,IF(AG4&gt;0,AG4-1,0))</f>
        <v>0</v>
      </c>
      <c r="AH5" s="627">
        <f t="shared" ref="AH5:AH68" si="19">IF(H5,12*4,IF(AH4&gt;0,AH4-1,0))</f>
        <v>0</v>
      </c>
      <c r="AI5" s="627">
        <f t="shared" ref="AI5:AI68" si="20">IF(I5,12*4,IF(AI4&gt;0,AI4-1,0))</f>
        <v>0</v>
      </c>
      <c r="AJ5" s="627">
        <f t="shared" ref="AJ5:AJ68" si="21">IF(J5,12*4,IF(AJ4&gt;0,AJ4-1,0))</f>
        <v>0</v>
      </c>
      <c r="AK5" s="546">
        <f t="shared" ref="AK5:AK68" si="22">IF(K5,12*4,IF(AK4&gt;0,AK4-1,0))</f>
        <v>0</v>
      </c>
      <c r="AL5" s="627">
        <f t="shared" si="2"/>
        <v>0</v>
      </c>
      <c r="AM5" s="627">
        <f t="shared" si="3"/>
        <v>0</v>
      </c>
      <c r="AN5" s="627">
        <f t="shared" si="4"/>
        <v>0</v>
      </c>
      <c r="AO5" s="627">
        <f t="shared" si="5"/>
        <v>0</v>
      </c>
      <c r="AP5" s="627">
        <f t="shared" si="6"/>
        <v>0</v>
      </c>
      <c r="AQ5" s="627">
        <f t="shared" si="7"/>
        <v>0</v>
      </c>
      <c r="AR5" s="952">
        <f t="shared" si="8"/>
        <v>0</v>
      </c>
      <c r="AS5" s="952">
        <f t="shared" si="9"/>
        <v>0</v>
      </c>
      <c r="AT5" s="952">
        <f t="shared" si="10"/>
        <v>0</v>
      </c>
      <c r="AU5" s="952">
        <f t="shared" si="11"/>
        <v>0</v>
      </c>
      <c r="AV5" s="952">
        <f t="shared" si="12"/>
        <v>0</v>
      </c>
      <c r="AW5" s="170">
        <f t="shared" si="13"/>
        <v>0</v>
      </c>
      <c r="AX5" s="170">
        <f t="shared" si="14"/>
        <v>0</v>
      </c>
      <c r="AY5" s="170">
        <f t="shared" si="15"/>
        <v>0</v>
      </c>
      <c r="AZ5" s="170">
        <f t="shared" si="16"/>
        <v>0</v>
      </c>
      <c r="BA5" s="170">
        <f t="shared" si="17"/>
        <v>0</v>
      </c>
      <c r="BB5" s="1372">
        <f>IF(AB5,VLOOKUP(IF(ISNUMBER(MATCH(Overview!$B$14,useless_spell_races,0)),Overview!$B$14,"Other"),Constants!$P$89:$S$102,4,FALSE),IF(BB4&gt;0,BB4-1,0))</f>
        <v>0</v>
      </c>
    </row>
    <row r="6" spans="1:54" s="16" customFormat="1" x14ac:dyDescent="0.25">
      <c r="A6" s="982">
        <f>Rezone!J6</f>
        <v>4</v>
      </c>
      <c r="B6" s="16">
        <f>Construction!E6</f>
        <v>1000</v>
      </c>
      <c r="C6" s="26">
        <f ca="1">Production!K6</f>
        <v>22499</v>
      </c>
      <c r="D6" s="62">
        <f>MIN(1,D5+0.04+ROUNDDOWN(10*Military!BN5,0)+MAX(Techs!AN5,Techs!AW5*3))-AE6</f>
        <v>1</v>
      </c>
      <c r="E6" s="530">
        <f>Imps!L6</f>
        <v>43768.031249999993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AB6*VLOOKUP(IF(ISNUMBER(MATCH(Overview!$B$14,useless_spell_races,0)),Overview!$B$14,"Other"),Constants!$P$89:$S$102,3,FALSE))</f>
        <v>0</v>
      </c>
      <c r="AE6" s="62">
        <f t="shared" si="0"/>
        <v>0</v>
      </c>
      <c r="AG6" s="633">
        <f t="shared" si="18"/>
        <v>0</v>
      </c>
      <c r="AH6" s="527">
        <f t="shared" si="19"/>
        <v>0</v>
      </c>
      <c r="AI6" s="527">
        <f t="shared" si="20"/>
        <v>0</v>
      </c>
      <c r="AJ6" s="527">
        <f t="shared" si="21"/>
        <v>0</v>
      </c>
      <c r="AK6" s="525">
        <f t="shared" si="22"/>
        <v>0</v>
      </c>
      <c r="AL6" s="527">
        <f t="shared" si="2"/>
        <v>0</v>
      </c>
      <c r="AM6" s="527">
        <f t="shared" si="3"/>
        <v>0</v>
      </c>
      <c r="AN6" s="527">
        <f t="shared" si="4"/>
        <v>0</v>
      </c>
      <c r="AO6" s="527">
        <f t="shared" si="5"/>
        <v>0</v>
      </c>
      <c r="AP6" s="527">
        <f t="shared" si="6"/>
        <v>0</v>
      </c>
      <c r="AQ6" s="527">
        <f t="shared" si="7"/>
        <v>0</v>
      </c>
      <c r="AR6" s="953">
        <f t="shared" si="8"/>
        <v>0</v>
      </c>
      <c r="AS6" s="953">
        <f t="shared" si="9"/>
        <v>0</v>
      </c>
      <c r="AT6" s="953">
        <f t="shared" si="10"/>
        <v>0</v>
      </c>
      <c r="AU6" s="953">
        <f t="shared" si="11"/>
        <v>0</v>
      </c>
      <c r="AV6" s="953">
        <f t="shared" si="12"/>
        <v>0</v>
      </c>
      <c r="AW6" s="16">
        <f t="shared" si="13"/>
        <v>0</v>
      </c>
      <c r="AX6" s="16">
        <f t="shared" si="14"/>
        <v>0</v>
      </c>
      <c r="AY6" s="16">
        <f t="shared" si="15"/>
        <v>0</v>
      </c>
      <c r="AZ6" s="16">
        <f t="shared" si="16"/>
        <v>0</v>
      </c>
      <c r="BA6" s="16">
        <f t="shared" si="17"/>
        <v>0</v>
      </c>
      <c r="BB6" s="1373">
        <f>IF(AB6,VLOOKUP(IF(ISNUMBER(MATCH(Overview!$B$14,useless_spell_races,0)),Overview!$B$14,"Other"),Constants!$P$89:$S$102,4,FALSE),IF(BB5&gt;0,BB5-1,0))</f>
        <v>0</v>
      </c>
    </row>
    <row r="7" spans="1:54" s="16" customFormat="1" x14ac:dyDescent="0.25">
      <c r="A7" s="982">
        <f>Rezone!J7</f>
        <v>5</v>
      </c>
      <c r="B7" s="16">
        <f>Construction!E7</f>
        <v>1000</v>
      </c>
      <c r="C7" s="26">
        <f ca="1">Production!K7</f>
        <v>23299</v>
      </c>
      <c r="D7" s="62">
        <f>MIN(1,D6+0.04+ROUNDDOWN(10*Military!BN6,0)+MAX(Techs!AN6,Techs!AW6*3))-AE7</f>
        <v>1</v>
      </c>
      <c r="E7" s="530">
        <f>Imps!L7</f>
        <v>43768.041666666657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AB7*VLOOKUP(IF(ISNUMBER(MATCH(Overview!$B$14,useless_spell_races,0)),Overview!$B$14,"Other"),Constants!$P$89:$S$102,3,FALSE))</f>
        <v>0</v>
      </c>
      <c r="AE7" s="62">
        <f t="shared" si="0"/>
        <v>0</v>
      </c>
      <c r="AG7" s="633">
        <f t="shared" si="18"/>
        <v>0</v>
      </c>
      <c r="AH7" s="527">
        <f t="shared" si="19"/>
        <v>0</v>
      </c>
      <c r="AI7" s="527">
        <f t="shared" si="20"/>
        <v>0</v>
      </c>
      <c r="AJ7" s="527">
        <f t="shared" si="21"/>
        <v>0</v>
      </c>
      <c r="AK7" s="525">
        <f t="shared" si="22"/>
        <v>0</v>
      </c>
      <c r="AL7" s="527">
        <f t="shared" si="2"/>
        <v>0</v>
      </c>
      <c r="AM7" s="527">
        <f t="shared" si="3"/>
        <v>0</v>
      </c>
      <c r="AN7" s="527">
        <f t="shared" si="4"/>
        <v>0</v>
      </c>
      <c r="AO7" s="527">
        <f t="shared" si="5"/>
        <v>0</v>
      </c>
      <c r="AP7" s="527">
        <f t="shared" si="6"/>
        <v>0</v>
      </c>
      <c r="AQ7" s="527">
        <f t="shared" si="7"/>
        <v>0</v>
      </c>
      <c r="AR7" s="953">
        <f t="shared" si="8"/>
        <v>0</v>
      </c>
      <c r="AS7" s="953">
        <f t="shared" si="9"/>
        <v>0</v>
      </c>
      <c r="AT7" s="953">
        <f t="shared" si="10"/>
        <v>0</v>
      </c>
      <c r="AU7" s="953">
        <f t="shared" si="11"/>
        <v>0</v>
      </c>
      <c r="AV7" s="953">
        <f t="shared" si="12"/>
        <v>0</v>
      </c>
      <c r="AW7" s="16">
        <f t="shared" si="13"/>
        <v>0</v>
      </c>
      <c r="AX7" s="16">
        <f t="shared" si="14"/>
        <v>0</v>
      </c>
      <c r="AY7" s="16">
        <f t="shared" si="15"/>
        <v>0</v>
      </c>
      <c r="AZ7" s="16">
        <f t="shared" si="16"/>
        <v>0</v>
      </c>
      <c r="BA7" s="16">
        <f t="shared" si="17"/>
        <v>0</v>
      </c>
      <c r="BB7" s="1373">
        <f>IF(AB7,VLOOKUP(IF(ISNUMBER(MATCH(Overview!$B$14,useless_spell_races,0)),Overview!$B$14,"Other"),Constants!$P$89:$S$102,4,FALSE),IF(BB6&gt;0,BB6-1,0))</f>
        <v>0</v>
      </c>
    </row>
    <row r="8" spans="1:54" s="16" customFormat="1" x14ac:dyDescent="0.25">
      <c r="A8" s="982">
        <f>Rezone!J8</f>
        <v>6</v>
      </c>
      <c r="B8" s="16">
        <f>Construction!E8</f>
        <v>1000</v>
      </c>
      <c r="C8" s="26">
        <f ca="1">Production!K8</f>
        <v>24083</v>
      </c>
      <c r="D8" s="62">
        <f>MIN(1,D7+0.04+ROUNDDOWN(10*Military!BN7,0)+MAX(Techs!AN7,Techs!AW7*3))-AE8</f>
        <v>1</v>
      </c>
      <c r="E8" s="530">
        <f>Imps!L8</f>
        <v>43768.052083333321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AB8*VLOOKUP(IF(ISNUMBER(MATCH(Overview!$B$14,useless_spell_races,0)),Overview!$B$14,"Other"),Constants!$P$89:$S$102,3,FALSE))</f>
        <v>0</v>
      </c>
      <c r="AE8" s="62">
        <f t="shared" si="0"/>
        <v>0</v>
      </c>
      <c r="AG8" s="633">
        <f t="shared" si="18"/>
        <v>0</v>
      </c>
      <c r="AH8" s="527">
        <f t="shared" si="19"/>
        <v>0</v>
      </c>
      <c r="AI8" s="527">
        <f t="shared" si="20"/>
        <v>0</v>
      </c>
      <c r="AJ8" s="527">
        <f t="shared" si="21"/>
        <v>0</v>
      </c>
      <c r="AK8" s="525">
        <f t="shared" si="22"/>
        <v>0</v>
      </c>
      <c r="AL8" s="527">
        <f t="shared" si="2"/>
        <v>0</v>
      </c>
      <c r="AM8" s="527">
        <f t="shared" si="3"/>
        <v>0</v>
      </c>
      <c r="AN8" s="527">
        <f t="shared" si="4"/>
        <v>0</v>
      </c>
      <c r="AO8" s="527">
        <f t="shared" si="5"/>
        <v>0</v>
      </c>
      <c r="AP8" s="527">
        <f t="shared" si="6"/>
        <v>0</v>
      </c>
      <c r="AQ8" s="527">
        <f t="shared" si="7"/>
        <v>0</v>
      </c>
      <c r="AR8" s="953">
        <f t="shared" si="8"/>
        <v>0</v>
      </c>
      <c r="AS8" s="953">
        <f t="shared" si="9"/>
        <v>0</v>
      </c>
      <c r="AT8" s="953">
        <f t="shared" si="10"/>
        <v>0</v>
      </c>
      <c r="AU8" s="953">
        <f t="shared" si="11"/>
        <v>0</v>
      </c>
      <c r="AV8" s="953">
        <f t="shared" si="12"/>
        <v>0</v>
      </c>
      <c r="AW8" s="16">
        <f t="shared" si="13"/>
        <v>0</v>
      </c>
      <c r="AX8" s="16">
        <f t="shared" si="14"/>
        <v>0</v>
      </c>
      <c r="AY8" s="16">
        <f t="shared" si="15"/>
        <v>0</v>
      </c>
      <c r="AZ8" s="16">
        <f t="shared" si="16"/>
        <v>0</v>
      </c>
      <c r="BA8" s="16">
        <f t="shared" si="17"/>
        <v>0</v>
      </c>
      <c r="BB8" s="1373">
        <f>IF(AB8,VLOOKUP(IF(ISNUMBER(MATCH(Overview!$B$14,useless_spell_races,0)),Overview!$B$14,"Other"),Constants!$P$89:$S$102,4,FALSE),IF(BB7&gt;0,BB7-1,0))</f>
        <v>0</v>
      </c>
    </row>
    <row r="9" spans="1:54" s="16" customFormat="1" x14ac:dyDescent="0.25">
      <c r="A9" s="982">
        <f>Rezone!J9</f>
        <v>7</v>
      </c>
      <c r="B9" s="16">
        <f>Construction!E9</f>
        <v>1000</v>
      </c>
      <c r="C9" s="26">
        <f ca="1">Production!K9</f>
        <v>24851</v>
      </c>
      <c r="D9" s="62">
        <f>MIN(1,D8+0.04+ROUNDDOWN(10*Military!BN8,0)+MAX(Techs!AN8,Techs!AW8*3))-AE9</f>
        <v>1</v>
      </c>
      <c r="E9" s="530">
        <f>Imps!L9</f>
        <v>43768.062499999985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AB9*VLOOKUP(IF(ISNUMBER(MATCH(Overview!$B$14,useless_spell_races,0)),Overview!$B$14,"Other"),Constants!$P$89:$S$102,3,FALSE))</f>
        <v>0</v>
      </c>
      <c r="AE9" s="62">
        <f t="shared" si="0"/>
        <v>0</v>
      </c>
      <c r="AG9" s="633">
        <f t="shared" si="18"/>
        <v>0</v>
      </c>
      <c r="AH9" s="527">
        <f t="shared" si="19"/>
        <v>0</v>
      </c>
      <c r="AI9" s="527">
        <f t="shared" si="20"/>
        <v>0</v>
      </c>
      <c r="AJ9" s="527">
        <f t="shared" si="21"/>
        <v>0</v>
      </c>
      <c r="AK9" s="525">
        <f t="shared" si="22"/>
        <v>0</v>
      </c>
      <c r="AL9" s="527">
        <f t="shared" si="2"/>
        <v>0</v>
      </c>
      <c r="AM9" s="527">
        <f t="shared" si="3"/>
        <v>0</v>
      </c>
      <c r="AN9" s="527">
        <f t="shared" si="4"/>
        <v>0</v>
      </c>
      <c r="AO9" s="527">
        <f t="shared" si="5"/>
        <v>0</v>
      </c>
      <c r="AP9" s="527">
        <f t="shared" si="6"/>
        <v>0</v>
      </c>
      <c r="AQ9" s="527">
        <f t="shared" si="7"/>
        <v>0</v>
      </c>
      <c r="AR9" s="953">
        <f t="shared" si="8"/>
        <v>0</v>
      </c>
      <c r="AS9" s="953">
        <f t="shared" si="9"/>
        <v>0</v>
      </c>
      <c r="AT9" s="953">
        <f t="shared" si="10"/>
        <v>0</v>
      </c>
      <c r="AU9" s="953">
        <f t="shared" si="11"/>
        <v>0</v>
      </c>
      <c r="AV9" s="953">
        <f t="shared" si="12"/>
        <v>0</v>
      </c>
      <c r="AW9" s="16">
        <f t="shared" si="13"/>
        <v>0</v>
      </c>
      <c r="AX9" s="16">
        <f t="shared" si="14"/>
        <v>0</v>
      </c>
      <c r="AY9" s="16">
        <f t="shared" si="15"/>
        <v>0</v>
      </c>
      <c r="AZ9" s="16">
        <f t="shared" si="16"/>
        <v>0</v>
      </c>
      <c r="BA9" s="16">
        <f t="shared" si="17"/>
        <v>0</v>
      </c>
      <c r="BB9" s="1373">
        <f>IF(AB9,VLOOKUP(IF(ISNUMBER(MATCH(Overview!$B$14,useless_spell_races,0)),Overview!$B$14,"Other"),Constants!$P$89:$S$102,4,FALSE),IF(BB8&gt;0,BB8-1,0))</f>
        <v>0</v>
      </c>
    </row>
    <row r="10" spans="1:54" s="16" customFormat="1" x14ac:dyDescent="0.25">
      <c r="A10" s="982">
        <f>Rezone!J10</f>
        <v>8</v>
      </c>
      <c r="B10" s="16">
        <f>Construction!E10</f>
        <v>1000</v>
      </c>
      <c r="C10" s="26">
        <f ca="1">Production!K10</f>
        <v>25604</v>
      </c>
      <c r="D10" s="62">
        <f>MIN(1,D9+0.04+ROUNDDOWN(10*Military!BN9,0)+MAX(Techs!AN9,Techs!AW9*3))-AE10</f>
        <v>1</v>
      </c>
      <c r="E10" s="530">
        <f>Imps!L10</f>
        <v>43768.07291666665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AB10*VLOOKUP(IF(ISNUMBER(MATCH(Overview!$B$14,useless_spell_races,0)),Overview!$B$14,"Other"),Constants!$P$89:$S$102,3,FALSE))</f>
        <v>0</v>
      </c>
      <c r="AE10" s="62">
        <f t="shared" si="0"/>
        <v>0</v>
      </c>
      <c r="AG10" s="633">
        <f t="shared" si="18"/>
        <v>0</v>
      </c>
      <c r="AH10" s="527">
        <f t="shared" si="19"/>
        <v>0</v>
      </c>
      <c r="AI10" s="527">
        <f t="shared" si="20"/>
        <v>0</v>
      </c>
      <c r="AJ10" s="527">
        <f t="shared" si="21"/>
        <v>0</v>
      </c>
      <c r="AK10" s="525">
        <f t="shared" si="22"/>
        <v>0</v>
      </c>
      <c r="AL10" s="527">
        <f t="shared" si="2"/>
        <v>0</v>
      </c>
      <c r="AM10" s="527">
        <f t="shared" si="3"/>
        <v>0</v>
      </c>
      <c r="AN10" s="527">
        <f t="shared" si="4"/>
        <v>0</v>
      </c>
      <c r="AO10" s="527">
        <f t="shared" si="5"/>
        <v>0</v>
      </c>
      <c r="AP10" s="527">
        <f t="shared" si="6"/>
        <v>0</v>
      </c>
      <c r="AQ10" s="527">
        <f t="shared" si="7"/>
        <v>0</v>
      </c>
      <c r="AR10" s="953">
        <f t="shared" si="8"/>
        <v>0</v>
      </c>
      <c r="AS10" s="953">
        <f t="shared" si="9"/>
        <v>0</v>
      </c>
      <c r="AT10" s="953">
        <f t="shared" si="10"/>
        <v>0</v>
      </c>
      <c r="AU10" s="953">
        <f t="shared" si="11"/>
        <v>0</v>
      </c>
      <c r="AV10" s="953">
        <f t="shared" si="12"/>
        <v>0</v>
      </c>
      <c r="AW10" s="16">
        <f t="shared" si="13"/>
        <v>0</v>
      </c>
      <c r="AX10" s="16">
        <f t="shared" si="14"/>
        <v>0</v>
      </c>
      <c r="AY10" s="16">
        <f t="shared" si="15"/>
        <v>0</v>
      </c>
      <c r="AZ10" s="16">
        <f t="shared" si="16"/>
        <v>0</v>
      </c>
      <c r="BA10" s="16">
        <f t="shared" si="17"/>
        <v>0</v>
      </c>
      <c r="BB10" s="1373">
        <f>IF(AB10,VLOOKUP(IF(ISNUMBER(MATCH(Overview!$B$14,useless_spell_races,0)),Overview!$B$14,"Other"),Constants!$P$89:$S$102,4,FALSE),IF(BB9&gt;0,BB9-1,0))</f>
        <v>0</v>
      </c>
    </row>
    <row r="11" spans="1:54" s="16" customFormat="1" x14ac:dyDescent="0.25">
      <c r="A11" s="982">
        <f>Rezone!J11</f>
        <v>9</v>
      </c>
      <c r="B11" s="16">
        <f>Construction!E11</f>
        <v>1000</v>
      </c>
      <c r="C11" s="26">
        <f ca="1">Production!K11</f>
        <v>26342</v>
      </c>
      <c r="D11" s="62">
        <f>MIN(1,D10+0.04+ROUNDDOWN(10*Military!BN10,0)+MAX(Techs!AN10,Techs!AW10*3))-AE11</f>
        <v>1</v>
      </c>
      <c r="E11" s="530">
        <f>Imps!L11</f>
        <v>43768.083333333314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AB11*VLOOKUP(IF(ISNUMBER(MATCH(Overview!$B$14,useless_spell_races,0)),Overview!$B$14,"Other"),Constants!$P$89:$S$102,3,FALSE))</f>
        <v>0</v>
      </c>
      <c r="AE11" s="62">
        <f t="shared" si="0"/>
        <v>0</v>
      </c>
      <c r="AG11" s="633">
        <f t="shared" si="18"/>
        <v>0</v>
      </c>
      <c r="AH11" s="527">
        <f t="shared" si="19"/>
        <v>0</v>
      </c>
      <c r="AI11" s="527">
        <f t="shared" si="20"/>
        <v>0</v>
      </c>
      <c r="AJ11" s="527">
        <f t="shared" si="21"/>
        <v>0</v>
      </c>
      <c r="AK11" s="525">
        <f t="shared" si="22"/>
        <v>0</v>
      </c>
      <c r="AL11" s="527">
        <f t="shared" si="2"/>
        <v>0</v>
      </c>
      <c r="AM11" s="527">
        <f t="shared" si="3"/>
        <v>0</v>
      </c>
      <c r="AN11" s="527">
        <f t="shared" si="4"/>
        <v>0</v>
      </c>
      <c r="AO11" s="527">
        <f t="shared" si="5"/>
        <v>0</v>
      </c>
      <c r="AP11" s="527">
        <f t="shared" si="6"/>
        <v>0</v>
      </c>
      <c r="AQ11" s="527">
        <f t="shared" si="7"/>
        <v>0</v>
      </c>
      <c r="AR11" s="953">
        <f t="shared" si="8"/>
        <v>0</v>
      </c>
      <c r="AS11" s="953">
        <f t="shared" si="9"/>
        <v>0</v>
      </c>
      <c r="AT11" s="953">
        <f t="shared" si="10"/>
        <v>0</v>
      </c>
      <c r="AU11" s="953">
        <f t="shared" si="11"/>
        <v>0</v>
      </c>
      <c r="AV11" s="953">
        <f t="shared" si="12"/>
        <v>0</v>
      </c>
      <c r="AW11" s="16">
        <f t="shared" si="13"/>
        <v>0</v>
      </c>
      <c r="AX11" s="16">
        <f t="shared" si="14"/>
        <v>0</v>
      </c>
      <c r="AY11" s="16">
        <f t="shared" si="15"/>
        <v>0</v>
      </c>
      <c r="AZ11" s="16">
        <f t="shared" si="16"/>
        <v>0</v>
      </c>
      <c r="BA11" s="16">
        <f t="shared" si="17"/>
        <v>0</v>
      </c>
      <c r="BB11" s="1373">
        <f>IF(AB11,VLOOKUP(IF(ISNUMBER(MATCH(Overview!$B$14,useless_spell_races,0)),Overview!$B$14,"Other"),Constants!$P$89:$S$102,4,FALSE),IF(BB10&gt;0,BB10-1,0))</f>
        <v>0</v>
      </c>
    </row>
    <row r="12" spans="1:54" s="16" customFormat="1" x14ac:dyDescent="0.25">
      <c r="A12" s="982">
        <f>Rezone!J12</f>
        <v>10</v>
      </c>
      <c r="B12" s="16">
        <f>Construction!E12</f>
        <v>1000</v>
      </c>
      <c r="C12" s="26">
        <f ca="1">Production!K12</f>
        <v>27065</v>
      </c>
      <c r="D12" s="62">
        <f>MIN(1,D11+0.04+ROUNDDOWN(10*Military!BN11,0)+MAX(Techs!AN11,Techs!AW11*3))-AE12</f>
        <v>1</v>
      </c>
      <c r="E12" s="530">
        <f>Imps!L12</f>
        <v>43768.093749999978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AB12*VLOOKUP(IF(ISNUMBER(MATCH(Overview!$B$14,useless_spell_races,0)),Overview!$B$14,"Other"),Constants!$P$89:$S$102,3,FALSE))</f>
        <v>0</v>
      </c>
      <c r="AE12" s="62">
        <f t="shared" si="0"/>
        <v>0</v>
      </c>
      <c r="AG12" s="633">
        <f t="shared" si="18"/>
        <v>0</v>
      </c>
      <c r="AH12" s="527">
        <f t="shared" si="19"/>
        <v>0</v>
      </c>
      <c r="AI12" s="527">
        <f t="shared" si="20"/>
        <v>0</v>
      </c>
      <c r="AJ12" s="527">
        <f t="shared" si="21"/>
        <v>0</v>
      </c>
      <c r="AK12" s="525">
        <f t="shared" si="22"/>
        <v>0</v>
      </c>
      <c r="AL12" s="527">
        <f t="shared" si="2"/>
        <v>0</v>
      </c>
      <c r="AM12" s="527">
        <f t="shared" si="3"/>
        <v>0</v>
      </c>
      <c r="AN12" s="527">
        <f t="shared" si="4"/>
        <v>0</v>
      </c>
      <c r="AO12" s="527">
        <f t="shared" si="5"/>
        <v>0</v>
      </c>
      <c r="AP12" s="527">
        <f t="shared" si="6"/>
        <v>0</v>
      </c>
      <c r="AQ12" s="527">
        <f t="shared" si="7"/>
        <v>0</v>
      </c>
      <c r="AR12" s="953">
        <f t="shared" si="8"/>
        <v>0</v>
      </c>
      <c r="AS12" s="953">
        <f t="shared" si="9"/>
        <v>0</v>
      </c>
      <c r="AT12" s="953">
        <f t="shared" si="10"/>
        <v>0</v>
      </c>
      <c r="AU12" s="953">
        <f t="shared" si="11"/>
        <v>0</v>
      </c>
      <c r="AV12" s="953">
        <f t="shared" si="12"/>
        <v>0</v>
      </c>
      <c r="AW12" s="16">
        <f t="shared" si="13"/>
        <v>0</v>
      </c>
      <c r="AX12" s="16">
        <f t="shared" si="14"/>
        <v>0</v>
      </c>
      <c r="AY12" s="16">
        <f t="shared" si="15"/>
        <v>0</v>
      </c>
      <c r="AZ12" s="16">
        <f t="shared" si="16"/>
        <v>0</v>
      </c>
      <c r="BA12" s="16">
        <f t="shared" si="17"/>
        <v>0</v>
      </c>
      <c r="BB12" s="1373">
        <f>IF(AB12,VLOOKUP(IF(ISNUMBER(MATCH(Overview!$B$14,useless_spell_races,0)),Overview!$B$14,"Other"),Constants!$P$89:$S$102,4,FALSE),IF(BB11&gt;0,BB11-1,0))</f>
        <v>0</v>
      </c>
    </row>
    <row r="13" spans="1:54" s="16" customFormat="1" x14ac:dyDescent="0.25">
      <c r="A13" s="982">
        <f>Rezone!J13</f>
        <v>11</v>
      </c>
      <c r="B13" s="16">
        <f>Construction!E13</f>
        <v>1000</v>
      </c>
      <c r="C13" s="26">
        <f ca="1">Production!K13</f>
        <v>27774</v>
      </c>
      <c r="D13" s="62">
        <f>MIN(1,D12+0.04+ROUNDDOWN(10*Military!BN12,0)+MAX(Techs!AN12,Techs!AW12*3))-AE13</f>
        <v>1</v>
      </c>
      <c r="E13" s="530">
        <f>Imps!L13</f>
        <v>43768.104166666642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AB13*VLOOKUP(IF(ISNUMBER(MATCH(Overview!$B$14,useless_spell_races,0)),Overview!$B$14,"Other"),Constants!$P$89:$S$102,3,FALSE))</f>
        <v>0</v>
      </c>
      <c r="AE13" s="62">
        <f t="shared" si="0"/>
        <v>0</v>
      </c>
      <c r="AG13" s="633">
        <f t="shared" si="18"/>
        <v>0</v>
      </c>
      <c r="AH13" s="527">
        <f t="shared" si="19"/>
        <v>0</v>
      </c>
      <c r="AI13" s="527">
        <f t="shared" si="20"/>
        <v>0</v>
      </c>
      <c r="AJ13" s="527">
        <f t="shared" si="21"/>
        <v>0</v>
      </c>
      <c r="AK13" s="525">
        <f t="shared" si="22"/>
        <v>0</v>
      </c>
      <c r="AL13" s="527">
        <f t="shared" si="2"/>
        <v>0</v>
      </c>
      <c r="AM13" s="527">
        <f t="shared" si="3"/>
        <v>0</v>
      </c>
      <c r="AN13" s="527">
        <f t="shared" si="4"/>
        <v>0</v>
      </c>
      <c r="AO13" s="527">
        <f t="shared" si="5"/>
        <v>0</v>
      </c>
      <c r="AP13" s="527">
        <f t="shared" si="6"/>
        <v>0</v>
      </c>
      <c r="AQ13" s="527">
        <f t="shared" si="7"/>
        <v>0</v>
      </c>
      <c r="AR13" s="953">
        <f t="shared" si="8"/>
        <v>0</v>
      </c>
      <c r="AS13" s="953">
        <f t="shared" si="9"/>
        <v>0</v>
      </c>
      <c r="AT13" s="953">
        <f t="shared" si="10"/>
        <v>0</v>
      </c>
      <c r="AU13" s="953">
        <f t="shared" si="11"/>
        <v>0</v>
      </c>
      <c r="AV13" s="953">
        <f t="shared" si="12"/>
        <v>0</v>
      </c>
      <c r="AW13" s="16">
        <f t="shared" si="13"/>
        <v>0</v>
      </c>
      <c r="AX13" s="16">
        <f t="shared" si="14"/>
        <v>0</v>
      </c>
      <c r="AY13" s="16">
        <f t="shared" si="15"/>
        <v>0</v>
      </c>
      <c r="AZ13" s="16">
        <f t="shared" si="16"/>
        <v>0</v>
      </c>
      <c r="BA13" s="16">
        <f t="shared" si="17"/>
        <v>0</v>
      </c>
      <c r="BB13" s="1373">
        <f>IF(AB13,VLOOKUP(IF(ISNUMBER(MATCH(Overview!$B$14,useless_spell_races,0)),Overview!$B$14,"Other"),Constants!$P$89:$S$102,4,FALSE),IF(BB12&gt;0,BB12-1,0))</f>
        <v>0</v>
      </c>
    </row>
    <row r="14" spans="1:54" s="170" customFormat="1" x14ac:dyDescent="0.25">
      <c r="A14" s="981">
        <f>Rezone!J14</f>
        <v>12</v>
      </c>
      <c r="B14" s="170">
        <f>Construction!E14</f>
        <v>1000</v>
      </c>
      <c r="C14" s="164">
        <f ca="1">Production!K14</f>
        <v>28469</v>
      </c>
      <c r="D14" s="193">
        <f>MIN(1,D13+0.04+ROUNDDOWN(10*Military!BN13,0)+MAX(Techs!AN13,Techs!AW13*3))-AE14</f>
        <v>1</v>
      </c>
      <c r="E14" s="530">
        <f>Imps!L14</f>
        <v>43768.114583333307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AB14*VLOOKUP(IF(ISNUMBER(MATCH(Overview!$B$14,useless_spell_races,0)),Overview!$B$14,"Other"),Constants!$P$89:$S$102,3,FALSE))</f>
        <v>0</v>
      </c>
      <c r="AE14" s="193">
        <f t="shared" si="0"/>
        <v>0</v>
      </c>
      <c r="AG14" s="632">
        <f t="shared" si="18"/>
        <v>0</v>
      </c>
      <c r="AH14" s="627">
        <f t="shared" si="19"/>
        <v>0</v>
      </c>
      <c r="AI14" s="627">
        <f t="shared" si="20"/>
        <v>0</v>
      </c>
      <c r="AJ14" s="627">
        <f t="shared" si="21"/>
        <v>0</v>
      </c>
      <c r="AK14" s="546">
        <f t="shared" si="22"/>
        <v>0</v>
      </c>
      <c r="AL14" s="627">
        <f t="shared" si="2"/>
        <v>0</v>
      </c>
      <c r="AM14" s="627">
        <f t="shared" si="3"/>
        <v>0</v>
      </c>
      <c r="AN14" s="627">
        <f t="shared" si="4"/>
        <v>0</v>
      </c>
      <c r="AO14" s="627">
        <f t="shared" si="5"/>
        <v>0</v>
      </c>
      <c r="AP14" s="627">
        <f t="shared" si="6"/>
        <v>0</v>
      </c>
      <c r="AQ14" s="627">
        <f t="shared" si="7"/>
        <v>0</v>
      </c>
      <c r="AR14" s="952">
        <f t="shared" si="8"/>
        <v>0</v>
      </c>
      <c r="AS14" s="952">
        <f t="shared" si="9"/>
        <v>0</v>
      </c>
      <c r="AT14" s="952">
        <f t="shared" si="10"/>
        <v>0</v>
      </c>
      <c r="AU14" s="952">
        <f t="shared" si="11"/>
        <v>0</v>
      </c>
      <c r="AV14" s="952">
        <f t="shared" si="12"/>
        <v>0</v>
      </c>
      <c r="AW14" s="170">
        <f t="shared" si="13"/>
        <v>0</v>
      </c>
      <c r="AX14" s="170">
        <f t="shared" si="14"/>
        <v>0</v>
      </c>
      <c r="AY14" s="170">
        <f t="shared" si="15"/>
        <v>0</v>
      </c>
      <c r="AZ14" s="170">
        <f t="shared" si="16"/>
        <v>0</v>
      </c>
      <c r="BA14" s="170">
        <f t="shared" si="17"/>
        <v>0</v>
      </c>
      <c r="BB14" s="1372">
        <f>IF(AB14,VLOOKUP(IF(ISNUMBER(MATCH(Overview!$B$14,useless_spell_races,0)),Overview!$B$14,"Other"),Constants!$P$89:$S$102,4,FALSE),IF(BB13&gt;0,BB13-1,0))</f>
        <v>0</v>
      </c>
    </row>
    <row r="15" spans="1:54" s="163" customFormat="1" x14ac:dyDescent="0.25">
      <c r="A15" s="983">
        <f>Rezone!J15</f>
        <v>13</v>
      </c>
      <c r="B15" s="163">
        <f>Construction!E15</f>
        <v>1000</v>
      </c>
      <c r="C15" s="153">
        <f ca="1">Production!K15</f>
        <v>29150</v>
      </c>
      <c r="D15" s="194">
        <f>MIN(1,D14+0.04+ROUNDDOWN(10*Military!BN14,0)+MAX(Techs!AN14,Techs!AW14*3))-AE15</f>
        <v>1</v>
      </c>
      <c r="E15" s="674">
        <f>Imps!L15</f>
        <v>43768.124999999971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AB15*VLOOKUP(IF(ISNUMBER(MATCH(Overview!$B$14,useless_spell_races,0)),Overview!$B$14,"Other"),Constants!$P$89:$S$102,3,FALSE))</f>
        <v>0</v>
      </c>
      <c r="AE15" s="194">
        <f t="shared" si="0"/>
        <v>0</v>
      </c>
      <c r="AG15" s="318">
        <f t="shared" si="18"/>
        <v>0</v>
      </c>
      <c r="AH15" s="625">
        <f t="shared" si="19"/>
        <v>0</v>
      </c>
      <c r="AI15" s="625">
        <f t="shared" si="20"/>
        <v>0</v>
      </c>
      <c r="AJ15" s="625">
        <f t="shared" si="21"/>
        <v>0</v>
      </c>
      <c r="AK15" s="319">
        <f t="shared" si="22"/>
        <v>0</v>
      </c>
      <c r="AL15" s="625">
        <f t="shared" si="2"/>
        <v>0</v>
      </c>
      <c r="AM15" s="625">
        <f t="shared" si="3"/>
        <v>0</v>
      </c>
      <c r="AN15" s="625">
        <f t="shared" si="4"/>
        <v>0</v>
      </c>
      <c r="AO15" s="625">
        <f t="shared" si="5"/>
        <v>0</v>
      </c>
      <c r="AP15" s="625">
        <f t="shared" si="6"/>
        <v>0</v>
      </c>
      <c r="AQ15" s="625">
        <f t="shared" si="7"/>
        <v>0</v>
      </c>
      <c r="AR15" s="954">
        <f t="shared" si="8"/>
        <v>0</v>
      </c>
      <c r="AS15" s="954">
        <f t="shared" si="9"/>
        <v>0</v>
      </c>
      <c r="AT15" s="954">
        <f t="shared" si="10"/>
        <v>0</v>
      </c>
      <c r="AU15" s="954">
        <f t="shared" si="11"/>
        <v>0</v>
      </c>
      <c r="AV15" s="954">
        <f t="shared" si="12"/>
        <v>0</v>
      </c>
      <c r="AW15" s="163">
        <f t="shared" si="13"/>
        <v>0</v>
      </c>
      <c r="AX15" s="163">
        <f t="shared" si="14"/>
        <v>0</v>
      </c>
      <c r="AY15" s="163">
        <f t="shared" si="15"/>
        <v>0</v>
      </c>
      <c r="AZ15" s="163">
        <f t="shared" si="16"/>
        <v>0</v>
      </c>
      <c r="BA15" s="163">
        <f t="shared" si="17"/>
        <v>0</v>
      </c>
      <c r="BB15" s="1374">
        <f>IF(AB15,VLOOKUP(IF(ISNUMBER(MATCH(Overview!$B$14,useless_spell_races,0)),Overview!$B$14,"Other"),Constants!$P$89:$S$102,4,FALSE),IF(BB14&gt;0,BB14-1,0))</f>
        <v>0</v>
      </c>
    </row>
    <row r="16" spans="1:54" s="170" customFormat="1" x14ac:dyDescent="0.25">
      <c r="A16" s="981">
        <f>Rezone!J16</f>
        <v>14</v>
      </c>
      <c r="B16" s="170">
        <f>Construction!E16</f>
        <v>1000</v>
      </c>
      <c r="C16" s="164">
        <f ca="1">Production!K16</f>
        <v>29817</v>
      </c>
      <c r="D16" s="193">
        <f>MIN(1,D15+0.04+ROUNDDOWN(10*Military!BN15,0)+MAX(Techs!AN15,Techs!AW15*3))-AE16</f>
        <v>1</v>
      </c>
      <c r="E16" s="530">
        <f>Imps!L16</f>
        <v>43768.135416666635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AB16*VLOOKUP(IF(ISNUMBER(MATCH(Overview!$B$14,useless_spell_races,0)),Overview!$B$14,"Other"),Constants!$P$89:$S$102,3,FALSE))</f>
        <v>0</v>
      </c>
      <c r="AE16" s="193">
        <f t="shared" ref="AE16:AE79" si="23">SUMIF(G16:AB16,1)*0.05</f>
        <v>0</v>
      </c>
      <c r="AG16" s="632">
        <f t="shared" si="18"/>
        <v>0</v>
      </c>
      <c r="AH16" s="627">
        <f t="shared" si="19"/>
        <v>0</v>
      </c>
      <c r="AI16" s="627">
        <f t="shared" si="20"/>
        <v>0</v>
      </c>
      <c r="AJ16" s="627">
        <f t="shared" si="21"/>
        <v>0</v>
      </c>
      <c r="AK16" s="546">
        <f t="shared" si="22"/>
        <v>0</v>
      </c>
      <c r="AL16" s="627">
        <f t="shared" si="2"/>
        <v>0</v>
      </c>
      <c r="AM16" s="627">
        <f t="shared" si="3"/>
        <v>0</v>
      </c>
      <c r="AN16" s="627">
        <f t="shared" si="4"/>
        <v>0</v>
      </c>
      <c r="AO16" s="627">
        <f t="shared" si="5"/>
        <v>0</v>
      </c>
      <c r="AP16" s="627">
        <f t="shared" si="6"/>
        <v>0</v>
      </c>
      <c r="AQ16" s="627">
        <f t="shared" si="7"/>
        <v>0</v>
      </c>
      <c r="AR16" s="952">
        <f t="shared" si="8"/>
        <v>0</v>
      </c>
      <c r="AS16" s="952">
        <f t="shared" si="9"/>
        <v>0</v>
      </c>
      <c r="AT16" s="952">
        <f t="shared" si="10"/>
        <v>0</v>
      </c>
      <c r="AU16" s="952">
        <f t="shared" si="11"/>
        <v>0</v>
      </c>
      <c r="AV16" s="952">
        <f t="shared" si="12"/>
        <v>0</v>
      </c>
      <c r="AW16" s="170">
        <f t="shared" si="13"/>
        <v>0</v>
      </c>
      <c r="AX16" s="170">
        <f t="shared" si="14"/>
        <v>0</v>
      </c>
      <c r="AY16" s="170">
        <f t="shared" si="15"/>
        <v>0</v>
      </c>
      <c r="AZ16" s="170">
        <f t="shared" si="16"/>
        <v>0</v>
      </c>
      <c r="BA16" s="170">
        <f t="shared" si="17"/>
        <v>0</v>
      </c>
      <c r="BB16" s="1372">
        <f>IF(AB16,VLOOKUP(IF(ISNUMBER(MATCH(Overview!$B$14,useless_spell_races,0)),Overview!$B$14,"Other"),Constants!$P$89:$S$102,4,FALSE),IF(BB15&gt;0,BB15-1,0))</f>
        <v>0</v>
      </c>
    </row>
    <row r="17" spans="1:54" s="170" customFormat="1" x14ac:dyDescent="0.25">
      <c r="A17" s="981">
        <f>Rezone!J17</f>
        <v>15</v>
      </c>
      <c r="B17" s="170">
        <f>Construction!E17</f>
        <v>1000</v>
      </c>
      <c r="C17" s="164">
        <f ca="1">Production!K17</f>
        <v>30471</v>
      </c>
      <c r="D17" s="193">
        <f>MIN(1,D16+0.04+ROUNDDOWN(10*Military!BN16,0)+MAX(Techs!AN16,Techs!AW16*3))-AE17</f>
        <v>1</v>
      </c>
      <c r="E17" s="530">
        <f>Imps!L17</f>
        <v>43768.145833333299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AB17*VLOOKUP(IF(ISNUMBER(MATCH(Overview!$B$14,useless_spell_races,0)),Overview!$B$14,"Other"),Constants!$P$89:$S$102,3,FALSE))</f>
        <v>0</v>
      </c>
      <c r="AE17" s="193">
        <f t="shared" si="23"/>
        <v>0</v>
      </c>
      <c r="AG17" s="632">
        <f t="shared" si="18"/>
        <v>0</v>
      </c>
      <c r="AH17" s="627">
        <f t="shared" si="19"/>
        <v>0</v>
      </c>
      <c r="AI17" s="627">
        <f t="shared" si="20"/>
        <v>0</v>
      </c>
      <c r="AJ17" s="627">
        <f t="shared" si="21"/>
        <v>0</v>
      </c>
      <c r="AK17" s="546">
        <f t="shared" si="22"/>
        <v>0</v>
      </c>
      <c r="AL17" s="627">
        <f t="shared" si="2"/>
        <v>0</v>
      </c>
      <c r="AM17" s="627">
        <f t="shared" si="3"/>
        <v>0</v>
      </c>
      <c r="AN17" s="627">
        <f t="shared" si="4"/>
        <v>0</v>
      </c>
      <c r="AO17" s="627">
        <f t="shared" si="5"/>
        <v>0</v>
      </c>
      <c r="AP17" s="627">
        <f t="shared" si="6"/>
        <v>0</v>
      </c>
      <c r="AQ17" s="627">
        <f t="shared" si="7"/>
        <v>0</v>
      </c>
      <c r="AR17" s="952">
        <f t="shared" si="8"/>
        <v>0</v>
      </c>
      <c r="AS17" s="952">
        <f t="shared" si="9"/>
        <v>0</v>
      </c>
      <c r="AT17" s="952">
        <f t="shared" si="10"/>
        <v>0</v>
      </c>
      <c r="AU17" s="952">
        <f t="shared" si="11"/>
        <v>0</v>
      </c>
      <c r="AV17" s="952">
        <f t="shared" si="12"/>
        <v>0</v>
      </c>
      <c r="AW17" s="170">
        <f t="shared" si="13"/>
        <v>0</v>
      </c>
      <c r="AX17" s="170">
        <f t="shared" si="14"/>
        <v>0</v>
      </c>
      <c r="AY17" s="170">
        <f t="shared" si="15"/>
        <v>0</v>
      </c>
      <c r="AZ17" s="170">
        <f t="shared" si="16"/>
        <v>0</v>
      </c>
      <c r="BA17" s="170">
        <f t="shared" si="17"/>
        <v>0</v>
      </c>
      <c r="BB17" s="1372">
        <f>IF(AB17,VLOOKUP(IF(ISNUMBER(MATCH(Overview!$B$14,useless_spell_races,0)),Overview!$B$14,"Other"),Constants!$P$89:$S$102,4,FALSE),IF(BB16&gt;0,BB16-1,0))</f>
        <v>0</v>
      </c>
    </row>
    <row r="18" spans="1:54" s="16" customFormat="1" x14ac:dyDescent="0.25">
      <c r="A18" s="982">
        <f>Rezone!J18</f>
        <v>16</v>
      </c>
      <c r="B18" s="16">
        <f>Construction!E18</f>
        <v>1000</v>
      </c>
      <c r="C18" s="26">
        <f ca="1">Production!K18</f>
        <v>31112</v>
      </c>
      <c r="D18" s="62">
        <f>MIN(1,D17+0.04+ROUNDDOWN(10*Military!BN17,0)+MAX(Techs!AN17,Techs!AW17*3))-AE18</f>
        <v>1</v>
      </c>
      <c r="E18" s="530">
        <f>Imps!L18</f>
        <v>43768.156249999964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AB18*VLOOKUP(IF(ISNUMBER(MATCH(Overview!$B$14,useless_spell_races,0)),Overview!$B$14,"Other"),Constants!$P$89:$S$102,3,FALSE))</f>
        <v>0</v>
      </c>
      <c r="AE18" s="62">
        <f t="shared" si="23"/>
        <v>0</v>
      </c>
      <c r="AG18" s="633">
        <f t="shared" si="18"/>
        <v>0</v>
      </c>
      <c r="AH18" s="527">
        <f t="shared" si="19"/>
        <v>0</v>
      </c>
      <c r="AI18" s="527">
        <f t="shared" si="20"/>
        <v>0</v>
      </c>
      <c r="AJ18" s="527">
        <f t="shared" si="21"/>
        <v>0</v>
      </c>
      <c r="AK18" s="525">
        <f t="shared" si="22"/>
        <v>0</v>
      </c>
      <c r="AL18" s="527">
        <f t="shared" si="2"/>
        <v>0</v>
      </c>
      <c r="AM18" s="527">
        <f t="shared" si="3"/>
        <v>0</v>
      </c>
      <c r="AN18" s="527">
        <f t="shared" si="4"/>
        <v>0</v>
      </c>
      <c r="AO18" s="527">
        <f t="shared" si="5"/>
        <v>0</v>
      </c>
      <c r="AP18" s="527">
        <f t="shared" si="6"/>
        <v>0</v>
      </c>
      <c r="AQ18" s="527">
        <f t="shared" si="7"/>
        <v>0</v>
      </c>
      <c r="AR18" s="953">
        <f t="shared" si="8"/>
        <v>0</v>
      </c>
      <c r="AS18" s="953">
        <f t="shared" si="9"/>
        <v>0</v>
      </c>
      <c r="AT18" s="953">
        <f t="shared" si="10"/>
        <v>0</v>
      </c>
      <c r="AU18" s="953">
        <f t="shared" si="11"/>
        <v>0</v>
      </c>
      <c r="AV18" s="953">
        <f t="shared" si="12"/>
        <v>0</v>
      </c>
      <c r="AW18" s="16">
        <f t="shared" si="13"/>
        <v>0</v>
      </c>
      <c r="AX18" s="16">
        <f t="shared" si="14"/>
        <v>0</v>
      </c>
      <c r="AY18" s="16">
        <f t="shared" si="15"/>
        <v>0</v>
      </c>
      <c r="AZ18" s="16">
        <f t="shared" si="16"/>
        <v>0</v>
      </c>
      <c r="BA18" s="16">
        <f t="shared" si="17"/>
        <v>0</v>
      </c>
      <c r="BB18" s="1373">
        <f>IF(AB18,VLOOKUP(IF(ISNUMBER(MATCH(Overview!$B$14,useless_spell_races,0)),Overview!$B$14,"Other"),Constants!$P$89:$S$102,4,FALSE),IF(BB17&gt;0,BB17-1,0))</f>
        <v>0</v>
      </c>
    </row>
    <row r="19" spans="1:54" s="163" customFormat="1" x14ac:dyDescent="0.25">
      <c r="A19" s="983">
        <f>Rezone!J19</f>
        <v>17</v>
      </c>
      <c r="B19" s="163">
        <f>Construction!E19</f>
        <v>1000</v>
      </c>
      <c r="C19" s="153">
        <f ca="1">Production!K19</f>
        <v>31740</v>
      </c>
      <c r="D19" s="194">
        <f>MIN(1,D18+0.04+ROUNDDOWN(10*Military!BN18,0)+MAX(Techs!AN18,Techs!AW18*3))-AE19</f>
        <v>1</v>
      </c>
      <c r="E19" s="674">
        <f>Imps!L19</f>
        <v>43768.166666666628</v>
      </c>
      <c r="F19" s="194">
        <f ca="1">Imps!J19</f>
        <v>1.3793829801936934</v>
      </c>
      <c r="G19" s="387"/>
      <c r="H19" s="388"/>
      <c r="I19" s="388"/>
      <c r="J19" s="388"/>
      <c r="K19" s="378"/>
      <c r="L19" s="387"/>
      <c r="M19" s="388"/>
      <c r="N19" s="378"/>
      <c r="O19" s="378"/>
      <c r="P19" s="378"/>
      <c r="Q19" s="378"/>
      <c r="R19" s="378"/>
      <c r="S19" s="378"/>
      <c r="T19" s="378"/>
      <c r="U19" s="378"/>
      <c r="V19" s="378"/>
      <c r="W19" s="378"/>
      <c r="X19" s="378"/>
      <c r="Y19" s="378"/>
      <c r="Z19" s="378"/>
      <c r="AA19" s="378"/>
      <c r="AB19" s="389"/>
      <c r="AD19" s="151">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AB19*VLOOKUP(IF(ISNUMBER(MATCH(Overview!$B$14,useless_spell_races,0)),Overview!$B$14,"Other"),Constants!$P$89:$S$102,3,FALSE))</f>
        <v>0</v>
      </c>
      <c r="AE19" s="194">
        <f t="shared" si="23"/>
        <v>0</v>
      </c>
      <c r="AG19" s="318">
        <f t="shared" si="18"/>
        <v>0</v>
      </c>
      <c r="AH19" s="625">
        <f t="shared" si="19"/>
        <v>0</v>
      </c>
      <c r="AI19" s="625">
        <f t="shared" si="20"/>
        <v>0</v>
      </c>
      <c r="AJ19" s="625">
        <f t="shared" si="21"/>
        <v>0</v>
      </c>
      <c r="AK19" s="319">
        <f t="shared" si="22"/>
        <v>0</v>
      </c>
      <c r="AL19" s="625">
        <f t="shared" si="2"/>
        <v>0</v>
      </c>
      <c r="AM19" s="625">
        <f t="shared" si="3"/>
        <v>0</v>
      </c>
      <c r="AN19" s="625">
        <f t="shared" si="4"/>
        <v>0</v>
      </c>
      <c r="AO19" s="625">
        <f t="shared" si="5"/>
        <v>0</v>
      </c>
      <c r="AP19" s="625">
        <f t="shared" si="6"/>
        <v>0</v>
      </c>
      <c r="AQ19" s="625">
        <f t="shared" si="7"/>
        <v>0</v>
      </c>
      <c r="AR19" s="954">
        <f t="shared" si="8"/>
        <v>0</v>
      </c>
      <c r="AS19" s="954">
        <f t="shared" si="9"/>
        <v>0</v>
      </c>
      <c r="AT19" s="954">
        <f t="shared" si="10"/>
        <v>0</v>
      </c>
      <c r="AU19" s="954">
        <f t="shared" si="11"/>
        <v>0</v>
      </c>
      <c r="AV19" s="954">
        <f t="shared" si="12"/>
        <v>0</v>
      </c>
      <c r="AW19" s="163">
        <f t="shared" si="13"/>
        <v>0</v>
      </c>
      <c r="AX19" s="163">
        <f t="shared" si="14"/>
        <v>0</v>
      </c>
      <c r="AY19" s="163">
        <f t="shared" si="15"/>
        <v>0</v>
      </c>
      <c r="AZ19" s="163">
        <f t="shared" si="16"/>
        <v>0</v>
      </c>
      <c r="BA19" s="163">
        <f t="shared" si="17"/>
        <v>0</v>
      </c>
      <c r="BB19" s="1374">
        <f>IF(AB19,VLOOKUP(IF(ISNUMBER(MATCH(Overview!$B$14,useless_spell_races,0)),Overview!$B$14,"Other"),Constants!$P$89:$S$102,4,FALSE),IF(BB18&gt;0,BB18-1,0))</f>
        <v>0</v>
      </c>
    </row>
    <row r="20" spans="1:54" s="16" customFormat="1" x14ac:dyDescent="0.25">
      <c r="A20" s="982">
        <f>Rezone!J20</f>
        <v>18</v>
      </c>
      <c r="B20" s="16">
        <f>Construction!E20</f>
        <v>1000</v>
      </c>
      <c r="C20" s="26">
        <f ca="1">Production!K20</f>
        <v>32355</v>
      </c>
      <c r="D20" s="62">
        <f>MIN(1,D19+0.04+ROUNDDOWN(10*Military!BN19,0)+MAX(Techs!AN19,Techs!AW19*3))-AE20</f>
        <v>1</v>
      </c>
      <c r="E20" s="530">
        <f>Imps!L20</f>
        <v>43768.177083333292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AB20*VLOOKUP(IF(ISNUMBER(MATCH(Overview!$B$14,useless_spell_races,0)),Overview!$B$14,"Other"),Constants!$P$89:$S$102,3,FALSE))</f>
        <v>0</v>
      </c>
      <c r="AE20" s="62">
        <f t="shared" si="23"/>
        <v>0</v>
      </c>
      <c r="AG20" s="633">
        <f t="shared" si="18"/>
        <v>0</v>
      </c>
      <c r="AH20" s="527">
        <f t="shared" si="19"/>
        <v>0</v>
      </c>
      <c r="AI20" s="527">
        <f t="shared" si="20"/>
        <v>0</v>
      </c>
      <c r="AJ20" s="527">
        <f t="shared" si="21"/>
        <v>0</v>
      </c>
      <c r="AK20" s="525">
        <f t="shared" si="22"/>
        <v>0</v>
      </c>
      <c r="AL20" s="527">
        <f t="shared" si="2"/>
        <v>0</v>
      </c>
      <c r="AM20" s="527">
        <f t="shared" si="3"/>
        <v>0</v>
      </c>
      <c r="AN20" s="527">
        <f t="shared" si="4"/>
        <v>0</v>
      </c>
      <c r="AO20" s="527">
        <f t="shared" si="5"/>
        <v>0</v>
      </c>
      <c r="AP20" s="527">
        <f t="shared" si="6"/>
        <v>0</v>
      </c>
      <c r="AQ20" s="527">
        <f t="shared" si="7"/>
        <v>0</v>
      </c>
      <c r="AR20" s="953">
        <f t="shared" si="8"/>
        <v>0</v>
      </c>
      <c r="AS20" s="953">
        <f t="shared" si="9"/>
        <v>0</v>
      </c>
      <c r="AT20" s="953">
        <f t="shared" si="10"/>
        <v>0</v>
      </c>
      <c r="AU20" s="953">
        <f t="shared" si="11"/>
        <v>0</v>
      </c>
      <c r="AV20" s="953">
        <f t="shared" si="12"/>
        <v>0</v>
      </c>
      <c r="AW20" s="16">
        <f t="shared" si="13"/>
        <v>0</v>
      </c>
      <c r="AX20" s="16">
        <f t="shared" si="14"/>
        <v>0</v>
      </c>
      <c r="AY20" s="16">
        <f t="shared" si="15"/>
        <v>0</v>
      </c>
      <c r="AZ20" s="16">
        <f t="shared" si="16"/>
        <v>0</v>
      </c>
      <c r="BA20" s="16">
        <f t="shared" si="17"/>
        <v>0</v>
      </c>
      <c r="BB20" s="1373">
        <f>IF(AB20,VLOOKUP(IF(ISNUMBER(MATCH(Overview!$B$14,useless_spell_races,0)),Overview!$B$14,"Other"),Constants!$P$89:$S$102,4,FALSE),IF(BB19&gt;0,BB19-1,0))</f>
        <v>0</v>
      </c>
    </row>
    <row r="21" spans="1:54" s="16" customFormat="1" x14ac:dyDescent="0.25">
      <c r="A21" s="982">
        <f>Rezone!J21</f>
        <v>19</v>
      </c>
      <c r="B21" s="16">
        <f>Construction!E21</f>
        <v>1000</v>
      </c>
      <c r="C21" s="26">
        <f ca="1">Production!K21</f>
        <v>32958</v>
      </c>
      <c r="D21" s="62">
        <f>MIN(1,D20+0.04+ROUNDDOWN(10*Military!BN20,0)+MAX(Techs!AN20,Techs!AW20*3))-AE21</f>
        <v>1</v>
      </c>
      <c r="E21" s="530">
        <f>Imps!L21</f>
        <v>43768.187499999956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AB21*VLOOKUP(IF(ISNUMBER(MATCH(Overview!$B$14,useless_spell_races,0)),Overview!$B$14,"Other"),Constants!$P$89:$S$102,3,FALSE))</f>
        <v>0</v>
      </c>
      <c r="AE21" s="62">
        <f t="shared" si="23"/>
        <v>0</v>
      </c>
      <c r="AG21" s="633">
        <f t="shared" si="18"/>
        <v>0</v>
      </c>
      <c r="AH21" s="527">
        <f t="shared" si="19"/>
        <v>0</v>
      </c>
      <c r="AI21" s="527">
        <f t="shared" si="20"/>
        <v>0</v>
      </c>
      <c r="AJ21" s="527">
        <f t="shared" si="21"/>
        <v>0</v>
      </c>
      <c r="AK21" s="525">
        <f t="shared" si="22"/>
        <v>0</v>
      </c>
      <c r="AL21" s="527">
        <f t="shared" si="2"/>
        <v>0</v>
      </c>
      <c r="AM21" s="527">
        <f t="shared" si="3"/>
        <v>0</v>
      </c>
      <c r="AN21" s="527">
        <f t="shared" si="4"/>
        <v>0</v>
      </c>
      <c r="AO21" s="527">
        <f t="shared" si="5"/>
        <v>0</v>
      </c>
      <c r="AP21" s="527">
        <f t="shared" si="6"/>
        <v>0</v>
      </c>
      <c r="AQ21" s="527">
        <f t="shared" si="7"/>
        <v>0</v>
      </c>
      <c r="AR21" s="953">
        <f t="shared" si="8"/>
        <v>0</v>
      </c>
      <c r="AS21" s="953">
        <f t="shared" si="9"/>
        <v>0</v>
      </c>
      <c r="AT21" s="953">
        <f t="shared" si="10"/>
        <v>0</v>
      </c>
      <c r="AU21" s="953">
        <f t="shared" si="11"/>
        <v>0</v>
      </c>
      <c r="AV21" s="953">
        <f t="shared" si="12"/>
        <v>0</v>
      </c>
      <c r="AW21" s="16">
        <f t="shared" si="13"/>
        <v>0</v>
      </c>
      <c r="AX21" s="16">
        <f t="shared" si="14"/>
        <v>0</v>
      </c>
      <c r="AY21" s="16">
        <f t="shared" si="15"/>
        <v>0</v>
      </c>
      <c r="AZ21" s="16">
        <f t="shared" si="16"/>
        <v>0</v>
      </c>
      <c r="BA21" s="16">
        <f t="shared" si="17"/>
        <v>0</v>
      </c>
      <c r="BB21" s="1373">
        <f>IF(AB21,VLOOKUP(IF(ISNUMBER(MATCH(Overview!$B$14,useless_spell_races,0)),Overview!$B$14,"Other"),Constants!$P$89:$S$102,4,FALSE),IF(BB20&gt;0,BB20-1,0))</f>
        <v>0</v>
      </c>
    </row>
    <row r="22" spans="1:54" s="16" customFormat="1" x14ac:dyDescent="0.25">
      <c r="A22" s="982">
        <f>Rezone!J22</f>
        <v>20</v>
      </c>
      <c r="B22" s="16">
        <f>Construction!E22</f>
        <v>1000</v>
      </c>
      <c r="C22" s="26">
        <f ca="1">Production!K22</f>
        <v>33549</v>
      </c>
      <c r="D22" s="62">
        <f>MIN(1,D21+0.04+ROUNDDOWN(10*Military!BN21,0)+MAX(Techs!AN21,Techs!AW21*3))-AE22</f>
        <v>1</v>
      </c>
      <c r="E22" s="530">
        <f>Imps!L22</f>
        <v>43768.197916666621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AB22*VLOOKUP(IF(ISNUMBER(MATCH(Overview!$B$14,useless_spell_races,0)),Overview!$B$14,"Other"),Constants!$P$89:$S$102,3,FALSE))</f>
        <v>0</v>
      </c>
      <c r="AE22" s="62">
        <f t="shared" si="23"/>
        <v>0</v>
      </c>
      <c r="AG22" s="633">
        <f t="shared" si="18"/>
        <v>0</v>
      </c>
      <c r="AH22" s="527">
        <f t="shared" si="19"/>
        <v>0</v>
      </c>
      <c r="AI22" s="527">
        <f t="shared" si="20"/>
        <v>0</v>
      </c>
      <c r="AJ22" s="527">
        <f t="shared" si="21"/>
        <v>0</v>
      </c>
      <c r="AK22" s="525">
        <f t="shared" si="22"/>
        <v>0</v>
      </c>
      <c r="AL22" s="527">
        <f t="shared" si="2"/>
        <v>0</v>
      </c>
      <c r="AM22" s="527">
        <f t="shared" si="3"/>
        <v>0</v>
      </c>
      <c r="AN22" s="527">
        <f t="shared" si="4"/>
        <v>0</v>
      </c>
      <c r="AO22" s="527">
        <f t="shared" si="5"/>
        <v>0</v>
      </c>
      <c r="AP22" s="527">
        <f t="shared" si="6"/>
        <v>0</v>
      </c>
      <c r="AQ22" s="527">
        <f t="shared" si="7"/>
        <v>0</v>
      </c>
      <c r="AR22" s="953">
        <f t="shared" si="8"/>
        <v>0</v>
      </c>
      <c r="AS22" s="953">
        <f t="shared" si="9"/>
        <v>0</v>
      </c>
      <c r="AT22" s="953">
        <f t="shared" si="10"/>
        <v>0</v>
      </c>
      <c r="AU22" s="953">
        <f t="shared" si="11"/>
        <v>0</v>
      </c>
      <c r="AV22" s="953">
        <f t="shared" si="12"/>
        <v>0</v>
      </c>
      <c r="AW22" s="16">
        <f t="shared" si="13"/>
        <v>0</v>
      </c>
      <c r="AX22" s="16">
        <f t="shared" si="14"/>
        <v>0</v>
      </c>
      <c r="AY22" s="16">
        <f t="shared" si="15"/>
        <v>0</v>
      </c>
      <c r="AZ22" s="16">
        <f t="shared" si="16"/>
        <v>0</v>
      </c>
      <c r="BA22" s="16">
        <f t="shared" si="17"/>
        <v>0</v>
      </c>
      <c r="BB22" s="1373">
        <f>IF(AB22,VLOOKUP(IF(ISNUMBER(MATCH(Overview!$B$14,useless_spell_races,0)),Overview!$B$14,"Other"),Constants!$P$89:$S$102,4,FALSE),IF(BB21&gt;0,BB21-1,0))</f>
        <v>0</v>
      </c>
    </row>
    <row r="23" spans="1:54" s="16" customFormat="1" x14ac:dyDescent="0.25">
      <c r="A23" s="982">
        <f>Rezone!J23</f>
        <v>21</v>
      </c>
      <c r="B23" s="16">
        <f>Construction!E23</f>
        <v>1000</v>
      </c>
      <c r="C23" s="26">
        <f ca="1">Production!K23</f>
        <v>34128</v>
      </c>
      <c r="D23" s="62">
        <f>MIN(1,D22+0.04+ROUNDDOWN(10*Military!BN22,0)+MAX(Techs!AN22,Techs!AW22*3))-AE23</f>
        <v>1</v>
      </c>
      <c r="E23" s="530">
        <f>Imps!L23</f>
        <v>43768.208333333285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AB23*VLOOKUP(IF(ISNUMBER(MATCH(Overview!$B$14,useless_spell_races,0)),Overview!$B$14,"Other"),Constants!$P$89:$S$102,3,FALSE))</f>
        <v>0</v>
      </c>
      <c r="AE23" s="62">
        <f t="shared" si="23"/>
        <v>0</v>
      </c>
      <c r="AG23" s="633">
        <f t="shared" si="18"/>
        <v>0</v>
      </c>
      <c r="AH23" s="527">
        <f t="shared" si="19"/>
        <v>0</v>
      </c>
      <c r="AI23" s="527">
        <f t="shared" si="20"/>
        <v>0</v>
      </c>
      <c r="AJ23" s="527">
        <f t="shared" si="21"/>
        <v>0</v>
      </c>
      <c r="AK23" s="525">
        <f t="shared" si="22"/>
        <v>0</v>
      </c>
      <c r="AL23" s="527">
        <f t="shared" si="2"/>
        <v>0</v>
      </c>
      <c r="AM23" s="527">
        <f t="shared" si="3"/>
        <v>0</v>
      </c>
      <c r="AN23" s="527">
        <f t="shared" si="4"/>
        <v>0</v>
      </c>
      <c r="AO23" s="527">
        <f t="shared" si="5"/>
        <v>0</v>
      </c>
      <c r="AP23" s="527">
        <f t="shared" si="6"/>
        <v>0</v>
      </c>
      <c r="AQ23" s="527">
        <f t="shared" si="7"/>
        <v>0</v>
      </c>
      <c r="AR23" s="953">
        <f t="shared" si="8"/>
        <v>0</v>
      </c>
      <c r="AS23" s="953">
        <f t="shared" si="9"/>
        <v>0</v>
      </c>
      <c r="AT23" s="953">
        <f t="shared" si="10"/>
        <v>0</v>
      </c>
      <c r="AU23" s="953">
        <f t="shared" si="11"/>
        <v>0</v>
      </c>
      <c r="AV23" s="953">
        <f t="shared" si="12"/>
        <v>0</v>
      </c>
      <c r="AW23" s="16">
        <f t="shared" si="13"/>
        <v>0</v>
      </c>
      <c r="AX23" s="16">
        <f t="shared" si="14"/>
        <v>0</v>
      </c>
      <c r="AY23" s="16">
        <f t="shared" si="15"/>
        <v>0</v>
      </c>
      <c r="AZ23" s="16">
        <f t="shared" si="16"/>
        <v>0</v>
      </c>
      <c r="BA23" s="16">
        <f t="shared" si="17"/>
        <v>0</v>
      </c>
      <c r="BB23" s="1373">
        <f>IF(AB23,VLOOKUP(IF(ISNUMBER(MATCH(Overview!$B$14,useless_spell_races,0)),Overview!$B$14,"Other"),Constants!$P$89:$S$102,4,FALSE),IF(BB22&gt;0,BB22-1,0))</f>
        <v>0</v>
      </c>
    </row>
    <row r="24" spans="1:54" s="16" customFormat="1" x14ac:dyDescent="0.25">
      <c r="A24" s="982">
        <f>Rezone!J24</f>
        <v>22</v>
      </c>
      <c r="B24" s="16">
        <f>Construction!E24</f>
        <v>1000</v>
      </c>
      <c r="C24" s="26">
        <f ca="1">Production!K24</f>
        <v>34695</v>
      </c>
      <c r="D24" s="62">
        <f>MIN(1,D23+0.04+ROUNDDOWN(10*Military!BN23,0)+MAX(Techs!AN23,Techs!AW23*3))-AE24</f>
        <v>1</v>
      </c>
      <c r="E24" s="530">
        <f>Imps!L24</f>
        <v>43768.218749999949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AB24*VLOOKUP(IF(ISNUMBER(MATCH(Overview!$B$14,useless_spell_races,0)),Overview!$B$14,"Other"),Constants!$P$89:$S$102,3,FALSE))</f>
        <v>0</v>
      </c>
      <c r="AE24" s="62">
        <f t="shared" si="23"/>
        <v>0</v>
      </c>
      <c r="AG24" s="633">
        <f t="shared" si="18"/>
        <v>0</v>
      </c>
      <c r="AH24" s="527">
        <f t="shared" si="19"/>
        <v>0</v>
      </c>
      <c r="AI24" s="527">
        <f t="shared" si="20"/>
        <v>0</v>
      </c>
      <c r="AJ24" s="527">
        <f t="shared" si="21"/>
        <v>0</v>
      </c>
      <c r="AK24" s="525">
        <f t="shared" si="22"/>
        <v>0</v>
      </c>
      <c r="AL24" s="527">
        <f t="shared" si="2"/>
        <v>0</v>
      </c>
      <c r="AM24" s="527">
        <f t="shared" si="3"/>
        <v>0</v>
      </c>
      <c r="AN24" s="527">
        <f t="shared" si="4"/>
        <v>0</v>
      </c>
      <c r="AO24" s="527">
        <f t="shared" si="5"/>
        <v>0</v>
      </c>
      <c r="AP24" s="527">
        <f t="shared" si="6"/>
        <v>0</v>
      </c>
      <c r="AQ24" s="527">
        <f t="shared" si="7"/>
        <v>0</v>
      </c>
      <c r="AR24" s="953">
        <f t="shared" si="8"/>
        <v>0</v>
      </c>
      <c r="AS24" s="953">
        <f t="shared" si="9"/>
        <v>0</v>
      </c>
      <c r="AT24" s="953">
        <f t="shared" si="10"/>
        <v>0</v>
      </c>
      <c r="AU24" s="953">
        <f t="shared" si="11"/>
        <v>0</v>
      </c>
      <c r="AV24" s="953">
        <f t="shared" si="12"/>
        <v>0</v>
      </c>
      <c r="AW24" s="16">
        <f t="shared" si="13"/>
        <v>0</v>
      </c>
      <c r="AX24" s="16">
        <f t="shared" si="14"/>
        <v>0</v>
      </c>
      <c r="AY24" s="16">
        <f t="shared" si="15"/>
        <v>0</v>
      </c>
      <c r="AZ24" s="16">
        <f t="shared" si="16"/>
        <v>0</v>
      </c>
      <c r="BA24" s="16">
        <f t="shared" si="17"/>
        <v>0</v>
      </c>
      <c r="BB24" s="1373">
        <f>IF(AB24,VLOOKUP(IF(ISNUMBER(MATCH(Overview!$B$14,useless_spell_races,0)),Overview!$B$14,"Other"),Constants!$P$89:$S$102,4,FALSE),IF(BB23&gt;0,BB23-1,0))</f>
        <v>0</v>
      </c>
    </row>
    <row r="25" spans="1:54" s="16" customFormat="1" x14ac:dyDescent="0.25">
      <c r="A25" s="982">
        <f>Rezone!J25</f>
        <v>23</v>
      </c>
      <c r="B25" s="16">
        <f>Construction!E25</f>
        <v>1000</v>
      </c>
      <c r="C25" s="26">
        <f ca="1">Production!K25</f>
        <v>35251</v>
      </c>
      <c r="D25" s="62">
        <f>MIN(1,D24+0.04+ROUNDDOWN(10*Military!BN24,0)+MAX(Techs!AN24,Techs!AW24*3))-AE25</f>
        <v>1</v>
      </c>
      <c r="E25" s="530">
        <f>Imps!L25</f>
        <v>43768.229166666613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AB25*VLOOKUP(IF(ISNUMBER(MATCH(Overview!$B$14,useless_spell_races,0)),Overview!$B$14,"Other"),Constants!$P$89:$S$102,3,FALSE))</f>
        <v>0</v>
      </c>
      <c r="AE25" s="62">
        <f t="shared" si="23"/>
        <v>0</v>
      </c>
      <c r="AG25" s="633">
        <f t="shared" si="18"/>
        <v>0</v>
      </c>
      <c r="AH25" s="527">
        <f t="shared" si="19"/>
        <v>0</v>
      </c>
      <c r="AI25" s="527">
        <f t="shared" si="20"/>
        <v>0</v>
      </c>
      <c r="AJ25" s="527">
        <f t="shared" si="21"/>
        <v>0</v>
      </c>
      <c r="AK25" s="525">
        <f t="shared" si="22"/>
        <v>0</v>
      </c>
      <c r="AL25" s="527">
        <f t="shared" si="2"/>
        <v>0</v>
      </c>
      <c r="AM25" s="527">
        <f t="shared" si="3"/>
        <v>0</v>
      </c>
      <c r="AN25" s="527">
        <f t="shared" si="4"/>
        <v>0</v>
      </c>
      <c r="AO25" s="527">
        <f t="shared" si="5"/>
        <v>0</v>
      </c>
      <c r="AP25" s="527">
        <f t="shared" si="6"/>
        <v>0</v>
      </c>
      <c r="AQ25" s="527">
        <f t="shared" si="7"/>
        <v>0</v>
      </c>
      <c r="AR25" s="953">
        <f t="shared" si="8"/>
        <v>0</v>
      </c>
      <c r="AS25" s="953">
        <f t="shared" si="9"/>
        <v>0</v>
      </c>
      <c r="AT25" s="953">
        <f t="shared" si="10"/>
        <v>0</v>
      </c>
      <c r="AU25" s="953">
        <f t="shared" si="11"/>
        <v>0</v>
      </c>
      <c r="AV25" s="953">
        <f t="shared" si="12"/>
        <v>0</v>
      </c>
      <c r="AW25" s="16">
        <f t="shared" si="13"/>
        <v>0</v>
      </c>
      <c r="AX25" s="16">
        <f t="shared" si="14"/>
        <v>0</v>
      </c>
      <c r="AY25" s="16">
        <f t="shared" si="15"/>
        <v>0</v>
      </c>
      <c r="AZ25" s="16">
        <f t="shared" si="16"/>
        <v>0</v>
      </c>
      <c r="BA25" s="16">
        <f t="shared" si="17"/>
        <v>0</v>
      </c>
      <c r="BB25" s="1373">
        <f>IF(AB25,VLOOKUP(IF(ISNUMBER(MATCH(Overview!$B$14,useless_spell_races,0)),Overview!$B$14,"Other"),Constants!$P$89:$S$102,4,FALSE),IF(BB24&gt;0,BB24-1,0))</f>
        <v>0</v>
      </c>
    </row>
    <row r="26" spans="1:54" s="170" customFormat="1" x14ac:dyDescent="0.25">
      <c r="A26" s="981">
        <f>Rezone!J26</f>
        <v>24</v>
      </c>
      <c r="B26" s="170">
        <f>Construction!E26</f>
        <v>1000</v>
      </c>
      <c r="C26" s="164">
        <f ca="1">Production!K26</f>
        <v>35796</v>
      </c>
      <c r="D26" s="193">
        <f>MIN(1,D25+0.04+ROUNDDOWN(10*Military!BN25,0)+MAX(Techs!AN25,Techs!AW25*3))-AE26</f>
        <v>1</v>
      </c>
      <c r="E26" s="530">
        <f>Imps!L26</f>
        <v>43768.239583333278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AB26*VLOOKUP(IF(ISNUMBER(MATCH(Overview!$B$14,useless_spell_races,0)),Overview!$B$14,"Other"),Constants!$P$89:$S$102,3,FALSE))</f>
        <v>0</v>
      </c>
      <c r="AE26" s="193">
        <f t="shared" si="23"/>
        <v>0</v>
      </c>
      <c r="AG26" s="632">
        <f t="shared" si="18"/>
        <v>0</v>
      </c>
      <c r="AH26" s="627">
        <f t="shared" si="19"/>
        <v>0</v>
      </c>
      <c r="AI26" s="627">
        <f t="shared" si="20"/>
        <v>0</v>
      </c>
      <c r="AJ26" s="627">
        <f t="shared" si="21"/>
        <v>0</v>
      </c>
      <c r="AK26" s="546">
        <f t="shared" si="22"/>
        <v>0</v>
      </c>
      <c r="AL26" s="627">
        <f t="shared" si="2"/>
        <v>0</v>
      </c>
      <c r="AM26" s="627">
        <f t="shared" si="3"/>
        <v>0</v>
      </c>
      <c r="AN26" s="627">
        <f t="shared" si="4"/>
        <v>0</v>
      </c>
      <c r="AO26" s="627">
        <f t="shared" si="5"/>
        <v>0</v>
      </c>
      <c r="AP26" s="627">
        <f t="shared" si="6"/>
        <v>0</v>
      </c>
      <c r="AQ26" s="627">
        <f t="shared" si="7"/>
        <v>0</v>
      </c>
      <c r="AR26" s="952">
        <f t="shared" si="8"/>
        <v>0</v>
      </c>
      <c r="AS26" s="952">
        <f t="shared" si="9"/>
        <v>0</v>
      </c>
      <c r="AT26" s="952">
        <f t="shared" si="10"/>
        <v>0</v>
      </c>
      <c r="AU26" s="952">
        <f t="shared" si="11"/>
        <v>0</v>
      </c>
      <c r="AV26" s="952">
        <f t="shared" si="12"/>
        <v>0</v>
      </c>
      <c r="AW26" s="170">
        <f t="shared" si="13"/>
        <v>0</v>
      </c>
      <c r="AX26" s="170">
        <f t="shared" si="14"/>
        <v>0</v>
      </c>
      <c r="AY26" s="170">
        <f t="shared" si="15"/>
        <v>0</v>
      </c>
      <c r="AZ26" s="170">
        <f t="shared" si="16"/>
        <v>0</v>
      </c>
      <c r="BA26" s="170">
        <f t="shared" si="17"/>
        <v>0</v>
      </c>
      <c r="BB26" s="1372">
        <f>IF(AB26,VLOOKUP(IF(ISNUMBER(MATCH(Overview!$B$14,useless_spell_races,0)),Overview!$B$14,"Other"),Constants!$P$89:$S$102,4,FALSE),IF(BB25&gt;0,BB25-1,0))</f>
        <v>0</v>
      </c>
    </row>
    <row r="27" spans="1:54" s="16" customFormat="1" x14ac:dyDescent="0.25">
      <c r="A27" s="982">
        <f>Rezone!J27</f>
        <v>25</v>
      </c>
      <c r="B27" s="16">
        <f>Construction!E27</f>
        <v>1000</v>
      </c>
      <c r="C27" s="26">
        <f ca="1">Production!K27</f>
        <v>36330</v>
      </c>
      <c r="D27" s="62">
        <f>MIN(1,D26+0.04+ROUNDDOWN(10*Military!BN26,0)+MAX(Techs!AN26,Techs!AW26*3))-AE27</f>
        <v>1</v>
      </c>
      <c r="E27" s="530">
        <f>Imps!L27</f>
        <v>43768.249999999942</v>
      </c>
      <c r="F27" s="62">
        <f ca="1">Imps!J27</f>
        <v>1.1647171284290287</v>
      </c>
      <c r="G27" s="393"/>
      <c r="H27" s="394"/>
      <c r="I27" s="394"/>
      <c r="J27" s="394"/>
      <c r="K27" s="380"/>
      <c r="L27" s="393"/>
      <c r="M27" s="394"/>
      <c r="N27" s="380"/>
      <c r="O27" s="380"/>
      <c r="P27" s="380"/>
      <c r="Q27" s="380"/>
      <c r="R27" s="380"/>
      <c r="S27" s="380"/>
      <c r="T27" s="380"/>
      <c r="U27" s="380"/>
      <c r="V27" s="380"/>
      <c r="W27" s="380"/>
      <c r="X27" s="380"/>
      <c r="Y27" s="380"/>
      <c r="Z27" s="380"/>
      <c r="AA27" s="380"/>
      <c r="AB27" s="395"/>
      <c r="AD27" s="152">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AB27*VLOOKUP(IF(ISNUMBER(MATCH(Overview!$B$14,useless_spell_races,0)),Overview!$B$14,"Other"),Constants!$P$89:$S$102,3,FALSE))</f>
        <v>0</v>
      </c>
      <c r="AE27" s="62">
        <f t="shared" si="23"/>
        <v>0</v>
      </c>
      <c r="AG27" s="633">
        <f t="shared" si="18"/>
        <v>0</v>
      </c>
      <c r="AH27" s="527">
        <f t="shared" si="19"/>
        <v>0</v>
      </c>
      <c r="AI27" s="527">
        <f t="shared" si="20"/>
        <v>0</v>
      </c>
      <c r="AJ27" s="527">
        <f t="shared" si="21"/>
        <v>0</v>
      </c>
      <c r="AK27" s="1398">
        <f t="shared" si="22"/>
        <v>0</v>
      </c>
      <c r="AL27" s="527">
        <f t="shared" si="2"/>
        <v>0</v>
      </c>
      <c r="AM27" s="527">
        <f t="shared" si="3"/>
        <v>0</v>
      </c>
      <c r="AN27" s="527">
        <f t="shared" si="4"/>
        <v>0</v>
      </c>
      <c r="AO27" s="527">
        <f t="shared" si="5"/>
        <v>0</v>
      </c>
      <c r="AP27" s="527">
        <f t="shared" si="6"/>
        <v>0</v>
      </c>
      <c r="AQ27" s="527">
        <f t="shared" si="7"/>
        <v>0</v>
      </c>
      <c r="AR27" s="953">
        <f t="shared" si="8"/>
        <v>0</v>
      </c>
      <c r="AS27" s="953">
        <f t="shared" si="9"/>
        <v>0</v>
      </c>
      <c r="AT27" s="953">
        <f t="shared" si="10"/>
        <v>0</v>
      </c>
      <c r="AU27" s="953">
        <f t="shared" si="11"/>
        <v>0</v>
      </c>
      <c r="AV27" s="953">
        <f t="shared" si="12"/>
        <v>0</v>
      </c>
      <c r="AW27" s="16">
        <f t="shared" si="13"/>
        <v>0</v>
      </c>
      <c r="AX27" s="16">
        <f t="shared" si="14"/>
        <v>0</v>
      </c>
      <c r="AY27" s="16">
        <f t="shared" si="15"/>
        <v>0</v>
      </c>
      <c r="AZ27" s="16">
        <f t="shared" si="16"/>
        <v>0</v>
      </c>
      <c r="BA27" s="16">
        <f t="shared" si="17"/>
        <v>0</v>
      </c>
      <c r="BB27" s="1373">
        <f>IF(AB27,VLOOKUP(IF(ISNUMBER(MATCH(Overview!$B$14,useless_spell_races,0)),Overview!$B$14,"Other"),Constants!$P$89:$S$102,4,FALSE),IF(BB26&gt;0,BB26-1,0))</f>
        <v>0</v>
      </c>
    </row>
    <row r="28" spans="1:54" s="170" customFormat="1" x14ac:dyDescent="0.25">
      <c r="A28" s="981">
        <f>Rezone!J28</f>
        <v>26</v>
      </c>
      <c r="B28" s="170">
        <f>Construction!E28</f>
        <v>1000</v>
      </c>
      <c r="C28" s="164">
        <f ca="1">Production!K28</f>
        <v>36853</v>
      </c>
      <c r="D28" s="193">
        <f>MIN(1,D27+0.04+ROUNDDOWN(10*Military!BN27,0)+MAX(Techs!AN27,Techs!AW27*3))-AE28</f>
        <v>1</v>
      </c>
      <c r="E28" s="530">
        <f>Imps!L28</f>
        <v>43768.260416666606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AB28*VLOOKUP(IF(ISNUMBER(MATCH(Overview!$B$14,useless_spell_races,0)),Overview!$B$14,"Other"),Constants!$P$89:$S$102,3,FALSE))</f>
        <v>0</v>
      </c>
      <c r="AE28" s="193">
        <f t="shared" si="23"/>
        <v>0</v>
      </c>
      <c r="AG28" s="632">
        <f t="shared" si="18"/>
        <v>0</v>
      </c>
      <c r="AH28" s="627">
        <f t="shared" si="19"/>
        <v>0</v>
      </c>
      <c r="AI28" s="627">
        <f t="shared" si="20"/>
        <v>0</v>
      </c>
      <c r="AJ28" s="627">
        <f t="shared" si="21"/>
        <v>0</v>
      </c>
      <c r="AK28" s="546">
        <f t="shared" si="22"/>
        <v>0</v>
      </c>
      <c r="AL28" s="627">
        <f t="shared" si="2"/>
        <v>0</v>
      </c>
      <c r="AM28" s="627">
        <f t="shared" si="3"/>
        <v>0</v>
      </c>
      <c r="AN28" s="627">
        <f t="shared" si="4"/>
        <v>0</v>
      </c>
      <c r="AO28" s="627">
        <f t="shared" si="5"/>
        <v>0</v>
      </c>
      <c r="AP28" s="627">
        <f t="shared" si="6"/>
        <v>0</v>
      </c>
      <c r="AQ28" s="627">
        <f t="shared" si="7"/>
        <v>0</v>
      </c>
      <c r="AR28" s="952">
        <f t="shared" si="8"/>
        <v>0</v>
      </c>
      <c r="AS28" s="952">
        <f t="shared" si="9"/>
        <v>0</v>
      </c>
      <c r="AT28" s="952">
        <f t="shared" si="10"/>
        <v>0</v>
      </c>
      <c r="AU28" s="952">
        <f t="shared" si="11"/>
        <v>0</v>
      </c>
      <c r="AV28" s="952">
        <f t="shared" si="12"/>
        <v>0</v>
      </c>
      <c r="AW28" s="170">
        <f t="shared" si="13"/>
        <v>0</v>
      </c>
      <c r="AX28" s="170">
        <f t="shared" si="14"/>
        <v>0</v>
      </c>
      <c r="AY28" s="170">
        <f t="shared" si="15"/>
        <v>0</v>
      </c>
      <c r="AZ28" s="170">
        <f t="shared" si="16"/>
        <v>0</v>
      </c>
      <c r="BA28" s="170">
        <f t="shared" si="17"/>
        <v>0</v>
      </c>
      <c r="BB28" s="1372">
        <f>IF(AB28,VLOOKUP(IF(ISNUMBER(MATCH(Overview!$B$14,useless_spell_races,0)),Overview!$B$14,"Other"),Constants!$P$89:$S$102,4,FALSE),IF(BB27&gt;0,BB27-1,0))</f>
        <v>0</v>
      </c>
    </row>
    <row r="29" spans="1:54" s="170" customFormat="1" x14ac:dyDescent="0.25">
      <c r="A29" s="981">
        <f>Rezone!J29</f>
        <v>27</v>
      </c>
      <c r="B29" s="170">
        <f>Construction!E29</f>
        <v>1000</v>
      </c>
      <c r="C29" s="164">
        <f ca="1">Production!K29</f>
        <v>37366</v>
      </c>
      <c r="D29" s="193">
        <f>MIN(1,D28+0.04+ROUNDDOWN(10*Military!BN28,0)+MAX(Techs!AN28,Techs!AW28*3))-AE29</f>
        <v>1</v>
      </c>
      <c r="E29" s="530">
        <f>Imps!L29</f>
        <v>43768.27083333327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AB29*VLOOKUP(IF(ISNUMBER(MATCH(Overview!$B$14,useless_spell_races,0)),Overview!$B$14,"Other"),Constants!$P$89:$S$102,3,FALSE))</f>
        <v>0</v>
      </c>
      <c r="AE29" s="193">
        <f t="shared" si="23"/>
        <v>0</v>
      </c>
      <c r="AG29" s="632">
        <f t="shared" si="18"/>
        <v>0</v>
      </c>
      <c r="AH29" s="627">
        <f t="shared" si="19"/>
        <v>0</v>
      </c>
      <c r="AI29" s="627">
        <f t="shared" si="20"/>
        <v>0</v>
      </c>
      <c r="AJ29" s="627">
        <f t="shared" si="21"/>
        <v>0</v>
      </c>
      <c r="AK29" s="546">
        <f t="shared" si="22"/>
        <v>0</v>
      </c>
      <c r="AL29" s="627">
        <f t="shared" si="2"/>
        <v>0</v>
      </c>
      <c r="AM29" s="627">
        <f t="shared" si="3"/>
        <v>0</v>
      </c>
      <c r="AN29" s="627">
        <f t="shared" si="4"/>
        <v>0</v>
      </c>
      <c r="AO29" s="627">
        <f t="shared" si="5"/>
        <v>0</v>
      </c>
      <c r="AP29" s="627">
        <f t="shared" si="6"/>
        <v>0</v>
      </c>
      <c r="AQ29" s="627">
        <f t="shared" si="7"/>
        <v>0</v>
      </c>
      <c r="AR29" s="952">
        <f t="shared" si="8"/>
        <v>0</v>
      </c>
      <c r="AS29" s="952">
        <f t="shared" si="9"/>
        <v>0</v>
      </c>
      <c r="AT29" s="952">
        <f t="shared" si="10"/>
        <v>0</v>
      </c>
      <c r="AU29" s="952">
        <f t="shared" si="11"/>
        <v>0</v>
      </c>
      <c r="AV29" s="952">
        <f t="shared" si="12"/>
        <v>0</v>
      </c>
      <c r="AW29" s="170">
        <f t="shared" si="13"/>
        <v>0</v>
      </c>
      <c r="AX29" s="170">
        <f t="shared" si="14"/>
        <v>0</v>
      </c>
      <c r="AY29" s="170">
        <f t="shared" si="15"/>
        <v>0</v>
      </c>
      <c r="AZ29" s="170">
        <f t="shared" si="16"/>
        <v>0</v>
      </c>
      <c r="BA29" s="170">
        <f t="shared" si="17"/>
        <v>0</v>
      </c>
      <c r="BB29" s="1372">
        <f>IF(AB29,VLOOKUP(IF(ISNUMBER(MATCH(Overview!$B$14,useless_spell_races,0)),Overview!$B$14,"Other"),Constants!$P$89:$S$102,4,FALSE),IF(BB28&gt;0,BB28-1,0))</f>
        <v>0</v>
      </c>
    </row>
    <row r="30" spans="1:54" s="16" customFormat="1" ht="13.8" thickBot="1" x14ac:dyDescent="0.3">
      <c r="A30" s="982">
        <f>Rezone!J30</f>
        <v>28</v>
      </c>
      <c r="B30" s="16">
        <f>Construction!E30</f>
        <v>1000</v>
      </c>
      <c r="C30" s="26">
        <f ca="1">Production!K30</f>
        <v>37869</v>
      </c>
      <c r="D30" s="62">
        <f>MIN(1,D29+0.04+ROUNDDOWN(10*Military!BN29,0)+MAX(Techs!AN29,Techs!AW29*3))-AE30</f>
        <v>1</v>
      </c>
      <c r="E30" s="530">
        <f>Imps!L30</f>
        <v>43768.281249999935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AB30*VLOOKUP(IF(ISNUMBER(MATCH(Overview!$B$14,useless_spell_races,0)),Overview!$B$14,"Other"),Constants!$P$89:$S$102,3,FALSE))</f>
        <v>0</v>
      </c>
      <c r="AE30" s="62">
        <f t="shared" si="23"/>
        <v>0</v>
      </c>
      <c r="AG30" s="633">
        <f t="shared" si="18"/>
        <v>0</v>
      </c>
      <c r="AH30" s="527">
        <f t="shared" si="19"/>
        <v>0</v>
      </c>
      <c r="AI30" s="527">
        <f t="shared" si="20"/>
        <v>0</v>
      </c>
      <c r="AJ30" s="527">
        <f t="shared" si="21"/>
        <v>0</v>
      </c>
      <c r="AK30" s="525">
        <f t="shared" si="22"/>
        <v>0</v>
      </c>
      <c r="AL30" s="527">
        <f t="shared" si="2"/>
        <v>0</v>
      </c>
      <c r="AM30" s="527">
        <f t="shared" si="3"/>
        <v>0</v>
      </c>
      <c r="AN30" s="527">
        <f t="shared" si="4"/>
        <v>0</v>
      </c>
      <c r="AO30" s="527">
        <f t="shared" si="5"/>
        <v>0</v>
      </c>
      <c r="AP30" s="527">
        <f t="shared" si="6"/>
        <v>0</v>
      </c>
      <c r="AQ30" s="527">
        <f t="shared" si="7"/>
        <v>0</v>
      </c>
      <c r="AR30" s="953">
        <f t="shared" si="8"/>
        <v>0</v>
      </c>
      <c r="AS30" s="953">
        <f t="shared" si="9"/>
        <v>0</v>
      </c>
      <c r="AT30" s="953">
        <f t="shared" si="10"/>
        <v>0</v>
      </c>
      <c r="AU30" s="953">
        <f t="shared" si="11"/>
        <v>0</v>
      </c>
      <c r="AV30" s="953">
        <f t="shared" si="12"/>
        <v>0</v>
      </c>
      <c r="AW30" s="16">
        <f t="shared" si="13"/>
        <v>0</v>
      </c>
      <c r="AX30" s="16">
        <f t="shared" si="14"/>
        <v>0</v>
      </c>
      <c r="AY30" s="16">
        <f t="shared" si="15"/>
        <v>0</v>
      </c>
      <c r="AZ30" s="16">
        <f t="shared" si="16"/>
        <v>0</v>
      </c>
      <c r="BA30" s="16">
        <f t="shared" si="17"/>
        <v>0</v>
      </c>
      <c r="BB30" s="1373">
        <f>IF(AB30,VLOOKUP(IF(ISNUMBER(MATCH(Overview!$B$14,useless_spell_races,0)),Overview!$B$14,"Other"),Constants!$P$89:$S$102,4,FALSE),IF(BB29&gt;0,BB29-1,0))</f>
        <v>0</v>
      </c>
    </row>
    <row r="31" spans="1:54" s="1203" customFormat="1" ht="14.4" thickTop="1" thickBot="1" x14ac:dyDescent="0.3">
      <c r="A31" s="1190">
        <f>Rezone!J31</f>
        <v>29</v>
      </c>
      <c r="B31" s="1203">
        <f>Construction!E31</f>
        <v>1000</v>
      </c>
      <c r="C31" s="1193">
        <f ca="1">Production!K31</f>
        <v>38362</v>
      </c>
      <c r="D31" s="1210">
        <f>MIN(1,D30+0.04+ROUNDDOWN(10*Military!BN30,0)+MAX(Techs!AN30,Techs!AW30*3))-AE31</f>
        <v>1</v>
      </c>
      <c r="E31" s="1227">
        <f>Imps!L31</f>
        <v>43768.291666666599</v>
      </c>
      <c r="F31" s="1210">
        <f ca="1">Imps!J31</f>
        <v>1.0862309220790933</v>
      </c>
      <c r="G31" s="1250"/>
      <c r="H31" s="1251"/>
      <c r="I31" s="1251"/>
      <c r="J31" s="1251"/>
      <c r="K31" s="1197"/>
      <c r="L31" s="1250"/>
      <c r="M31" s="1251"/>
      <c r="N31" s="1197"/>
      <c r="O31" s="1197"/>
      <c r="P31" s="1197"/>
      <c r="Q31" s="1197"/>
      <c r="R31" s="1197"/>
      <c r="S31" s="1197"/>
      <c r="T31" s="1197"/>
      <c r="U31" s="1197"/>
      <c r="V31" s="1197"/>
      <c r="W31" s="1197"/>
      <c r="X31" s="1197"/>
      <c r="Y31" s="1197"/>
      <c r="Z31" s="1197"/>
      <c r="AA31" s="1197"/>
      <c r="AB31" s="1252"/>
      <c r="AD31" s="119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AB31*VLOOKUP(IF(ISNUMBER(MATCH(Overview!$B$14,useless_spell_races,0)),Overview!$B$14,"Other"),Constants!$P$89:$S$102,3,FALSE))</f>
        <v>0</v>
      </c>
      <c r="AE31" s="1210">
        <f t="shared" si="23"/>
        <v>0</v>
      </c>
      <c r="AG31" s="1197">
        <f t="shared" si="18"/>
        <v>0</v>
      </c>
      <c r="AH31" s="1238">
        <f t="shared" si="19"/>
        <v>0</v>
      </c>
      <c r="AI31" s="1238">
        <f t="shared" si="20"/>
        <v>0</v>
      </c>
      <c r="AJ31" s="1238">
        <f t="shared" si="21"/>
        <v>0</v>
      </c>
      <c r="AK31" s="1228">
        <f t="shared" si="22"/>
        <v>0</v>
      </c>
      <c r="AL31" s="1238">
        <f t="shared" si="2"/>
        <v>0</v>
      </c>
      <c r="AM31" s="1238">
        <f t="shared" si="3"/>
        <v>0</v>
      </c>
      <c r="AN31" s="1238">
        <f t="shared" si="4"/>
        <v>0</v>
      </c>
      <c r="AO31" s="1238">
        <f t="shared" si="5"/>
        <v>0</v>
      </c>
      <c r="AP31" s="1238">
        <f t="shared" si="6"/>
        <v>0</v>
      </c>
      <c r="AQ31" s="1238">
        <f t="shared" si="7"/>
        <v>0</v>
      </c>
      <c r="AR31" s="1238">
        <f t="shared" si="8"/>
        <v>0</v>
      </c>
      <c r="AS31" s="1238">
        <f t="shared" si="9"/>
        <v>0</v>
      </c>
      <c r="AT31" s="1238">
        <f t="shared" si="10"/>
        <v>0</v>
      </c>
      <c r="AU31" s="1238">
        <f t="shared" si="11"/>
        <v>0</v>
      </c>
      <c r="AV31" s="1238">
        <f t="shared" si="12"/>
        <v>0</v>
      </c>
      <c r="AW31" s="1203">
        <f t="shared" si="13"/>
        <v>0</v>
      </c>
      <c r="AX31" s="1203">
        <f t="shared" si="14"/>
        <v>0</v>
      </c>
      <c r="AY31" s="1203">
        <f t="shared" si="15"/>
        <v>0</v>
      </c>
      <c r="AZ31" s="1203">
        <f t="shared" si="16"/>
        <v>0</v>
      </c>
      <c r="BA31" s="1203">
        <f t="shared" si="17"/>
        <v>0</v>
      </c>
      <c r="BB31" s="1375">
        <f>IF(AB31,VLOOKUP(IF(ISNUMBER(MATCH(Overview!$B$14,useless_spell_races,0)),Overview!$B$14,"Other"),Constants!$P$89:$S$102,4,FALSE),IF(BB30&gt;0,BB30-1,0))</f>
        <v>0</v>
      </c>
    </row>
    <row r="32" spans="1:54" s="16" customFormat="1" ht="13.8" thickTop="1" x14ac:dyDescent="0.25">
      <c r="A32" s="982">
        <f>Rezone!J32</f>
        <v>30</v>
      </c>
      <c r="B32" s="16">
        <f>Construction!E32</f>
        <v>1000</v>
      </c>
      <c r="C32" s="26">
        <f ca="1">Production!K32</f>
        <v>38845</v>
      </c>
      <c r="D32" s="62">
        <f>MIN(1,D31+0.04+ROUNDDOWN(10*Military!BN31,0)+MAX(Techs!AN31,Techs!AW31*3))-AE32</f>
        <v>1</v>
      </c>
      <c r="E32" s="530">
        <f>Imps!L32</f>
        <v>43768.302083333263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AB32*VLOOKUP(IF(ISNUMBER(MATCH(Overview!$B$14,useless_spell_races,0)),Overview!$B$14,"Other"),Constants!$P$89:$S$102,3,FALSE))</f>
        <v>0</v>
      </c>
      <c r="AE32" s="62">
        <f t="shared" si="23"/>
        <v>0</v>
      </c>
      <c r="AG32" s="633">
        <f t="shared" si="18"/>
        <v>0</v>
      </c>
      <c r="AH32" s="527">
        <f t="shared" si="19"/>
        <v>0</v>
      </c>
      <c r="AI32" s="527">
        <f t="shared" si="20"/>
        <v>0</v>
      </c>
      <c r="AJ32" s="527">
        <f t="shared" si="21"/>
        <v>0</v>
      </c>
      <c r="AK32" s="525">
        <f t="shared" si="22"/>
        <v>0</v>
      </c>
      <c r="AL32" s="527">
        <f t="shared" si="2"/>
        <v>0</v>
      </c>
      <c r="AM32" s="527">
        <f t="shared" si="3"/>
        <v>0</v>
      </c>
      <c r="AN32" s="527">
        <f t="shared" si="4"/>
        <v>0</v>
      </c>
      <c r="AO32" s="527">
        <f t="shared" si="5"/>
        <v>0</v>
      </c>
      <c r="AP32" s="527">
        <f t="shared" si="6"/>
        <v>0</v>
      </c>
      <c r="AQ32" s="527">
        <f t="shared" si="7"/>
        <v>0</v>
      </c>
      <c r="AR32" s="953">
        <f t="shared" si="8"/>
        <v>0</v>
      </c>
      <c r="AS32" s="953">
        <f t="shared" si="9"/>
        <v>0</v>
      </c>
      <c r="AT32" s="953">
        <f t="shared" si="10"/>
        <v>0</v>
      </c>
      <c r="AU32" s="953">
        <f t="shared" si="11"/>
        <v>0</v>
      </c>
      <c r="AV32" s="953">
        <f t="shared" si="12"/>
        <v>0</v>
      </c>
      <c r="AW32" s="16">
        <f t="shared" si="13"/>
        <v>0</v>
      </c>
      <c r="AX32" s="16">
        <f t="shared" si="14"/>
        <v>0</v>
      </c>
      <c r="AY32" s="16">
        <f t="shared" si="15"/>
        <v>0</v>
      </c>
      <c r="AZ32" s="16">
        <f t="shared" si="16"/>
        <v>0</v>
      </c>
      <c r="BA32" s="16">
        <f t="shared" si="17"/>
        <v>0</v>
      </c>
      <c r="BB32" s="1373">
        <f>IF(AB32,VLOOKUP(IF(ISNUMBER(MATCH(Overview!$B$14,useless_spell_races,0)),Overview!$B$14,"Other"),Constants!$P$89:$S$102,4,FALSE),IF(BB31&gt;0,BB31-1,0))</f>
        <v>0</v>
      </c>
    </row>
    <row r="33" spans="1:54" s="16" customFormat="1" x14ac:dyDescent="0.25">
      <c r="A33" s="982">
        <f>Rezone!J33</f>
        <v>31</v>
      </c>
      <c r="B33" s="16">
        <f>Construction!E33</f>
        <v>1000</v>
      </c>
      <c r="C33" s="26">
        <f ca="1">Production!K33</f>
        <v>39318</v>
      </c>
      <c r="D33" s="62">
        <f>MIN(1,D32+0.04+ROUNDDOWN(10*Military!BN32,0)+MAX(Techs!AN32,Techs!AW32*3))-AE33</f>
        <v>1</v>
      </c>
      <c r="E33" s="530">
        <f>Imps!L33</f>
        <v>43768.312499999927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AB33*VLOOKUP(IF(ISNUMBER(MATCH(Overview!$B$14,useless_spell_races,0)),Overview!$B$14,"Other"),Constants!$P$89:$S$102,3,FALSE))</f>
        <v>0</v>
      </c>
      <c r="AE33" s="62">
        <f t="shared" si="23"/>
        <v>0</v>
      </c>
      <c r="AG33" s="633">
        <f t="shared" si="18"/>
        <v>0</v>
      </c>
      <c r="AH33" s="527">
        <f t="shared" si="19"/>
        <v>0</v>
      </c>
      <c r="AI33" s="527">
        <f t="shared" si="20"/>
        <v>0</v>
      </c>
      <c r="AJ33" s="527">
        <f t="shared" si="21"/>
        <v>0</v>
      </c>
      <c r="AK33" s="525">
        <f t="shared" si="22"/>
        <v>0</v>
      </c>
      <c r="AL33" s="527">
        <f t="shared" si="2"/>
        <v>0</v>
      </c>
      <c r="AM33" s="527">
        <f t="shared" si="3"/>
        <v>0</v>
      </c>
      <c r="AN33" s="527">
        <f t="shared" si="4"/>
        <v>0</v>
      </c>
      <c r="AO33" s="527">
        <f t="shared" si="5"/>
        <v>0</v>
      </c>
      <c r="AP33" s="527">
        <f t="shared" si="6"/>
        <v>0</v>
      </c>
      <c r="AQ33" s="527">
        <f t="shared" si="7"/>
        <v>0</v>
      </c>
      <c r="AR33" s="953">
        <f t="shared" si="8"/>
        <v>0</v>
      </c>
      <c r="AS33" s="953">
        <f t="shared" si="9"/>
        <v>0</v>
      </c>
      <c r="AT33" s="953">
        <f t="shared" si="10"/>
        <v>0</v>
      </c>
      <c r="AU33" s="953">
        <f t="shared" si="11"/>
        <v>0</v>
      </c>
      <c r="AV33" s="953">
        <f t="shared" si="12"/>
        <v>0</v>
      </c>
      <c r="AW33" s="16">
        <f t="shared" si="13"/>
        <v>0</v>
      </c>
      <c r="AX33" s="16">
        <f t="shared" si="14"/>
        <v>0</v>
      </c>
      <c r="AY33" s="16">
        <f t="shared" si="15"/>
        <v>0</v>
      </c>
      <c r="AZ33" s="16">
        <f t="shared" si="16"/>
        <v>0</v>
      </c>
      <c r="BA33" s="16">
        <f t="shared" si="17"/>
        <v>0</v>
      </c>
      <c r="BB33" s="1373">
        <f>IF(AB33,VLOOKUP(IF(ISNUMBER(MATCH(Overview!$B$14,useless_spell_races,0)),Overview!$B$14,"Other"),Constants!$P$89:$S$102,4,FALSE),IF(BB32&gt;0,BB32-1,0))</f>
        <v>0</v>
      </c>
    </row>
    <row r="34" spans="1:54" s="16" customFormat="1" x14ac:dyDescent="0.25">
      <c r="A34" s="982">
        <f>Rezone!J34</f>
        <v>32</v>
      </c>
      <c r="B34" s="16">
        <f>Construction!E34</f>
        <v>1000</v>
      </c>
      <c r="C34" s="26">
        <f ca="1">Production!K34</f>
        <v>39782</v>
      </c>
      <c r="D34" s="62">
        <f>MIN(1,D33+0.04+ROUNDDOWN(10*Military!BN33,0)+MAX(Techs!AN33,Techs!AW33*3))-AE34</f>
        <v>1</v>
      </c>
      <c r="E34" s="530">
        <f>Imps!L34</f>
        <v>43768.322916666591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AB34*VLOOKUP(IF(ISNUMBER(MATCH(Overview!$B$14,useless_spell_races,0)),Overview!$B$14,"Other"),Constants!$P$89:$S$102,3,FALSE))</f>
        <v>0</v>
      </c>
      <c r="AE34" s="62">
        <f t="shared" si="23"/>
        <v>0</v>
      </c>
      <c r="AG34" s="633">
        <f t="shared" si="18"/>
        <v>0</v>
      </c>
      <c r="AH34" s="527">
        <f t="shared" si="19"/>
        <v>0</v>
      </c>
      <c r="AI34" s="527">
        <f t="shared" si="20"/>
        <v>0</v>
      </c>
      <c r="AJ34" s="527">
        <f t="shared" si="21"/>
        <v>0</v>
      </c>
      <c r="AK34" s="525">
        <f t="shared" si="22"/>
        <v>0</v>
      </c>
      <c r="AL34" s="527">
        <f t="shared" si="2"/>
        <v>0</v>
      </c>
      <c r="AM34" s="527">
        <f t="shared" si="3"/>
        <v>0</v>
      </c>
      <c r="AN34" s="527">
        <f t="shared" si="4"/>
        <v>0</v>
      </c>
      <c r="AO34" s="527">
        <f t="shared" si="5"/>
        <v>0</v>
      </c>
      <c r="AP34" s="527">
        <f t="shared" si="6"/>
        <v>0</v>
      </c>
      <c r="AQ34" s="527">
        <f t="shared" si="7"/>
        <v>0</v>
      </c>
      <c r="AR34" s="953">
        <f t="shared" si="8"/>
        <v>0</v>
      </c>
      <c r="AS34" s="953">
        <f t="shared" si="9"/>
        <v>0</v>
      </c>
      <c r="AT34" s="953">
        <f t="shared" si="10"/>
        <v>0</v>
      </c>
      <c r="AU34" s="953">
        <f t="shared" si="11"/>
        <v>0</v>
      </c>
      <c r="AV34" s="953">
        <f t="shared" si="12"/>
        <v>0</v>
      </c>
      <c r="AW34" s="16">
        <f t="shared" si="13"/>
        <v>0</v>
      </c>
      <c r="AX34" s="16">
        <f t="shared" si="14"/>
        <v>0</v>
      </c>
      <c r="AY34" s="16">
        <f t="shared" si="15"/>
        <v>0</v>
      </c>
      <c r="AZ34" s="16">
        <f t="shared" si="16"/>
        <v>0</v>
      </c>
      <c r="BA34" s="16">
        <f t="shared" si="17"/>
        <v>0</v>
      </c>
      <c r="BB34" s="1373">
        <f>IF(AB34,VLOOKUP(IF(ISNUMBER(MATCH(Overview!$B$14,useless_spell_races,0)),Overview!$B$14,"Other"),Constants!$P$89:$S$102,4,FALSE),IF(BB33&gt;0,BB33-1,0))</f>
        <v>0</v>
      </c>
    </row>
    <row r="35" spans="1:54" s="16" customFormat="1" x14ac:dyDescent="0.25">
      <c r="A35" s="982">
        <f>Rezone!J35</f>
        <v>33</v>
      </c>
      <c r="B35" s="16">
        <f>Construction!E35</f>
        <v>1000</v>
      </c>
      <c r="C35" s="26">
        <f ca="1">Production!K35</f>
        <v>40236</v>
      </c>
      <c r="D35" s="62">
        <f>MIN(1,D34+0.04+ROUNDDOWN(10*Military!BN34,0)+MAX(Techs!AN34,Techs!AW34*3))-AE35</f>
        <v>1</v>
      </c>
      <c r="E35" s="530">
        <f>Imps!L35</f>
        <v>43768.333333333256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AB35*VLOOKUP(IF(ISNUMBER(MATCH(Overview!$B$14,useless_spell_races,0)),Overview!$B$14,"Other"),Constants!$P$89:$S$102,3,FALSE))</f>
        <v>0</v>
      </c>
      <c r="AE35" s="62">
        <f t="shared" si="23"/>
        <v>0</v>
      </c>
      <c r="AG35" s="633">
        <f t="shared" si="18"/>
        <v>0</v>
      </c>
      <c r="AH35" s="527">
        <f t="shared" si="19"/>
        <v>0</v>
      </c>
      <c r="AI35" s="527">
        <f t="shared" si="20"/>
        <v>0</v>
      </c>
      <c r="AJ35" s="527">
        <f t="shared" si="21"/>
        <v>0</v>
      </c>
      <c r="AK35" s="525">
        <f t="shared" si="22"/>
        <v>0</v>
      </c>
      <c r="AL35" s="527">
        <f t="shared" si="2"/>
        <v>0</v>
      </c>
      <c r="AM35" s="527">
        <f t="shared" si="3"/>
        <v>0</v>
      </c>
      <c r="AN35" s="527">
        <f t="shared" si="4"/>
        <v>0</v>
      </c>
      <c r="AO35" s="527">
        <f t="shared" si="5"/>
        <v>0</v>
      </c>
      <c r="AP35" s="527">
        <f t="shared" si="6"/>
        <v>0</v>
      </c>
      <c r="AQ35" s="527">
        <f t="shared" si="7"/>
        <v>0</v>
      </c>
      <c r="AR35" s="953">
        <f t="shared" si="8"/>
        <v>0</v>
      </c>
      <c r="AS35" s="953">
        <f t="shared" si="9"/>
        <v>0</v>
      </c>
      <c r="AT35" s="953">
        <f t="shared" si="10"/>
        <v>0</v>
      </c>
      <c r="AU35" s="953">
        <f t="shared" si="11"/>
        <v>0</v>
      </c>
      <c r="AV35" s="953">
        <f t="shared" si="12"/>
        <v>0</v>
      </c>
      <c r="AW35" s="16">
        <f t="shared" si="13"/>
        <v>0</v>
      </c>
      <c r="AX35" s="16">
        <f t="shared" si="14"/>
        <v>0</v>
      </c>
      <c r="AY35" s="16">
        <f t="shared" si="15"/>
        <v>0</v>
      </c>
      <c r="AZ35" s="16">
        <f t="shared" si="16"/>
        <v>0</v>
      </c>
      <c r="BA35" s="16">
        <f t="shared" si="17"/>
        <v>0</v>
      </c>
      <c r="BB35" s="1373">
        <f>IF(AB35,VLOOKUP(IF(ISNUMBER(MATCH(Overview!$B$14,useless_spell_races,0)),Overview!$B$14,"Other"),Constants!$P$89:$S$102,4,FALSE),IF(BB34&gt;0,BB34-1,0))</f>
        <v>0</v>
      </c>
    </row>
    <row r="36" spans="1:54" s="16" customFormat="1" x14ac:dyDescent="0.25">
      <c r="A36" s="982">
        <f>Rezone!J36</f>
        <v>34</v>
      </c>
      <c r="B36" s="16">
        <f>Construction!E36</f>
        <v>1000</v>
      </c>
      <c r="C36" s="26">
        <f ca="1">Production!K36</f>
        <v>40681</v>
      </c>
      <c r="D36" s="62">
        <f>MIN(1,D35+0.04+ROUNDDOWN(10*Military!BN35,0)+MAX(Techs!AN35,Techs!AW35*3))-AE36</f>
        <v>1</v>
      </c>
      <c r="E36" s="530">
        <f>Imps!L36</f>
        <v>43768.34374999992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AB36*VLOOKUP(IF(ISNUMBER(MATCH(Overview!$B$14,useless_spell_races,0)),Overview!$B$14,"Other"),Constants!$P$89:$S$102,3,FALSE))</f>
        <v>0</v>
      </c>
      <c r="AE36" s="62">
        <f t="shared" si="23"/>
        <v>0</v>
      </c>
      <c r="AG36" s="633">
        <f t="shared" si="18"/>
        <v>0</v>
      </c>
      <c r="AH36" s="527">
        <f t="shared" si="19"/>
        <v>0</v>
      </c>
      <c r="AI36" s="527">
        <f t="shared" si="20"/>
        <v>0</v>
      </c>
      <c r="AJ36" s="527">
        <f t="shared" si="21"/>
        <v>0</v>
      </c>
      <c r="AK36" s="525">
        <f t="shared" si="22"/>
        <v>0</v>
      </c>
      <c r="AL36" s="527">
        <f t="shared" ref="AL36:AL67" si="24">IF(L36,dwarf_spell_time,IF(AL35&gt;0,AL35-1,0))</f>
        <v>0</v>
      </c>
      <c r="AM36" s="527">
        <f t="shared" ref="AM36:AM67" si="25">IF(M36,halfling_spell_time,IF(AM35&gt;0,AM35-1,0))</f>
        <v>0</v>
      </c>
      <c r="AN36" s="527">
        <f t="shared" ref="AN36:AN67" si="26">IF(N36,sylvan_spell_time,IF(AN35&gt;0,AN35-1,0))</f>
        <v>0</v>
      </c>
      <c r="AO36" s="527">
        <f t="shared" ref="AO36:AO67" si="27">IF(O36,woodelf_spell_time,IF(AO35&gt;0,AO35-1,0))</f>
        <v>0</v>
      </c>
      <c r="AP36" s="527">
        <f t="shared" ref="AP36:AP67" si="28">IF(P36,kobold_spell_time,IF(AP35&gt;0,AP35-1,0))</f>
        <v>0</v>
      </c>
      <c r="AQ36" s="527">
        <f t="shared" ref="AQ36:AQ67" si="29">IF(Q36,icekin_spell_time,IF(AQ35&gt;0,AQ35-1,0))</f>
        <v>0</v>
      </c>
      <c r="AR36" s="953">
        <f t="shared" ref="AR36:AR67" si="30">IF(R36,firewalker_spell_time,IF(AR35&gt;0,AR35-1,0))</f>
        <v>0</v>
      </c>
      <c r="AS36" s="953">
        <f t="shared" ref="AS36:AS67" si="31">IF(S36,nox_spell_time,IF(AS35&gt;0,AS35-1,0))</f>
        <v>0</v>
      </c>
      <c r="AT36" s="953">
        <f t="shared" ref="AT36:AT67" si="32">IF(T36,human_spell_time,IF(AT35&gt;0,AT35-1,0))</f>
        <v>0</v>
      </c>
      <c r="AU36" s="953">
        <f t="shared" ref="AU36:AU67" si="33">IF(U36,goblin_spell_time,IF(AU35&gt;0,AU35-1,0))</f>
        <v>0</v>
      </c>
      <c r="AV36" s="953">
        <f t="shared" ref="AV36:AV67" si="34">IF(V36,orc_spell_time,IF(AV35&gt;0,AV35-1,0))</f>
        <v>0</v>
      </c>
      <c r="AW36" s="16">
        <f t="shared" ref="AW36:AW67" si="35">IF(W36,ants_spell_time,IF(AW35&gt;0,AW35-1,0))</f>
        <v>0</v>
      </c>
      <c r="AX36" s="16">
        <f t="shared" ref="AX36:AX67" si="36">IF(X36,armada_spell_time,IF(AX35&gt;0,AX35-1,0))</f>
        <v>0</v>
      </c>
      <c r="AY36" s="16">
        <f t="shared" ref="AY36:AY67" si="37">IF(Y36,lux_spell_time,IF(AY35&gt;0,AY35-1,0))</f>
        <v>0</v>
      </c>
      <c r="AZ36" s="16">
        <f t="shared" ref="AZ36:AZ67" si="38">IF(Z36,growth_spell_time,IF(AZ35&gt;0,AZ35-1,0))</f>
        <v>0</v>
      </c>
      <c r="BA36" s="16">
        <f t="shared" ref="BA36:BA67" si="39">IF(AA36,impgnome_spell_time,IF(BA35&gt;0,BA35-1,0))</f>
        <v>0</v>
      </c>
      <c r="BB36" s="1373">
        <f>IF(AB36,VLOOKUP(IF(ISNUMBER(MATCH(Overview!$B$14,useless_spell_races,0)),Overview!$B$14,"Other"),Constants!$P$89:$S$102,4,FALSE),IF(BB35&gt;0,BB35-1,0))</f>
        <v>0</v>
      </c>
    </row>
    <row r="37" spans="1:54" s="16" customFormat="1" x14ac:dyDescent="0.25">
      <c r="A37" s="982">
        <f>Rezone!J37</f>
        <v>35</v>
      </c>
      <c r="B37" s="16">
        <f>Construction!E37</f>
        <v>1000</v>
      </c>
      <c r="C37" s="26">
        <f ca="1">Production!K37</f>
        <v>41117</v>
      </c>
      <c r="D37" s="62">
        <f>MIN(1,D36+0.04+ROUNDDOWN(10*Military!BN36,0)+MAX(Techs!AN36,Techs!AW36*3))-AE37</f>
        <v>1</v>
      </c>
      <c r="E37" s="530">
        <f>Imps!L37</f>
        <v>43768.354166666584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AB37*VLOOKUP(IF(ISNUMBER(MATCH(Overview!$B$14,useless_spell_races,0)),Overview!$B$14,"Other"),Constants!$P$89:$S$102,3,FALSE))</f>
        <v>0</v>
      </c>
      <c r="AE37" s="62">
        <f t="shared" si="23"/>
        <v>0</v>
      </c>
      <c r="AG37" s="633">
        <f t="shared" si="18"/>
        <v>0</v>
      </c>
      <c r="AH37" s="527">
        <f t="shared" si="19"/>
        <v>0</v>
      </c>
      <c r="AI37" s="527">
        <f t="shared" si="20"/>
        <v>0</v>
      </c>
      <c r="AJ37" s="527">
        <f t="shared" si="21"/>
        <v>0</v>
      </c>
      <c r="AK37" s="525">
        <f t="shared" si="22"/>
        <v>0</v>
      </c>
      <c r="AL37" s="527">
        <f t="shared" si="24"/>
        <v>0</v>
      </c>
      <c r="AM37" s="527">
        <f t="shared" si="25"/>
        <v>0</v>
      </c>
      <c r="AN37" s="527">
        <f t="shared" si="26"/>
        <v>0</v>
      </c>
      <c r="AO37" s="527">
        <f t="shared" si="27"/>
        <v>0</v>
      </c>
      <c r="AP37" s="527">
        <f t="shared" si="28"/>
        <v>0</v>
      </c>
      <c r="AQ37" s="527">
        <f t="shared" si="29"/>
        <v>0</v>
      </c>
      <c r="AR37" s="953">
        <f t="shared" si="30"/>
        <v>0</v>
      </c>
      <c r="AS37" s="953">
        <f t="shared" si="31"/>
        <v>0</v>
      </c>
      <c r="AT37" s="953">
        <f t="shared" si="32"/>
        <v>0</v>
      </c>
      <c r="AU37" s="953">
        <f t="shared" si="33"/>
        <v>0</v>
      </c>
      <c r="AV37" s="953">
        <f t="shared" si="34"/>
        <v>0</v>
      </c>
      <c r="AW37" s="16">
        <f t="shared" si="35"/>
        <v>0</v>
      </c>
      <c r="AX37" s="16">
        <f t="shared" si="36"/>
        <v>0</v>
      </c>
      <c r="AY37" s="16">
        <f t="shared" si="37"/>
        <v>0</v>
      </c>
      <c r="AZ37" s="16">
        <f t="shared" si="38"/>
        <v>0</v>
      </c>
      <c r="BA37" s="16">
        <f t="shared" si="39"/>
        <v>0</v>
      </c>
      <c r="BB37" s="1373">
        <f>IF(AB37,VLOOKUP(IF(ISNUMBER(MATCH(Overview!$B$14,useless_spell_races,0)),Overview!$B$14,"Other"),Constants!$P$89:$S$102,4,FALSE),IF(BB36&gt;0,BB36-1,0))</f>
        <v>0</v>
      </c>
    </row>
    <row r="38" spans="1:54" s="16" customFormat="1" x14ac:dyDescent="0.25">
      <c r="A38" s="982">
        <f>Rezone!J38</f>
        <v>36</v>
      </c>
      <c r="B38" s="16">
        <f>Construction!E38</f>
        <v>1000</v>
      </c>
      <c r="C38" s="26">
        <f ca="1">Production!K38</f>
        <v>41545</v>
      </c>
      <c r="D38" s="62">
        <f>MIN(1,D37+0.04+ROUNDDOWN(10*Military!BN37,0)+MAX(Techs!AN37,Techs!AW37*3))-AE38</f>
        <v>1</v>
      </c>
      <c r="E38" s="530">
        <f>Imps!L38</f>
        <v>43768.364583333248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AB38*VLOOKUP(IF(ISNUMBER(MATCH(Overview!$B$14,useless_spell_races,0)),Overview!$B$14,"Other"),Constants!$P$89:$S$102,3,FALSE))</f>
        <v>0</v>
      </c>
      <c r="AE38" s="62">
        <f t="shared" si="23"/>
        <v>0</v>
      </c>
      <c r="AG38" s="633">
        <f t="shared" si="18"/>
        <v>0</v>
      </c>
      <c r="AH38" s="527">
        <f t="shared" si="19"/>
        <v>0</v>
      </c>
      <c r="AI38" s="527">
        <f t="shared" si="20"/>
        <v>0</v>
      </c>
      <c r="AJ38" s="527">
        <f t="shared" si="21"/>
        <v>0</v>
      </c>
      <c r="AK38" s="525">
        <f t="shared" si="22"/>
        <v>0</v>
      </c>
      <c r="AL38" s="527">
        <f t="shared" si="24"/>
        <v>0</v>
      </c>
      <c r="AM38" s="527">
        <f t="shared" si="25"/>
        <v>0</v>
      </c>
      <c r="AN38" s="527">
        <f t="shared" si="26"/>
        <v>0</v>
      </c>
      <c r="AO38" s="527">
        <f t="shared" si="27"/>
        <v>0</v>
      </c>
      <c r="AP38" s="527">
        <f t="shared" si="28"/>
        <v>0</v>
      </c>
      <c r="AQ38" s="527">
        <f t="shared" si="29"/>
        <v>0</v>
      </c>
      <c r="AR38" s="953">
        <f t="shared" si="30"/>
        <v>0</v>
      </c>
      <c r="AS38" s="953">
        <f t="shared" si="31"/>
        <v>0</v>
      </c>
      <c r="AT38" s="953">
        <f t="shared" si="32"/>
        <v>0</v>
      </c>
      <c r="AU38" s="953">
        <f t="shared" si="33"/>
        <v>0</v>
      </c>
      <c r="AV38" s="953">
        <f t="shared" si="34"/>
        <v>0</v>
      </c>
      <c r="AW38" s="16">
        <f t="shared" si="35"/>
        <v>0</v>
      </c>
      <c r="AX38" s="16">
        <f t="shared" si="36"/>
        <v>0</v>
      </c>
      <c r="AY38" s="16">
        <f t="shared" si="37"/>
        <v>0</v>
      </c>
      <c r="AZ38" s="16">
        <f t="shared" si="38"/>
        <v>0</v>
      </c>
      <c r="BA38" s="16">
        <f t="shared" si="39"/>
        <v>0</v>
      </c>
      <c r="BB38" s="1373">
        <f>IF(AB38,VLOOKUP(IF(ISNUMBER(MATCH(Overview!$B$14,useless_spell_races,0)),Overview!$B$14,"Other"),Constants!$P$89:$S$102,4,FALSE),IF(BB37&gt;0,BB37-1,0))</f>
        <v>0</v>
      </c>
    </row>
    <row r="39" spans="1:54" s="12" customFormat="1" x14ac:dyDescent="0.25">
      <c r="A39" s="985">
        <f>Rezone!J39</f>
        <v>37</v>
      </c>
      <c r="B39" s="12">
        <f>Construction!E39</f>
        <v>1000</v>
      </c>
      <c r="C39" s="13">
        <f ca="1">Production!K39</f>
        <v>41964</v>
      </c>
      <c r="D39" s="61">
        <f>MIN(1,D38+0.04+ROUNDDOWN(10*Military!BN38,0)+MAX(Techs!AN38,Techs!AW38*3))-AE39</f>
        <v>1</v>
      </c>
      <c r="E39" s="531">
        <f>Imps!L39</f>
        <v>43768.374999999913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AB39*VLOOKUP(IF(ISNUMBER(MATCH(Overview!$B$14,useless_spell_races,0)),Overview!$B$14,"Other"),Constants!$P$89:$S$102,3,FALSE))</f>
        <v>0</v>
      </c>
      <c r="AE39" s="61">
        <f t="shared" si="23"/>
        <v>0</v>
      </c>
      <c r="AG39" s="751">
        <f t="shared" si="18"/>
        <v>0</v>
      </c>
      <c r="AH39" s="629">
        <f t="shared" si="19"/>
        <v>0</v>
      </c>
      <c r="AI39" s="629">
        <f t="shared" si="20"/>
        <v>0</v>
      </c>
      <c r="AJ39" s="629">
        <f t="shared" si="21"/>
        <v>0</v>
      </c>
      <c r="AK39" s="549">
        <f t="shared" si="22"/>
        <v>0</v>
      </c>
      <c r="AL39" s="629">
        <f t="shared" si="24"/>
        <v>0</v>
      </c>
      <c r="AM39" s="629">
        <f t="shared" si="25"/>
        <v>0</v>
      </c>
      <c r="AN39" s="629">
        <f t="shared" si="26"/>
        <v>0</v>
      </c>
      <c r="AO39" s="629">
        <f t="shared" si="27"/>
        <v>0</v>
      </c>
      <c r="AP39" s="629">
        <f t="shared" si="28"/>
        <v>0</v>
      </c>
      <c r="AQ39" s="629">
        <f t="shared" si="29"/>
        <v>0</v>
      </c>
      <c r="AR39" s="800">
        <f t="shared" si="30"/>
        <v>0</v>
      </c>
      <c r="AS39" s="800">
        <f t="shared" si="31"/>
        <v>0</v>
      </c>
      <c r="AT39" s="800">
        <f t="shared" si="32"/>
        <v>0</v>
      </c>
      <c r="AU39" s="800">
        <f t="shared" si="33"/>
        <v>0</v>
      </c>
      <c r="AV39" s="800">
        <f t="shared" si="34"/>
        <v>0</v>
      </c>
      <c r="AW39" s="12">
        <f t="shared" si="35"/>
        <v>0</v>
      </c>
      <c r="AX39" s="12">
        <f t="shared" si="36"/>
        <v>0</v>
      </c>
      <c r="AY39" s="12">
        <f t="shared" si="37"/>
        <v>0</v>
      </c>
      <c r="AZ39" s="12">
        <f t="shared" si="38"/>
        <v>0</v>
      </c>
      <c r="BA39" s="12">
        <f t="shared" si="39"/>
        <v>0</v>
      </c>
      <c r="BB39" s="1376">
        <f>IF(AB39,VLOOKUP(IF(ISNUMBER(MATCH(Overview!$B$14,useless_spell_races,0)),Overview!$B$14,"Other"),Constants!$P$89:$S$102,4,FALSE),IF(BB38&gt;0,BB38-1,0))</f>
        <v>0</v>
      </c>
    </row>
    <row r="40" spans="1:54" s="15" customFormat="1" x14ac:dyDescent="0.25">
      <c r="A40" s="999">
        <f>Rezone!J40</f>
        <v>38</v>
      </c>
      <c r="B40" s="15">
        <f>Construction!E40</f>
        <v>1000</v>
      </c>
      <c r="C40" s="23">
        <f ca="1">Production!K40</f>
        <v>42375</v>
      </c>
      <c r="D40" s="62">
        <f>MIN(1,D39+0.04+ROUNDDOWN(10*Military!BN39,0)+MAX(Techs!AN39,Techs!AW39*3))-AE40</f>
        <v>1</v>
      </c>
      <c r="E40" s="530">
        <f>Imps!L40</f>
        <v>43768.385416666577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AB40*VLOOKUP(IF(ISNUMBER(MATCH(Overview!$B$14,useless_spell_races,0)),Overview!$B$14,"Other"),Constants!$P$89:$S$102,3,FALSE))</f>
        <v>0</v>
      </c>
      <c r="AE40" s="101">
        <f t="shared" si="23"/>
        <v>0</v>
      </c>
      <c r="AF40" s="16"/>
      <c r="AG40" s="752">
        <f t="shared" si="18"/>
        <v>0</v>
      </c>
      <c r="AH40" s="630">
        <f t="shared" si="19"/>
        <v>0</v>
      </c>
      <c r="AI40" s="630">
        <f t="shared" si="20"/>
        <v>0</v>
      </c>
      <c r="AJ40" s="630">
        <f t="shared" si="21"/>
        <v>0</v>
      </c>
      <c r="AK40" s="526">
        <f t="shared" si="22"/>
        <v>0</v>
      </c>
      <c r="AL40" s="630">
        <f t="shared" si="24"/>
        <v>0</v>
      </c>
      <c r="AM40" s="630">
        <f t="shared" si="25"/>
        <v>0</v>
      </c>
      <c r="AN40" s="630">
        <f t="shared" si="26"/>
        <v>0</v>
      </c>
      <c r="AO40" s="630">
        <f t="shared" si="27"/>
        <v>0</v>
      </c>
      <c r="AP40" s="630">
        <f t="shared" si="28"/>
        <v>0</v>
      </c>
      <c r="AQ40" s="630">
        <f t="shared" si="29"/>
        <v>0</v>
      </c>
      <c r="AR40" s="953">
        <f t="shared" si="30"/>
        <v>0</v>
      </c>
      <c r="AS40" s="953">
        <f t="shared" si="31"/>
        <v>0</v>
      </c>
      <c r="AT40" s="953">
        <f t="shared" si="32"/>
        <v>0</v>
      </c>
      <c r="AU40" s="953">
        <f t="shared" si="33"/>
        <v>0</v>
      </c>
      <c r="AV40" s="953">
        <f t="shared" si="34"/>
        <v>0</v>
      </c>
      <c r="AW40" s="15">
        <f t="shared" si="35"/>
        <v>0</v>
      </c>
      <c r="AX40" s="15">
        <f t="shared" si="36"/>
        <v>0</v>
      </c>
      <c r="AY40" s="15">
        <f t="shared" si="37"/>
        <v>0</v>
      </c>
      <c r="AZ40" s="15">
        <f t="shared" si="38"/>
        <v>0</v>
      </c>
      <c r="BA40" s="15">
        <f t="shared" si="39"/>
        <v>0</v>
      </c>
      <c r="BB40" s="1377">
        <f>IF(AB40,VLOOKUP(IF(ISNUMBER(MATCH(Overview!$B$14,useless_spell_races,0)),Overview!$B$14,"Other"),Constants!$P$89:$S$102,4,FALSE),IF(BB39&gt;0,BB39-1,0))</f>
        <v>0</v>
      </c>
    </row>
    <row r="41" spans="1:54" s="16" customFormat="1" x14ac:dyDescent="0.25">
      <c r="A41" s="982">
        <f>Rezone!J41</f>
        <v>39</v>
      </c>
      <c r="B41" s="16">
        <f>Construction!E41</f>
        <v>1000</v>
      </c>
      <c r="C41" s="26">
        <f ca="1">Production!K41</f>
        <v>42778</v>
      </c>
      <c r="D41" s="62">
        <f>MIN(1,D40+0.04+ROUNDDOWN(10*Military!BN40,0)+MAX(Techs!AN40,Techs!AW40*3))-AE41</f>
        <v>1</v>
      </c>
      <c r="E41" s="530">
        <f>Imps!L41</f>
        <v>43768.395833333241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AB41*VLOOKUP(IF(ISNUMBER(MATCH(Overview!$B$14,useless_spell_races,0)),Overview!$B$14,"Other"),Constants!$P$89:$S$102,3,FALSE))</f>
        <v>0</v>
      </c>
      <c r="AE41" s="62">
        <f t="shared" si="23"/>
        <v>0</v>
      </c>
      <c r="AG41" s="633">
        <f t="shared" si="18"/>
        <v>0</v>
      </c>
      <c r="AH41" s="527">
        <f t="shared" si="19"/>
        <v>0</v>
      </c>
      <c r="AI41" s="527">
        <f t="shared" si="20"/>
        <v>0</v>
      </c>
      <c r="AJ41" s="527">
        <f t="shared" si="21"/>
        <v>0</v>
      </c>
      <c r="AK41" s="525">
        <f t="shared" si="22"/>
        <v>0</v>
      </c>
      <c r="AL41" s="527">
        <f t="shared" si="24"/>
        <v>0</v>
      </c>
      <c r="AM41" s="527">
        <f t="shared" si="25"/>
        <v>0</v>
      </c>
      <c r="AN41" s="527">
        <f t="shared" si="26"/>
        <v>0</v>
      </c>
      <c r="AO41" s="527">
        <f t="shared" si="27"/>
        <v>0</v>
      </c>
      <c r="AP41" s="527">
        <f t="shared" si="28"/>
        <v>0</v>
      </c>
      <c r="AQ41" s="527">
        <f t="shared" si="29"/>
        <v>0</v>
      </c>
      <c r="AR41" s="953">
        <f t="shared" si="30"/>
        <v>0</v>
      </c>
      <c r="AS41" s="953">
        <f t="shared" si="31"/>
        <v>0</v>
      </c>
      <c r="AT41" s="953">
        <f t="shared" si="32"/>
        <v>0</v>
      </c>
      <c r="AU41" s="953">
        <f t="shared" si="33"/>
        <v>0</v>
      </c>
      <c r="AV41" s="953">
        <f t="shared" si="34"/>
        <v>0</v>
      </c>
      <c r="AW41" s="16">
        <f t="shared" si="35"/>
        <v>0</v>
      </c>
      <c r="AX41" s="16">
        <f t="shared" si="36"/>
        <v>0</v>
      </c>
      <c r="AY41" s="16">
        <f t="shared" si="37"/>
        <v>0</v>
      </c>
      <c r="AZ41" s="16">
        <f t="shared" si="38"/>
        <v>0</v>
      </c>
      <c r="BA41" s="16">
        <f t="shared" si="39"/>
        <v>0</v>
      </c>
      <c r="BB41" s="1373">
        <f>IF(AB41,VLOOKUP(IF(ISNUMBER(MATCH(Overview!$B$14,useless_spell_races,0)),Overview!$B$14,"Other"),Constants!$P$89:$S$102,4,FALSE),IF(BB40&gt;0,BB40-1,0))</f>
        <v>0</v>
      </c>
    </row>
    <row r="42" spans="1:54" s="16" customFormat="1" x14ac:dyDescent="0.25">
      <c r="A42" s="982">
        <f>Rezone!J42</f>
        <v>40</v>
      </c>
      <c r="B42" s="16">
        <f>Construction!E42</f>
        <v>1000</v>
      </c>
      <c r="C42" s="26">
        <f ca="1">Production!K42</f>
        <v>43172</v>
      </c>
      <c r="D42" s="62">
        <f>MIN(1,D41+0.04+ROUNDDOWN(10*Military!BN41,0)+MAX(Techs!AN41,Techs!AW41*3))-AE42</f>
        <v>1</v>
      </c>
      <c r="E42" s="530">
        <f>Imps!L42</f>
        <v>43768.406249999905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AB42*VLOOKUP(IF(ISNUMBER(MATCH(Overview!$B$14,useless_spell_races,0)),Overview!$B$14,"Other"),Constants!$P$89:$S$102,3,FALSE))</f>
        <v>0</v>
      </c>
      <c r="AE42" s="62">
        <f t="shared" si="23"/>
        <v>0</v>
      </c>
      <c r="AG42" s="633">
        <f t="shared" si="18"/>
        <v>0</v>
      </c>
      <c r="AH42" s="527">
        <f t="shared" si="19"/>
        <v>0</v>
      </c>
      <c r="AI42" s="527">
        <f t="shared" si="20"/>
        <v>0</v>
      </c>
      <c r="AJ42" s="527">
        <f t="shared" si="21"/>
        <v>0</v>
      </c>
      <c r="AK42" s="525">
        <f t="shared" si="22"/>
        <v>0</v>
      </c>
      <c r="AL42" s="527">
        <f t="shared" si="24"/>
        <v>0</v>
      </c>
      <c r="AM42" s="527">
        <f t="shared" si="25"/>
        <v>0</v>
      </c>
      <c r="AN42" s="527">
        <f t="shared" si="26"/>
        <v>0</v>
      </c>
      <c r="AO42" s="527">
        <f t="shared" si="27"/>
        <v>0</v>
      </c>
      <c r="AP42" s="527">
        <f t="shared" si="28"/>
        <v>0</v>
      </c>
      <c r="AQ42" s="527">
        <f t="shared" si="29"/>
        <v>0</v>
      </c>
      <c r="AR42" s="953">
        <f t="shared" si="30"/>
        <v>0</v>
      </c>
      <c r="AS42" s="953">
        <f t="shared" si="31"/>
        <v>0</v>
      </c>
      <c r="AT42" s="953">
        <f t="shared" si="32"/>
        <v>0</v>
      </c>
      <c r="AU42" s="953">
        <f t="shared" si="33"/>
        <v>0</v>
      </c>
      <c r="AV42" s="953">
        <f t="shared" si="34"/>
        <v>0</v>
      </c>
      <c r="AW42" s="16">
        <f t="shared" si="35"/>
        <v>0</v>
      </c>
      <c r="AX42" s="16">
        <f t="shared" si="36"/>
        <v>0</v>
      </c>
      <c r="AY42" s="16">
        <f t="shared" si="37"/>
        <v>0</v>
      </c>
      <c r="AZ42" s="16">
        <f t="shared" si="38"/>
        <v>0</v>
      </c>
      <c r="BA42" s="16">
        <f t="shared" si="39"/>
        <v>0</v>
      </c>
      <c r="BB42" s="1373">
        <f>IF(AB42,VLOOKUP(IF(ISNUMBER(MATCH(Overview!$B$14,useless_spell_races,0)),Overview!$B$14,"Other"),Constants!$P$89:$S$102,4,FALSE),IF(BB41&gt;0,BB41-1,0))</f>
        <v>0</v>
      </c>
    </row>
    <row r="43" spans="1:54" s="16" customFormat="1" x14ac:dyDescent="0.25">
      <c r="A43" s="982">
        <f>Rezone!J43</f>
        <v>41</v>
      </c>
      <c r="B43" s="16">
        <f>Construction!E43</f>
        <v>1000</v>
      </c>
      <c r="C43" s="26">
        <f ca="1">Production!K43</f>
        <v>43559</v>
      </c>
      <c r="D43" s="62">
        <f>MIN(1,D42+0.04+ROUNDDOWN(10*Military!BN42,0)+MAX(Techs!AN42,Techs!AW42*3))-AE43</f>
        <v>1</v>
      </c>
      <c r="E43" s="530">
        <f>Imps!L43</f>
        <v>43768.41666666657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AB43*VLOOKUP(IF(ISNUMBER(MATCH(Overview!$B$14,useless_spell_races,0)),Overview!$B$14,"Other"),Constants!$P$89:$S$102,3,FALSE))</f>
        <v>0</v>
      </c>
      <c r="AE43" s="62">
        <f t="shared" si="23"/>
        <v>0</v>
      </c>
      <c r="AG43" s="633">
        <f t="shared" si="18"/>
        <v>0</v>
      </c>
      <c r="AH43" s="527">
        <f t="shared" si="19"/>
        <v>0</v>
      </c>
      <c r="AI43" s="527">
        <f t="shared" si="20"/>
        <v>0</v>
      </c>
      <c r="AJ43" s="527">
        <f t="shared" si="21"/>
        <v>0</v>
      </c>
      <c r="AK43" s="525">
        <f t="shared" si="22"/>
        <v>0</v>
      </c>
      <c r="AL43" s="527">
        <f t="shared" si="24"/>
        <v>0</v>
      </c>
      <c r="AM43" s="527">
        <f t="shared" si="25"/>
        <v>0</v>
      </c>
      <c r="AN43" s="527">
        <f t="shared" si="26"/>
        <v>0</v>
      </c>
      <c r="AO43" s="527">
        <f t="shared" si="27"/>
        <v>0</v>
      </c>
      <c r="AP43" s="527">
        <f t="shared" si="28"/>
        <v>0</v>
      </c>
      <c r="AQ43" s="527">
        <f t="shared" si="29"/>
        <v>0</v>
      </c>
      <c r="AR43" s="953">
        <f t="shared" si="30"/>
        <v>0</v>
      </c>
      <c r="AS43" s="953">
        <f t="shared" si="31"/>
        <v>0</v>
      </c>
      <c r="AT43" s="953">
        <f t="shared" si="32"/>
        <v>0</v>
      </c>
      <c r="AU43" s="953">
        <f t="shared" si="33"/>
        <v>0</v>
      </c>
      <c r="AV43" s="953">
        <f t="shared" si="34"/>
        <v>0</v>
      </c>
      <c r="AW43" s="16">
        <f t="shared" si="35"/>
        <v>0</v>
      </c>
      <c r="AX43" s="16">
        <f t="shared" si="36"/>
        <v>0</v>
      </c>
      <c r="AY43" s="16">
        <f t="shared" si="37"/>
        <v>0</v>
      </c>
      <c r="AZ43" s="16">
        <f t="shared" si="38"/>
        <v>0</v>
      </c>
      <c r="BA43" s="16">
        <f t="shared" si="39"/>
        <v>0</v>
      </c>
      <c r="BB43" s="1373">
        <f>IF(AB43,VLOOKUP(IF(ISNUMBER(MATCH(Overview!$B$14,useless_spell_races,0)),Overview!$B$14,"Other"),Constants!$P$89:$S$102,4,FALSE),IF(BB42&gt;0,BB42-1,0))</f>
        <v>0</v>
      </c>
    </row>
    <row r="44" spans="1:54" s="16" customFormat="1" x14ac:dyDescent="0.25">
      <c r="A44" s="982">
        <f>Rezone!J44</f>
        <v>42</v>
      </c>
      <c r="B44" s="16">
        <f>Construction!E44</f>
        <v>1000</v>
      </c>
      <c r="C44" s="26">
        <f ca="1">Production!K44</f>
        <v>43938</v>
      </c>
      <c r="D44" s="62">
        <f>MIN(1,D43+0.04+ROUNDDOWN(10*Military!BN43,0)+MAX(Techs!AN43,Techs!AW43*3))-AE44</f>
        <v>1</v>
      </c>
      <c r="E44" s="530">
        <f>Imps!L44</f>
        <v>43768.427083333234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AB44*VLOOKUP(IF(ISNUMBER(MATCH(Overview!$B$14,useless_spell_races,0)),Overview!$B$14,"Other"),Constants!$P$89:$S$102,3,FALSE))</f>
        <v>0</v>
      </c>
      <c r="AE44" s="62">
        <f t="shared" si="23"/>
        <v>0</v>
      </c>
      <c r="AG44" s="633">
        <f t="shared" si="18"/>
        <v>0</v>
      </c>
      <c r="AH44" s="527">
        <f t="shared" si="19"/>
        <v>0</v>
      </c>
      <c r="AI44" s="527">
        <f t="shared" si="20"/>
        <v>0</v>
      </c>
      <c r="AJ44" s="527">
        <f t="shared" si="21"/>
        <v>0</v>
      </c>
      <c r="AK44" s="525">
        <f t="shared" si="22"/>
        <v>0</v>
      </c>
      <c r="AL44" s="527">
        <f t="shared" si="24"/>
        <v>0</v>
      </c>
      <c r="AM44" s="527">
        <f t="shared" si="25"/>
        <v>0</v>
      </c>
      <c r="AN44" s="527">
        <f t="shared" si="26"/>
        <v>0</v>
      </c>
      <c r="AO44" s="527">
        <f t="shared" si="27"/>
        <v>0</v>
      </c>
      <c r="AP44" s="527">
        <f t="shared" si="28"/>
        <v>0</v>
      </c>
      <c r="AQ44" s="527">
        <f t="shared" si="29"/>
        <v>0</v>
      </c>
      <c r="AR44" s="953">
        <f t="shared" si="30"/>
        <v>0</v>
      </c>
      <c r="AS44" s="953">
        <f t="shared" si="31"/>
        <v>0</v>
      </c>
      <c r="AT44" s="953">
        <f t="shared" si="32"/>
        <v>0</v>
      </c>
      <c r="AU44" s="953">
        <f t="shared" si="33"/>
        <v>0</v>
      </c>
      <c r="AV44" s="953">
        <f t="shared" si="34"/>
        <v>0</v>
      </c>
      <c r="AW44" s="16">
        <f t="shared" si="35"/>
        <v>0</v>
      </c>
      <c r="AX44" s="16">
        <f t="shared" si="36"/>
        <v>0</v>
      </c>
      <c r="AY44" s="16">
        <f t="shared" si="37"/>
        <v>0</v>
      </c>
      <c r="AZ44" s="16">
        <f t="shared" si="38"/>
        <v>0</v>
      </c>
      <c r="BA44" s="16">
        <f t="shared" si="39"/>
        <v>0</v>
      </c>
      <c r="BB44" s="1373">
        <f>IF(AB44,VLOOKUP(IF(ISNUMBER(MATCH(Overview!$B$14,useless_spell_races,0)),Overview!$B$14,"Other"),Constants!$P$89:$S$102,4,FALSE),IF(BB43&gt;0,BB43-1,0))</f>
        <v>0</v>
      </c>
    </row>
    <row r="45" spans="1:54" s="16" customFormat="1" x14ac:dyDescent="0.25">
      <c r="A45" s="982">
        <f>Rezone!J45</f>
        <v>43</v>
      </c>
      <c r="B45" s="16">
        <f>Construction!E45</f>
        <v>1000</v>
      </c>
      <c r="C45" s="26">
        <f ca="1">Production!K45</f>
        <v>44309</v>
      </c>
      <c r="D45" s="62">
        <f>MIN(1,D44+0.04+ROUNDDOWN(10*Military!BN44,0)+MAX(Techs!AN44,Techs!AW44*3))-AE45</f>
        <v>1</v>
      </c>
      <c r="E45" s="530">
        <f>Imps!L45</f>
        <v>43768.437499999898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AB45*VLOOKUP(IF(ISNUMBER(MATCH(Overview!$B$14,useless_spell_races,0)),Overview!$B$14,"Other"),Constants!$P$89:$S$102,3,FALSE))</f>
        <v>0</v>
      </c>
      <c r="AE45" s="62">
        <f t="shared" si="23"/>
        <v>0</v>
      </c>
      <c r="AG45" s="633">
        <f t="shared" si="18"/>
        <v>0</v>
      </c>
      <c r="AH45" s="527">
        <f t="shared" si="19"/>
        <v>0</v>
      </c>
      <c r="AI45" s="527">
        <f t="shared" si="20"/>
        <v>0</v>
      </c>
      <c r="AJ45" s="527">
        <f t="shared" si="21"/>
        <v>0</v>
      </c>
      <c r="AK45" s="525">
        <f t="shared" si="22"/>
        <v>0</v>
      </c>
      <c r="AL45" s="527">
        <f t="shared" si="24"/>
        <v>0</v>
      </c>
      <c r="AM45" s="527">
        <f t="shared" si="25"/>
        <v>0</v>
      </c>
      <c r="AN45" s="527">
        <f t="shared" si="26"/>
        <v>0</v>
      </c>
      <c r="AO45" s="527">
        <f t="shared" si="27"/>
        <v>0</v>
      </c>
      <c r="AP45" s="527">
        <f t="shared" si="28"/>
        <v>0</v>
      </c>
      <c r="AQ45" s="527">
        <f t="shared" si="29"/>
        <v>0</v>
      </c>
      <c r="AR45" s="953">
        <f t="shared" si="30"/>
        <v>0</v>
      </c>
      <c r="AS45" s="953">
        <f t="shared" si="31"/>
        <v>0</v>
      </c>
      <c r="AT45" s="953">
        <f t="shared" si="32"/>
        <v>0</v>
      </c>
      <c r="AU45" s="953">
        <f t="shared" si="33"/>
        <v>0</v>
      </c>
      <c r="AV45" s="953">
        <f t="shared" si="34"/>
        <v>0</v>
      </c>
      <c r="AW45" s="16">
        <f t="shared" si="35"/>
        <v>0</v>
      </c>
      <c r="AX45" s="16">
        <f t="shared" si="36"/>
        <v>0</v>
      </c>
      <c r="AY45" s="16">
        <f t="shared" si="37"/>
        <v>0</v>
      </c>
      <c r="AZ45" s="16">
        <f t="shared" si="38"/>
        <v>0</v>
      </c>
      <c r="BA45" s="16">
        <f t="shared" si="39"/>
        <v>0</v>
      </c>
      <c r="BB45" s="1373">
        <f>IF(AB45,VLOOKUP(IF(ISNUMBER(MATCH(Overview!$B$14,useless_spell_races,0)),Overview!$B$14,"Other"),Constants!$P$89:$S$102,4,FALSE),IF(BB44&gt;0,BB44-1,0))</f>
        <v>0</v>
      </c>
    </row>
    <row r="46" spans="1:54" s="16" customFormat="1" x14ac:dyDescent="0.25">
      <c r="A46" s="982">
        <f>Rezone!J46</f>
        <v>44</v>
      </c>
      <c r="B46" s="16">
        <f>Construction!E46</f>
        <v>1000</v>
      </c>
      <c r="C46" s="26">
        <f ca="1">Production!K46</f>
        <v>44673</v>
      </c>
      <c r="D46" s="62">
        <f>MIN(1,D45+0.04+ROUNDDOWN(10*Military!BN45,0)+MAX(Techs!AN45,Techs!AW45*3))-AE46</f>
        <v>1</v>
      </c>
      <c r="E46" s="530">
        <f>Imps!L46</f>
        <v>43768.447916666562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AB46*VLOOKUP(IF(ISNUMBER(MATCH(Overview!$B$14,useless_spell_races,0)),Overview!$B$14,"Other"),Constants!$P$89:$S$102,3,FALSE))</f>
        <v>0</v>
      </c>
      <c r="AE46" s="62">
        <f t="shared" si="23"/>
        <v>0</v>
      </c>
      <c r="AG46" s="633">
        <f t="shared" si="18"/>
        <v>0</v>
      </c>
      <c r="AH46" s="527">
        <f t="shared" si="19"/>
        <v>0</v>
      </c>
      <c r="AI46" s="527">
        <f t="shared" si="20"/>
        <v>0</v>
      </c>
      <c r="AJ46" s="527">
        <f t="shared" si="21"/>
        <v>0</v>
      </c>
      <c r="AK46" s="525">
        <f t="shared" si="22"/>
        <v>0</v>
      </c>
      <c r="AL46" s="527">
        <f t="shared" si="24"/>
        <v>0</v>
      </c>
      <c r="AM46" s="527">
        <f t="shared" si="25"/>
        <v>0</v>
      </c>
      <c r="AN46" s="527">
        <f t="shared" si="26"/>
        <v>0</v>
      </c>
      <c r="AO46" s="527">
        <f t="shared" si="27"/>
        <v>0</v>
      </c>
      <c r="AP46" s="527">
        <f t="shared" si="28"/>
        <v>0</v>
      </c>
      <c r="AQ46" s="527">
        <f t="shared" si="29"/>
        <v>0</v>
      </c>
      <c r="AR46" s="953">
        <f t="shared" si="30"/>
        <v>0</v>
      </c>
      <c r="AS46" s="953">
        <f t="shared" si="31"/>
        <v>0</v>
      </c>
      <c r="AT46" s="953">
        <f t="shared" si="32"/>
        <v>0</v>
      </c>
      <c r="AU46" s="953">
        <f t="shared" si="33"/>
        <v>0</v>
      </c>
      <c r="AV46" s="953">
        <f t="shared" si="34"/>
        <v>0</v>
      </c>
      <c r="AW46" s="16">
        <f t="shared" si="35"/>
        <v>0</v>
      </c>
      <c r="AX46" s="16">
        <f t="shared" si="36"/>
        <v>0</v>
      </c>
      <c r="AY46" s="16">
        <f t="shared" si="37"/>
        <v>0</v>
      </c>
      <c r="AZ46" s="16">
        <f t="shared" si="38"/>
        <v>0</v>
      </c>
      <c r="BA46" s="16">
        <f t="shared" si="39"/>
        <v>0</v>
      </c>
      <c r="BB46" s="1373">
        <f>IF(AB46,VLOOKUP(IF(ISNUMBER(MATCH(Overview!$B$14,useless_spell_races,0)),Overview!$B$14,"Other"),Constants!$P$89:$S$102,4,FALSE),IF(BB45&gt;0,BB45-1,0))</f>
        <v>0</v>
      </c>
    </row>
    <row r="47" spans="1:54" s="16" customFormat="1" x14ac:dyDescent="0.25">
      <c r="A47" s="982">
        <f>Rezone!J47</f>
        <v>45</v>
      </c>
      <c r="B47" s="16">
        <f>Construction!E47</f>
        <v>1000</v>
      </c>
      <c r="C47" s="26">
        <f ca="1">Production!K47</f>
        <v>45030</v>
      </c>
      <c r="D47" s="62">
        <f>MIN(1,D46+0.04+ROUNDDOWN(10*Military!BN46,0)+MAX(Techs!AN46,Techs!AW46*3))-AE47</f>
        <v>1</v>
      </c>
      <c r="E47" s="530">
        <f>Imps!L47</f>
        <v>43768.458333333227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AB47*VLOOKUP(IF(ISNUMBER(MATCH(Overview!$B$14,useless_spell_races,0)),Overview!$B$14,"Other"),Constants!$P$89:$S$102,3,FALSE))</f>
        <v>0</v>
      </c>
      <c r="AE47" s="62">
        <f t="shared" si="23"/>
        <v>0</v>
      </c>
      <c r="AG47" s="633">
        <f t="shared" si="18"/>
        <v>0</v>
      </c>
      <c r="AH47" s="527">
        <f t="shared" si="19"/>
        <v>0</v>
      </c>
      <c r="AI47" s="527">
        <f t="shared" si="20"/>
        <v>0</v>
      </c>
      <c r="AJ47" s="527">
        <f t="shared" si="21"/>
        <v>0</v>
      </c>
      <c r="AK47" s="525">
        <f t="shared" si="22"/>
        <v>0</v>
      </c>
      <c r="AL47" s="527">
        <f t="shared" si="24"/>
        <v>0</v>
      </c>
      <c r="AM47" s="527">
        <f t="shared" si="25"/>
        <v>0</v>
      </c>
      <c r="AN47" s="527">
        <f t="shared" si="26"/>
        <v>0</v>
      </c>
      <c r="AO47" s="527">
        <f t="shared" si="27"/>
        <v>0</v>
      </c>
      <c r="AP47" s="527">
        <f t="shared" si="28"/>
        <v>0</v>
      </c>
      <c r="AQ47" s="527">
        <f t="shared" si="29"/>
        <v>0</v>
      </c>
      <c r="AR47" s="953">
        <f t="shared" si="30"/>
        <v>0</v>
      </c>
      <c r="AS47" s="953">
        <f t="shared" si="31"/>
        <v>0</v>
      </c>
      <c r="AT47" s="953">
        <f t="shared" si="32"/>
        <v>0</v>
      </c>
      <c r="AU47" s="953">
        <f t="shared" si="33"/>
        <v>0</v>
      </c>
      <c r="AV47" s="953">
        <f t="shared" si="34"/>
        <v>0</v>
      </c>
      <c r="AW47" s="16">
        <f t="shared" si="35"/>
        <v>0</v>
      </c>
      <c r="AX47" s="16">
        <f t="shared" si="36"/>
        <v>0</v>
      </c>
      <c r="AY47" s="16">
        <f t="shared" si="37"/>
        <v>0</v>
      </c>
      <c r="AZ47" s="16">
        <f t="shared" si="38"/>
        <v>0</v>
      </c>
      <c r="BA47" s="16">
        <f t="shared" si="39"/>
        <v>0</v>
      </c>
      <c r="BB47" s="1373">
        <f>IF(AB47,VLOOKUP(IF(ISNUMBER(MATCH(Overview!$B$14,useless_spell_races,0)),Overview!$B$14,"Other"),Constants!$P$89:$S$102,4,FALSE),IF(BB46&gt;0,BB46-1,0))</f>
        <v>0</v>
      </c>
    </row>
    <row r="48" spans="1:54" s="16" customFormat="1" x14ac:dyDescent="0.25">
      <c r="A48" s="982">
        <f>Rezone!J48</f>
        <v>46</v>
      </c>
      <c r="B48" s="16">
        <f>Construction!E48</f>
        <v>1000</v>
      </c>
      <c r="C48" s="26">
        <f ca="1">Production!K48</f>
        <v>45379</v>
      </c>
      <c r="D48" s="62">
        <f>MIN(1,D47+0.04+ROUNDDOWN(10*Military!BN47,0)+MAX(Techs!AN47,Techs!AW47*3))-AE48</f>
        <v>1</v>
      </c>
      <c r="E48" s="530">
        <f>Imps!L48</f>
        <v>43768.468749999891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AB48*VLOOKUP(IF(ISNUMBER(MATCH(Overview!$B$14,useless_spell_races,0)),Overview!$B$14,"Other"),Constants!$P$89:$S$102,3,FALSE))</f>
        <v>0</v>
      </c>
      <c r="AE48" s="62">
        <f t="shared" si="23"/>
        <v>0</v>
      </c>
      <c r="AG48" s="633">
        <f t="shared" si="18"/>
        <v>0</v>
      </c>
      <c r="AH48" s="527">
        <f t="shared" si="19"/>
        <v>0</v>
      </c>
      <c r="AI48" s="527">
        <f t="shared" si="20"/>
        <v>0</v>
      </c>
      <c r="AJ48" s="527">
        <f t="shared" si="21"/>
        <v>0</v>
      </c>
      <c r="AK48" s="525">
        <f t="shared" si="22"/>
        <v>0</v>
      </c>
      <c r="AL48" s="527">
        <f t="shared" si="24"/>
        <v>0</v>
      </c>
      <c r="AM48" s="527">
        <f t="shared" si="25"/>
        <v>0</v>
      </c>
      <c r="AN48" s="527">
        <f t="shared" si="26"/>
        <v>0</v>
      </c>
      <c r="AO48" s="527">
        <f t="shared" si="27"/>
        <v>0</v>
      </c>
      <c r="AP48" s="527">
        <f t="shared" si="28"/>
        <v>0</v>
      </c>
      <c r="AQ48" s="527">
        <f t="shared" si="29"/>
        <v>0</v>
      </c>
      <c r="AR48" s="953">
        <f t="shared" si="30"/>
        <v>0</v>
      </c>
      <c r="AS48" s="953">
        <f t="shared" si="31"/>
        <v>0</v>
      </c>
      <c r="AT48" s="953">
        <f t="shared" si="32"/>
        <v>0</v>
      </c>
      <c r="AU48" s="953">
        <f t="shared" si="33"/>
        <v>0</v>
      </c>
      <c r="AV48" s="953">
        <f t="shared" si="34"/>
        <v>0</v>
      </c>
      <c r="AW48" s="16">
        <f t="shared" si="35"/>
        <v>0</v>
      </c>
      <c r="AX48" s="16">
        <f t="shared" si="36"/>
        <v>0</v>
      </c>
      <c r="AY48" s="16">
        <f t="shared" si="37"/>
        <v>0</v>
      </c>
      <c r="AZ48" s="16">
        <f t="shared" si="38"/>
        <v>0</v>
      </c>
      <c r="BA48" s="16">
        <f t="shared" si="39"/>
        <v>0</v>
      </c>
      <c r="BB48" s="1373">
        <f>IF(AB48,VLOOKUP(IF(ISNUMBER(MATCH(Overview!$B$14,useless_spell_races,0)),Overview!$B$14,"Other"),Constants!$P$89:$S$102,4,FALSE),IF(BB47&gt;0,BB47-1,0))</f>
        <v>0</v>
      </c>
    </row>
    <row r="49" spans="1:54" s="16" customFormat="1" x14ac:dyDescent="0.25">
      <c r="A49" s="982">
        <f>Rezone!J49</f>
        <v>47</v>
      </c>
      <c r="B49" s="16">
        <f>Construction!E49</f>
        <v>1000</v>
      </c>
      <c r="C49" s="26">
        <f ca="1">Production!K49</f>
        <v>45721</v>
      </c>
      <c r="D49" s="62">
        <f>MIN(1,D48+0.04+ROUNDDOWN(10*Military!BN48,0)+MAX(Techs!AN48,Techs!AW48*3))-AE49</f>
        <v>1</v>
      </c>
      <c r="E49" s="530">
        <f>Imps!L49</f>
        <v>43768.479166666555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AB49*VLOOKUP(IF(ISNUMBER(MATCH(Overview!$B$14,useless_spell_races,0)),Overview!$B$14,"Other"),Constants!$P$89:$S$102,3,FALSE))</f>
        <v>0</v>
      </c>
      <c r="AE49" s="62">
        <f t="shared" si="23"/>
        <v>0</v>
      </c>
      <c r="AG49" s="633">
        <f t="shared" si="18"/>
        <v>0</v>
      </c>
      <c r="AH49" s="527">
        <f t="shared" si="19"/>
        <v>0</v>
      </c>
      <c r="AI49" s="527">
        <f t="shared" si="20"/>
        <v>0</v>
      </c>
      <c r="AJ49" s="527">
        <f t="shared" si="21"/>
        <v>0</v>
      </c>
      <c r="AK49" s="525">
        <f t="shared" si="22"/>
        <v>0</v>
      </c>
      <c r="AL49" s="527">
        <f t="shared" si="24"/>
        <v>0</v>
      </c>
      <c r="AM49" s="527">
        <f t="shared" si="25"/>
        <v>0</v>
      </c>
      <c r="AN49" s="527">
        <f t="shared" si="26"/>
        <v>0</v>
      </c>
      <c r="AO49" s="527">
        <f t="shared" si="27"/>
        <v>0</v>
      </c>
      <c r="AP49" s="527">
        <f t="shared" si="28"/>
        <v>0</v>
      </c>
      <c r="AQ49" s="527">
        <f t="shared" si="29"/>
        <v>0</v>
      </c>
      <c r="AR49" s="953">
        <f t="shared" si="30"/>
        <v>0</v>
      </c>
      <c r="AS49" s="953">
        <f t="shared" si="31"/>
        <v>0</v>
      </c>
      <c r="AT49" s="953">
        <f t="shared" si="32"/>
        <v>0</v>
      </c>
      <c r="AU49" s="953">
        <f t="shared" si="33"/>
        <v>0</v>
      </c>
      <c r="AV49" s="953">
        <f t="shared" si="34"/>
        <v>0</v>
      </c>
      <c r="AW49" s="16">
        <f t="shared" si="35"/>
        <v>0</v>
      </c>
      <c r="AX49" s="16">
        <f t="shared" si="36"/>
        <v>0</v>
      </c>
      <c r="AY49" s="16">
        <f t="shared" si="37"/>
        <v>0</v>
      </c>
      <c r="AZ49" s="16">
        <f t="shared" si="38"/>
        <v>0</v>
      </c>
      <c r="BA49" s="16">
        <f t="shared" si="39"/>
        <v>0</v>
      </c>
      <c r="BB49" s="1373">
        <f>IF(AB49,VLOOKUP(IF(ISNUMBER(MATCH(Overview!$B$14,useless_spell_races,0)),Overview!$B$14,"Other"),Constants!$P$89:$S$102,4,FALSE),IF(BB48&gt;0,BB48-1,0))</f>
        <v>0</v>
      </c>
    </row>
    <row r="50" spans="1:54" s="16" customFormat="1" ht="13.8" thickBot="1" x14ac:dyDescent="0.3">
      <c r="A50" s="982">
        <f>Rezone!J50</f>
        <v>48</v>
      </c>
      <c r="B50" s="16">
        <f>Construction!E50</f>
        <v>1000</v>
      </c>
      <c r="C50" s="26">
        <f ca="1">Production!K50</f>
        <v>46057</v>
      </c>
      <c r="D50" s="62">
        <f>MIN(1,D49+0.04+ROUNDDOWN(10*Military!BN49,0)+MAX(Techs!AN49,Techs!AW49*3))-AE50</f>
        <v>1</v>
      </c>
      <c r="E50" s="530">
        <f>Imps!L50</f>
        <v>43768.489583333219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AB50*VLOOKUP(IF(ISNUMBER(MATCH(Overview!$B$14,useless_spell_races,0)),Overview!$B$14,"Other"),Constants!$P$89:$S$102,3,FALSE))</f>
        <v>0</v>
      </c>
      <c r="AE50" s="62">
        <f t="shared" si="23"/>
        <v>0</v>
      </c>
      <c r="AG50" s="633">
        <f t="shared" si="18"/>
        <v>0</v>
      </c>
      <c r="AH50" s="527">
        <f t="shared" si="19"/>
        <v>0</v>
      </c>
      <c r="AI50" s="527">
        <f t="shared" si="20"/>
        <v>0</v>
      </c>
      <c r="AJ50" s="527">
        <f t="shared" si="21"/>
        <v>0</v>
      </c>
      <c r="AK50" s="525">
        <f t="shared" si="22"/>
        <v>0</v>
      </c>
      <c r="AL50" s="527">
        <f t="shared" si="24"/>
        <v>0</v>
      </c>
      <c r="AM50" s="527">
        <f t="shared" si="25"/>
        <v>0</v>
      </c>
      <c r="AN50" s="527">
        <f t="shared" si="26"/>
        <v>0</v>
      </c>
      <c r="AO50" s="527">
        <f t="shared" si="27"/>
        <v>0</v>
      </c>
      <c r="AP50" s="527">
        <f t="shared" si="28"/>
        <v>0</v>
      </c>
      <c r="AQ50" s="527">
        <f t="shared" si="29"/>
        <v>0</v>
      </c>
      <c r="AR50" s="953">
        <f t="shared" si="30"/>
        <v>0</v>
      </c>
      <c r="AS50" s="953">
        <f t="shared" si="31"/>
        <v>0</v>
      </c>
      <c r="AT50" s="953">
        <f t="shared" si="32"/>
        <v>0</v>
      </c>
      <c r="AU50" s="953">
        <f t="shared" si="33"/>
        <v>0</v>
      </c>
      <c r="AV50" s="953">
        <f t="shared" si="34"/>
        <v>0</v>
      </c>
      <c r="AW50" s="16">
        <f t="shared" si="35"/>
        <v>0</v>
      </c>
      <c r="AX50" s="16">
        <f t="shared" si="36"/>
        <v>0</v>
      </c>
      <c r="AY50" s="16">
        <f t="shared" si="37"/>
        <v>0</v>
      </c>
      <c r="AZ50" s="16">
        <f t="shared" si="38"/>
        <v>0</v>
      </c>
      <c r="BA50" s="16">
        <f t="shared" si="39"/>
        <v>0</v>
      </c>
      <c r="BB50" s="1373">
        <f>IF(AB50,VLOOKUP(IF(ISNUMBER(MATCH(Overview!$B$14,useless_spell_races,0)),Overview!$B$14,"Other"),Constants!$P$89:$S$102,4,FALSE),IF(BB49&gt;0,BB49-1,0))</f>
        <v>0</v>
      </c>
    </row>
    <row r="51" spans="1:54" s="111" customFormat="1" ht="14.4" thickTop="1" thickBot="1" x14ac:dyDescent="0.3">
      <c r="A51" s="986">
        <f>Rezone!J51</f>
        <v>49</v>
      </c>
      <c r="B51" s="111">
        <f>Construction!E51</f>
        <v>1000</v>
      </c>
      <c r="C51" s="108">
        <f ca="1">Production!K51</f>
        <v>46386</v>
      </c>
      <c r="D51" s="112">
        <f>MIN(1,D50+0.04+ROUNDDOWN(10*Military!BN50,0)+MAX(Techs!AN50,Techs!AW50*3))-AE51</f>
        <v>1</v>
      </c>
      <c r="E51" s="799">
        <f>Imps!L51</f>
        <v>43768.499999999884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AB51*VLOOKUP(IF(ISNUMBER(MATCH(Overview!$B$14,useless_spell_races,0)),Overview!$B$14,"Other"),Constants!$P$89:$S$102,3,FALSE))</f>
        <v>0</v>
      </c>
      <c r="AE51" s="112">
        <f t="shared" si="23"/>
        <v>0</v>
      </c>
      <c r="AG51" s="635">
        <f t="shared" si="18"/>
        <v>0</v>
      </c>
      <c r="AH51" s="631">
        <f t="shared" si="19"/>
        <v>0</v>
      </c>
      <c r="AI51" s="631">
        <f t="shared" si="20"/>
        <v>0</v>
      </c>
      <c r="AJ51" s="631">
        <f t="shared" si="21"/>
        <v>0</v>
      </c>
      <c r="AK51" s="550">
        <f t="shared" si="22"/>
        <v>0</v>
      </c>
      <c r="AL51" s="631">
        <f t="shared" si="24"/>
        <v>0</v>
      </c>
      <c r="AM51" s="631">
        <f t="shared" si="25"/>
        <v>0</v>
      </c>
      <c r="AN51" s="631">
        <f t="shared" si="26"/>
        <v>0</v>
      </c>
      <c r="AO51" s="631">
        <f t="shared" si="27"/>
        <v>0</v>
      </c>
      <c r="AP51" s="631">
        <f t="shared" si="28"/>
        <v>0</v>
      </c>
      <c r="AQ51" s="631">
        <f t="shared" si="29"/>
        <v>0</v>
      </c>
      <c r="AR51" s="956">
        <f t="shared" si="30"/>
        <v>0</v>
      </c>
      <c r="AS51" s="956">
        <f t="shared" si="31"/>
        <v>0</v>
      </c>
      <c r="AT51" s="956">
        <f t="shared" si="32"/>
        <v>0</v>
      </c>
      <c r="AU51" s="956">
        <f t="shared" si="33"/>
        <v>0</v>
      </c>
      <c r="AV51" s="956">
        <f t="shared" si="34"/>
        <v>0</v>
      </c>
      <c r="AW51" s="111">
        <f t="shared" si="35"/>
        <v>0</v>
      </c>
      <c r="AX51" s="111">
        <f t="shared" si="36"/>
        <v>0</v>
      </c>
      <c r="AY51" s="111">
        <f t="shared" si="37"/>
        <v>0</v>
      </c>
      <c r="AZ51" s="111">
        <f t="shared" si="38"/>
        <v>0</v>
      </c>
      <c r="BA51" s="111">
        <f t="shared" si="39"/>
        <v>0</v>
      </c>
      <c r="BB51" s="1378">
        <f>IF(AB51,VLOOKUP(IF(ISNUMBER(MATCH(Overview!$B$14,useless_spell_races,0)),Overview!$B$14,"Other"),Constants!$P$89:$S$102,4,FALSE),IF(BB50&gt;0,BB50-1,0))</f>
        <v>0</v>
      </c>
    </row>
    <row r="52" spans="1:54" s="16" customFormat="1" ht="13.8" thickTop="1" x14ac:dyDescent="0.25">
      <c r="A52" s="982">
        <f>Rezone!J52</f>
        <v>50</v>
      </c>
      <c r="B52" s="16">
        <f>Construction!E52</f>
        <v>1000</v>
      </c>
      <c r="C52" s="26">
        <f ca="1">Production!K52</f>
        <v>46708</v>
      </c>
      <c r="D52" s="62">
        <f>MIN(1,D51+0.04+ROUNDDOWN(10*Military!BN51,0)+MAX(Techs!AN51,Techs!AW51*3))-AE52</f>
        <v>1</v>
      </c>
      <c r="E52" s="530">
        <f>Imps!L52</f>
        <v>43768.510416666548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AB52*VLOOKUP(IF(ISNUMBER(MATCH(Overview!$B$14,useless_spell_races,0)),Overview!$B$14,"Other"),Constants!$P$89:$S$102,3,FALSE))</f>
        <v>0</v>
      </c>
      <c r="AE52" s="62">
        <f t="shared" si="23"/>
        <v>0</v>
      </c>
      <c r="AG52" s="633">
        <f t="shared" si="18"/>
        <v>0</v>
      </c>
      <c r="AH52" s="527">
        <f t="shared" si="19"/>
        <v>0</v>
      </c>
      <c r="AI52" s="527">
        <f t="shared" si="20"/>
        <v>0</v>
      </c>
      <c r="AJ52" s="527">
        <f t="shared" si="21"/>
        <v>0</v>
      </c>
      <c r="AK52" s="525">
        <f t="shared" si="22"/>
        <v>0</v>
      </c>
      <c r="AL52" s="527">
        <f t="shared" si="24"/>
        <v>0</v>
      </c>
      <c r="AM52" s="527">
        <f t="shared" si="25"/>
        <v>0</v>
      </c>
      <c r="AN52" s="527">
        <f t="shared" si="26"/>
        <v>0</v>
      </c>
      <c r="AO52" s="527">
        <f t="shared" si="27"/>
        <v>0</v>
      </c>
      <c r="AP52" s="527">
        <f t="shared" si="28"/>
        <v>0</v>
      </c>
      <c r="AQ52" s="527">
        <f t="shared" si="29"/>
        <v>0</v>
      </c>
      <c r="AR52" s="953">
        <f t="shared" si="30"/>
        <v>0</v>
      </c>
      <c r="AS52" s="953">
        <f t="shared" si="31"/>
        <v>0</v>
      </c>
      <c r="AT52" s="953">
        <f t="shared" si="32"/>
        <v>0</v>
      </c>
      <c r="AU52" s="953">
        <f t="shared" si="33"/>
        <v>0</v>
      </c>
      <c r="AV52" s="953">
        <f t="shared" si="34"/>
        <v>0</v>
      </c>
      <c r="AW52" s="16">
        <f t="shared" si="35"/>
        <v>0</v>
      </c>
      <c r="AX52" s="16">
        <f t="shared" si="36"/>
        <v>0</v>
      </c>
      <c r="AY52" s="16">
        <f t="shared" si="37"/>
        <v>0</v>
      </c>
      <c r="AZ52" s="16">
        <f t="shared" si="38"/>
        <v>0</v>
      </c>
      <c r="BA52" s="16">
        <f t="shared" si="39"/>
        <v>0</v>
      </c>
      <c r="BB52" s="1373">
        <f>IF(AB52,VLOOKUP(IF(ISNUMBER(MATCH(Overview!$B$14,useless_spell_races,0)),Overview!$B$14,"Other"),Constants!$P$89:$S$102,4,FALSE),IF(BB51&gt;0,BB51-1,0))</f>
        <v>0</v>
      </c>
    </row>
    <row r="53" spans="1:54" s="16" customFormat="1" x14ac:dyDescent="0.25">
      <c r="A53" s="982">
        <f>Rezone!J53</f>
        <v>51</v>
      </c>
      <c r="B53" s="16">
        <f>Construction!E53</f>
        <v>1000</v>
      </c>
      <c r="C53" s="26">
        <f ca="1">Production!K53</f>
        <v>47024</v>
      </c>
      <c r="D53" s="62">
        <f>MIN(1,D52+0.04+ROUNDDOWN(10*Military!BN52,0)+MAX(Techs!AN52,Techs!AW52*3))-AE53</f>
        <v>1</v>
      </c>
      <c r="E53" s="530">
        <f>Imps!L53</f>
        <v>43768.520833333212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AB53*VLOOKUP(IF(ISNUMBER(MATCH(Overview!$B$14,useless_spell_races,0)),Overview!$B$14,"Other"),Constants!$P$89:$S$102,3,FALSE))</f>
        <v>0</v>
      </c>
      <c r="AE53" s="62">
        <f t="shared" si="23"/>
        <v>0</v>
      </c>
      <c r="AG53" s="633">
        <f t="shared" si="18"/>
        <v>0</v>
      </c>
      <c r="AH53" s="527">
        <f t="shared" si="19"/>
        <v>0</v>
      </c>
      <c r="AI53" s="527">
        <f t="shared" si="20"/>
        <v>0</v>
      </c>
      <c r="AJ53" s="527">
        <f t="shared" si="21"/>
        <v>0</v>
      </c>
      <c r="AK53" s="525">
        <f t="shared" si="22"/>
        <v>0</v>
      </c>
      <c r="AL53" s="527">
        <f t="shared" si="24"/>
        <v>0</v>
      </c>
      <c r="AM53" s="527">
        <f t="shared" si="25"/>
        <v>0</v>
      </c>
      <c r="AN53" s="527">
        <f t="shared" si="26"/>
        <v>0</v>
      </c>
      <c r="AO53" s="527">
        <f t="shared" si="27"/>
        <v>0</v>
      </c>
      <c r="AP53" s="527">
        <f t="shared" si="28"/>
        <v>0</v>
      </c>
      <c r="AQ53" s="527">
        <f t="shared" si="29"/>
        <v>0</v>
      </c>
      <c r="AR53" s="953">
        <f t="shared" si="30"/>
        <v>0</v>
      </c>
      <c r="AS53" s="953">
        <f t="shared" si="31"/>
        <v>0</v>
      </c>
      <c r="AT53" s="953">
        <f t="shared" si="32"/>
        <v>0</v>
      </c>
      <c r="AU53" s="953">
        <f t="shared" si="33"/>
        <v>0</v>
      </c>
      <c r="AV53" s="953">
        <f t="shared" si="34"/>
        <v>0</v>
      </c>
      <c r="AW53" s="16">
        <f t="shared" si="35"/>
        <v>0</v>
      </c>
      <c r="AX53" s="16">
        <f t="shared" si="36"/>
        <v>0</v>
      </c>
      <c r="AY53" s="16">
        <f t="shared" si="37"/>
        <v>0</v>
      </c>
      <c r="AZ53" s="16">
        <f t="shared" si="38"/>
        <v>0</v>
      </c>
      <c r="BA53" s="16">
        <f t="shared" si="39"/>
        <v>0</v>
      </c>
      <c r="BB53" s="1373">
        <f>IF(AB53,VLOOKUP(IF(ISNUMBER(MATCH(Overview!$B$14,useless_spell_races,0)),Overview!$B$14,"Other"),Constants!$P$89:$S$102,4,FALSE),IF(BB52&gt;0,BB52-1,0))</f>
        <v>0</v>
      </c>
    </row>
    <row r="54" spans="1:54" s="16" customFormat="1" x14ac:dyDescent="0.25">
      <c r="A54" s="982">
        <f>Rezone!J54</f>
        <v>52</v>
      </c>
      <c r="B54" s="16">
        <f>Construction!E54</f>
        <v>1000</v>
      </c>
      <c r="C54" s="26">
        <f ca="1">Production!K54</f>
        <v>47334</v>
      </c>
      <c r="D54" s="62">
        <f>MIN(1,D53+0.04+ROUNDDOWN(10*Military!BN53,0)+MAX(Techs!AN53,Techs!AW53*3))-AE54</f>
        <v>1</v>
      </c>
      <c r="E54" s="530">
        <f>Imps!L54</f>
        <v>43768.531249999876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AB54*VLOOKUP(IF(ISNUMBER(MATCH(Overview!$B$14,useless_spell_races,0)),Overview!$B$14,"Other"),Constants!$P$89:$S$102,3,FALSE))</f>
        <v>0</v>
      </c>
      <c r="AE54" s="62">
        <f t="shared" si="23"/>
        <v>0</v>
      </c>
      <c r="AG54" s="633">
        <f t="shared" si="18"/>
        <v>0</v>
      </c>
      <c r="AH54" s="527">
        <f t="shared" si="19"/>
        <v>0</v>
      </c>
      <c r="AI54" s="527">
        <f t="shared" si="20"/>
        <v>0</v>
      </c>
      <c r="AJ54" s="527">
        <f t="shared" si="21"/>
        <v>0</v>
      </c>
      <c r="AK54" s="525">
        <f t="shared" si="22"/>
        <v>0</v>
      </c>
      <c r="AL54" s="527">
        <f t="shared" si="24"/>
        <v>0</v>
      </c>
      <c r="AM54" s="527">
        <f t="shared" si="25"/>
        <v>0</v>
      </c>
      <c r="AN54" s="527">
        <f t="shared" si="26"/>
        <v>0</v>
      </c>
      <c r="AO54" s="527">
        <f t="shared" si="27"/>
        <v>0</v>
      </c>
      <c r="AP54" s="527">
        <f t="shared" si="28"/>
        <v>0</v>
      </c>
      <c r="AQ54" s="527">
        <f t="shared" si="29"/>
        <v>0</v>
      </c>
      <c r="AR54" s="953">
        <f t="shared" si="30"/>
        <v>0</v>
      </c>
      <c r="AS54" s="953">
        <f t="shared" si="31"/>
        <v>0</v>
      </c>
      <c r="AT54" s="953">
        <f t="shared" si="32"/>
        <v>0</v>
      </c>
      <c r="AU54" s="953">
        <f t="shared" si="33"/>
        <v>0</v>
      </c>
      <c r="AV54" s="953">
        <f t="shared" si="34"/>
        <v>0</v>
      </c>
      <c r="AW54" s="16">
        <f t="shared" si="35"/>
        <v>0</v>
      </c>
      <c r="AX54" s="16">
        <f t="shared" si="36"/>
        <v>0</v>
      </c>
      <c r="AY54" s="16">
        <f t="shared" si="37"/>
        <v>0</v>
      </c>
      <c r="AZ54" s="16">
        <f t="shared" si="38"/>
        <v>0</v>
      </c>
      <c r="BA54" s="16">
        <f t="shared" si="39"/>
        <v>0</v>
      </c>
      <c r="BB54" s="1373">
        <f>IF(AB54,VLOOKUP(IF(ISNUMBER(MATCH(Overview!$B$14,useless_spell_races,0)),Overview!$B$14,"Other"),Constants!$P$89:$S$102,4,FALSE),IF(BB53&gt;0,BB53-1,0))</f>
        <v>0</v>
      </c>
    </row>
    <row r="55" spans="1:54" s="16" customFormat="1" x14ac:dyDescent="0.25">
      <c r="A55" s="982">
        <f>Rezone!J55</f>
        <v>53</v>
      </c>
      <c r="B55" s="16">
        <f>Construction!E55</f>
        <v>1000</v>
      </c>
      <c r="C55" s="26">
        <f ca="1">Production!K55</f>
        <v>47637</v>
      </c>
      <c r="D55" s="62">
        <f>MIN(1,D54+0.04+ROUNDDOWN(10*Military!BN54,0)+MAX(Techs!AN54,Techs!AW54*3))-AE55</f>
        <v>1</v>
      </c>
      <c r="E55" s="530">
        <f>Imps!L55</f>
        <v>43768.541666666541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AB55*VLOOKUP(IF(ISNUMBER(MATCH(Overview!$B$14,useless_spell_races,0)),Overview!$B$14,"Other"),Constants!$P$89:$S$102,3,FALSE))</f>
        <v>0</v>
      </c>
      <c r="AE55" s="62">
        <f t="shared" si="23"/>
        <v>0</v>
      </c>
      <c r="AG55" s="633">
        <f t="shared" si="18"/>
        <v>0</v>
      </c>
      <c r="AH55" s="527">
        <f t="shared" si="19"/>
        <v>0</v>
      </c>
      <c r="AI55" s="527">
        <f t="shared" si="20"/>
        <v>0</v>
      </c>
      <c r="AJ55" s="527">
        <f t="shared" si="21"/>
        <v>0</v>
      </c>
      <c r="AK55" s="525">
        <f t="shared" si="22"/>
        <v>0</v>
      </c>
      <c r="AL55" s="527">
        <f t="shared" si="24"/>
        <v>0</v>
      </c>
      <c r="AM55" s="527">
        <f t="shared" si="25"/>
        <v>0</v>
      </c>
      <c r="AN55" s="527">
        <f t="shared" si="26"/>
        <v>0</v>
      </c>
      <c r="AO55" s="527">
        <f t="shared" si="27"/>
        <v>0</v>
      </c>
      <c r="AP55" s="527">
        <f t="shared" si="28"/>
        <v>0</v>
      </c>
      <c r="AQ55" s="527">
        <f t="shared" si="29"/>
        <v>0</v>
      </c>
      <c r="AR55" s="953">
        <f t="shared" si="30"/>
        <v>0</v>
      </c>
      <c r="AS55" s="953">
        <f t="shared" si="31"/>
        <v>0</v>
      </c>
      <c r="AT55" s="953">
        <f t="shared" si="32"/>
        <v>0</v>
      </c>
      <c r="AU55" s="953">
        <f t="shared" si="33"/>
        <v>0</v>
      </c>
      <c r="AV55" s="953">
        <f t="shared" si="34"/>
        <v>0</v>
      </c>
      <c r="AW55" s="16">
        <f t="shared" si="35"/>
        <v>0</v>
      </c>
      <c r="AX55" s="16">
        <f t="shared" si="36"/>
        <v>0</v>
      </c>
      <c r="AY55" s="16">
        <f t="shared" si="37"/>
        <v>0</v>
      </c>
      <c r="AZ55" s="16">
        <f t="shared" si="38"/>
        <v>0</v>
      </c>
      <c r="BA55" s="16">
        <f t="shared" si="39"/>
        <v>0</v>
      </c>
      <c r="BB55" s="1373">
        <f>IF(AB55,VLOOKUP(IF(ISNUMBER(MATCH(Overview!$B$14,useless_spell_races,0)),Overview!$B$14,"Other"),Constants!$P$89:$S$102,4,FALSE),IF(BB54&gt;0,BB54-1,0))</f>
        <v>0</v>
      </c>
    </row>
    <row r="56" spans="1:54" s="16" customFormat="1" x14ac:dyDescent="0.25">
      <c r="A56" s="982">
        <f>Rezone!J56</f>
        <v>54</v>
      </c>
      <c r="B56" s="16">
        <f>Construction!E56</f>
        <v>1000</v>
      </c>
      <c r="C56" s="26">
        <f ca="1">Production!K56</f>
        <v>47934</v>
      </c>
      <c r="D56" s="62">
        <f>MIN(1,D55+0.04+ROUNDDOWN(10*Military!BN55,0)+MAX(Techs!AN55,Techs!AW55*3))-AE56</f>
        <v>1</v>
      </c>
      <c r="E56" s="530">
        <f>Imps!L56</f>
        <v>43768.552083333205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AB56*VLOOKUP(IF(ISNUMBER(MATCH(Overview!$B$14,useless_spell_races,0)),Overview!$B$14,"Other"),Constants!$P$89:$S$102,3,FALSE))</f>
        <v>0</v>
      </c>
      <c r="AE56" s="62">
        <f t="shared" si="23"/>
        <v>0</v>
      </c>
      <c r="AG56" s="633">
        <f t="shared" si="18"/>
        <v>0</v>
      </c>
      <c r="AH56" s="527">
        <f t="shared" si="19"/>
        <v>0</v>
      </c>
      <c r="AI56" s="527">
        <f t="shared" si="20"/>
        <v>0</v>
      </c>
      <c r="AJ56" s="527">
        <f t="shared" si="21"/>
        <v>0</v>
      </c>
      <c r="AK56" s="525">
        <f t="shared" si="22"/>
        <v>0</v>
      </c>
      <c r="AL56" s="527">
        <f t="shared" si="24"/>
        <v>0</v>
      </c>
      <c r="AM56" s="527">
        <f t="shared" si="25"/>
        <v>0</v>
      </c>
      <c r="AN56" s="527">
        <f t="shared" si="26"/>
        <v>0</v>
      </c>
      <c r="AO56" s="527">
        <f t="shared" si="27"/>
        <v>0</v>
      </c>
      <c r="AP56" s="527">
        <f t="shared" si="28"/>
        <v>0</v>
      </c>
      <c r="AQ56" s="527">
        <f t="shared" si="29"/>
        <v>0</v>
      </c>
      <c r="AR56" s="953">
        <f t="shared" si="30"/>
        <v>0</v>
      </c>
      <c r="AS56" s="953">
        <f t="shared" si="31"/>
        <v>0</v>
      </c>
      <c r="AT56" s="953">
        <f t="shared" si="32"/>
        <v>0</v>
      </c>
      <c r="AU56" s="953">
        <f t="shared" si="33"/>
        <v>0</v>
      </c>
      <c r="AV56" s="953">
        <f t="shared" si="34"/>
        <v>0</v>
      </c>
      <c r="AW56" s="16">
        <f t="shared" si="35"/>
        <v>0</v>
      </c>
      <c r="AX56" s="16">
        <f t="shared" si="36"/>
        <v>0</v>
      </c>
      <c r="AY56" s="16">
        <f t="shared" si="37"/>
        <v>0</v>
      </c>
      <c r="AZ56" s="16">
        <f t="shared" si="38"/>
        <v>0</v>
      </c>
      <c r="BA56" s="16">
        <f t="shared" si="39"/>
        <v>0</v>
      </c>
      <c r="BB56" s="1373">
        <f>IF(AB56,VLOOKUP(IF(ISNUMBER(MATCH(Overview!$B$14,useless_spell_races,0)),Overview!$B$14,"Other"),Constants!$P$89:$S$102,4,FALSE),IF(BB55&gt;0,BB55-1,0))</f>
        <v>0</v>
      </c>
    </row>
    <row r="57" spans="1:54" s="16" customFormat="1" x14ac:dyDescent="0.25">
      <c r="A57" s="982">
        <f>Rezone!J57</f>
        <v>55</v>
      </c>
      <c r="B57" s="16">
        <f>Construction!E57</f>
        <v>1000</v>
      </c>
      <c r="C57" s="26">
        <f ca="1">Production!K57</f>
        <v>48225</v>
      </c>
      <c r="D57" s="62">
        <f>MIN(1,D56+0.04+ROUNDDOWN(10*Military!BN56,0)+MAX(Techs!AN56,Techs!AW56*3))-AE57</f>
        <v>1</v>
      </c>
      <c r="E57" s="530">
        <f>Imps!L57</f>
        <v>43768.562499999869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AB57*VLOOKUP(IF(ISNUMBER(MATCH(Overview!$B$14,useless_spell_races,0)),Overview!$B$14,"Other"),Constants!$P$89:$S$102,3,FALSE))</f>
        <v>0</v>
      </c>
      <c r="AE57" s="62">
        <f t="shared" si="23"/>
        <v>0</v>
      </c>
      <c r="AG57" s="633">
        <f t="shared" si="18"/>
        <v>0</v>
      </c>
      <c r="AH57" s="527">
        <f t="shared" si="19"/>
        <v>0</v>
      </c>
      <c r="AI57" s="527">
        <f t="shared" si="20"/>
        <v>0</v>
      </c>
      <c r="AJ57" s="527">
        <f t="shared" si="21"/>
        <v>0</v>
      </c>
      <c r="AK57" s="525">
        <f t="shared" si="22"/>
        <v>0</v>
      </c>
      <c r="AL57" s="527">
        <f t="shared" si="24"/>
        <v>0</v>
      </c>
      <c r="AM57" s="527">
        <f t="shared" si="25"/>
        <v>0</v>
      </c>
      <c r="AN57" s="527">
        <f t="shared" si="26"/>
        <v>0</v>
      </c>
      <c r="AO57" s="527">
        <f t="shared" si="27"/>
        <v>0</v>
      </c>
      <c r="AP57" s="527">
        <f t="shared" si="28"/>
        <v>0</v>
      </c>
      <c r="AQ57" s="527">
        <f t="shared" si="29"/>
        <v>0</v>
      </c>
      <c r="AR57" s="953">
        <f t="shared" si="30"/>
        <v>0</v>
      </c>
      <c r="AS57" s="953">
        <f t="shared" si="31"/>
        <v>0</v>
      </c>
      <c r="AT57" s="953">
        <f t="shared" si="32"/>
        <v>0</v>
      </c>
      <c r="AU57" s="953">
        <f t="shared" si="33"/>
        <v>0</v>
      </c>
      <c r="AV57" s="953">
        <f t="shared" si="34"/>
        <v>0</v>
      </c>
      <c r="AW57" s="16">
        <f t="shared" si="35"/>
        <v>0</v>
      </c>
      <c r="AX57" s="16">
        <f t="shared" si="36"/>
        <v>0</v>
      </c>
      <c r="AY57" s="16">
        <f t="shared" si="37"/>
        <v>0</v>
      </c>
      <c r="AZ57" s="16">
        <f t="shared" si="38"/>
        <v>0</v>
      </c>
      <c r="BA57" s="16">
        <f t="shared" si="39"/>
        <v>0</v>
      </c>
      <c r="BB57" s="1373">
        <f>IF(AB57,VLOOKUP(IF(ISNUMBER(MATCH(Overview!$B$14,useless_spell_races,0)),Overview!$B$14,"Other"),Constants!$P$89:$S$102,4,FALSE),IF(BB56&gt;0,BB56-1,0))</f>
        <v>0</v>
      </c>
    </row>
    <row r="58" spans="1:54" s="16" customFormat="1" x14ac:dyDescent="0.25">
      <c r="A58" s="982">
        <f>Rezone!J58</f>
        <v>56</v>
      </c>
      <c r="B58" s="16">
        <f>Construction!E58</f>
        <v>1000</v>
      </c>
      <c r="C58" s="26">
        <f ca="1">Production!K58</f>
        <v>48511</v>
      </c>
      <c r="D58" s="62">
        <f>MIN(1,D57+0.04+ROUNDDOWN(10*Military!BN57,0)+MAX(Techs!AN57,Techs!AW57*3))-AE58</f>
        <v>1</v>
      </c>
      <c r="E58" s="530">
        <f>Imps!L58</f>
        <v>43768.572916666533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AB58*VLOOKUP(IF(ISNUMBER(MATCH(Overview!$B$14,useless_spell_races,0)),Overview!$B$14,"Other"),Constants!$P$89:$S$102,3,FALSE))</f>
        <v>0</v>
      </c>
      <c r="AE58" s="62">
        <f t="shared" si="23"/>
        <v>0</v>
      </c>
      <c r="AG58" s="633">
        <f t="shared" si="18"/>
        <v>0</v>
      </c>
      <c r="AH58" s="527">
        <f t="shared" si="19"/>
        <v>0</v>
      </c>
      <c r="AI58" s="527">
        <f t="shared" si="20"/>
        <v>0</v>
      </c>
      <c r="AJ58" s="527">
        <f t="shared" si="21"/>
        <v>0</v>
      </c>
      <c r="AK58" s="525">
        <f t="shared" si="22"/>
        <v>0</v>
      </c>
      <c r="AL58" s="527">
        <f t="shared" si="24"/>
        <v>0</v>
      </c>
      <c r="AM58" s="527">
        <f t="shared" si="25"/>
        <v>0</v>
      </c>
      <c r="AN58" s="527">
        <f t="shared" si="26"/>
        <v>0</v>
      </c>
      <c r="AO58" s="527">
        <f t="shared" si="27"/>
        <v>0</v>
      </c>
      <c r="AP58" s="527">
        <f t="shared" si="28"/>
        <v>0</v>
      </c>
      <c r="AQ58" s="527">
        <f t="shared" si="29"/>
        <v>0</v>
      </c>
      <c r="AR58" s="953">
        <f t="shared" si="30"/>
        <v>0</v>
      </c>
      <c r="AS58" s="953">
        <f t="shared" si="31"/>
        <v>0</v>
      </c>
      <c r="AT58" s="953">
        <f t="shared" si="32"/>
        <v>0</v>
      </c>
      <c r="AU58" s="953">
        <f t="shared" si="33"/>
        <v>0</v>
      </c>
      <c r="AV58" s="953">
        <f t="shared" si="34"/>
        <v>0</v>
      </c>
      <c r="AW58" s="16">
        <f t="shared" si="35"/>
        <v>0</v>
      </c>
      <c r="AX58" s="16">
        <f t="shared" si="36"/>
        <v>0</v>
      </c>
      <c r="AY58" s="16">
        <f t="shared" si="37"/>
        <v>0</v>
      </c>
      <c r="AZ58" s="16">
        <f t="shared" si="38"/>
        <v>0</v>
      </c>
      <c r="BA58" s="16">
        <f t="shared" si="39"/>
        <v>0</v>
      </c>
      <c r="BB58" s="1373">
        <f>IF(AB58,VLOOKUP(IF(ISNUMBER(MATCH(Overview!$B$14,useless_spell_races,0)),Overview!$B$14,"Other"),Constants!$P$89:$S$102,4,FALSE),IF(BB57&gt;0,BB57-1,0))</f>
        <v>0</v>
      </c>
    </row>
    <row r="59" spans="1:54" s="16" customFormat="1" x14ac:dyDescent="0.25">
      <c r="A59" s="982">
        <f>Rezone!J59</f>
        <v>57</v>
      </c>
      <c r="B59" s="16">
        <f>Construction!E59</f>
        <v>1000</v>
      </c>
      <c r="C59" s="26">
        <f ca="1">Production!K59</f>
        <v>48791</v>
      </c>
      <c r="D59" s="62">
        <f>MIN(1,D58+0.04+ROUNDDOWN(10*Military!BN58,0)+MAX(Techs!AN58,Techs!AW58*3))-AE59</f>
        <v>1</v>
      </c>
      <c r="E59" s="530">
        <f>Imps!L59</f>
        <v>43768.583333333198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AB59*VLOOKUP(IF(ISNUMBER(MATCH(Overview!$B$14,useless_spell_races,0)),Overview!$B$14,"Other"),Constants!$P$89:$S$102,3,FALSE))</f>
        <v>0</v>
      </c>
      <c r="AE59" s="62">
        <f t="shared" si="23"/>
        <v>0</v>
      </c>
      <c r="AG59" s="633">
        <f t="shared" si="18"/>
        <v>0</v>
      </c>
      <c r="AH59" s="527">
        <f t="shared" si="19"/>
        <v>0</v>
      </c>
      <c r="AI59" s="527">
        <f t="shared" si="20"/>
        <v>0</v>
      </c>
      <c r="AJ59" s="527">
        <f t="shared" si="21"/>
        <v>0</v>
      </c>
      <c r="AK59" s="525">
        <f t="shared" si="22"/>
        <v>0</v>
      </c>
      <c r="AL59" s="527">
        <f t="shared" si="24"/>
        <v>0</v>
      </c>
      <c r="AM59" s="527">
        <f t="shared" si="25"/>
        <v>0</v>
      </c>
      <c r="AN59" s="527">
        <f t="shared" si="26"/>
        <v>0</v>
      </c>
      <c r="AO59" s="527">
        <f t="shared" si="27"/>
        <v>0</v>
      </c>
      <c r="AP59" s="527">
        <f t="shared" si="28"/>
        <v>0</v>
      </c>
      <c r="AQ59" s="527">
        <f t="shared" si="29"/>
        <v>0</v>
      </c>
      <c r="AR59" s="953">
        <f t="shared" si="30"/>
        <v>0</v>
      </c>
      <c r="AS59" s="953">
        <f t="shared" si="31"/>
        <v>0</v>
      </c>
      <c r="AT59" s="953">
        <f t="shared" si="32"/>
        <v>0</v>
      </c>
      <c r="AU59" s="953">
        <f t="shared" si="33"/>
        <v>0</v>
      </c>
      <c r="AV59" s="953">
        <f t="shared" si="34"/>
        <v>0</v>
      </c>
      <c r="AW59" s="16">
        <f t="shared" si="35"/>
        <v>0</v>
      </c>
      <c r="AX59" s="16">
        <f t="shared" si="36"/>
        <v>0</v>
      </c>
      <c r="AY59" s="16">
        <f t="shared" si="37"/>
        <v>0</v>
      </c>
      <c r="AZ59" s="16">
        <f t="shared" si="38"/>
        <v>0</v>
      </c>
      <c r="BA59" s="16">
        <f t="shared" si="39"/>
        <v>0</v>
      </c>
      <c r="BB59" s="1373">
        <f>IF(AB59,VLOOKUP(IF(ISNUMBER(MATCH(Overview!$B$14,useless_spell_races,0)),Overview!$B$14,"Other"),Constants!$P$89:$S$102,4,FALSE),IF(BB58&gt;0,BB58-1,0))</f>
        <v>0</v>
      </c>
    </row>
    <row r="60" spans="1:54" s="16" customFormat="1" x14ac:dyDescent="0.25">
      <c r="A60" s="982">
        <f>Rezone!J60</f>
        <v>58</v>
      </c>
      <c r="B60" s="16">
        <f>Construction!E60</f>
        <v>1000</v>
      </c>
      <c r="C60" s="26">
        <f ca="1">Production!K60</f>
        <v>49065</v>
      </c>
      <c r="D60" s="62">
        <f>MIN(1,D59+0.04+ROUNDDOWN(10*Military!BN59,0)+MAX(Techs!AN59,Techs!AW59*3))-AE60</f>
        <v>1</v>
      </c>
      <c r="E60" s="530">
        <f>Imps!L60</f>
        <v>43768.593749999862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AB60*VLOOKUP(IF(ISNUMBER(MATCH(Overview!$B$14,useless_spell_races,0)),Overview!$B$14,"Other"),Constants!$P$89:$S$102,3,FALSE))</f>
        <v>0</v>
      </c>
      <c r="AE60" s="62">
        <f t="shared" si="23"/>
        <v>0</v>
      </c>
      <c r="AG60" s="633">
        <f t="shared" si="18"/>
        <v>0</v>
      </c>
      <c r="AH60" s="527">
        <f t="shared" si="19"/>
        <v>0</v>
      </c>
      <c r="AI60" s="527">
        <f t="shared" si="20"/>
        <v>0</v>
      </c>
      <c r="AJ60" s="527">
        <f t="shared" si="21"/>
        <v>0</v>
      </c>
      <c r="AK60" s="525">
        <f t="shared" si="22"/>
        <v>0</v>
      </c>
      <c r="AL60" s="527">
        <f t="shared" si="24"/>
        <v>0</v>
      </c>
      <c r="AM60" s="527">
        <f t="shared" si="25"/>
        <v>0</v>
      </c>
      <c r="AN60" s="527">
        <f t="shared" si="26"/>
        <v>0</v>
      </c>
      <c r="AO60" s="527">
        <f t="shared" si="27"/>
        <v>0</v>
      </c>
      <c r="AP60" s="527">
        <f t="shared" si="28"/>
        <v>0</v>
      </c>
      <c r="AQ60" s="527">
        <f t="shared" si="29"/>
        <v>0</v>
      </c>
      <c r="AR60" s="953">
        <f t="shared" si="30"/>
        <v>0</v>
      </c>
      <c r="AS60" s="953">
        <f t="shared" si="31"/>
        <v>0</v>
      </c>
      <c r="AT60" s="953">
        <f t="shared" si="32"/>
        <v>0</v>
      </c>
      <c r="AU60" s="953">
        <f t="shared" si="33"/>
        <v>0</v>
      </c>
      <c r="AV60" s="953">
        <f t="shared" si="34"/>
        <v>0</v>
      </c>
      <c r="AW60" s="16">
        <f t="shared" si="35"/>
        <v>0</v>
      </c>
      <c r="AX60" s="16">
        <f t="shared" si="36"/>
        <v>0</v>
      </c>
      <c r="AY60" s="16">
        <f t="shared" si="37"/>
        <v>0</v>
      </c>
      <c r="AZ60" s="16">
        <f t="shared" si="38"/>
        <v>0</v>
      </c>
      <c r="BA60" s="16">
        <f t="shared" si="39"/>
        <v>0</v>
      </c>
      <c r="BB60" s="1373">
        <f>IF(AB60,VLOOKUP(IF(ISNUMBER(MATCH(Overview!$B$14,useless_spell_races,0)),Overview!$B$14,"Other"),Constants!$P$89:$S$102,4,FALSE),IF(BB59&gt;0,BB59-1,0))</f>
        <v>0</v>
      </c>
    </row>
    <row r="61" spans="1:54" s="16" customFormat="1" x14ac:dyDescent="0.25">
      <c r="A61" s="982">
        <f>Rezone!J61</f>
        <v>59</v>
      </c>
      <c r="B61" s="16">
        <f>Construction!E61</f>
        <v>1000</v>
      </c>
      <c r="C61" s="26">
        <f ca="1">Production!K61</f>
        <v>49334</v>
      </c>
      <c r="D61" s="62">
        <f>MIN(1,D60+0.04+ROUNDDOWN(10*Military!BN60,0)+MAX(Techs!AN60,Techs!AW60*3))-AE61</f>
        <v>1</v>
      </c>
      <c r="E61" s="530">
        <f>Imps!L61</f>
        <v>43768.604166666526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AB61*VLOOKUP(IF(ISNUMBER(MATCH(Overview!$B$14,useless_spell_races,0)),Overview!$B$14,"Other"),Constants!$P$89:$S$102,3,FALSE))</f>
        <v>0</v>
      </c>
      <c r="AE61" s="62">
        <f t="shared" si="23"/>
        <v>0</v>
      </c>
      <c r="AG61" s="633">
        <f t="shared" si="18"/>
        <v>0</v>
      </c>
      <c r="AH61" s="527">
        <f t="shared" si="19"/>
        <v>0</v>
      </c>
      <c r="AI61" s="527">
        <f t="shared" si="20"/>
        <v>0</v>
      </c>
      <c r="AJ61" s="527">
        <f t="shared" si="21"/>
        <v>0</v>
      </c>
      <c r="AK61" s="525">
        <f t="shared" si="22"/>
        <v>0</v>
      </c>
      <c r="AL61" s="527">
        <f t="shared" si="24"/>
        <v>0</v>
      </c>
      <c r="AM61" s="527">
        <f t="shared" si="25"/>
        <v>0</v>
      </c>
      <c r="AN61" s="527">
        <f t="shared" si="26"/>
        <v>0</v>
      </c>
      <c r="AO61" s="527">
        <f t="shared" si="27"/>
        <v>0</v>
      </c>
      <c r="AP61" s="527">
        <f t="shared" si="28"/>
        <v>0</v>
      </c>
      <c r="AQ61" s="527">
        <f t="shared" si="29"/>
        <v>0</v>
      </c>
      <c r="AR61" s="953">
        <f t="shared" si="30"/>
        <v>0</v>
      </c>
      <c r="AS61" s="953">
        <f t="shared" si="31"/>
        <v>0</v>
      </c>
      <c r="AT61" s="953">
        <f t="shared" si="32"/>
        <v>0</v>
      </c>
      <c r="AU61" s="953">
        <f t="shared" si="33"/>
        <v>0</v>
      </c>
      <c r="AV61" s="953">
        <f t="shared" si="34"/>
        <v>0</v>
      </c>
      <c r="AW61" s="16">
        <f t="shared" si="35"/>
        <v>0</v>
      </c>
      <c r="AX61" s="16">
        <f t="shared" si="36"/>
        <v>0</v>
      </c>
      <c r="AY61" s="16">
        <f t="shared" si="37"/>
        <v>0</v>
      </c>
      <c r="AZ61" s="16">
        <f t="shared" si="38"/>
        <v>0</v>
      </c>
      <c r="BA61" s="16">
        <f t="shared" si="39"/>
        <v>0</v>
      </c>
      <c r="BB61" s="1373">
        <f>IF(AB61,VLOOKUP(IF(ISNUMBER(MATCH(Overview!$B$14,useless_spell_races,0)),Overview!$B$14,"Other"),Constants!$P$89:$S$102,4,FALSE),IF(BB60&gt;0,BB60-1,0))</f>
        <v>0</v>
      </c>
    </row>
    <row r="62" spans="1:54" s="16" customFormat="1" x14ac:dyDescent="0.25">
      <c r="A62" s="982">
        <f>Rezone!J62</f>
        <v>60</v>
      </c>
      <c r="B62" s="16">
        <f>Construction!E62</f>
        <v>1000</v>
      </c>
      <c r="C62" s="26">
        <f ca="1">Production!K62</f>
        <v>49597</v>
      </c>
      <c r="D62" s="62">
        <f>MIN(1,D61+0.04+ROUNDDOWN(10*Military!BN61,0)+MAX(Techs!AN61,Techs!AW61*3))-AE62</f>
        <v>1</v>
      </c>
      <c r="E62" s="530">
        <f>Imps!L62</f>
        <v>43768.61458333319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AB62*VLOOKUP(IF(ISNUMBER(MATCH(Overview!$B$14,useless_spell_races,0)),Overview!$B$14,"Other"),Constants!$P$89:$S$102,3,FALSE))</f>
        <v>0</v>
      </c>
      <c r="AE62" s="62">
        <f t="shared" si="23"/>
        <v>0</v>
      </c>
      <c r="AG62" s="633">
        <f t="shared" si="18"/>
        <v>0</v>
      </c>
      <c r="AH62" s="527">
        <f t="shared" si="19"/>
        <v>0</v>
      </c>
      <c r="AI62" s="527">
        <f t="shared" si="20"/>
        <v>0</v>
      </c>
      <c r="AJ62" s="527">
        <f t="shared" si="21"/>
        <v>0</v>
      </c>
      <c r="AK62" s="525">
        <f t="shared" si="22"/>
        <v>0</v>
      </c>
      <c r="AL62" s="527">
        <f t="shared" si="24"/>
        <v>0</v>
      </c>
      <c r="AM62" s="527">
        <f t="shared" si="25"/>
        <v>0</v>
      </c>
      <c r="AN62" s="527">
        <f t="shared" si="26"/>
        <v>0</v>
      </c>
      <c r="AO62" s="527">
        <f t="shared" si="27"/>
        <v>0</v>
      </c>
      <c r="AP62" s="527">
        <f t="shared" si="28"/>
        <v>0</v>
      </c>
      <c r="AQ62" s="527">
        <f t="shared" si="29"/>
        <v>0</v>
      </c>
      <c r="AR62" s="953">
        <f t="shared" si="30"/>
        <v>0</v>
      </c>
      <c r="AS62" s="953">
        <f t="shared" si="31"/>
        <v>0</v>
      </c>
      <c r="AT62" s="953">
        <f t="shared" si="32"/>
        <v>0</v>
      </c>
      <c r="AU62" s="953">
        <f t="shared" si="33"/>
        <v>0</v>
      </c>
      <c r="AV62" s="953">
        <f t="shared" si="34"/>
        <v>0</v>
      </c>
      <c r="AW62" s="16">
        <f t="shared" si="35"/>
        <v>0</v>
      </c>
      <c r="AX62" s="16">
        <f t="shared" si="36"/>
        <v>0</v>
      </c>
      <c r="AY62" s="16">
        <f t="shared" si="37"/>
        <v>0</v>
      </c>
      <c r="AZ62" s="16">
        <f t="shared" si="38"/>
        <v>0</v>
      </c>
      <c r="BA62" s="16">
        <f t="shared" si="39"/>
        <v>0</v>
      </c>
      <c r="BB62" s="1373">
        <f>IF(AB62,VLOOKUP(IF(ISNUMBER(MATCH(Overview!$B$14,useless_spell_races,0)),Overview!$B$14,"Other"),Constants!$P$89:$S$102,4,FALSE),IF(BB61&gt;0,BB61-1,0))</f>
        <v>0</v>
      </c>
    </row>
    <row r="63" spans="1:54" s="12" customFormat="1" x14ac:dyDescent="0.25">
      <c r="A63" s="985">
        <f>Rezone!J63</f>
        <v>61</v>
      </c>
      <c r="B63" s="12">
        <f>Construction!E63</f>
        <v>1000</v>
      </c>
      <c r="C63" s="13">
        <f ca="1">Production!K63</f>
        <v>49855</v>
      </c>
      <c r="D63" s="61">
        <f>MIN(1,D62+0.04+ROUNDDOWN(10*Military!BN62,0)+MAX(Techs!AN62,Techs!AW62*3))-AE63</f>
        <v>1</v>
      </c>
      <c r="E63" s="531">
        <f>Imps!L63</f>
        <v>43768.624999999854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AB63*VLOOKUP(IF(ISNUMBER(MATCH(Overview!$B$14,useless_spell_races,0)),Overview!$B$14,"Other"),Constants!$P$89:$S$102,3,FALSE))</f>
        <v>0</v>
      </c>
      <c r="AE63" s="61">
        <f t="shared" si="23"/>
        <v>0</v>
      </c>
      <c r="AG63" s="751">
        <f t="shared" si="18"/>
        <v>0</v>
      </c>
      <c r="AH63" s="629">
        <f t="shared" si="19"/>
        <v>0</v>
      </c>
      <c r="AI63" s="629">
        <f t="shared" si="20"/>
        <v>0</v>
      </c>
      <c r="AJ63" s="629">
        <f t="shared" si="21"/>
        <v>0</v>
      </c>
      <c r="AK63" s="549">
        <f t="shared" si="22"/>
        <v>0</v>
      </c>
      <c r="AL63" s="629">
        <f t="shared" si="24"/>
        <v>0</v>
      </c>
      <c r="AM63" s="629">
        <f t="shared" si="25"/>
        <v>0</v>
      </c>
      <c r="AN63" s="629">
        <f t="shared" si="26"/>
        <v>0</v>
      </c>
      <c r="AO63" s="629">
        <f t="shared" si="27"/>
        <v>0</v>
      </c>
      <c r="AP63" s="629">
        <f t="shared" si="28"/>
        <v>0</v>
      </c>
      <c r="AQ63" s="629">
        <f t="shared" si="29"/>
        <v>0</v>
      </c>
      <c r="AR63" s="800">
        <f t="shared" si="30"/>
        <v>0</v>
      </c>
      <c r="AS63" s="800">
        <f t="shared" si="31"/>
        <v>0</v>
      </c>
      <c r="AT63" s="800">
        <f t="shared" si="32"/>
        <v>0</v>
      </c>
      <c r="AU63" s="800">
        <f t="shared" si="33"/>
        <v>0</v>
      </c>
      <c r="AV63" s="800">
        <f t="shared" si="34"/>
        <v>0</v>
      </c>
      <c r="AW63" s="12">
        <f t="shared" si="35"/>
        <v>0</v>
      </c>
      <c r="AX63" s="12">
        <f t="shared" si="36"/>
        <v>0</v>
      </c>
      <c r="AY63" s="12">
        <f t="shared" si="37"/>
        <v>0</v>
      </c>
      <c r="AZ63" s="12">
        <f t="shared" si="38"/>
        <v>0</v>
      </c>
      <c r="BA63" s="12">
        <f t="shared" si="39"/>
        <v>0</v>
      </c>
      <c r="BB63" s="1376">
        <f>IF(AB63,VLOOKUP(IF(ISNUMBER(MATCH(Overview!$B$14,useless_spell_races,0)),Overview!$B$14,"Other"),Constants!$P$89:$S$102,4,FALSE),IF(BB62&gt;0,BB62-1,0))</f>
        <v>0</v>
      </c>
    </row>
    <row r="64" spans="1:54" s="15" customFormat="1" x14ac:dyDescent="0.25">
      <c r="A64" s="999">
        <f>Rezone!J64</f>
        <v>62</v>
      </c>
      <c r="B64" s="15">
        <f>Construction!E64</f>
        <v>1000</v>
      </c>
      <c r="C64" s="23">
        <f ca="1">Production!K64</f>
        <v>50108</v>
      </c>
      <c r="D64" s="62">
        <f>MIN(1,D63+0.04+ROUNDDOWN(10*Military!BN63,0)+MAX(Techs!AN63,Techs!AW63*3))-AE64</f>
        <v>1</v>
      </c>
      <c r="E64" s="530">
        <f>Imps!L64</f>
        <v>43768.635416666519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AB64*VLOOKUP(IF(ISNUMBER(MATCH(Overview!$B$14,useless_spell_races,0)),Overview!$B$14,"Other"),Constants!$P$89:$S$102,3,FALSE))</f>
        <v>0</v>
      </c>
      <c r="AE64" s="101">
        <f t="shared" si="23"/>
        <v>0</v>
      </c>
      <c r="AF64" s="16"/>
      <c r="AG64" s="752">
        <f t="shared" si="18"/>
        <v>0</v>
      </c>
      <c r="AH64" s="630">
        <f t="shared" si="19"/>
        <v>0</v>
      </c>
      <c r="AI64" s="630">
        <f t="shared" si="20"/>
        <v>0</v>
      </c>
      <c r="AJ64" s="630">
        <f t="shared" si="21"/>
        <v>0</v>
      </c>
      <c r="AK64" s="526">
        <f t="shared" si="22"/>
        <v>0</v>
      </c>
      <c r="AL64" s="630">
        <f t="shared" si="24"/>
        <v>0</v>
      </c>
      <c r="AM64" s="630">
        <f t="shared" si="25"/>
        <v>0</v>
      </c>
      <c r="AN64" s="630">
        <f t="shared" si="26"/>
        <v>0</v>
      </c>
      <c r="AO64" s="630">
        <f t="shared" si="27"/>
        <v>0</v>
      </c>
      <c r="AP64" s="630">
        <f t="shared" si="28"/>
        <v>0</v>
      </c>
      <c r="AQ64" s="630">
        <f t="shared" si="29"/>
        <v>0</v>
      </c>
      <c r="AR64" s="957">
        <f t="shared" si="30"/>
        <v>0</v>
      </c>
      <c r="AS64" s="957">
        <f t="shared" si="31"/>
        <v>0</v>
      </c>
      <c r="AT64" s="957">
        <f t="shared" si="32"/>
        <v>0</v>
      </c>
      <c r="AU64" s="957">
        <f t="shared" si="33"/>
        <v>0</v>
      </c>
      <c r="AV64" s="957">
        <f t="shared" si="34"/>
        <v>0</v>
      </c>
      <c r="AW64" s="15">
        <f t="shared" si="35"/>
        <v>0</v>
      </c>
      <c r="AX64" s="15">
        <f t="shared" si="36"/>
        <v>0</v>
      </c>
      <c r="AY64" s="15">
        <f t="shared" si="37"/>
        <v>0</v>
      </c>
      <c r="AZ64" s="15">
        <f t="shared" si="38"/>
        <v>0</v>
      </c>
      <c r="BA64" s="15">
        <f t="shared" si="39"/>
        <v>0</v>
      </c>
      <c r="BB64" s="1377">
        <f>IF(AB64,VLOOKUP(IF(ISNUMBER(MATCH(Overview!$B$14,useless_spell_races,0)),Overview!$B$14,"Other"),Constants!$P$89:$S$102,4,FALSE),IF(BB63&gt;0,BB63-1,0))</f>
        <v>0</v>
      </c>
    </row>
    <row r="65" spans="1:54" s="16" customFormat="1" x14ac:dyDescent="0.25">
      <c r="A65" s="982">
        <f>Rezone!J65</f>
        <v>63</v>
      </c>
      <c r="B65" s="16">
        <f>Construction!E65</f>
        <v>1000</v>
      </c>
      <c r="C65" s="26">
        <f ca="1">Production!K65</f>
        <v>50356</v>
      </c>
      <c r="D65" s="62">
        <f>MIN(1,D64+0.04+ROUNDDOWN(10*Military!BN64,0)+MAX(Techs!AN64,Techs!AW64*3))-AE65</f>
        <v>1</v>
      </c>
      <c r="E65" s="530">
        <f>Imps!L65</f>
        <v>43768.645833333183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AB65*VLOOKUP(IF(ISNUMBER(MATCH(Overview!$B$14,useless_spell_races,0)),Overview!$B$14,"Other"),Constants!$P$89:$S$102,3,FALSE))</f>
        <v>0</v>
      </c>
      <c r="AE65" s="62">
        <f t="shared" si="23"/>
        <v>0</v>
      </c>
      <c r="AG65" s="633">
        <f t="shared" si="18"/>
        <v>0</v>
      </c>
      <c r="AH65" s="527">
        <f t="shared" si="19"/>
        <v>0</v>
      </c>
      <c r="AI65" s="527">
        <f t="shared" si="20"/>
        <v>0</v>
      </c>
      <c r="AJ65" s="527">
        <f t="shared" si="21"/>
        <v>0</v>
      </c>
      <c r="AK65" s="525">
        <f t="shared" si="22"/>
        <v>0</v>
      </c>
      <c r="AL65" s="527">
        <f t="shared" si="24"/>
        <v>0</v>
      </c>
      <c r="AM65" s="527">
        <f t="shared" si="25"/>
        <v>0</v>
      </c>
      <c r="AN65" s="527">
        <f t="shared" si="26"/>
        <v>0</v>
      </c>
      <c r="AO65" s="527">
        <f t="shared" si="27"/>
        <v>0</v>
      </c>
      <c r="AP65" s="527">
        <f t="shared" si="28"/>
        <v>0</v>
      </c>
      <c r="AQ65" s="527">
        <f t="shared" si="29"/>
        <v>0</v>
      </c>
      <c r="AR65" s="953">
        <f t="shared" si="30"/>
        <v>0</v>
      </c>
      <c r="AS65" s="953">
        <f t="shared" si="31"/>
        <v>0</v>
      </c>
      <c r="AT65" s="953">
        <f t="shared" si="32"/>
        <v>0</v>
      </c>
      <c r="AU65" s="953">
        <f t="shared" si="33"/>
        <v>0</v>
      </c>
      <c r="AV65" s="953">
        <f t="shared" si="34"/>
        <v>0</v>
      </c>
      <c r="AW65" s="16">
        <f t="shared" si="35"/>
        <v>0</v>
      </c>
      <c r="AX65" s="16">
        <f t="shared" si="36"/>
        <v>0</v>
      </c>
      <c r="AY65" s="16">
        <f t="shared" si="37"/>
        <v>0</v>
      </c>
      <c r="AZ65" s="16">
        <f t="shared" si="38"/>
        <v>0</v>
      </c>
      <c r="BA65" s="16">
        <f t="shared" si="39"/>
        <v>0</v>
      </c>
      <c r="BB65" s="1373">
        <f>IF(AB65,VLOOKUP(IF(ISNUMBER(MATCH(Overview!$B$14,useless_spell_races,0)),Overview!$B$14,"Other"),Constants!$P$89:$S$102,4,FALSE),IF(BB64&gt;0,BB64-1,0))</f>
        <v>0</v>
      </c>
    </row>
    <row r="66" spans="1:54" s="16" customFormat="1" x14ac:dyDescent="0.25">
      <c r="A66" s="982">
        <f>Rezone!J66</f>
        <v>64</v>
      </c>
      <c r="B66" s="16">
        <f>Construction!E66</f>
        <v>1000</v>
      </c>
      <c r="C66" s="26">
        <f ca="1">Production!K66</f>
        <v>50599</v>
      </c>
      <c r="D66" s="62">
        <f>MIN(1,D65+0.04+ROUNDDOWN(10*Military!BN65,0)+MAX(Techs!AN65,Techs!AW65*3))-AE66</f>
        <v>1</v>
      </c>
      <c r="E66" s="530">
        <f>Imps!L66</f>
        <v>43768.656249999847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AB66*VLOOKUP(IF(ISNUMBER(MATCH(Overview!$B$14,useless_spell_races,0)),Overview!$B$14,"Other"),Constants!$P$89:$S$102,3,FALSE))</f>
        <v>0</v>
      </c>
      <c r="AE66" s="62">
        <f t="shared" si="23"/>
        <v>0</v>
      </c>
      <c r="AG66" s="633">
        <f t="shared" si="18"/>
        <v>0</v>
      </c>
      <c r="AH66" s="527">
        <f t="shared" si="19"/>
        <v>0</v>
      </c>
      <c r="AI66" s="527">
        <f t="shared" si="20"/>
        <v>0</v>
      </c>
      <c r="AJ66" s="527">
        <f t="shared" si="21"/>
        <v>0</v>
      </c>
      <c r="AK66" s="525">
        <f t="shared" si="22"/>
        <v>0</v>
      </c>
      <c r="AL66" s="527">
        <f t="shared" si="24"/>
        <v>0</v>
      </c>
      <c r="AM66" s="527">
        <f t="shared" si="25"/>
        <v>0</v>
      </c>
      <c r="AN66" s="527">
        <f t="shared" si="26"/>
        <v>0</v>
      </c>
      <c r="AO66" s="527">
        <f t="shared" si="27"/>
        <v>0</v>
      </c>
      <c r="AP66" s="527">
        <f t="shared" si="28"/>
        <v>0</v>
      </c>
      <c r="AQ66" s="527">
        <f t="shared" si="29"/>
        <v>0</v>
      </c>
      <c r="AR66" s="953">
        <f t="shared" si="30"/>
        <v>0</v>
      </c>
      <c r="AS66" s="953">
        <f t="shared" si="31"/>
        <v>0</v>
      </c>
      <c r="AT66" s="953">
        <f t="shared" si="32"/>
        <v>0</v>
      </c>
      <c r="AU66" s="953">
        <f t="shared" si="33"/>
        <v>0</v>
      </c>
      <c r="AV66" s="953">
        <f t="shared" si="34"/>
        <v>0</v>
      </c>
      <c r="AW66" s="16">
        <f t="shared" si="35"/>
        <v>0</v>
      </c>
      <c r="AX66" s="16">
        <f t="shared" si="36"/>
        <v>0</v>
      </c>
      <c r="AY66" s="16">
        <f t="shared" si="37"/>
        <v>0</v>
      </c>
      <c r="AZ66" s="16">
        <f t="shared" si="38"/>
        <v>0</v>
      </c>
      <c r="BA66" s="16">
        <f t="shared" si="39"/>
        <v>0</v>
      </c>
      <c r="BB66" s="1373">
        <f>IF(AB66,VLOOKUP(IF(ISNUMBER(MATCH(Overview!$B$14,useless_spell_races,0)),Overview!$B$14,"Other"),Constants!$P$89:$S$102,4,FALSE),IF(BB65&gt;0,BB65-1,0))</f>
        <v>0</v>
      </c>
    </row>
    <row r="67" spans="1:54" s="16" customFormat="1" x14ac:dyDescent="0.25">
      <c r="A67" s="982">
        <f>Rezone!J67</f>
        <v>65</v>
      </c>
      <c r="B67" s="16">
        <f>Construction!E67</f>
        <v>1000</v>
      </c>
      <c r="C67" s="26">
        <f ca="1">Production!K67</f>
        <v>50837</v>
      </c>
      <c r="D67" s="62">
        <f>MIN(1,D66+0.04+ROUNDDOWN(10*Military!BN66,0)+MAX(Techs!AN66,Techs!AW66*3))-AE67</f>
        <v>1</v>
      </c>
      <c r="E67" s="530">
        <f>Imps!L67</f>
        <v>43768.666666666511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AB67*VLOOKUP(IF(ISNUMBER(MATCH(Overview!$B$14,useless_spell_races,0)),Overview!$B$14,"Other"),Constants!$P$89:$S$102,3,FALSE))</f>
        <v>0</v>
      </c>
      <c r="AE67" s="62">
        <f t="shared" si="23"/>
        <v>0</v>
      </c>
      <c r="AG67" s="633">
        <f t="shared" si="18"/>
        <v>0</v>
      </c>
      <c r="AH67" s="527">
        <f t="shared" si="19"/>
        <v>0</v>
      </c>
      <c r="AI67" s="527">
        <f t="shared" si="20"/>
        <v>0</v>
      </c>
      <c r="AJ67" s="527">
        <f t="shared" si="21"/>
        <v>0</v>
      </c>
      <c r="AK67" s="525">
        <f t="shared" si="22"/>
        <v>0</v>
      </c>
      <c r="AL67" s="527">
        <f t="shared" si="24"/>
        <v>0</v>
      </c>
      <c r="AM67" s="527">
        <f t="shared" si="25"/>
        <v>0</v>
      </c>
      <c r="AN67" s="527">
        <f t="shared" si="26"/>
        <v>0</v>
      </c>
      <c r="AO67" s="527">
        <f t="shared" si="27"/>
        <v>0</v>
      </c>
      <c r="AP67" s="527">
        <f t="shared" si="28"/>
        <v>0</v>
      </c>
      <c r="AQ67" s="527">
        <f t="shared" si="29"/>
        <v>0</v>
      </c>
      <c r="AR67" s="953">
        <f t="shared" si="30"/>
        <v>0</v>
      </c>
      <c r="AS67" s="953">
        <f t="shared" si="31"/>
        <v>0</v>
      </c>
      <c r="AT67" s="953">
        <f t="shared" si="32"/>
        <v>0</v>
      </c>
      <c r="AU67" s="953">
        <f t="shared" si="33"/>
        <v>0</v>
      </c>
      <c r="AV67" s="953">
        <f t="shared" si="34"/>
        <v>0</v>
      </c>
      <c r="AW67" s="16">
        <f t="shared" si="35"/>
        <v>0</v>
      </c>
      <c r="AX67" s="16">
        <f t="shared" si="36"/>
        <v>0</v>
      </c>
      <c r="AY67" s="16">
        <f t="shared" si="37"/>
        <v>0</v>
      </c>
      <c r="AZ67" s="16">
        <f t="shared" si="38"/>
        <v>0</v>
      </c>
      <c r="BA67" s="16">
        <f t="shared" si="39"/>
        <v>0</v>
      </c>
      <c r="BB67" s="1373">
        <f>IF(AB67,VLOOKUP(IF(ISNUMBER(MATCH(Overview!$B$14,useless_spell_races,0)),Overview!$B$14,"Other"),Constants!$P$89:$S$102,4,FALSE),IF(BB66&gt;0,BB66-1,0))</f>
        <v>0</v>
      </c>
    </row>
    <row r="68" spans="1:54" s="16" customFormat="1" x14ac:dyDescent="0.25">
      <c r="A68" s="982">
        <f>Rezone!J68</f>
        <v>66</v>
      </c>
      <c r="B68" s="16">
        <f>Construction!E68</f>
        <v>1000</v>
      </c>
      <c r="C68" s="26">
        <f ca="1">Production!K68</f>
        <v>51070</v>
      </c>
      <c r="D68" s="62">
        <f>MIN(1,D67+0.04+ROUNDDOWN(10*Military!BN67,0)+MAX(Techs!AN67,Techs!AW67*3))-AE68</f>
        <v>1</v>
      </c>
      <c r="E68" s="530">
        <f>Imps!L68</f>
        <v>43768.677083333176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AB68*VLOOKUP(IF(ISNUMBER(MATCH(Overview!$B$14,useless_spell_races,0)),Overview!$B$14,"Other"),Constants!$P$89:$S$102,3,FALSE))</f>
        <v>0</v>
      </c>
      <c r="AE68" s="62">
        <f t="shared" si="23"/>
        <v>0</v>
      </c>
      <c r="AG68" s="633">
        <f t="shared" si="18"/>
        <v>0</v>
      </c>
      <c r="AH68" s="527">
        <f t="shared" si="19"/>
        <v>0</v>
      </c>
      <c r="AI68" s="527">
        <f t="shared" si="20"/>
        <v>0</v>
      </c>
      <c r="AJ68" s="527">
        <f t="shared" si="21"/>
        <v>0</v>
      </c>
      <c r="AK68" s="525">
        <f t="shared" si="22"/>
        <v>0</v>
      </c>
      <c r="AL68" s="527">
        <f t="shared" ref="AL68:AL99" si="40">IF(L68,dwarf_spell_time,IF(AL67&gt;0,AL67-1,0))</f>
        <v>0</v>
      </c>
      <c r="AM68" s="527">
        <f t="shared" ref="AM68:AM99" si="41">IF(M68,halfling_spell_time,IF(AM67&gt;0,AM67-1,0))</f>
        <v>0</v>
      </c>
      <c r="AN68" s="527">
        <f t="shared" ref="AN68:AN99" si="42">IF(N68,sylvan_spell_time,IF(AN67&gt;0,AN67-1,0))</f>
        <v>0</v>
      </c>
      <c r="AO68" s="527">
        <f t="shared" ref="AO68:AO99" si="43">IF(O68,woodelf_spell_time,IF(AO67&gt;0,AO67-1,0))</f>
        <v>0</v>
      </c>
      <c r="AP68" s="527">
        <f t="shared" ref="AP68:AP99" si="44">IF(P68,kobold_spell_time,IF(AP67&gt;0,AP67-1,0))</f>
        <v>0</v>
      </c>
      <c r="AQ68" s="527">
        <f t="shared" ref="AQ68:AQ99" si="45">IF(Q68,icekin_spell_time,IF(AQ67&gt;0,AQ67-1,0))</f>
        <v>0</v>
      </c>
      <c r="AR68" s="953">
        <f t="shared" ref="AR68:AR99" si="46">IF(R68,firewalker_spell_time,IF(AR67&gt;0,AR67-1,0))</f>
        <v>0</v>
      </c>
      <c r="AS68" s="953">
        <f t="shared" ref="AS68:AS99" si="47">IF(S68,nox_spell_time,IF(AS67&gt;0,AS67-1,0))</f>
        <v>0</v>
      </c>
      <c r="AT68" s="953">
        <f t="shared" ref="AT68:AT99" si="48">IF(T68,human_spell_time,IF(AT67&gt;0,AT67-1,0))</f>
        <v>0</v>
      </c>
      <c r="AU68" s="953">
        <f t="shared" ref="AU68:AU99" si="49">IF(U68,goblin_spell_time,IF(AU67&gt;0,AU67-1,0))</f>
        <v>0</v>
      </c>
      <c r="AV68" s="953">
        <f t="shared" ref="AV68:AV99" si="50">IF(V68,orc_spell_time,IF(AV67&gt;0,AV67-1,0))</f>
        <v>0</v>
      </c>
      <c r="AW68" s="16">
        <f t="shared" ref="AW68:AW99" si="51">IF(W68,ants_spell_time,IF(AW67&gt;0,AW67-1,0))</f>
        <v>0</v>
      </c>
      <c r="AX68" s="16">
        <f t="shared" ref="AX68:AX99" si="52">IF(X68,armada_spell_time,IF(AX67&gt;0,AX67-1,0))</f>
        <v>0</v>
      </c>
      <c r="AY68" s="16">
        <f t="shared" ref="AY68:AY99" si="53">IF(Y68,lux_spell_time,IF(AY67&gt;0,AY67-1,0))</f>
        <v>0</v>
      </c>
      <c r="AZ68" s="16">
        <f t="shared" ref="AZ68:AZ99" si="54">IF(Z68,growth_spell_time,IF(AZ67&gt;0,AZ67-1,0))</f>
        <v>0</v>
      </c>
      <c r="BA68" s="16">
        <f t="shared" ref="BA68:BA99" si="55">IF(AA68,impgnome_spell_time,IF(BA67&gt;0,BA67-1,0))</f>
        <v>0</v>
      </c>
      <c r="BB68" s="1373">
        <f>IF(AB68,VLOOKUP(IF(ISNUMBER(MATCH(Overview!$B$14,useless_spell_races,0)),Overview!$B$14,"Other"),Constants!$P$89:$S$102,4,FALSE),IF(BB67&gt;0,BB67-1,0))</f>
        <v>0</v>
      </c>
    </row>
    <row r="69" spans="1:54" s="16" customFormat="1" x14ac:dyDescent="0.25">
      <c r="A69" s="982">
        <f>Rezone!J69</f>
        <v>67</v>
      </c>
      <c r="B69" s="16">
        <f>Construction!E69</f>
        <v>1000</v>
      </c>
      <c r="C69" s="26">
        <f ca="1">Production!K69</f>
        <v>51299</v>
      </c>
      <c r="D69" s="62">
        <f>MIN(1,D68+0.04+ROUNDDOWN(10*Military!BN68,0)+MAX(Techs!AN68,Techs!AW68*3))-AE69</f>
        <v>1</v>
      </c>
      <c r="E69" s="530">
        <f>Imps!L69</f>
        <v>43768.68749999984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AB69*VLOOKUP(IF(ISNUMBER(MATCH(Overview!$B$14,useless_spell_races,0)),Overview!$B$14,"Other"),Constants!$P$89:$S$102,3,FALSE))</f>
        <v>0</v>
      </c>
      <c r="AE69" s="62">
        <f t="shared" si="23"/>
        <v>0</v>
      </c>
      <c r="AG69" s="633">
        <f t="shared" ref="AG69:AG132" si="56">IF(G69,12*4,IF(AG68&gt;0,AG68-1,0))</f>
        <v>0</v>
      </c>
      <c r="AH69" s="527">
        <f t="shared" ref="AH69:AH132" si="57">IF(H69,12*4,IF(AH68&gt;0,AH68-1,0))</f>
        <v>0</v>
      </c>
      <c r="AI69" s="527">
        <f t="shared" ref="AI69:AI132" si="58">IF(I69,12*4,IF(AI68&gt;0,AI68-1,0))</f>
        <v>0</v>
      </c>
      <c r="AJ69" s="527">
        <f t="shared" ref="AJ69:AJ132" si="59">IF(J69,12*4,IF(AJ68&gt;0,AJ68-1,0))</f>
        <v>0</v>
      </c>
      <c r="AK69" s="525">
        <f t="shared" ref="AK69:AK132" si="60">IF(K69,12*4,IF(AK68&gt;0,AK68-1,0))</f>
        <v>0</v>
      </c>
      <c r="AL69" s="527">
        <f t="shared" si="40"/>
        <v>0</v>
      </c>
      <c r="AM69" s="527">
        <f t="shared" si="41"/>
        <v>0</v>
      </c>
      <c r="AN69" s="527">
        <f t="shared" si="42"/>
        <v>0</v>
      </c>
      <c r="AO69" s="527">
        <f t="shared" si="43"/>
        <v>0</v>
      </c>
      <c r="AP69" s="527">
        <f t="shared" si="44"/>
        <v>0</v>
      </c>
      <c r="AQ69" s="527">
        <f t="shared" si="45"/>
        <v>0</v>
      </c>
      <c r="AR69" s="953">
        <f t="shared" si="46"/>
        <v>0</v>
      </c>
      <c r="AS69" s="953">
        <f t="shared" si="47"/>
        <v>0</v>
      </c>
      <c r="AT69" s="953">
        <f t="shared" si="48"/>
        <v>0</v>
      </c>
      <c r="AU69" s="953">
        <f t="shared" si="49"/>
        <v>0</v>
      </c>
      <c r="AV69" s="953">
        <f t="shared" si="50"/>
        <v>0</v>
      </c>
      <c r="AW69" s="16">
        <f t="shared" si="51"/>
        <v>0</v>
      </c>
      <c r="AX69" s="16">
        <f t="shared" si="52"/>
        <v>0</v>
      </c>
      <c r="AY69" s="16">
        <f t="shared" si="53"/>
        <v>0</v>
      </c>
      <c r="AZ69" s="16">
        <f t="shared" si="54"/>
        <v>0</v>
      </c>
      <c r="BA69" s="16">
        <f t="shared" si="55"/>
        <v>0</v>
      </c>
      <c r="BB69" s="1373">
        <f>IF(AB69,VLOOKUP(IF(ISNUMBER(MATCH(Overview!$B$14,useless_spell_races,0)),Overview!$B$14,"Other"),Constants!$P$89:$S$102,4,FALSE),IF(BB68&gt;0,BB68-1,0))</f>
        <v>0</v>
      </c>
    </row>
    <row r="70" spans="1:54" s="16" customFormat="1" x14ac:dyDescent="0.25">
      <c r="A70" s="982">
        <f>Rezone!J70</f>
        <v>68</v>
      </c>
      <c r="B70" s="16">
        <f>Construction!E70</f>
        <v>1000</v>
      </c>
      <c r="C70" s="26">
        <f ca="1">Production!K70</f>
        <v>51523</v>
      </c>
      <c r="D70" s="62">
        <f>MIN(1,D69+0.04+ROUNDDOWN(10*Military!BN69,0)+MAX(Techs!AN69,Techs!AW69*3))-AE70</f>
        <v>1</v>
      </c>
      <c r="E70" s="530">
        <f>Imps!L70</f>
        <v>43768.697916666504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AB70*VLOOKUP(IF(ISNUMBER(MATCH(Overview!$B$14,useless_spell_races,0)),Overview!$B$14,"Other"),Constants!$P$89:$S$102,3,FALSE))</f>
        <v>0</v>
      </c>
      <c r="AE70" s="62">
        <f t="shared" si="23"/>
        <v>0</v>
      </c>
      <c r="AG70" s="633">
        <f t="shared" si="56"/>
        <v>0</v>
      </c>
      <c r="AH70" s="527">
        <f t="shared" si="57"/>
        <v>0</v>
      </c>
      <c r="AI70" s="527">
        <f t="shared" si="58"/>
        <v>0</v>
      </c>
      <c r="AJ70" s="527">
        <f t="shared" si="59"/>
        <v>0</v>
      </c>
      <c r="AK70" s="525">
        <f t="shared" si="60"/>
        <v>0</v>
      </c>
      <c r="AL70" s="527">
        <f t="shared" si="40"/>
        <v>0</v>
      </c>
      <c r="AM70" s="527">
        <f t="shared" si="41"/>
        <v>0</v>
      </c>
      <c r="AN70" s="527">
        <f t="shared" si="42"/>
        <v>0</v>
      </c>
      <c r="AO70" s="527">
        <f t="shared" si="43"/>
        <v>0</v>
      </c>
      <c r="AP70" s="527">
        <f t="shared" si="44"/>
        <v>0</v>
      </c>
      <c r="AQ70" s="527">
        <f t="shared" si="45"/>
        <v>0</v>
      </c>
      <c r="AR70" s="953">
        <f t="shared" si="46"/>
        <v>0</v>
      </c>
      <c r="AS70" s="953">
        <f t="shared" si="47"/>
        <v>0</v>
      </c>
      <c r="AT70" s="953">
        <f t="shared" si="48"/>
        <v>0</v>
      </c>
      <c r="AU70" s="953">
        <f t="shared" si="49"/>
        <v>0</v>
      </c>
      <c r="AV70" s="953">
        <f t="shared" si="50"/>
        <v>0</v>
      </c>
      <c r="AW70" s="16">
        <f t="shared" si="51"/>
        <v>0</v>
      </c>
      <c r="AX70" s="16">
        <f t="shared" si="52"/>
        <v>0</v>
      </c>
      <c r="AY70" s="16">
        <f t="shared" si="53"/>
        <v>0</v>
      </c>
      <c r="AZ70" s="16">
        <f t="shared" si="54"/>
        <v>0</v>
      </c>
      <c r="BA70" s="16">
        <f t="shared" si="55"/>
        <v>0</v>
      </c>
      <c r="BB70" s="1373">
        <f>IF(AB70,VLOOKUP(IF(ISNUMBER(MATCH(Overview!$B$14,useless_spell_races,0)),Overview!$B$14,"Other"),Constants!$P$89:$S$102,4,FALSE),IF(BB69&gt;0,BB69-1,0))</f>
        <v>0</v>
      </c>
    </row>
    <row r="71" spans="1:54" s="16" customFormat="1" x14ac:dyDescent="0.25">
      <c r="A71" s="982">
        <f>Rezone!J71</f>
        <v>69</v>
      </c>
      <c r="B71" s="16">
        <f>Construction!E71</f>
        <v>1000</v>
      </c>
      <c r="C71" s="26">
        <f ca="1">Production!K71</f>
        <v>51743</v>
      </c>
      <c r="D71" s="62">
        <f>MIN(1,D70+0.04+ROUNDDOWN(10*Military!BN70,0)+MAX(Techs!AN70,Techs!AW70*3))-AE71</f>
        <v>1</v>
      </c>
      <c r="E71" s="530">
        <f>Imps!L71</f>
        <v>43768.708333333168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AB71*VLOOKUP(IF(ISNUMBER(MATCH(Overview!$B$14,useless_spell_races,0)),Overview!$B$14,"Other"),Constants!$P$89:$S$102,3,FALSE))</f>
        <v>0</v>
      </c>
      <c r="AE71" s="62">
        <f t="shared" si="23"/>
        <v>0</v>
      </c>
      <c r="AG71" s="633">
        <f t="shared" si="56"/>
        <v>0</v>
      </c>
      <c r="AH71" s="527">
        <f t="shared" si="57"/>
        <v>0</v>
      </c>
      <c r="AI71" s="527">
        <f t="shared" si="58"/>
        <v>0</v>
      </c>
      <c r="AJ71" s="527">
        <f t="shared" si="59"/>
        <v>0</v>
      </c>
      <c r="AK71" s="525">
        <f t="shared" si="60"/>
        <v>0</v>
      </c>
      <c r="AL71" s="527">
        <f t="shared" si="40"/>
        <v>0</v>
      </c>
      <c r="AM71" s="527">
        <f t="shared" si="41"/>
        <v>0</v>
      </c>
      <c r="AN71" s="527">
        <f t="shared" si="42"/>
        <v>0</v>
      </c>
      <c r="AO71" s="527">
        <f t="shared" si="43"/>
        <v>0</v>
      </c>
      <c r="AP71" s="527">
        <f t="shared" si="44"/>
        <v>0</v>
      </c>
      <c r="AQ71" s="527">
        <f t="shared" si="45"/>
        <v>0</v>
      </c>
      <c r="AR71" s="953">
        <f t="shared" si="46"/>
        <v>0</v>
      </c>
      <c r="AS71" s="953">
        <f t="shared" si="47"/>
        <v>0</v>
      </c>
      <c r="AT71" s="953">
        <f t="shared" si="48"/>
        <v>0</v>
      </c>
      <c r="AU71" s="953">
        <f t="shared" si="49"/>
        <v>0</v>
      </c>
      <c r="AV71" s="953">
        <f t="shared" si="50"/>
        <v>0</v>
      </c>
      <c r="AW71" s="16">
        <f t="shared" si="51"/>
        <v>0</v>
      </c>
      <c r="AX71" s="16">
        <f t="shared" si="52"/>
        <v>0</v>
      </c>
      <c r="AY71" s="16">
        <f t="shared" si="53"/>
        <v>0</v>
      </c>
      <c r="AZ71" s="16">
        <f t="shared" si="54"/>
        <v>0</v>
      </c>
      <c r="BA71" s="16">
        <f t="shared" si="55"/>
        <v>0</v>
      </c>
      <c r="BB71" s="1373">
        <f>IF(AB71,VLOOKUP(IF(ISNUMBER(MATCH(Overview!$B$14,useless_spell_races,0)),Overview!$B$14,"Other"),Constants!$P$89:$S$102,4,FALSE),IF(BB70&gt;0,BB70-1,0))</f>
        <v>0</v>
      </c>
    </row>
    <row r="72" spans="1:54" s="16" customFormat="1" x14ac:dyDescent="0.25">
      <c r="A72" s="982">
        <f>Rezone!J72</f>
        <v>70</v>
      </c>
      <c r="B72" s="16">
        <f>Construction!E72</f>
        <v>1000</v>
      </c>
      <c r="C72" s="26">
        <f ca="1">Production!K72</f>
        <v>51958</v>
      </c>
      <c r="D72" s="62">
        <f>MIN(1,D71+0.04+ROUNDDOWN(10*Military!BN71,0)+MAX(Techs!AN71,Techs!AW71*3))-AE72</f>
        <v>1</v>
      </c>
      <c r="E72" s="530">
        <f>Imps!L72</f>
        <v>43768.718749999833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AB72*VLOOKUP(IF(ISNUMBER(MATCH(Overview!$B$14,useless_spell_races,0)),Overview!$B$14,"Other"),Constants!$P$89:$S$102,3,FALSE))</f>
        <v>0</v>
      </c>
      <c r="AE72" s="62">
        <f t="shared" si="23"/>
        <v>0</v>
      </c>
      <c r="AG72" s="633">
        <f t="shared" si="56"/>
        <v>0</v>
      </c>
      <c r="AH72" s="527">
        <f t="shared" si="57"/>
        <v>0</v>
      </c>
      <c r="AI72" s="527">
        <f t="shared" si="58"/>
        <v>0</v>
      </c>
      <c r="AJ72" s="527">
        <f t="shared" si="59"/>
        <v>0</v>
      </c>
      <c r="AK72" s="525">
        <f t="shared" si="60"/>
        <v>0</v>
      </c>
      <c r="AL72" s="527">
        <f t="shared" si="40"/>
        <v>0</v>
      </c>
      <c r="AM72" s="527">
        <f t="shared" si="41"/>
        <v>0</v>
      </c>
      <c r="AN72" s="527">
        <f t="shared" si="42"/>
        <v>0</v>
      </c>
      <c r="AO72" s="527">
        <f t="shared" si="43"/>
        <v>0</v>
      </c>
      <c r="AP72" s="527">
        <f t="shared" si="44"/>
        <v>0</v>
      </c>
      <c r="AQ72" s="527">
        <f t="shared" si="45"/>
        <v>0</v>
      </c>
      <c r="AR72" s="953">
        <f t="shared" si="46"/>
        <v>0</v>
      </c>
      <c r="AS72" s="953">
        <f t="shared" si="47"/>
        <v>0</v>
      </c>
      <c r="AT72" s="953">
        <f t="shared" si="48"/>
        <v>0</v>
      </c>
      <c r="AU72" s="953">
        <f t="shared" si="49"/>
        <v>0</v>
      </c>
      <c r="AV72" s="953">
        <f t="shared" si="50"/>
        <v>0</v>
      </c>
      <c r="AW72" s="16">
        <f t="shared" si="51"/>
        <v>0</v>
      </c>
      <c r="AX72" s="16">
        <f t="shared" si="52"/>
        <v>0</v>
      </c>
      <c r="AY72" s="16">
        <f t="shared" si="53"/>
        <v>0</v>
      </c>
      <c r="AZ72" s="16">
        <f t="shared" si="54"/>
        <v>0</v>
      </c>
      <c r="BA72" s="16">
        <f t="shared" si="55"/>
        <v>0</v>
      </c>
      <c r="BB72" s="1373">
        <f>IF(AB72,VLOOKUP(IF(ISNUMBER(MATCH(Overview!$B$14,useless_spell_races,0)),Overview!$B$14,"Other"),Constants!$P$89:$S$102,4,FALSE),IF(BB71&gt;0,BB71-1,0))</f>
        <v>0</v>
      </c>
    </row>
    <row r="73" spans="1:54" s="16" customFormat="1" x14ac:dyDescent="0.25">
      <c r="A73" s="982">
        <f>Rezone!J73</f>
        <v>71</v>
      </c>
      <c r="B73" s="16">
        <f>Construction!E73</f>
        <v>1000</v>
      </c>
      <c r="C73" s="26">
        <f ca="1">Production!K73</f>
        <v>52169</v>
      </c>
      <c r="D73" s="62">
        <f>MIN(1,D72+0.04+ROUNDDOWN(10*Military!BN72,0)+MAX(Techs!AN72,Techs!AW72*3))-AE73</f>
        <v>1</v>
      </c>
      <c r="E73" s="530">
        <f>Imps!L73</f>
        <v>43768.729166666497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AB73*VLOOKUP(IF(ISNUMBER(MATCH(Overview!$B$14,useless_spell_races,0)),Overview!$B$14,"Other"),Constants!$P$89:$S$102,3,FALSE))</f>
        <v>0</v>
      </c>
      <c r="AE73" s="62">
        <f t="shared" si="23"/>
        <v>0</v>
      </c>
      <c r="AG73" s="633">
        <f t="shared" si="56"/>
        <v>0</v>
      </c>
      <c r="AH73" s="527">
        <f t="shared" si="57"/>
        <v>0</v>
      </c>
      <c r="AI73" s="527">
        <f t="shared" si="58"/>
        <v>0</v>
      </c>
      <c r="AJ73" s="527">
        <f t="shared" si="59"/>
        <v>0</v>
      </c>
      <c r="AK73" s="525">
        <f t="shared" si="60"/>
        <v>0</v>
      </c>
      <c r="AL73" s="527">
        <f t="shared" si="40"/>
        <v>0</v>
      </c>
      <c r="AM73" s="527">
        <f t="shared" si="41"/>
        <v>0</v>
      </c>
      <c r="AN73" s="527">
        <f t="shared" si="42"/>
        <v>0</v>
      </c>
      <c r="AO73" s="527">
        <f t="shared" si="43"/>
        <v>0</v>
      </c>
      <c r="AP73" s="527">
        <f t="shared" si="44"/>
        <v>0</v>
      </c>
      <c r="AQ73" s="527">
        <f t="shared" si="45"/>
        <v>0</v>
      </c>
      <c r="AR73" s="953">
        <f t="shared" si="46"/>
        <v>0</v>
      </c>
      <c r="AS73" s="953">
        <f t="shared" si="47"/>
        <v>0</v>
      </c>
      <c r="AT73" s="953">
        <f t="shared" si="48"/>
        <v>0</v>
      </c>
      <c r="AU73" s="953">
        <f t="shared" si="49"/>
        <v>0</v>
      </c>
      <c r="AV73" s="953">
        <f t="shared" si="50"/>
        <v>0</v>
      </c>
      <c r="AW73" s="16">
        <f t="shared" si="51"/>
        <v>0</v>
      </c>
      <c r="AX73" s="16">
        <f t="shared" si="52"/>
        <v>0</v>
      </c>
      <c r="AY73" s="16">
        <f t="shared" si="53"/>
        <v>0</v>
      </c>
      <c r="AZ73" s="16">
        <f t="shared" si="54"/>
        <v>0</v>
      </c>
      <c r="BA73" s="16">
        <f t="shared" si="55"/>
        <v>0</v>
      </c>
      <c r="BB73" s="1373">
        <f>IF(AB73,VLOOKUP(IF(ISNUMBER(MATCH(Overview!$B$14,useless_spell_races,0)),Overview!$B$14,"Other"),Constants!$P$89:$S$102,4,FALSE),IF(BB72&gt;0,BB72-1,0))</f>
        <v>0</v>
      </c>
    </row>
    <row r="74" spans="1:54" s="16" customFormat="1" ht="13.8" thickBot="1" x14ac:dyDescent="0.3">
      <c r="A74" s="982">
        <f>Rezone!J74</f>
        <v>72</v>
      </c>
      <c r="B74" s="16">
        <f>Construction!E74</f>
        <v>1000</v>
      </c>
      <c r="C74" s="26">
        <f ca="1">Production!K74</f>
        <v>52376</v>
      </c>
      <c r="D74" s="62">
        <f>MIN(1,D73+0.04+ROUNDDOWN(10*Military!BN73,0)+MAX(Techs!AN73,Techs!AW73*3))-AE74</f>
        <v>1</v>
      </c>
      <c r="E74" s="530">
        <f>Imps!L74</f>
        <v>43768.739583333161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AB74*VLOOKUP(IF(ISNUMBER(MATCH(Overview!$B$14,useless_spell_races,0)),Overview!$B$14,"Other"),Constants!$P$89:$S$102,3,FALSE))</f>
        <v>0</v>
      </c>
      <c r="AE74" s="62">
        <f t="shared" si="23"/>
        <v>0</v>
      </c>
      <c r="AG74" s="633">
        <f t="shared" si="56"/>
        <v>0</v>
      </c>
      <c r="AH74" s="527">
        <f t="shared" si="57"/>
        <v>0</v>
      </c>
      <c r="AI74" s="527">
        <f t="shared" si="58"/>
        <v>0</v>
      </c>
      <c r="AJ74" s="527">
        <f t="shared" si="59"/>
        <v>0</v>
      </c>
      <c r="AK74" s="525">
        <f t="shared" si="60"/>
        <v>0</v>
      </c>
      <c r="AL74" s="527">
        <f t="shared" si="40"/>
        <v>0</v>
      </c>
      <c r="AM74" s="527">
        <f t="shared" si="41"/>
        <v>0</v>
      </c>
      <c r="AN74" s="527">
        <f t="shared" si="42"/>
        <v>0</v>
      </c>
      <c r="AO74" s="527">
        <f t="shared" si="43"/>
        <v>0</v>
      </c>
      <c r="AP74" s="527">
        <f t="shared" si="44"/>
        <v>0</v>
      </c>
      <c r="AQ74" s="527">
        <f t="shared" si="45"/>
        <v>0</v>
      </c>
      <c r="AR74" s="953">
        <f t="shared" si="46"/>
        <v>0</v>
      </c>
      <c r="AS74" s="953">
        <f t="shared" si="47"/>
        <v>0</v>
      </c>
      <c r="AT74" s="953">
        <f t="shared" si="48"/>
        <v>0</v>
      </c>
      <c r="AU74" s="953">
        <f t="shared" si="49"/>
        <v>0</v>
      </c>
      <c r="AV74" s="953">
        <f t="shared" si="50"/>
        <v>0</v>
      </c>
      <c r="AW74" s="16">
        <f t="shared" si="51"/>
        <v>0</v>
      </c>
      <c r="AX74" s="16">
        <f t="shared" si="52"/>
        <v>0</v>
      </c>
      <c r="AY74" s="16">
        <f t="shared" si="53"/>
        <v>0</v>
      </c>
      <c r="AZ74" s="16">
        <f t="shared" si="54"/>
        <v>0</v>
      </c>
      <c r="BA74" s="16">
        <f t="shared" si="55"/>
        <v>0</v>
      </c>
      <c r="BB74" s="1373">
        <f>IF(AB74,VLOOKUP(IF(ISNUMBER(MATCH(Overview!$B$14,useless_spell_races,0)),Overview!$B$14,"Other"),Constants!$P$89:$S$102,4,FALSE),IF(BB73&gt;0,BB73-1,0))</f>
        <v>0</v>
      </c>
    </row>
    <row r="75" spans="1:54" s="931" customFormat="1" ht="13.8" thickBot="1" x14ac:dyDescent="0.3">
      <c r="A75" s="1285">
        <f>Rezone!J75</f>
        <v>73</v>
      </c>
      <c r="B75" s="931">
        <f>Construction!E75</f>
        <v>1000</v>
      </c>
      <c r="C75" s="279">
        <f ca="1">Production!K75</f>
        <v>52578</v>
      </c>
      <c r="D75" s="1286">
        <f>MIN(1,D74+0.04+ROUNDDOWN(10*Military!BN74,0)+MAX(Techs!AN74,Techs!AW74*3))-AE75</f>
        <v>1</v>
      </c>
      <c r="E75" s="571">
        <f>Imps!L75</f>
        <v>43768.749999999825</v>
      </c>
      <c r="F75" s="1286">
        <f ca="1">Imps!J75</f>
        <v>1</v>
      </c>
      <c r="G75" s="1287"/>
      <c r="H75" s="1288"/>
      <c r="I75" s="1288"/>
      <c r="J75" s="1288"/>
      <c r="K75" s="1289"/>
      <c r="L75" s="1287"/>
      <c r="M75" s="1288"/>
      <c r="N75" s="1289"/>
      <c r="O75" s="1289"/>
      <c r="P75" s="1289"/>
      <c r="Q75" s="1289"/>
      <c r="R75" s="1289"/>
      <c r="S75" s="1289"/>
      <c r="T75" s="1289"/>
      <c r="U75" s="1289"/>
      <c r="V75" s="1289"/>
      <c r="W75" s="1289"/>
      <c r="X75" s="1289"/>
      <c r="Y75" s="1289"/>
      <c r="Z75" s="1289"/>
      <c r="AA75" s="1289"/>
      <c r="AB75" s="1290"/>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AB75*VLOOKUP(IF(ISNUMBER(MATCH(Overview!$B$14,useless_spell_races,0)),Overview!$B$14,"Other"),Constants!$P$89:$S$102,3,FALSE))</f>
        <v>0</v>
      </c>
      <c r="AE75" s="1286">
        <f t="shared" si="23"/>
        <v>0</v>
      </c>
      <c r="AG75" s="1291">
        <f t="shared" si="56"/>
        <v>0</v>
      </c>
      <c r="AH75" s="1292">
        <f t="shared" si="57"/>
        <v>0</v>
      </c>
      <c r="AI75" s="1292">
        <f t="shared" si="58"/>
        <v>0</v>
      </c>
      <c r="AJ75" s="1292">
        <f t="shared" si="59"/>
        <v>0</v>
      </c>
      <c r="AK75" s="1293">
        <f t="shared" si="60"/>
        <v>0</v>
      </c>
      <c r="AL75" s="1292">
        <f t="shared" si="40"/>
        <v>0</v>
      </c>
      <c r="AM75" s="1292">
        <f t="shared" si="41"/>
        <v>0</v>
      </c>
      <c r="AN75" s="1292">
        <f t="shared" si="42"/>
        <v>0</v>
      </c>
      <c r="AO75" s="1292">
        <f t="shared" si="43"/>
        <v>0</v>
      </c>
      <c r="AP75" s="1292">
        <f t="shared" si="44"/>
        <v>0</v>
      </c>
      <c r="AQ75" s="1292">
        <f t="shared" si="45"/>
        <v>0</v>
      </c>
      <c r="AR75" s="1294">
        <f t="shared" si="46"/>
        <v>0</v>
      </c>
      <c r="AS75" s="1294">
        <f t="shared" si="47"/>
        <v>0</v>
      </c>
      <c r="AT75" s="1294">
        <f t="shared" si="48"/>
        <v>0</v>
      </c>
      <c r="AU75" s="1294">
        <f t="shared" si="49"/>
        <v>0</v>
      </c>
      <c r="AV75" s="1294">
        <f t="shared" si="50"/>
        <v>0</v>
      </c>
      <c r="AW75" s="931">
        <f t="shared" si="51"/>
        <v>0</v>
      </c>
      <c r="AX75" s="931">
        <f t="shared" si="52"/>
        <v>0</v>
      </c>
      <c r="AY75" s="931">
        <f t="shared" si="53"/>
        <v>0</v>
      </c>
      <c r="AZ75" s="931">
        <f t="shared" si="54"/>
        <v>0</v>
      </c>
      <c r="BA75" s="931">
        <f t="shared" si="55"/>
        <v>0</v>
      </c>
      <c r="BB75" s="1379">
        <f>IF(AB75,VLOOKUP(IF(ISNUMBER(MATCH(Overview!$B$14,useless_spell_races,0)),Overview!$B$14,"Other"),Constants!$P$89:$S$102,4,FALSE),IF(BB74&gt;0,BB74-1,0))</f>
        <v>0</v>
      </c>
    </row>
    <row r="76" spans="1:54" s="170" customFormat="1" x14ac:dyDescent="0.25">
      <c r="A76" s="981">
        <f>Rezone!J76</f>
        <v>74</v>
      </c>
      <c r="B76" s="170">
        <f>Construction!E76</f>
        <v>1000</v>
      </c>
      <c r="C76" s="164">
        <f ca="1">Production!K76</f>
        <v>52776</v>
      </c>
      <c r="D76" s="193">
        <f>MIN(1,D75+0.04+ROUNDDOWN(10*Military!BN75,0)+MAX(Techs!AN75,Techs!AW75*3))-AE76</f>
        <v>1</v>
      </c>
      <c r="E76" s="530">
        <f>Imps!L76</f>
        <v>43768.76041666649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AB76*VLOOKUP(IF(ISNUMBER(MATCH(Overview!$B$14,useless_spell_races,0)),Overview!$B$14,"Other"),Constants!$P$89:$S$102,3,FALSE))</f>
        <v>0</v>
      </c>
      <c r="AE76" s="193">
        <f t="shared" si="23"/>
        <v>0</v>
      </c>
      <c r="AG76" s="632">
        <f t="shared" si="56"/>
        <v>0</v>
      </c>
      <c r="AH76" s="627">
        <f t="shared" si="57"/>
        <v>0</v>
      </c>
      <c r="AI76" s="627">
        <f t="shared" si="58"/>
        <v>0</v>
      </c>
      <c r="AJ76" s="627">
        <f t="shared" si="59"/>
        <v>0</v>
      </c>
      <c r="AK76" s="546">
        <f t="shared" si="60"/>
        <v>0</v>
      </c>
      <c r="AL76" s="627">
        <f t="shared" si="40"/>
        <v>0</v>
      </c>
      <c r="AM76" s="627">
        <f t="shared" si="41"/>
        <v>0</v>
      </c>
      <c r="AN76" s="627">
        <f t="shared" si="42"/>
        <v>0</v>
      </c>
      <c r="AO76" s="627">
        <f t="shared" si="43"/>
        <v>0</v>
      </c>
      <c r="AP76" s="627">
        <f t="shared" si="44"/>
        <v>0</v>
      </c>
      <c r="AQ76" s="627">
        <f t="shared" si="45"/>
        <v>0</v>
      </c>
      <c r="AR76" s="952">
        <f t="shared" si="46"/>
        <v>0</v>
      </c>
      <c r="AS76" s="952">
        <f t="shared" si="47"/>
        <v>0</v>
      </c>
      <c r="AT76" s="952">
        <f t="shared" si="48"/>
        <v>0</v>
      </c>
      <c r="AU76" s="952">
        <f t="shared" si="49"/>
        <v>0</v>
      </c>
      <c r="AV76" s="952">
        <f t="shared" si="50"/>
        <v>0</v>
      </c>
      <c r="AW76" s="170">
        <f t="shared" si="51"/>
        <v>0</v>
      </c>
      <c r="AX76" s="170">
        <f t="shared" si="52"/>
        <v>0</v>
      </c>
      <c r="AY76" s="170">
        <f t="shared" si="53"/>
        <v>0</v>
      </c>
      <c r="AZ76" s="170">
        <f t="shared" si="54"/>
        <v>0</v>
      </c>
      <c r="BA76" s="170">
        <f t="shared" si="55"/>
        <v>0</v>
      </c>
      <c r="BB76" s="1372">
        <f>IF(AB76,VLOOKUP(IF(ISNUMBER(MATCH(Overview!$B$14,useless_spell_races,0)),Overview!$B$14,"Other"),Constants!$P$89:$S$102,4,FALSE),IF(BB75&gt;0,BB75-1,0))</f>
        <v>0</v>
      </c>
    </row>
    <row r="77" spans="1:54" s="170" customFormat="1" x14ac:dyDescent="0.25">
      <c r="A77" s="981">
        <f>Rezone!J77</f>
        <v>75</v>
      </c>
      <c r="B77" s="170">
        <f>Construction!E77</f>
        <v>1000</v>
      </c>
      <c r="C77" s="164">
        <f ca="1">Production!K77</f>
        <v>52970</v>
      </c>
      <c r="D77" s="193">
        <f>MIN(1,D76+0.04+ROUNDDOWN(10*Military!BN76,0)+MAX(Techs!AN76,Techs!AW76*3))-AE77</f>
        <v>1</v>
      </c>
      <c r="E77" s="530">
        <f>Imps!L77</f>
        <v>43768.770833333154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AB77*VLOOKUP(IF(ISNUMBER(MATCH(Overview!$B$14,useless_spell_races,0)),Overview!$B$14,"Other"),Constants!$P$89:$S$102,3,FALSE))</f>
        <v>0</v>
      </c>
      <c r="AE77" s="193">
        <f t="shared" si="23"/>
        <v>0</v>
      </c>
      <c r="AG77" s="632">
        <f t="shared" si="56"/>
        <v>0</v>
      </c>
      <c r="AH77" s="627">
        <f t="shared" si="57"/>
        <v>0</v>
      </c>
      <c r="AI77" s="627">
        <f t="shared" si="58"/>
        <v>0</v>
      </c>
      <c r="AJ77" s="627">
        <f t="shared" si="59"/>
        <v>0</v>
      </c>
      <c r="AK77" s="546">
        <f t="shared" si="60"/>
        <v>0</v>
      </c>
      <c r="AL77" s="627">
        <f t="shared" si="40"/>
        <v>0</v>
      </c>
      <c r="AM77" s="627">
        <f t="shared" si="41"/>
        <v>0</v>
      </c>
      <c r="AN77" s="627">
        <f t="shared" si="42"/>
        <v>0</v>
      </c>
      <c r="AO77" s="627">
        <f t="shared" si="43"/>
        <v>0</v>
      </c>
      <c r="AP77" s="627">
        <f t="shared" si="44"/>
        <v>0</v>
      </c>
      <c r="AQ77" s="627">
        <f t="shared" si="45"/>
        <v>0</v>
      </c>
      <c r="AR77" s="952">
        <f t="shared" si="46"/>
        <v>0</v>
      </c>
      <c r="AS77" s="952">
        <f t="shared" si="47"/>
        <v>0</v>
      </c>
      <c r="AT77" s="952">
        <f t="shared" si="48"/>
        <v>0</v>
      </c>
      <c r="AU77" s="952">
        <f t="shared" si="49"/>
        <v>0</v>
      </c>
      <c r="AV77" s="952">
        <f t="shared" si="50"/>
        <v>0</v>
      </c>
      <c r="AW77" s="170">
        <f t="shared" si="51"/>
        <v>0</v>
      </c>
      <c r="AX77" s="170">
        <f t="shared" si="52"/>
        <v>0</v>
      </c>
      <c r="AY77" s="170">
        <f t="shared" si="53"/>
        <v>0</v>
      </c>
      <c r="AZ77" s="170">
        <f t="shared" si="54"/>
        <v>0</v>
      </c>
      <c r="BA77" s="170">
        <f t="shared" si="55"/>
        <v>0</v>
      </c>
      <c r="BB77" s="1372">
        <f>IF(AB77,VLOOKUP(IF(ISNUMBER(MATCH(Overview!$B$14,useless_spell_races,0)),Overview!$B$14,"Other"),Constants!$P$89:$S$102,4,FALSE),IF(BB76&gt;0,BB76-1,0))</f>
        <v>0</v>
      </c>
    </row>
    <row r="78" spans="1:54" s="16" customFormat="1" x14ac:dyDescent="0.25">
      <c r="A78" s="982">
        <f>Rezone!J78</f>
        <v>76</v>
      </c>
      <c r="B78" s="16">
        <f>Construction!E78</f>
        <v>1000</v>
      </c>
      <c r="C78" s="26">
        <f ca="1">Production!K78</f>
        <v>53161</v>
      </c>
      <c r="D78" s="62">
        <f>MIN(1,D77+0.04+ROUNDDOWN(10*Military!BN77,0)+MAX(Techs!AN77,Techs!AW77*3))-AE78</f>
        <v>1</v>
      </c>
      <c r="E78" s="530">
        <f>Imps!L78</f>
        <v>43768.781249999818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AB78*VLOOKUP(IF(ISNUMBER(MATCH(Overview!$B$14,useless_spell_races,0)),Overview!$B$14,"Other"),Constants!$P$89:$S$102,3,FALSE))</f>
        <v>0</v>
      </c>
      <c r="AE78" s="62">
        <f t="shared" si="23"/>
        <v>0</v>
      </c>
      <c r="AG78" s="633">
        <f t="shared" si="56"/>
        <v>0</v>
      </c>
      <c r="AH78" s="527">
        <f t="shared" si="57"/>
        <v>0</v>
      </c>
      <c r="AI78" s="527">
        <f t="shared" si="58"/>
        <v>0</v>
      </c>
      <c r="AJ78" s="527">
        <f t="shared" si="59"/>
        <v>0</v>
      </c>
      <c r="AK78" s="525">
        <f t="shared" si="60"/>
        <v>0</v>
      </c>
      <c r="AL78" s="527">
        <f t="shared" si="40"/>
        <v>0</v>
      </c>
      <c r="AM78" s="527">
        <f t="shared" si="41"/>
        <v>0</v>
      </c>
      <c r="AN78" s="527">
        <f t="shared" si="42"/>
        <v>0</v>
      </c>
      <c r="AO78" s="527">
        <f t="shared" si="43"/>
        <v>0</v>
      </c>
      <c r="AP78" s="527">
        <f t="shared" si="44"/>
        <v>0</v>
      </c>
      <c r="AQ78" s="527">
        <f t="shared" si="45"/>
        <v>0</v>
      </c>
      <c r="AR78" s="953">
        <f t="shared" si="46"/>
        <v>0</v>
      </c>
      <c r="AS78" s="953">
        <f t="shared" si="47"/>
        <v>0</v>
      </c>
      <c r="AT78" s="953">
        <f t="shared" si="48"/>
        <v>0</v>
      </c>
      <c r="AU78" s="953">
        <f t="shared" si="49"/>
        <v>0</v>
      </c>
      <c r="AV78" s="953">
        <f t="shared" si="50"/>
        <v>0</v>
      </c>
      <c r="AW78" s="16">
        <f t="shared" si="51"/>
        <v>0</v>
      </c>
      <c r="AX78" s="16">
        <f t="shared" si="52"/>
        <v>0</v>
      </c>
      <c r="AY78" s="16">
        <f t="shared" si="53"/>
        <v>0</v>
      </c>
      <c r="AZ78" s="16">
        <f t="shared" si="54"/>
        <v>0</v>
      </c>
      <c r="BA78" s="16">
        <f t="shared" si="55"/>
        <v>0</v>
      </c>
      <c r="BB78" s="1373">
        <f>IF(AB78,VLOOKUP(IF(ISNUMBER(MATCH(Overview!$B$14,useless_spell_races,0)),Overview!$B$14,"Other"),Constants!$P$89:$S$102,4,FALSE),IF(BB77&gt;0,BB77-1,0))</f>
        <v>0</v>
      </c>
    </row>
    <row r="79" spans="1:54" s="16" customFormat="1" x14ac:dyDescent="0.25">
      <c r="A79" s="982">
        <f>Rezone!J79</f>
        <v>77</v>
      </c>
      <c r="B79" s="16">
        <f>Construction!E79</f>
        <v>1000</v>
      </c>
      <c r="C79" s="26">
        <f ca="1">Production!K79</f>
        <v>53348</v>
      </c>
      <c r="D79" s="62">
        <f>MIN(1,D78+0.04+ROUNDDOWN(10*Military!BN78,0)+MAX(Techs!AN78,Techs!AW78*3))-AE79</f>
        <v>1</v>
      </c>
      <c r="E79" s="530">
        <f>Imps!L79</f>
        <v>43768.791666666482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AB79*VLOOKUP(IF(ISNUMBER(MATCH(Overview!$B$14,useless_spell_races,0)),Overview!$B$14,"Other"),Constants!$P$89:$S$102,3,FALSE))</f>
        <v>0</v>
      </c>
      <c r="AE79" s="62">
        <f t="shared" si="23"/>
        <v>0</v>
      </c>
      <c r="AG79" s="633">
        <f t="shared" si="56"/>
        <v>0</v>
      </c>
      <c r="AH79" s="527">
        <f t="shared" si="57"/>
        <v>0</v>
      </c>
      <c r="AI79" s="527">
        <f t="shared" si="58"/>
        <v>0</v>
      </c>
      <c r="AJ79" s="527">
        <f t="shared" si="59"/>
        <v>0</v>
      </c>
      <c r="AK79" s="525">
        <f t="shared" si="60"/>
        <v>0</v>
      </c>
      <c r="AL79" s="527">
        <f t="shared" si="40"/>
        <v>0</v>
      </c>
      <c r="AM79" s="527">
        <f t="shared" si="41"/>
        <v>0</v>
      </c>
      <c r="AN79" s="527">
        <f t="shared" si="42"/>
        <v>0</v>
      </c>
      <c r="AO79" s="527">
        <f t="shared" si="43"/>
        <v>0</v>
      </c>
      <c r="AP79" s="527">
        <f t="shared" si="44"/>
        <v>0</v>
      </c>
      <c r="AQ79" s="527">
        <f t="shared" si="45"/>
        <v>0</v>
      </c>
      <c r="AR79" s="953">
        <f t="shared" si="46"/>
        <v>0</v>
      </c>
      <c r="AS79" s="953">
        <f t="shared" si="47"/>
        <v>0</v>
      </c>
      <c r="AT79" s="953">
        <f t="shared" si="48"/>
        <v>0</v>
      </c>
      <c r="AU79" s="953">
        <f t="shared" si="49"/>
        <v>0</v>
      </c>
      <c r="AV79" s="953">
        <f t="shared" si="50"/>
        <v>0</v>
      </c>
      <c r="AW79" s="16">
        <f t="shared" si="51"/>
        <v>0</v>
      </c>
      <c r="AX79" s="16">
        <f t="shared" si="52"/>
        <v>0</v>
      </c>
      <c r="AY79" s="16">
        <f t="shared" si="53"/>
        <v>0</v>
      </c>
      <c r="AZ79" s="16">
        <f t="shared" si="54"/>
        <v>0</v>
      </c>
      <c r="BA79" s="16">
        <f t="shared" si="55"/>
        <v>0</v>
      </c>
      <c r="BB79" s="1373">
        <f>IF(AB79,VLOOKUP(IF(ISNUMBER(MATCH(Overview!$B$14,useless_spell_races,0)),Overview!$B$14,"Other"),Constants!$P$89:$S$102,4,FALSE),IF(BB78&gt;0,BB78-1,0))</f>
        <v>0</v>
      </c>
    </row>
    <row r="80" spans="1:54" s="16" customFormat="1" x14ac:dyDescent="0.25">
      <c r="A80" s="982">
        <f>Rezone!J80</f>
        <v>78</v>
      </c>
      <c r="B80" s="16">
        <f>Construction!E80</f>
        <v>1000</v>
      </c>
      <c r="C80" s="26">
        <f ca="1">Production!K80</f>
        <v>53531</v>
      </c>
      <c r="D80" s="62">
        <f>MIN(1,D79+0.04+ROUNDDOWN(10*Military!BN79,0)+MAX(Techs!AN79,Techs!AW79*3))-AE80</f>
        <v>1</v>
      </c>
      <c r="E80" s="530">
        <f>Imps!L80</f>
        <v>43768.802083333147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AB80*VLOOKUP(IF(ISNUMBER(MATCH(Overview!$B$14,useless_spell_races,0)),Overview!$B$14,"Other"),Constants!$P$89:$S$102,3,FALSE))</f>
        <v>0</v>
      </c>
      <c r="AE80" s="62">
        <f t="shared" ref="AE80:AE135" si="61">SUMIF(G80:AB80,1)*0.05</f>
        <v>0</v>
      </c>
      <c r="AG80" s="633">
        <f t="shared" si="56"/>
        <v>0</v>
      </c>
      <c r="AH80" s="527">
        <f t="shared" si="57"/>
        <v>0</v>
      </c>
      <c r="AI80" s="527">
        <f t="shared" si="58"/>
        <v>0</v>
      </c>
      <c r="AJ80" s="527">
        <f t="shared" si="59"/>
        <v>0</v>
      </c>
      <c r="AK80" s="525">
        <f t="shared" si="60"/>
        <v>0</v>
      </c>
      <c r="AL80" s="527">
        <f t="shared" si="40"/>
        <v>0</v>
      </c>
      <c r="AM80" s="527">
        <f t="shared" si="41"/>
        <v>0</v>
      </c>
      <c r="AN80" s="527">
        <f t="shared" si="42"/>
        <v>0</v>
      </c>
      <c r="AO80" s="527">
        <f t="shared" si="43"/>
        <v>0</v>
      </c>
      <c r="AP80" s="527">
        <f t="shared" si="44"/>
        <v>0</v>
      </c>
      <c r="AQ80" s="527">
        <f t="shared" si="45"/>
        <v>0</v>
      </c>
      <c r="AR80" s="953">
        <f t="shared" si="46"/>
        <v>0</v>
      </c>
      <c r="AS80" s="953">
        <f t="shared" si="47"/>
        <v>0</v>
      </c>
      <c r="AT80" s="953">
        <f t="shared" si="48"/>
        <v>0</v>
      </c>
      <c r="AU80" s="953">
        <f t="shared" si="49"/>
        <v>0</v>
      </c>
      <c r="AV80" s="953">
        <f t="shared" si="50"/>
        <v>0</v>
      </c>
      <c r="AW80" s="16">
        <f t="shared" si="51"/>
        <v>0</v>
      </c>
      <c r="AX80" s="16">
        <f t="shared" si="52"/>
        <v>0</v>
      </c>
      <c r="AY80" s="16">
        <f t="shared" si="53"/>
        <v>0</v>
      </c>
      <c r="AZ80" s="16">
        <f t="shared" si="54"/>
        <v>0</v>
      </c>
      <c r="BA80" s="16">
        <f t="shared" si="55"/>
        <v>0</v>
      </c>
      <c r="BB80" s="1373">
        <f>IF(AB80,VLOOKUP(IF(ISNUMBER(MATCH(Overview!$B$14,useless_spell_races,0)),Overview!$B$14,"Other"),Constants!$P$89:$S$102,4,FALSE),IF(BB79&gt;0,BB79-1,0))</f>
        <v>0</v>
      </c>
    </row>
    <row r="81" spans="1:54" s="16" customFormat="1" x14ac:dyDescent="0.25">
      <c r="A81" s="982">
        <f>Rezone!J81</f>
        <v>79</v>
      </c>
      <c r="B81" s="16">
        <f>Construction!E81</f>
        <v>1000</v>
      </c>
      <c r="C81" s="26">
        <f ca="1">Production!K81</f>
        <v>53710</v>
      </c>
      <c r="D81" s="62">
        <f>MIN(1,D80+0.04+ROUNDDOWN(10*Military!BN80,0)+MAX(Techs!AN80,Techs!AW80*3))-AE81</f>
        <v>1</v>
      </c>
      <c r="E81" s="530">
        <f>Imps!L81</f>
        <v>43768.812499999811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AB81*VLOOKUP(IF(ISNUMBER(MATCH(Overview!$B$14,useless_spell_races,0)),Overview!$B$14,"Other"),Constants!$P$89:$S$102,3,FALSE))</f>
        <v>0</v>
      </c>
      <c r="AE81" s="62">
        <f t="shared" si="61"/>
        <v>0</v>
      </c>
      <c r="AG81" s="633">
        <f t="shared" si="56"/>
        <v>0</v>
      </c>
      <c r="AH81" s="527">
        <f t="shared" si="57"/>
        <v>0</v>
      </c>
      <c r="AI81" s="527">
        <f t="shared" si="58"/>
        <v>0</v>
      </c>
      <c r="AJ81" s="527">
        <f t="shared" si="59"/>
        <v>0</v>
      </c>
      <c r="AK81" s="525">
        <f t="shared" si="60"/>
        <v>0</v>
      </c>
      <c r="AL81" s="527">
        <f t="shared" si="40"/>
        <v>0</v>
      </c>
      <c r="AM81" s="527">
        <f t="shared" si="41"/>
        <v>0</v>
      </c>
      <c r="AN81" s="527">
        <f t="shared" si="42"/>
        <v>0</v>
      </c>
      <c r="AO81" s="527">
        <f t="shared" si="43"/>
        <v>0</v>
      </c>
      <c r="AP81" s="527">
        <f t="shared" si="44"/>
        <v>0</v>
      </c>
      <c r="AQ81" s="527">
        <f t="shared" si="45"/>
        <v>0</v>
      </c>
      <c r="AR81" s="953">
        <f t="shared" si="46"/>
        <v>0</v>
      </c>
      <c r="AS81" s="953">
        <f t="shared" si="47"/>
        <v>0</v>
      </c>
      <c r="AT81" s="953">
        <f t="shared" si="48"/>
        <v>0</v>
      </c>
      <c r="AU81" s="953">
        <f t="shared" si="49"/>
        <v>0</v>
      </c>
      <c r="AV81" s="953">
        <f t="shared" si="50"/>
        <v>0</v>
      </c>
      <c r="AW81" s="16">
        <f t="shared" si="51"/>
        <v>0</v>
      </c>
      <c r="AX81" s="16">
        <f t="shared" si="52"/>
        <v>0</v>
      </c>
      <c r="AY81" s="16">
        <f t="shared" si="53"/>
        <v>0</v>
      </c>
      <c r="AZ81" s="16">
        <f t="shared" si="54"/>
        <v>0</v>
      </c>
      <c r="BA81" s="16">
        <f t="shared" si="55"/>
        <v>0</v>
      </c>
      <c r="BB81" s="1373">
        <f>IF(AB81,VLOOKUP(IF(ISNUMBER(MATCH(Overview!$B$14,useless_spell_races,0)),Overview!$B$14,"Other"),Constants!$P$89:$S$102,4,FALSE),IF(BB80&gt;0,BB80-1,0))</f>
        <v>0</v>
      </c>
    </row>
    <row r="82" spans="1:54" s="16" customFormat="1" x14ac:dyDescent="0.25">
      <c r="A82" s="982">
        <f>Rezone!J82</f>
        <v>80</v>
      </c>
      <c r="B82" s="16">
        <f>Construction!E82</f>
        <v>1000</v>
      </c>
      <c r="C82" s="26">
        <f ca="1">Production!K82</f>
        <v>53886</v>
      </c>
      <c r="D82" s="62">
        <f>MIN(1,D81+0.04+ROUNDDOWN(10*Military!BN81,0)+MAX(Techs!AN81,Techs!AW81*3))-AE82</f>
        <v>1</v>
      </c>
      <c r="E82" s="530">
        <f>Imps!L82</f>
        <v>43768.822916666475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AB82*VLOOKUP(IF(ISNUMBER(MATCH(Overview!$B$14,useless_spell_races,0)),Overview!$B$14,"Other"),Constants!$P$89:$S$102,3,FALSE))</f>
        <v>0</v>
      </c>
      <c r="AE82" s="62">
        <f t="shared" si="61"/>
        <v>0</v>
      </c>
      <c r="AG82" s="633">
        <f t="shared" si="56"/>
        <v>0</v>
      </c>
      <c r="AH82" s="527">
        <f t="shared" si="57"/>
        <v>0</v>
      </c>
      <c r="AI82" s="527">
        <f t="shared" si="58"/>
        <v>0</v>
      </c>
      <c r="AJ82" s="527">
        <f t="shared" si="59"/>
        <v>0</v>
      </c>
      <c r="AK82" s="525">
        <f t="shared" si="60"/>
        <v>0</v>
      </c>
      <c r="AL82" s="527">
        <f t="shared" si="40"/>
        <v>0</v>
      </c>
      <c r="AM82" s="527">
        <f t="shared" si="41"/>
        <v>0</v>
      </c>
      <c r="AN82" s="527">
        <f t="shared" si="42"/>
        <v>0</v>
      </c>
      <c r="AO82" s="527">
        <f t="shared" si="43"/>
        <v>0</v>
      </c>
      <c r="AP82" s="527">
        <f t="shared" si="44"/>
        <v>0</v>
      </c>
      <c r="AQ82" s="527">
        <f t="shared" si="45"/>
        <v>0</v>
      </c>
      <c r="AR82" s="953">
        <f t="shared" si="46"/>
        <v>0</v>
      </c>
      <c r="AS82" s="953">
        <f t="shared" si="47"/>
        <v>0</v>
      </c>
      <c r="AT82" s="953">
        <f t="shared" si="48"/>
        <v>0</v>
      </c>
      <c r="AU82" s="953">
        <f t="shared" si="49"/>
        <v>0</v>
      </c>
      <c r="AV82" s="953">
        <f t="shared" si="50"/>
        <v>0</v>
      </c>
      <c r="AW82" s="16">
        <f t="shared" si="51"/>
        <v>0</v>
      </c>
      <c r="AX82" s="16">
        <f t="shared" si="52"/>
        <v>0</v>
      </c>
      <c r="AY82" s="16">
        <f t="shared" si="53"/>
        <v>0</v>
      </c>
      <c r="AZ82" s="16">
        <f t="shared" si="54"/>
        <v>0</v>
      </c>
      <c r="BA82" s="16">
        <f t="shared" si="55"/>
        <v>0</v>
      </c>
      <c r="BB82" s="1373">
        <f>IF(AB82,VLOOKUP(IF(ISNUMBER(MATCH(Overview!$B$14,useless_spell_races,0)),Overview!$B$14,"Other"),Constants!$P$89:$S$102,4,FALSE),IF(BB81&gt;0,BB81-1,0))</f>
        <v>0</v>
      </c>
    </row>
    <row r="83" spans="1:54" s="16" customFormat="1" x14ac:dyDescent="0.25">
      <c r="A83" s="982">
        <f>Rezone!J83</f>
        <v>81</v>
      </c>
      <c r="B83" s="16">
        <f>Construction!E83</f>
        <v>1000</v>
      </c>
      <c r="C83" s="26">
        <f ca="1">Production!K83</f>
        <v>54058</v>
      </c>
      <c r="D83" s="62">
        <f>MIN(1,D82+0.04+ROUNDDOWN(10*Military!BN82,0)+MAX(Techs!AN82,Techs!AW82*3))-AE83</f>
        <v>1</v>
      </c>
      <c r="E83" s="530">
        <f>Imps!L83</f>
        <v>43768.833333333139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AB83*VLOOKUP(IF(ISNUMBER(MATCH(Overview!$B$14,useless_spell_races,0)),Overview!$B$14,"Other"),Constants!$P$89:$S$102,3,FALSE))</f>
        <v>0</v>
      </c>
      <c r="AE83" s="62">
        <f t="shared" si="61"/>
        <v>0</v>
      </c>
      <c r="AG83" s="633">
        <f t="shared" si="56"/>
        <v>0</v>
      </c>
      <c r="AH83" s="527">
        <f t="shared" si="57"/>
        <v>0</v>
      </c>
      <c r="AI83" s="527">
        <f t="shared" si="58"/>
        <v>0</v>
      </c>
      <c r="AJ83" s="527">
        <f t="shared" si="59"/>
        <v>0</v>
      </c>
      <c r="AK83" s="525">
        <f t="shared" si="60"/>
        <v>0</v>
      </c>
      <c r="AL83" s="527">
        <f t="shared" si="40"/>
        <v>0</v>
      </c>
      <c r="AM83" s="527">
        <f t="shared" si="41"/>
        <v>0</v>
      </c>
      <c r="AN83" s="527">
        <f t="shared" si="42"/>
        <v>0</v>
      </c>
      <c r="AO83" s="527">
        <f t="shared" si="43"/>
        <v>0</v>
      </c>
      <c r="AP83" s="527">
        <f t="shared" si="44"/>
        <v>0</v>
      </c>
      <c r="AQ83" s="527">
        <f t="shared" si="45"/>
        <v>0</v>
      </c>
      <c r="AR83" s="953">
        <f t="shared" si="46"/>
        <v>0</v>
      </c>
      <c r="AS83" s="953">
        <f t="shared" si="47"/>
        <v>0</v>
      </c>
      <c r="AT83" s="953">
        <f t="shared" si="48"/>
        <v>0</v>
      </c>
      <c r="AU83" s="953">
        <f t="shared" si="49"/>
        <v>0</v>
      </c>
      <c r="AV83" s="953">
        <f t="shared" si="50"/>
        <v>0</v>
      </c>
      <c r="AW83" s="16">
        <f t="shared" si="51"/>
        <v>0</v>
      </c>
      <c r="AX83" s="16">
        <f t="shared" si="52"/>
        <v>0</v>
      </c>
      <c r="AY83" s="16">
        <f t="shared" si="53"/>
        <v>0</v>
      </c>
      <c r="AZ83" s="16">
        <f t="shared" si="54"/>
        <v>0</v>
      </c>
      <c r="BA83" s="16">
        <f t="shared" si="55"/>
        <v>0</v>
      </c>
      <c r="BB83" s="1373">
        <f>IF(AB83,VLOOKUP(IF(ISNUMBER(MATCH(Overview!$B$14,useless_spell_races,0)),Overview!$B$14,"Other"),Constants!$P$89:$S$102,4,FALSE),IF(BB82&gt;0,BB82-1,0))</f>
        <v>0</v>
      </c>
    </row>
    <row r="84" spans="1:54" s="16" customFormat="1" x14ac:dyDescent="0.25">
      <c r="A84" s="982">
        <f>Rezone!J84</f>
        <v>82</v>
      </c>
      <c r="B84" s="16">
        <f>Construction!E84</f>
        <v>1000</v>
      </c>
      <c r="C84" s="26">
        <f ca="1">Production!K84</f>
        <v>54227</v>
      </c>
      <c r="D84" s="62">
        <f>MIN(1,D83+0.04+ROUNDDOWN(10*Military!BN83,0)+MAX(Techs!AN83,Techs!AW83*3))-AE84</f>
        <v>1</v>
      </c>
      <c r="E84" s="530">
        <f>Imps!L84</f>
        <v>43768.843749999804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AB84*VLOOKUP(IF(ISNUMBER(MATCH(Overview!$B$14,useless_spell_races,0)),Overview!$B$14,"Other"),Constants!$P$89:$S$102,3,FALSE))</f>
        <v>0</v>
      </c>
      <c r="AE84" s="62">
        <f t="shared" si="61"/>
        <v>0</v>
      </c>
      <c r="AG84" s="633">
        <f t="shared" si="56"/>
        <v>0</v>
      </c>
      <c r="AH84" s="527">
        <f t="shared" si="57"/>
        <v>0</v>
      </c>
      <c r="AI84" s="527">
        <f t="shared" si="58"/>
        <v>0</v>
      </c>
      <c r="AJ84" s="527">
        <f t="shared" si="59"/>
        <v>0</v>
      </c>
      <c r="AK84" s="525">
        <f t="shared" si="60"/>
        <v>0</v>
      </c>
      <c r="AL84" s="527">
        <f t="shared" si="40"/>
        <v>0</v>
      </c>
      <c r="AM84" s="527">
        <f t="shared" si="41"/>
        <v>0</v>
      </c>
      <c r="AN84" s="527">
        <f t="shared" si="42"/>
        <v>0</v>
      </c>
      <c r="AO84" s="527">
        <f t="shared" si="43"/>
        <v>0</v>
      </c>
      <c r="AP84" s="527">
        <f t="shared" si="44"/>
        <v>0</v>
      </c>
      <c r="AQ84" s="527">
        <f t="shared" si="45"/>
        <v>0</v>
      </c>
      <c r="AR84" s="953">
        <f t="shared" si="46"/>
        <v>0</v>
      </c>
      <c r="AS84" s="953">
        <f t="shared" si="47"/>
        <v>0</v>
      </c>
      <c r="AT84" s="953">
        <f t="shared" si="48"/>
        <v>0</v>
      </c>
      <c r="AU84" s="953">
        <f t="shared" si="49"/>
        <v>0</v>
      </c>
      <c r="AV84" s="953">
        <f t="shared" si="50"/>
        <v>0</v>
      </c>
      <c r="AW84" s="16">
        <f t="shared" si="51"/>
        <v>0</v>
      </c>
      <c r="AX84" s="16">
        <f t="shared" si="52"/>
        <v>0</v>
      </c>
      <c r="AY84" s="16">
        <f t="shared" si="53"/>
        <v>0</v>
      </c>
      <c r="AZ84" s="16">
        <f t="shared" si="54"/>
        <v>0</v>
      </c>
      <c r="BA84" s="16">
        <f t="shared" si="55"/>
        <v>0</v>
      </c>
      <c r="BB84" s="1373">
        <f>IF(AB84,VLOOKUP(IF(ISNUMBER(MATCH(Overview!$B$14,useless_spell_races,0)),Overview!$B$14,"Other"),Constants!$P$89:$S$102,4,FALSE),IF(BB83&gt;0,BB83-1,0))</f>
        <v>0</v>
      </c>
    </row>
    <row r="85" spans="1:54" s="16" customFormat="1" x14ac:dyDescent="0.25">
      <c r="A85" s="982">
        <f>Rezone!J85</f>
        <v>83</v>
      </c>
      <c r="B85" s="16">
        <f>Construction!E85</f>
        <v>1000</v>
      </c>
      <c r="C85" s="26">
        <f ca="1">Production!K85</f>
        <v>54392</v>
      </c>
      <c r="D85" s="62">
        <f>MIN(1,D84+0.04+ROUNDDOWN(10*Military!BN84,0)+MAX(Techs!AN84,Techs!AW84*3))-AE85</f>
        <v>1</v>
      </c>
      <c r="E85" s="530">
        <f>Imps!L85</f>
        <v>43768.854166666468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AB85*VLOOKUP(IF(ISNUMBER(MATCH(Overview!$B$14,useless_spell_races,0)),Overview!$B$14,"Other"),Constants!$P$89:$S$102,3,FALSE))</f>
        <v>0</v>
      </c>
      <c r="AE85" s="62">
        <f t="shared" si="61"/>
        <v>0</v>
      </c>
      <c r="AG85" s="633">
        <f t="shared" si="56"/>
        <v>0</v>
      </c>
      <c r="AH85" s="527">
        <f t="shared" si="57"/>
        <v>0</v>
      </c>
      <c r="AI85" s="527">
        <f t="shared" si="58"/>
        <v>0</v>
      </c>
      <c r="AJ85" s="527">
        <f t="shared" si="59"/>
        <v>0</v>
      </c>
      <c r="AK85" s="525">
        <f t="shared" si="60"/>
        <v>0</v>
      </c>
      <c r="AL85" s="527">
        <f t="shared" si="40"/>
        <v>0</v>
      </c>
      <c r="AM85" s="527">
        <f t="shared" si="41"/>
        <v>0</v>
      </c>
      <c r="AN85" s="527">
        <f t="shared" si="42"/>
        <v>0</v>
      </c>
      <c r="AO85" s="527">
        <f t="shared" si="43"/>
        <v>0</v>
      </c>
      <c r="AP85" s="527">
        <f t="shared" si="44"/>
        <v>0</v>
      </c>
      <c r="AQ85" s="527">
        <f t="shared" si="45"/>
        <v>0</v>
      </c>
      <c r="AR85" s="953">
        <f t="shared" si="46"/>
        <v>0</v>
      </c>
      <c r="AS85" s="953">
        <f t="shared" si="47"/>
        <v>0</v>
      </c>
      <c r="AT85" s="953">
        <f t="shared" si="48"/>
        <v>0</v>
      </c>
      <c r="AU85" s="953">
        <f t="shared" si="49"/>
        <v>0</v>
      </c>
      <c r="AV85" s="953">
        <f t="shared" si="50"/>
        <v>0</v>
      </c>
      <c r="AW85" s="16">
        <f t="shared" si="51"/>
        <v>0</v>
      </c>
      <c r="AX85" s="16">
        <f t="shared" si="52"/>
        <v>0</v>
      </c>
      <c r="AY85" s="16">
        <f t="shared" si="53"/>
        <v>0</v>
      </c>
      <c r="AZ85" s="16">
        <f t="shared" si="54"/>
        <v>0</v>
      </c>
      <c r="BA85" s="16">
        <f t="shared" si="55"/>
        <v>0</v>
      </c>
      <c r="BB85" s="1373">
        <f>IF(AB85,VLOOKUP(IF(ISNUMBER(MATCH(Overview!$B$14,useless_spell_races,0)),Overview!$B$14,"Other"),Constants!$P$89:$S$102,4,FALSE),IF(BB84&gt;0,BB84-1,0))</f>
        <v>0</v>
      </c>
    </row>
    <row r="86" spans="1:54" s="170" customFormat="1" x14ac:dyDescent="0.25">
      <c r="A86" s="981">
        <f>Rezone!J86</f>
        <v>84</v>
      </c>
      <c r="B86" s="170">
        <f>Construction!E86</f>
        <v>1000</v>
      </c>
      <c r="C86" s="164">
        <f ca="1">Production!K86</f>
        <v>54554</v>
      </c>
      <c r="D86" s="193">
        <f>MIN(1,D85+0.04+ROUNDDOWN(10*Military!BN85,0)+MAX(Techs!AN85,Techs!AW85*3))-AE86</f>
        <v>1</v>
      </c>
      <c r="E86" s="530">
        <f>Imps!L86</f>
        <v>43768.864583333132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AB86*VLOOKUP(IF(ISNUMBER(MATCH(Overview!$B$14,useless_spell_races,0)),Overview!$B$14,"Other"),Constants!$P$89:$S$102,3,FALSE))</f>
        <v>0</v>
      </c>
      <c r="AE86" s="193">
        <f t="shared" si="61"/>
        <v>0</v>
      </c>
      <c r="AG86" s="632">
        <f t="shared" si="56"/>
        <v>0</v>
      </c>
      <c r="AH86" s="627">
        <f t="shared" si="57"/>
        <v>0</v>
      </c>
      <c r="AI86" s="627">
        <f t="shared" si="58"/>
        <v>0</v>
      </c>
      <c r="AJ86" s="627">
        <f t="shared" si="59"/>
        <v>0</v>
      </c>
      <c r="AK86" s="546">
        <f t="shared" si="60"/>
        <v>0</v>
      </c>
      <c r="AL86" s="627">
        <f t="shared" si="40"/>
        <v>0</v>
      </c>
      <c r="AM86" s="627">
        <f t="shared" si="41"/>
        <v>0</v>
      </c>
      <c r="AN86" s="627">
        <f t="shared" si="42"/>
        <v>0</v>
      </c>
      <c r="AO86" s="627">
        <f t="shared" si="43"/>
        <v>0</v>
      </c>
      <c r="AP86" s="627">
        <f t="shared" si="44"/>
        <v>0</v>
      </c>
      <c r="AQ86" s="627">
        <f t="shared" si="45"/>
        <v>0</v>
      </c>
      <c r="AR86" s="952">
        <f t="shared" si="46"/>
        <v>0</v>
      </c>
      <c r="AS86" s="952">
        <f t="shared" si="47"/>
        <v>0</v>
      </c>
      <c r="AT86" s="952">
        <f t="shared" si="48"/>
        <v>0</v>
      </c>
      <c r="AU86" s="952">
        <f t="shared" si="49"/>
        <v>0</v>
      </c>
      <c r="AV86" s="952">
        <f t="shared" si="50"/>
        <v>0</v>
      </c>
      <c r="AW86" s="170">
        <f t="shared" si="51"/>
        <v>0</v>
      </c>
      <c r="AX86" s="170">
        <f t="shared" si="52"/>
        <v>0</v>
      </c>
      <c r="AY86" s="170">
        <f t="shared" si="53"/>
        <v>0</v>
      </c>
      <c r="AZ86" s="170">
        <f t="shared" si="54"/>
        <v>0</v>
      </c>
      <c r="BA86" s="170">
        <f t="shared" si="55"/>
        <v>0</v>
      </c>
      <c r="BB86" s="1372">
        <f>IF(AB86,VLOOKUP(IF(ISNUMBER(MATCH(Overview!$B$14,useless_spell_races,0)),Overview!$B$14,"Other"),Constants!$P$89:$S$102,4,FALSE),IF(BB85&gt;0,BB85-1,0))</f>
        <v>0</v>
      </c>
    </row>
    <row r="87" spans="1:54" s="163" customFormat="1" x14ac:dyDescent="0.25">
      <c r="A87" s="983">
        <f>Rezone!J87</f>
        <v>85</v>
      </c>
      <c r="B87" s="163">
        <f>Construction!E87</f>
        <v>1000</v>
      </c>
      <c r="C87" s="153">
        <f ca="1">Production!K87</f>
        <v>54713</v>
      </c>
      <c r="D87" s="194">
        <f>MIN(1,D86+0.04+ROUNDDOWN(10*Military!BN86,0)+MAX(Techs!AN86,Techs!AW86*3))-AE87</f>
        <v>1</v>
      </c>
      <c r="E87" s="674">
        <f>Imps!L87</f>
        <v>43768.874999999796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AB87*VLOOKUP(IF(ISNUMBER(MATCH(Overview!$B$14,useless_spell_races,0)),Overview!$B$14,"Other"),Constants!$P$89:$S$102,3,FALSE))</f>
        <v>0</v>
      </c>
      <c r="AE87" s="194">
        <f t="shared" si="61"/>
        <v>0</v>
      </c>
      <c r="AG87" s="318">
        <f t="shared" si="56"/>
        <v>0</v>
      </c>
      <c r="AH87" s="625">
        <f t="shared" si="57"/>
        <v>0</v>
      </c>
      <c r="AI87" s="625">
        <f t="shared" si="58"/>
        <v>0</v>
      </c>
      <c r="AJ87" s="625">
        <f t="shared" si="59"/>
        <v>0</v>
      </c>
      <c r="AK87" s="319">
        <f t="shared" si="60"/>
        <v>0</v>
      </c>
      <c r="AL87" s="625">
        <f t="shared" si="40"/>
        <v>0</v>
      </c>
      <c r="AM87" s="625">
        <f t="shared" si="41"/>
        <v>0</v>
      </c>
      <c r="AN87" s="625">
        <f t="shared" si="42"/>
        <v>0</v>
      </c>
      <c r="AO87" s="625">
        <f t="shared" si="43"/>
        <v>0</v>
      </c>
      <c r="AP87" s="625">
        <f t="shared" si="44"/>
        <v>0</v>
      </c>
      <c r="AQ87" s="625">
        <f t="shared" si="45"/>
        <v>0</v>
      </c>
      <c r="AR87" s="954">
        <f t="shared" si="46"/>
        <v>0</v>
      </c>
      <c r="AS87" s="954">
        <f t="shared" si="47"/>
        <v>0</v>
      </c>
      <c r="AT87" s="954">
        <f t="shared" si="48"/>
        <v>0</v>
      </c>
      <c r="AU87" s="954">
        <f t="shared" si="49"/>
        <v>0</v>
      </c>
      <c r="AV87" s="954">
        <f t="shared" si="50"/>
        <v>0</v>
      </c>
      <c r="AW87" s="163">
        <f t="shared" si="51"/>
        <v>0</v>
      </c>
      <c r="AX87" s="163">
        <f t="shared" si="52"/>
        <v>0</v>
      </c>
      <c r="AY87" s="163">
        <f t="shared" si="53"/>
        <v>0</v>
      </c>
      <c r="AZ87" s="163">
        <f t="shared" si="54"/>
        <v>0</v>
      </c>
      <c r="BA87" s="163">
        <f t="shared" si="55"/>
        <v>0</v>
      </c>
      <c r="BB87" s="1374">
        <f>IF(AB87,VLOOKUP(IF(ISNUMBER(MATCH(Overview!$B$14,useless_spell_races,0)),Overview!$B$14,"Other"),Constants!$P$89:$S$102,4,FALSE),IF(BB86&gt;0,BB86-1,0))</f>
        <v>0</v>
      </c>
    </row>
    <row r="88" spans="1:54" s="170" customFormat="1" x14ac:dyDescent="0.25">
      <c r="A88" s="981">
        <f>Rezone!J88</f>
        <v>86</v>
      </c>
      <c r="B88" s="170">
        <f>Construction!E88</f>
        <v>1000</v>
      </c>
      <c r="C88" s="164">
        <f ca="1">Production!K88</f>
        <v>54869</v>
      </c>
      <c r="D88" s="193">
        <f>MIN(1,D87+0.04+ROUNDDOWN(10*Military!BN87,0)+MAX(Techs!AN87,Techs!AW87*3))-AE88</f>
        <v>1</v>
      </c>
      <c r="E88" s="530">
        <f>Imps!L88</f>
        <v>43768.885416666461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AB88*VLOOKUP(IF(ISNUMBER(MATCH(Overview!$B$14,useless_spell_races,0)),Overview!$B$14,"Other"),Constants!$P$89:$S$102,3,FALSE))</f>
        <v>0</v>
      </c>
      <c r="AE88" s="193">
        <f t="shared" si="61"/>
        <v>0</v>
      </c>
      <c r="AG88" s="632">
        <f t="shared" si="56"/>
        <v>0</v>
      </c>
      <c r="AH88" s="627">
        <f t="shared" si="57"/>
        <v>0</v>
      </c>
      <c r="AI88" s="627">
        <f t="shared" si="58"/>
        <v>0</v>
      </c>
      <c r="AJ88" s="627">
        <f t="shared" si="59"/>
        <v>0</v>
      </c>
      <c r="AK88" s="546">
        <f t="shared" si="60"/>
        <v>0</v>
      </c>
      <c r="AL88" s="627">
        <f t="shared" si="40"/>
        <v>0</v>
      </c>
      <c r="AM88" s="627">
        <f t="shared" si="41"/>
        <v>0</v>
      </c>
      <c r="AN88" s="627">
        <f t="shared" si="42"/>
        <v>0</v>
      </c>
      <c r="AO88" s="627">
        <f t="shared" si="43"/>
        <v>0</v>
      </c>
      <c r="AP88" s="627">
        <f t="shared" si="44"/>
        <v>0</v>
      </c>
      <c r="AQ88" s="627">
        <f t="shared" si="45"/>
        <v>0</v>
      </c>
      <c r="AR88" s="952">
        <f t="shared" si="46"/>
        <v>0</v>
      </c>
      <c r="AS88" s="952">
        <f t="shared" si="47"/>
        <v>0</v>
      </c>
      <c r="AT88" s="952">
        <f t="shared" si="48"/>
        <v>0</v>
      </c>
      <c r="AU88" s="952">
        <f t="shared" si="49"/>
        <v>0</v>
      </c>
      <c r="AV88" s="952">
        <f t="shared" si="50"/>
        <v>0</v>
      </c>
      <c r="AW88" s="170">
        <f t="shared" si="51"/>
        <v>0</v>
      </c>
      <c r="AX88" s="170">
        <f t="shared" si="52"/>
        <v>0</v>
      </c>
      <c r="AY88" s="170">
        <f t="shared" si="53"/>
        <v>0</v>
      </c>
      <c r="AZ88" s="170">
        <f t="shared" si="54"/>
        <v>0</v>
      </c>
      <c r="BA88" s="170">
        <f t="shared" si="55"/>
        <v>0</v>
      </c>
      <c r="BB88" s="1372">
        <f>IF(AB88,VLOOKUP(IF(ISNUMBER(MATCH(Overview!$B$14,useless_spell_races,0)),Overview!$B$14,"Other"),Constants!$P$89:$S$102,4,FALSE),IF(BB87&gt;0,BB87-1,0))</f>
        <v>0</v>
      </c>
    </row>
    <row r="89" spans="1:54" s="170" customFormat="1" x14ac:dyDescent="0.25">
      <c r="A89" s="981">
        <f>Rezone!J89</f>
        <v>87</v>
      </c>
      <c r="B89" s="170">
        <f>Construction!E89</f>
        <v>1000</v>
      </c>
      <c r="C89" s="164">
        <f ca="1">Production!K89</f>
        <v>55022</v>
      </c>
      <c r="D89" s="193">
        <f>MIN(1,D88+0.04+ROUNDDOWN(10*Military!BN88,0)+MAX(Techs!AN88,Techs!AW88*3))-AE89</f>
        <v>1</v>
      </c>
      <c r="E89" s="530">
        <f>Imps!L89</f>
        <v>43768.895833333125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AB89*VLOOKUP(IF(ISNUMBER(MATCH(Overview!$B$14,useless_spell_races,0)),Overview!$B$14,"Other"),Constants!$P$89:$S$102,3,FALSE))</f>
        <v>0</v>
      </c>
      <c r="AE89" s="193">
        <f t="shared" si="61"/>
        <v>0</v>
      </c>
      <c r="AG89" s="632">
        <f t="shared" si="56"/>
        <v>0</v>
      </c>
      <c r="AH89" s="627">
        <f t="shared" si="57"/>
        <v>0</v>
      </c>
      <c r="AI89" s="627">
        <f t="shared" si="58"/>
        <v>0</v>
      </c>
      <c r="AJ89" s="627">
        <f t="shared" si="59"/>
        <v>0</v>
      </c>
      <c r="AK89" s="546">
        <f t="shared" si="60"/>
        <v>0</v>
      </c>
      <c r="AL89" s="627">
        <f t="shared" si="40"/>
        <v>0</v>
      </c>
      <c r="AM89" s="627">
        <f t="shared" si="41"/>
        <v>0</v>
      </c>
      <c r="AN89" s="627">
        <f t="shared" si="42"/>
        <v>0</v>
      </c>
      <c r="AO89" s="627">
        <f t="shared" si="43"/>
        <v>0</v>
      </c>
      <c r="AP89" s="627">
        <f t="shared" si="44"/>
        <v>0</v>
      </c>
      <c r="AQ89" s="627">
        <f t="shared" si="45"/>
        <v>0</v>
      </c>
      <c r="AR89" s="952">
        <f t="shared" si="46"/>
        <v>0</v>
      </c>
      <c r="AS89" s="952">
        <f t="shared" si="47"/>
        <v>0</v>
      </c>
      <c r="AT89" s="952">
        <f t="shared" si="48"/>
        <v>0</v>
      </c>
      <c r="AU89" s="952">
        <f t="shared" si="49"/>
        <v>0</v>
      </c>
      <c r="AV89" s="952">
        <f t="shared" si="50"/>
        <v>0</v>
      </c>
      <c r="AW89" s="170">
        <f t="shared" si="51"/>
        <v>0</v>
      </c>
      <c r="AX89" s="170">
        <f t="shared" si="52"/>
        <v>0</v>
      </c>
      <c r="AY89" s="170">
        <f t="shared" si="53"/>
        <v>0</v>
      </c>
      <c r="AZ89" s="170">
        <f t="shared" si="54"/>
        <v>0</v>
      </c>
      <c r="BA89" s="170">
        <f t="shared" si="55"/>
        <v>0</v>
      </c>
      <c r="BB89" s="1372">
        <f>IF(AB89,VLOOKUP(IF(ISNUMBER(MATCH(Overview!$B$14,useless_spell_races,0)),Overview!$B$14,"Other"),Constants!$P$89:$S$102,4,FALSE),IF(BB88&gt;0,BB88-1,0))</f>
        <v>0</v>
      </c>
    </row>
    <row r="90" spans="1:54" s="16" customFormat="1" x14ac:dyDescent="0.25">
      <c r="A90" s="982">
        <f>Rezone!J90</f>
        <v>88</v>
      </c>
      <c r="B90" s="16">
        <f>Construction!E90</f>
        <v>1000</v>
      </c>
      <c r="C90" s="26">
        <f ca="1">Production!K90</f>
        <v>55172</v>
      </c>
      <c r="D90" s="62">
        <f>MIN(1,D89+0.04+ROUNDDOWN(10*Military!BN89,0)+MAX(Techs!AN89,Techs!AW89*3))-AE90</f>
        <v>1</v>
      </c>
      <c r="E90" s="530">
        <f>Imps!L90</f>
        <v>43768.906249999789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AB90*VLOOKUP(IF(ISNUMBER(MATCH(Overview!$B$14,useless_spell_races,0)),Overview!$B$14,"Other"),Constants!$P$89:$S$102,3,FALSE))</f>
        <v>0</v>
      </c>
      <c r="AE90" s="62">
        <f t="shared" si="61"/>
        <v>0</v>
      </c>
      <c r="AG90" s="633">
        <f t="shared" si="56"/>
        <v>0</v>
      </c>
      <c r="AH90" s="527">
        <f t="shared" si="57"/>
        <v>0</v>
      </c>
      <c r="AI90" s="527">
        <f t="shared" si="58"/>
        <v>0</v>
      </c>
      <c r="AJ90" s="527">
        <f t="shared" si="59"/>
        <v>0</v>
      </c>
      <c r="AK90" s="525">
        <f t="shared" si="60"/>
        <v>0</v>
      </c>
      <c r="AL90" s="527">
        <f t="shared" si="40"/>
        <v>0</v>
      </c>
      <c r="AM90" s="527">
        <f t="shared" si="41"/>
        <v>0</v>
      </c>
      <c r="AN90" s="527">
        <f t="shared" si="42"/>
        <v>0</v>
      </c>
      <c r="AO90" s="527">
        <f t="shared" si="43"/>
        <v>0</v>
      </c>
      <c r="AP90" s="527">
        <f t="shared" si="44"/>
        <v>0</v>
      </c>
      <c r="AQ90" s="527">
        <f t="shared" si="45"/>
        <v>0</v>
      </c>
      <c r="AR90" s="953">
        <f t="shared" si="46"/>
        <v>0</v>
      </c>
      <c r="AS90" s="953">
        <f t="shared" si="47"/>
        <v>0</v>
      </c>
      <c r="AT90" s="953">
        <f t="shared" si="48"/>
        <v>0</v>
      </c>
      <c r="AU90" s="953">
        <f t="shared" si="49"/>
        <v>0</v>
      </c>
      <c r="AV90" s="953">
        <f t="shared" si="50"/>
        <v>0</v>
      </c>
      <c r="AW90" s="16">
        <f t="shared" si="51"/>
        <v>0</v>
      </c>
      <c r="AX90" s="16">
        <f t="shared" si="52"/>
        <v>0</v>
      </c>
      <c r="AY90" s="16">
        <f t="shared" si="53"/>
        <v>0</v>
      </c>
      <c r="AZ90" s="16">
        <f t="shared" si="54"/>
        <v>0</v>
      </c>
      <c r="BA90" s="16">
        <f t="shared" si="55"/>
        <v>0</v>
      </c>
      <c r="BB90" s="1373">
        <f>IF(AB90,VLOOKUP(IF(ISNUMBER(MATCH(Overview!$B$14,useless_spell_races,0)),Overview!$B$14,"Other"),Constants!$P$89:$S$102,4,FALSE),IF(BB89&gt;0,BB89-1,0))</f>
        <v>0</v>
      </c>
    </row>
    <row r="91" spans="1:54" s="16" customFormat="1" x14ac:dyDescent="0.25">
      <c r="A91" s="982">
        <f>Rezone!J91</f>
        <v>89</v>
      </c>
      <c r="B91" s="16">
        <f>Construction!E91</f>
        <v>1000</v>
      </c>
      <c r="C91" s="26">
        <f ca="1">Production!K91</f>
        <v>55319</v>
      </c>
      <c r="D91" s="62">
        <f>MIN(1,D90+0.04+ROUNDDOWN(10*Military!BN90,0)+MAX(Techs!AN90,Techs!AW90*3))-AE91</f>
        <v>1</v>
      </c>
      <c r="E91" s="530">
        <f>Imps!L91</f>
        <v>43768.916666666453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AB91*VLOOKUP(IF(ISNUMBER(MATCH(Overview!$B$14,useless_spell_races,0)),Overview!$B$14,"Other"),Constants!$P$89:$S$102,3,FALSE))</f>
        <v>0</v>
      </c>
      <c r="AE91" s="62">
        <f t="shared" si="61"/>
        <v>0</v>
      </c>
      <c r="AG91" s="633">
        <f t="shared" si="56"/>
        <v>0</v>
      </c>
      <c r="AH91" s="527">
        <f t="shared" si="57"/>
        <v>0</v>
      </c>
      <c r="AI91" s="527">
        <f t="shared" si="58"/>
        <v>0</v>
      </c>
      <c r="AJ91" s="527">
        <f t="shared" si="59"/>
        <v>0</v>
      </c>
      <c r="AK91" s="525">
        <f t="shared" si="60"/>
        <v>0</v>
      </c>
      <c r="AL91" s="527">
        <f t="shared" si="40"/>
        <v>0</v>
      </c>
      <c r="AM91" s="527">
        <f t="shared" si="41"/>
        <v>0</v>
      </c>
      <c r="AN91" s="527">
        <f t="shared" si="42"/>
        <v>0</v>
      </c>
      <c r="AO91" s="527">
        <f t="shared" si="43"/>
        <v>0</v>
      </c>
      <c r="AP91" s="527">
        <f t="shared" si="44"/>
        <v>0</v>
      </c>
      <c r="AQ91" s="527">
        <f t="shared" si="45"/>
        <v>0</v>
      </c>
      <c r="AR91" s="953">
        <f t="shared" si="46"/>
        <v>0</v>
      </c>
      <c r="AS91" s="953">
        <f t="shared" si="47"/>
        <v>0</v>
      </c>
      <c r="AT91" s="953">
        <f t="shared" si="48"/>
        <v>0</v>
      </c>
      <c r="AU91" s="953">
        <f t="shared" si="49"/>
        <v>0</v>
      </c>
      <c r="AV91" s="953">
        <f t="shared" si="50"/>
        <v>0</v>
      </c>
      <c r="AW91" s="16">
        <f t="shared" si="51"/>
        <v>0</v>
      </c>
      <c r="AX91" s="16">
        <f t="shared" si="52"/>
        <v>0</v>
      </c>
      <c r="AY91" s="16">
        <f t="shared" si="53"/>
        <v>0</v>
      </c>
      <c r="AZ91" s="16">
        <f t="shared" si="54"/>
        <v>0</v>
      </c>
      <c r="BA91" s="16">
        <f t="shared" si="55"/>
        <v>0</v>
      </c>
      <c r="BB91" s="1373">
        <f>IF(AB91,VLOOKUP(IF(ISNUMBER(MATCH(Overview!$B$14,useless_spell_races,0)),Overview!$B$14,"Other"),Constants!$P$89:$S$102,4,FALSE),IF(BB90&gt;0,BB90-1,0))</f>
        <v>0</v>
      </c>
    </row>
    <row r="92" spans="1:54" s="16" customFormat="1" x14ac:dyDescent="0.25">
      <c r="A92" s="982">
        <f>Rezone!J92</f>
        <v>90</v>
      </c>
      <c r="B92" s="16">
        <f>Construction!E92</f>
        <v>1000</v>
      </c>
      <c r="C92" s="26">
        <f ca="1">Production!K92</f>
        <v>55463</v>
      </c>
      <c r="D92" s="62">
        <f>MIN(1,D91+0.04+ROUNDDOWN(10*Military!BN91,0)+MAX(Techs!AN91,Techs!AW91*3))-AE92</f>
        <v>1</v>
      </c>
      <c r="E92" s="530">
        <f>Imps!L92</f>
        <v>43768.927083333117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AB92*VLOOKUP(IF(ISNUMBER(MATCH(Overview!$B$14,useless_spell_races,0)),Overview!$B$14,"Other"),Constants!$P$89:$S$102,3,FALSE))</f>
        <v>0</v>
      </c>
      <c r="AE92" s="62">
        <f t="shared" si="61"/>
        <v>0</v>
      </c>
      <c r="AG92" s="633">
        <f t="shared" si="56"/>
        <v>0</v>
      </c>
      <c r="AH92" s="527">
        <f t="shared" si="57"/>
        <v>0</v>
      </c>
      <c r="AI92" s="527">
        <f t="shared" si="58"/>
        <v>0</v>
      </c>
      <c r="AJ92" s="527">
        <f t="shared" si="59"/>
        <v>0</v>
      </c>
      <c r="AK92" s="525">
        <f t="shared" si="60"/>
        <v>0</v>
      </c>
      <c r="AL92" s="527">
        <f t="shared" si="40"/>
        <v>0</v>
      </c>
      <c r="AM92" s="527">
        <f t="shared" si="41"/>
        <v>0</v>
      </c>
      <c r="AN92" s="527">
        <f t="shared" si="42"/>
        <v>0</v>
      </c>
      <c r="AO92" s="527">
        <f t="shared" si="43"/>
        <v>0</v>
      </c>
      <c r="AP92" s="527">
        <f t="shared" si="44"/>
        <v>0</v>
      </c>
      <c r="AQ92" s="527">
        <f t="shared" si="45"/>
        <v>0</v>
      </c>
      <c r="AR92" s="953">
        <f t="shared" si="46"/>
        <v>0</v>
      </c>
      <c r="AS92" s="953">
        <f t="shared" si="47"/>
        <v>0</v>
      </c>
      <c r="AT92" s="953">
        <f t="shared" si="48"/>
        <v>0</v>
      </c>
      <c r="AU92" s="953">
        <f t="shared" si="49"/>
        <v>0</v>
      </c>
      <c r="AV92" s="953">
        <f t="shared" si="50"/>
        <v>0</v>
      </c>
      <c r="AW92" s="16">
        <f t="shared" si="51"/>
        <v>0</v>
      </c>
      <c r="AX92" s="16">
        <f t="shared" si="52"/>
        <v>0</v>
      </c>
      <c r="AY92" s="16">
        <f t="shared" si="53"/>
        <v>0</v>
      </c>
      <c r="AZ92" s="16">
        <f t="shared" si="54"/>
        <v>0</v>
      </c>
      <c r="BA92" s="16">
        <f t="shared" si="55"/>
        <v>0</v>
      </c>
      <c r="BB92" s="1373">
        <f>IF(AB92,VLOOKUP(IF(ISNUMBER(MATCH(Overview!$B$14,useless_spell_races,0)),Overview!$B$14,"Other"),Constants!$P$89:$S$102,4,FALSE),IF(BB91&gt;0,BB91-1,0))</f>
        <v>0</v>
      </c>
    </row>
    <row r="93" spans="1:54" s="16" customFormat="1" x14ac:dyDescent="0.25">
      <c r="A93" s="982">
        <f>Rezone!J93</f>
        <v>91</v>
      </c>
      <c r="B93" s="16">
        <f>Construction!E93</f>
        <v>1000</v>
      </c>
      <c r="C93" s="26">
        <f ca="1">Production!K93</f>
        <v>55604</v>
      </c>
      <c r="D93" s="62">
        <f>MIN(1,D92+0.04+ROUNDDOWN(10*Military!BN92,0)+MAX(Techs!AN92,Techs!AW92*3))-AE93</f>
        <v>1</v>
      </c>
      <c r="E93" s="530">
        <f>Imps!L93</f>
        <v>43768.937499999782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AB93*VLOOKUP(IF(ISNUMBER(MATCH(Overview!$B$14,useless_spell_races,0)),Overview!$B$14,"Other"),Constants!$P$89:$S$102,3,FALSE))</f>
        <v>0</v>
      </c>
      <c r="AE93" s="62">
        <f t="shared" si="61"/>
        <v>0</v>
      </c>
      <c r="AG93" s="633">
        <f t="shared" si="56"/>
        <v>0</v>
      </c>
      <c r="AH93" s="527">
        <f t="shared" si="57"/>
        <v>0</v>
      </c>
      <c r="AI93" s="527">
        <f t="shared" si="58"/>
        <v>0</v>
      </c>
      <c r="AJ93" s="527">
        <f t="shared" si="59"/>
        <v>0</v>
      </c>
      <c r="AK93" s="525">
        <f t="shared" si="60"/>
        <v>0</v>
      </c>
      <c r="AL93" s="527">
        <f t="shared" si="40"/>
        <v>0</v>
      </c>
      <c r="AM93" s="527">
        <f t="shared" si="41"/>
        <v>0</v>
      </c>
      <c r="AN93" s="527">
        <f t="shared" si="42"/>
        <v>0</v>
      </c>
      <c r="AO93" s="527">
        <f t="shared" si="43"/>
        <v>0</v>
      </c>
      <c r="AP93" s="527">
        <f t="shared" si="44"/>
        <v>0</v>
      </c>
      <c r="AQ93" s="527">
        <f t="shared" si="45"/>
        <v>0</v>
      </c>
      <c r="AR93" s="953">
        <f t="shared" si="46"/>
        <v>0</v>
      </c>
      <c r="AS93" s="953">
        <f t="shared" si="47"/>
        <v>0</v>
      </c>
      <c r="AT93" s="953">
        <f t="shared" si="48"/>
        <v>0</v>
      </c>
      <c r="AU93" s="953">
        <f t="shared" si="49"/>
        <v>0</v>
      </c>
      <c r="AV93" s="953">
        <f t="shared" si="50"/>
        <v>0</v>
      </c>
      <c r="AW93" s="16">
        <f t="shared" si="51"/>
        <v>0</v>
      </c>
      <c r="AX93" s="16">
        <f t="shared" si="52"/>
        <v>0</v>
      </c>
      <c r="AY93" s="16">
        <f t="shared" si="53"/>
        <v>0</v>
      </c>
      <c r="AZ93" s="16">
        <f t="shared" si="54"/>
        <v>0</v>
      </c>
      <c r="BA93" s="16">
        <f t="shared" si="55"/>
        <v>0</v>
      </c>
      <c r="BB93" s="1373">
        <f>IF(AB93,VLOOKUP(IF(ISNUMBER(MATCH(Overview!$B$14,useless_spell_races,0)),Overview!$B$14,"Other"),Constants!$P$89:$S$102,4,FALSE),IF(BB92&gt;0,BB92-1,0))</f>
        <v>0</v>
      </c>
    </row>
    <row r="94" spans="1:54" s="16" customFormat="1" x14ac:dyDescent="0.25">
      <c r="A94" s="982">
        <f>Rezone!J94</f>
        <v>92</v>
      </c>
      <c r="B94" s="16">
        <f>Construction!E94</f>
        <v>1000</v>
      </c>
      <c r="C94" s="26">
        <f ca="1">Production!K94</f>
        <v>55742</v>
      </c>
      <c r="D94" s="62">
        <f>MIN(1,D93+0.04+ROUNDDOWN(10*Military!BN93,0)+MAX(Techs!AN93,Techs!AW93*3))-AE94</f>
        <v>1</v>
      </c>
      <c r="E94" s="530">
        <f>Imps!L94</f>
        <v>43768.947916666446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AB94*VLOOKUP(IF(ISNUMBER(MATCH(Overview!$B$14,useless_spell_races,0)),Overview!$B$14,"Other"),Constants!$P$89:$S$102,3,FALSE))</f>
        <v>0</v>
      </c>
      <c r="AE94" s="62">
        <f t="shared" si="61"/>
        <v>0</v>
      </c>
      <c r="AG94" s="633">
        <f t="shared" si="56"/>
        <v>0</v>
      </c>
      <c r="AH94" s="527">
        <f t="shared" si="57"/>
        <v>0</v>
      </c>
      <c r="AI94" s="527">
        <f t="shared" si="58"/>
        <v>0</v>
      </c>
      <c r="AJ94" s="527">
        <f t="shared" si="59"/>
        <v>0</v>
      </c>
      <c r="AK94" s="525">
        <f t="shared" si="60"/>
        <v>0</v>
      </c>
      <c r="AL94" s="527">
        <f t="shared" si="40"/>
        <v>0</v>
      </c>
      <c r="AM94" s="527">
        <f t="shared" si="41"/>
        <v>0</v>
      </c>
      <c r="AN94" s="527">
        <f t="shared" si="42"/>
        <v>0</v>
      </c>
      <c r="AO94" s="527">
        <f t="shared" si="43"/>
        <v>0</v>
      </c>
      <c r="AP94" s="527">
        <f t="shared" si="44"/>
        <v>0</v>
      </c>
      <c r="AQ94" s="527">
        <f t="shared" si="45"/>
        <v>0</v>
      </c>
      <c r="AR94" s="953">
        <f t="shared" si="46"/>
        <v>0</v>
      </c>
      <c r="AS94" s="953">
        <f t="shared" si="47"/>
        <v>0</v>
      </c>
      <c r="AT94" s="953">
        <f t="shared" si="48"/>
        <v>0</v>
      </c>
      <c r="AU94" s="953">
        <f t="shared" si="49"/>
        <v>0</v>
      </c>
      <c r="AV94" s="953">
        <f t="shared" si="50"/>
        <v>0</v>
      </c>
      <c r="AW94" s="16">
        <f t="shared" si="51"/>
        <v>0</v>
      </c>
      <c r="AX94" s="16">
        <f t="shared" si="52"/>
        <v>0</v>
      </c>
      <c r="AY94" s="16">
        <f t="shared" si="53"/>
        <v>0</v>
      </c>
      <c r="AZ94" s="16">
        <f t="shared" si="54"/>
        <v>0</v>
      </c>
      <c r="BA94" s="16">
        <f t="shared" si="55"/>
        <v>0</v>
      </c>
      <c r="BB94" s="1373">
        <f>IF(AB94,VLOOKUP(IF(ISNUMBER(MATCH(Overview!$B$14,useless_spell_races,0)),Overview!$B$14,"Other"),Constants!$P$89:$S$102,4,FALSE),IF(BB93&gt;0,BB93-1,0))</f>
        <v>0</v>
      </c>
    </row>
    <row r="95" spans="1:54" s="16" customFormat="1" x14ac:dyDescent="0.25">
      <c r="A95" s="982">
        <f>Rezone!J95</f>
        <v>93</v>
      </c>
      <c r="B95" s="16">
        <f>Construction!E95</f>
        <v>1000</v>
      </c>
      <c r="C95" s="26">
        <f ca="1">Production!K95</f>
        <v>55877</v>
      </c>
      <c r="D95" s="62">
        <f>MIN(1,D94+0.04+ROUNDDOWN(10*Military!BN94,0)+MAX(Techs!AN94,Techs!AW94*3))-AE95</f>
        <v>1</v>
      </c>
      <c r="E95" s="530">
        <f>Imps!L95</f>
        <v>43768.95833333311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AB95*VLOOKUP(IF(ISNUMBER(MATCH(Overview!$B$14,useless_spell_races,0)),Overview!$B$14,"Other"),Constants!$P$89:$S$102,3,FALSE))</f>
        <v>0</v>
      </c>
      <c r="AE95" s="62">
        <f t="shared" si="61"/>
        <v>0</v>
      </c>
      <c r="AG95" s="633">
        <f t="shared" si="56"/>
        <v>0</v>
      </c>
      <c r="AH95" s="527">
        <f t="shared" si="57"/>
        <v>0</v>
      </c>
      <c r="AI95" s="527">
        <f t="shared" si="58"/>
        <v>0</v>
      </c>
      <c r="AJ95" s="527">
        <f t="shared" si="59"/>
        <v>0</v>
      </c>
      <c r="AK95" s="525">
        <f t="shared" si="60"/>
        <v>0</v>
      </c>
      <c r="AL95" s="527">
        <f t="shared" si="40"/>
        <v>0</v>
      </c>
      <c r="AM95" s="527">
        <f t="shared" si="41"/>
        <v>0</v>
      </c>
      <c r="AN95" s="527">
        <f t="shared" si="42"/>
        <v>0</v>
      </c>
      <c r="AO95" s="527">
        <f t="shared" si="43"/>
        <v>0</v>
      </c>
      <c r="AP95" s="527">
        <f t="shared" si="44"/>
        <v>0</v>
      </c>
      <c r="AQ95" s="527">
        <f t="shared" si="45"/>
        <v>0</v>
      </c>
      <c r="AR95" s="953">
        <f t="shared" si="46"/>
        <v>0</v>
      </c>
      <c r="AS95" s="953">
        <f t="shared" si="47"/>
        <v>0</v>
      </c>
      <c r="AT95" s="953">
        <f t="shared" si="48"/>
        <v>0</v>
      </c>
      <c r="AU95" s="953">
        <f t="shared" si="49"/>
        <v>0</v>
      </c>
      <c r="AV95" s="953">
        <f t="shared" si="50"/>
        <v>0</v>
      </c>
      <c r="AW95" s="16">
        <f t="shared" si="51"/>
        <v>0</v>
      </c>
      <c r="AX95" s="16">
        <f t="shared" si="52"/>
        <v>0</v>
      </c>
      <c r="AY95" s="16">
        <f t="shared" si="53"/>
        <v>0</v>
      </c>
      <c r="AZ95" s="16">
        <f t="shared" si="54"/>
        <v>0</v>
      </c>
      <c r="BA95" s="16">
        <f t="shared" si="55"/>
        <v>0</v>
      </c>
      <c r="BB95" s="1373">
        <f>IF(AB95,VLOOKUP(IF(ISNUMBER(MATCH(Overview!$B$14,useless_spell_races,0)),Overview!$B$14,"Other"),Constants!$P$89:$S$102,4,FALSE),IF(BB94&gt;0,BB94-1,0))</f>
        <v>0</v>
      </c>
    </row>
    <row r="96" spans="1:54" s="16" customFormat="1" x14ac:dyDescent="0.25">
      <c r="A96" s="982">
        <f>Rezone!J96</f>
        <v>94</v>
      </c>
      <c r="B96" s="16">
        <f>Construction!E96</f>
        <v>1000</v>
      </c>
      <c r="C96" s="26">
        <f ca="1">Production!K96</f>
        <v>56009</v>
      </c>
      <c r="D96" s="62">
        <f>MIN(1,D95+0.04+ROUNDDOWN(10*Military!BN95,0)+MAX(Techs!AN95,Techs!AW95*3))-AE96</f>
        <v>1</v>
      </c>
      <c r="E96" s="530">
        <f>Imps!L96</f>
        <v>43768.968749999774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AB96*VLOOKUP(IF(ISNUMBER(MATCH(Overview!$B$14,useless_spell_races,0)),Overview!$B$14,"Other"),Constants!$P$89:$S$102,3,FALSE))</f>
        <v>0</v>
      </c>
      <c r="AE96" s="62">
        <f t="shared" si="61"/>
        <v>0</v>
      </c>
      <c r="AG96" s="633">
        <f t="shared" si="56"/>
        <v>0</v>
      </c>
      <c r="AH96" s="527">
        <f t="shared" si="57"/>
        <v>0</v>
      </c>
      <c r="AI96" s="527">
        <f t="shared" si="58"/>
        <v>0</v>
      </c>
      <c r="AJ96" s="527">
        <f t="shared" si="59"/>
        <v>0</v>
      </c>
      <c r="AK96" s="525">
        <f t="shared" si="60"/>
        <v>0</v>
      </c>
      <c r="AL96" s="527">
        <f t="shared" si="40"/>
        <v>0</v>
      </c>
      <c r="AM96" s="527">
        <f t="shared" si="41"/>
        <v>0</v>
      </c>
      <c r="AN96" s="527">
        <f t="shared" si="42"/>
        <v>0</v>
      </c>
      <c r="AO96" s="527">
        <f t="shared" si="43"/>
        <v>0</v>
      </c>
      <c r="AP96" s="527">
        <f t="shared" si="44"/>
        <v>0</v>
      </c>
      <c r="AQ96" s="527">
        <f t="shared" si="45"/>
        <v>0</v>
      </c>
      <c r="AR96" s="953">
        <f t="shared" si="46"/>
        <v>0</v>
      </c>
      <c r="AS96" s="953">
        <f t="shared" si="47"/>
        <v>0</v>
      </c>
      <c r="AT96" s="953">
        <f t="shared" si="48"/>
        <v>0</v>
      </c>
      <c r="AU96" s="953">
        <f t="shared" si="49"/>
        <v>0</v>
      </c>
      <c r="AV96" s="953">
        <f t="shared" si="50"/>
        <v>0</v>
      </c>
      <c r="AW96" s="16">
        <f t="shared" si="51"/>
        <v>0</v>
      </c>
      <c r="AX96" s="16">
        <f t="shared" si="52"/>
        <v>0</v>
      </c>
      <c r="AY96" s="16">
        <f t="shared" si="53"/>
        <v>0</v>
      </c>
      <c r="AZ96" s="16">
        <f t="shared" si="54"/>
        <v>0</v>
      </c>
      <c r="BA96" s="16">
        <f t="shared" si="55"/>
        <v>0</v>
      </c>
      <c r="BB96" s="1373">
        <f>IF(AB96,VLOOKUP(IF(ISNUMBER(MATCH(Overview!$B$14,useless_spell_races,0)),Overview!$B$14,"Other"),Constants!$P$89:$S$102,4,FALSE),IF(BB95&gt;0,BB95-1,0))</f>
        <v>0</v>
      </c>
    </row>
    <row r="97" spans="1:54" s="16" customFormat="1" x14ac:dyDescent="0.25">
      <c r="A97" s="982">
        <f>Rezone!J97</f>
        <v>95</v>
      </c>
      <c r="B97" s="16">
        <f>Construction!E97</f>
        <v>1000</v>
      </c>
      <c r="C97" s="26">
        <f ca="1">Production!K97</f>
        <v>56139</v>
      </c>
      <c r="D97" s="62">
        <f>MIN(1,D96+0.04+ROUNDDOWN(10*Military!BN96,0)+MAX(Techs!AN96,Techs!AW96*3))-AE97</f>
        <v>1</v>
      </c>
      <c r="E97" s="530">
        <f>Imps!L97</f>
        <v>43768.979166666439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AB97*VLOOKUP(IF(ISNUMBER(MATCH(Overview!$B$14,useless_spell_races,0)),Overview!$B$14,"Other"),Constants!$P$89:$S$102,3,FALSE))</f>
        <v>0</v>
      </c>
      <c r="AE97" s="62">
        <f t="shared" si="61"/>
        <v>0</v>
      </c>
      <c r="AG97" s="633">
        <f t="shared" si="56"/>
        <v>0</v>
      </c>
      <c r="AH97" s="527">
        <f t="shared" si="57"/>
        <v>0</v>
      </c>
      <c r="AI97" s="527">
        <f t="shared" si="58"/>
        <v>0</v>
      </c>
      <c r="AJ97" s="527">
        <f t="shared" si="59"/>
        <v>0</v>
      </c>
      <c r="AK97" s="525">
        <f t="shared" si="60"/>
        <v>0</v>
      </c>
      <c r="AL97" s="527">
        <f t="shared" si="40"/>
        <v>0</v>
      </c>
      <c r="AM97" s="527">
        <f t="shared" si="41"/>
        <v>0</v>
      </c>
      <c r="AN97" s="527">
        <f t="shared" si="42"/>
        <v>0</v>
      </c>
      <c r="AO97" s="527">
        <f t="shared" si="43"/>
        <v>0</v>
      </c>
      <c r="AP97" s="527">
        <f t="shared" si="44"/>
        <v>0</v>
      </c>
      <c r="AQ97" s="527">
        <f t="shared" si="45"/>
        <v>0</v>
      </c>
      <c r="AR97" s="953">
        <f t="shared" si="46"/>
        <v>0</v>
      </c>
      <c r="AS97" s="953">
        <f t="shared" si="47"/>
        <v>0</v>
      </c>
      <c r="AT97" s="953">
        <f t="shared" si="48"/>
        <v>0</v>
      </c>
      <c r="AU97" s="953">
        <f t="shared" si="49"/>
        <v>0</v>
      </c>
      <c r="AV97" s="953">
        <f t="shared" si="50"/>
        <v>0</v>
      </c>
      <c r="AW97" s="16">
        <f t="shared" si="51"/>
        <v>0</v>
      </c>
      <c r="AX97" s="16">
        <f t="shared" si="52"/>
        <v>0</v>
      </c>
      <c r="AY97" s="16">
        <f t="shared" si="53"/>
        <v>0</v>
      </c>
      <c r="AZ97" s="16">
        <f t="shared" si="54"/>
        <v>0</v>
      </c>
      <c r="BA97" s="16">
        <f t="shared" si="55"/>
        <v>0</v>
      </c>
      <c r="BB97" s="1373">
        <f>IF(AB97,VLOOKUP(IF(ISNUMBER(MATCH(Overview!$B$14,useless_spell_races,0)),Overview!$B$14,"Other"),Constants!$P$89:$S$102,4,FALSE),IF(BB96&gt;0,BB96-1,0))</f>
        <v>0</v>
      </c>
    </row>
    <row r="98" spans="1:54" s="170" customFormat="1" ht="13.8" thickBot="1" x14ac:dyDescent="0.3">
      <c r="A98" s="981">
        <f>Rezone!J98</f>
        <v>96</v>
      </c>
      <c r="B98" s="170">
        <f>Construction!E98</f>
        <v>1000</v>
      </c>
      <c r="C98" s="164">
        <f ca="1">Production!K98</f>
        <v>56266</v>
      </c>
      <c r="D98" s="193">
        <f>MIN(1,D97+0.04+ROUNDDOWN(10*Military!BN97,0)+MAX(Techs!AN97,Techs!AW97*3))-AE98</f>
        <v>1</v>
      </c>
      <c r="E98" s="530">
        <f>Imps!L98</f>
        <v>43768.989583333103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AB98*VLOOKUP(IF(ISNUMBER(MATCH(Overview!$B$14,useless_spell_races,0)),Overview!$B$14,"Other"),Constants!$P$89:$S$102,3,FALSE))</f>
        <v>0</v>
      </c>
      <c r="AE98" s="193">
        <f t="shared" si="61"/>
        <v>0</v>
      </c>
      <c r="AG98" s="632">
        <f t="shared" si="56"/>
        <v>0</v>
      </c>
      <c r="AH98" s="627">
        <f t="shared" si="57"/>
        <v>0</v>
      </c>
      <c r="AI98" s="627">
        <f t="shared" si="58"/>
        <v>0</v>
      </c>
      <c r="AJ98" s="627">
        <f t="shared" si="59"/>
        <v>0</v>
      </c>
      <c r="AK98" s="546">
        <f t="shared" si="60"/>
        <v>0</v>
      </c>
      <c r="AL98" s="627">
        <f t="shared" si="40"/>
        <v>0</v>
      </c>
      <c r="AM98" s="627">
        <f t="shared" si="41"/>
        <v>0</v>
      </c>
      <c r="AN98" s="627">
        <f t="shared" si="42"/>
        <v>0</v>
      </c>
      <c r="AO98" s="627">
        <f t="shared" si="43"/>
        <v>0</v>
      </c>
      <c r="AP98" s="627">
        <f t="shared" si="44"/>
        <v>0</v>
      </c>
      <c r="AQ98" s="627">
        <f t="shared" si="45"/>
        <v>0</v>
      </c>
      <c r="AR98" s="952">
        <f t="shared" si="46"/>
        <v>0</v>
      </c>
      <c r="AS98" s="952">
        <f t="shared" si="47"/>
        <v>0</v>
      </c>
      <c r="AT98" s="952">
        <f t="shared" si="48"/>
        <v>0</v>
      </c>
      <c r="AU98" s="952">
        <f t="shared" si="49"/>
        <v>0</v>
      </c>
      <c r="AV98" s="952">
        <f t="shared" si="50"/>
        <v>0</v>
      </c>
      <c r="AW98" s="170">
        <f t="shared" si="51"/>
        <v>0</v>
      </c>
      <c r="AX98" s="170">
        <f t="shared" si="52"/>
        <v>0</v>
      </c>
      <c r="AY98" s="170">
        <f t="shared" si="53"/>
        <v>0</v>
      </c>
      <c r="AZ98" s="170">
        <f t="shared" si="54"/>
        <v>0</v>
      </c>
      <c r="BA98" s="170">
        <f t="shared" si="55"/>
        <v>0</v>
      </c>
      <c r="BB98" s="1372">
        <f>IF(AB98,VLOOKUP(IF(ISNUMBER(MATCH(Overview!$B$14,useless_spell_races,0)),Overview!$B$14,"Other"),Constants!$P$89:$S$102,4,FALSE),IF(BB97&gt;0,BB97-1,0))</f>
        <v>0</v>
      </c>
    </row>
    <row r="99" spans="1:54" s="173" customFormat="1" ht="13.8" thickBot="1" x14ac:dyDescent="0.3">
      <c r="A99" s="984">
        <f>Rezone!J99</f>
        <v>97</v>
      </c>
      <c r="B99" s="173">
        <f>Construction!E99</f>
        <v>1000</v>
      </c>
      <c r="C99" s="174">
        <f ca="1">Production!K99</f>
        <v>56391</v>
      </c>
      <c r="D99" s="195">
        <f>MIN(1,D98+0.04+ROUNDDOWN(10*Military!BN98,0)+MAX(Techs!AN98,Techs!AW98*3))-AE99</f>
        <v>1</v>
      </c>
      <c r="E99" s="534">
        <f>Imps!L99</f>
        <v>43768.999999999767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AB99*VLOOKUP(IF(ISNUMBER(MATCH(Overview!$B$14,useless_spell_races,0)),Overview!$B$14,"Other"),Constants!$P$89:$S$102,3,FALSE))</f>
        <v>0</v>
      </c>
      <c r="AE99" s="195">
        <f t="shared" si="61"/>
        <v>0</v>
      </c>
      <c r="AG99" s="634">
        <f t="shared" si="56"/>
        <v>0</v>
      </c>
      <c r="AH99" s="628">
        <f t="shared" si="57"/>
        <v>0</v>
      </c>
      <c r="AI99" s="628">
        <f t="shared" si="58"/>
        <v>0</v>
      </c>
      <c r="AJ99" s="628">
        <f t="shared" si="59"/>
        <v>0</v>
      </c>
      <c r="AK99" s="548">
        <f t="shared" si="60"/>
        <v>0</v>
      </c>
      <c r="AL99" s="628">
        <f t="shared" si="40"/>
        <v>0</v>
      </c>
      <c r="AM99" s="628">
        <f t="shared" si="41"/>
        <v>0</v>
      </c>
      <c r="AN99" s="628">
        <f t="shared" si="42"/>
        <v>0</v>
      </c>
      <c r="AO99" s="628">
        <f t="shared" si="43"/>
        <v>0</v>
      </c>
      <c r="AP99" s="628">
        <f t="shared" si="44"/>
        <v>0</v>
      </c>
      <c r="AQ99" s="628">
        <f t="shared" si="45"/>
        <v>0</v>
      </c>
      <c r="AR99" s="955">
        <f t="shared" si="46"/>
        <v>0</v>
      </c>
      <c r="AS99" s="955">
        <f t="shared" si="47"/>
        <v>0</v>
      </c>
      <c r="AT99" s="955">
        <f t="shared" si="48"/>
        <v>0</v>
      </c>
      <c r="AU99" s="955">
        <f t="shared" si="49"/>
        <v>0</v>
      </c>
      <c r="AV99" s="955">
        <f t="shared" si="50"/>
        <v>0</v>
      </c>
      <c r="AW99" s="173">
        <f t="shared" si="51"/>
        <v>0</v>
      </c>
      <c r="AX99" s="173">
        <f t="shared" si="52"/>
        <v>0</v>
      </c>
      <c r="AY99" s="173">
        <f t="shared" si="53"/>
        <v>0</v>
      </c>
      <c r="AZ99" s="173">
        <f t="shared" si="54"/>
        <v>0</v>
      </c>
      <c r="BA99" s="173">
        <f t="shared" si="55"/>
        <v>0</v>
      </c>
      <c r="BB99" s="1380">
        <f>IF(AB99,VLOOKUP(IF(ISNUMBER(MATCH(Overview!$B$14,useless_spell_races,0)),Overview!$B$14,"Other"),Constants!$P$89:$S$102,4,FALSE),IF(BB98&gt;0,BB98-1,0))</f>
        <v>0</v>
      </c>
    </row>
    <row r="100" spans="1:54" s="170" customFormat="1" x14ac:dyDescent="0.25">
      <c r="A100" s="981">
        <f>Rezone!J100</f>
        <v>98</v>
      </c>
      <c r="B100" s="170">
        <f>Construction!E100</f>
        <v>1000</v>
      </c>
      <c r="C100" s="164">
        <f ca="1">Production!K100</f>
        <v>56513</v>
      </c>
      <c r="D100" s="193">
        <f>MIN(1,D99+0.04+ROUNDDOWN(10*Military!BN99,0)+MAX(Techs!AN99,Techs!AW99*3))-AE100</f>
        <v>1</v>
      </c>
      <c r="E100" s="530">
        <f>Imps!L100</f>
        <v>43769.010416666431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AB100*VLOOKUP(IF(ISNUMBER(MATCH(Overview!$B$14,useless_spell_races,0)),Overview!$B$14,"Other"),Constants!$P$89:$S$102,3,FALSE))</f>
        <v>0</v>
      </c>
      <c r="AE100" s="193">
        <f t="shared" si="61"/>
        <v>0</v>
      </c>
      <c r="AG100" s="632">
        <f t="shared" si="56"/>
        <v>0</v>
      </c>
      <c r="AH100" s="627">
        <f t="shared" si="57"/>
        <v>0</v>
      </c>
      <c r="AI100" s="627">
        <f t="shared" si="58"/>
        <v>0</v>
      </c>
      <c r="AJ100" s="627">
        <f t="shared" si="59"/>
        <v>0</v>
      </c>
      <c r="AK100" s="546">
        <f t="shared" si="60"/>
        <v>0</v>
      </c>
      <c r="AL100" s="627">
        <f t="shared" ref="AL100:AL135" si="62">IF(L100,dwarf_spell_time,IF(AL99&gt;0,AL99-1,0))</f>
        <v>0</v>
      </c>
      <c r="AM100" s="627">
        <f t="shared" ref="AM100:AM135" si="63">IF(M100,halfling_spell_time,IF(AM99&gt;0,AM99-1,0))</f>
        <v>0</v>
      </c>
      <c r="AN100" s="627">
        <f t="shared" ref="AN100:AN135" si="64">IF(N100,sylvan_spell_time,IF(AN99&gt;0,AN99-1,0))</f>
        <v>0</v>
      </c>
      <c r="AO100" s="627">
        <f t="shared" ref="AO100:AO135" si="65">IF(O100,woodelf_spell_time,IF(AO99&gt;0,AO99-1,0))</f>
        <v>0</v>
      </c>
      <c r="AP100" s="627">
        <f t="shared" ref="AP100:AP135" si="66">IF(P100,kobold_spell_time,IF(AP99&gt;0,AP99-1,0))</f>
        <v>0</v>
      </c>
      <c r="AQ100" s="627">
        <f t="shared" ref="AQ100:AQ135" si="67">IF(Q100,icekin_spell_time,IF(AQ99&gt;0,AQ99-1,0))</f>
        <v>0</v>
      </c>
      <c r="AR100" s="952">
        <f t="shared" ref="AR100:AR135" si="68">IF(R100,firewalker_spell_time,IF(AR99&gt;0,AR99-1,0))</f>
        <v>0</v>
      </c>
      <c r="AS100" s="952">
        <f t="shared" ref="AS100:AS135" si="69">IF(S100,nox_spell_time,IF(AS99&gt;0,AS99-1,0))</f>
        <v>0</v>
      </c>
      <c r="AT100" s="952">
        <f t="shared" ref="AT100:AT135" si="70">IF(T100,human_spell_time,IF(AT99&gt;0,AT99-1,0))</f>
        <v>0</v>
      </c>
      <c r="AU100" s="952">
        <f t="shared" ref="AU100:AU135" si="71">IF(U100,goblin_spell_time,IF(AU99&gt;0,AU99-1,0))</f>
        <v>0</v>
      </c>
      <c r="AV100" s="952">
        <f t="shared" ref="AV100:AV135" si="72">IF(V100,orc_spell_time,IF(AV99&gt;0,AV99-1,0))</f>
        <v>0</v>
      </c>
      <c r="AW100" s="170">
        <f t="shared" ref="AW100:AW135" si="73">IF(W100,ants_spell_time,IF(AW99&gt;0,AW99-1,0))</f>
        <v>0</v>
      </c>
      <c r="AX100" s="170">
        <f t="shared" ref="AX100:AX135" si="74">IF(X100,armada_spell_time,IF(AX99&gt;0,AX99-1,0))</f>
        <v>0</v>
      </c>
      <c r="AY100" s="170">
        <f t="shared" ref="AY100:AY135" si="75">IF(Y100,lux_spell_time,IF(AY99&gt;0,AY99-1,0))</f>
        <v>0</v>
      </c>
      <c r="AZ100" s="170">
        <f t="shared" ref="AZ100:AZ135" si="76">IF(Z100,growth_spell_time,IF(AZ99&gt;0,AZ99-1,0))</f>
        <v>0</v>
      </c>
      <c r="BA100" s="170">
        <f t="shared" ref="BA100:BA135" si="77">IF(AA100,impgnome_spell_time,IF(BA99&gt;0,BA99-1,0))</f>
        <v>0</v>
      </c>
      <c r="BB100" s="1372">
        <f>IF(AB100,VLOOKUP(IF(ISNUMBER(MATCH(Overview!$B$14,useless_spell_races,0)),Overview!$B$14,"Other"),Constants!$P$89:$S$102,4,FALSE),IF(BB99&gt;0,BB99-1,0))</f>
        <v>0</v>
      </c>
    </row>
    <row r="101" spans="1:54" s="170" customFormat="1" x14ac:dyDescent="0.25">
      <c r="A101" s="981">
        <f>Rezone!J101</f>
        <v>99</v>
      </c>
      <c r="B101" s="170">
        <f>Construction!E101</f>
        <v>1000</v>
      </c>
      <c r="C101" s="164">
        <f ca="1">Production!K101</f>
        <v>56633</v>
      </c>
      <c r="D101" s="193">
        <f>MIN(1,D100+0.04+ROUNDDOWN(10*Military!BN100,0)+MAX(Techs!AN100,Techs!AW100*3))-AE101</f>
        <v>1</v>
      </c>
      <c r="E101" s="530">
        <f>Imps!L101</f>
        <v>43769.020833333096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AB101*VLOOKUP(IF(ISNUMBER(MATCH(Overview!$B$14,useless_spell_races,0)),Overview!$B$14,"Other"),Constants!$P$89:$S$102,3,FALSE))</f>
        <v>0</v>
      </c>
      <c r="AE101" s="193">
        <f t="shared" si="61"/>
        <v>0</v>
      </c>
      <c r="AG101" s="632">
        <f t="shared" si="56"/>
        <v>0</v>
      </c>
      <c r="AH101" s="627">
        <f t="shared" si="57"/>
        <v>0</v>
      </c>
      <c r="AI101" s="627">
        <f t="shared" si="58"/>
        <v>0</v>
      </c>
      <c r="AJ101" s="627">
        <f t="shared" si="59"/>
        <v>0</v>
      </c>
      <c r="AK101" s="546">
        <f t="shared" si="60"/>
        <v>0</v>
      </c>
      <c r="AL101" s="627">
        <f t="shared" si="62"/>
        <v>0</v>
      </c>
      <c r="AM101" s="627">
        <f t="shared" si="63"/>
        <v>0</v>
      </c>
      <c r="AN101" s="627">
        <f t="shared" si="64"/>
        <v>0</v>
      </c>
      <c r="AO101" s="627">
        <f t="shared" si="65"/>
        <v>0</v>
      </c>
      <c r="AP101" s="627">
        <f t="shared" si="66"/>
        <v>0</v>
      </c>
      <c r="AQ101" s="627">
        <f t="shared" si="67"/>
        <v>0</v>
      </c>
      <c r="AR101" s="952">
        <f t="shared" si="68"/>
        <v>0</v>
      </c>
      <c r="AS101" s="952">
        <f t="shared" si="69"/>
        <v>0</v>
      </c>
      <c r="AT101" s="952">
        <f t="shared" si="70"/>
        <v>0</v>
      </c>
      <c r="AU101" s="952">
        <f t="shared" si="71"/>
        <v>0</v>
      </c>
      <c r="AV101" s="952">
        <f t="shared" si="72"/>
        <v>0</v>
      </c>
      <c r="AW101" s="170">
        <f t="shared" si="73"/>
        <v>0</v>
      </c>
      <c r="AX101" s="170">
        <f t="shared" si="74"/>
        <v>0</v>
      </c>
      <c r="AY101" s="170">
        <f t="shared" si="75"/>
        <v>0</v>
      </c>
      <c r="AZ101" s="170">
        <f t="shared" si="76"/>
        <v>0</v>
      </c>
      <c r="BA101" s="170">
        <f t="shared" si="77"/>
        <v>0</v>
      </c>
      <c r="BB101" s="1372">
        <f>IF(AB101,VLOOKUP(IF(ISNUMBER(MATCH(Overview!$B$14,useless_spell_races,0)),Overview!$B$14,"Other"),Constants!$P$89:$S$102,4,FALSE),IF(BB100&gt;0,BB100-1,0))</f>
        <v>0</v>
      </c>
    </row>
    <row r="102" spans="1:54" s="16" customFormat="1" x14ac:dyDescent="0.25">
      <c r="A102" s="982">
        <f>Rezone!J102</f>
        <v>100</v>
      </c>
      <c r="B102" s="16">
        <f>Construction!E102</f>
        <v>1000</v>
      </c>
      <c r="C102" s="26">
        <f ca="1">Production!K102</f>
        <v>56750</v>
      </c>
      <c r="D102" s="62">
        <f>MIN(1,D101+0.04+ROUNDDOWN(10*Military!BN101,0)+MAX(Techs!AN101,Techs!AW101*3))-AE102</f>
        <v>1</v>
      </c>
      <c r="E102" s="530">
        <f>Imps!L102</f>
        <v>43769.03124999976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AB102*VLOOKUP(IF(ISNUMBER(MATCH(Overview!$B$14,useless_spell_races,0)),Overview!$B$14,"Other"),Constants!$P$89:$S$102,3,FALSE))</f>
        <v>0</v>
      </c>
      <c r="AE102" s="62">
        <f t="shared" si="61"/>
        <v>0</v>
      </c>
      <c r="AG102" s="633">
        <f t="shared" si="56"/>
        <v>0</v>
      </c>
      <c r="AH102" s="527">
        <f t="shared" si="57"/>
        <v>0</v>
      </c>
      <c r="AI102" s="527">
        <f t="shared" si="58"/>
        <v>0</v>
      </c>
      <c r="AJ102" s="527">
        <f t="shared" si="59"/>
        <v>0</v>
      </c>
      <c r="AK102" s="525">
        <f t="shared" si="60"/>
        <v>0</v>
      </c>
      <c r="AL102" s="527">
        <f t="shared" si="62"/>
        <v>0</v>
      </c>
      <c r="AM102" s="527">
        <f t="shared" si="63"/>
        <v>0</v>
      </c>
      <c r="AN102" s="527">
        <f t="shared" si="64"/>
        <v>0</v>
      </c>
      <c r="AO102" s="527">
        <f t="shared" si="65"/>
        <v>0</v>
      </c>
      <c r="AP102" s="527">
        <f t="shared" si="66"/>
        <v>0</v>
      </c>
      <c r="AQ102" s="527">
        <f t="shared" si="67"/>
        <v>0</v>
      </c>
      <c r="AR102" s="953">
        <f t="shared" si="68"/>
        <v>0</v>
      </c>
      <c r="AS102" s="953">
        <f t="shared" si="69"/>
        <v>0</v>
      </c>
      <c r="AT102" s="953">
        <f t="shared" si="70"/>
        <v>0</v>
      </c>
      <c r="AU102" s="953">
        <f t="shared" si="71"/>
        <v>0</v>
      </c>
      <c r="AV102" s="953">
        <f t="shared" si="72"/>
        <v>0</v>
      </c>
      <c r="AW102" s="16">
        <f t="shared" si="73"/>
        <v>0</v>
      </c>
      <c r="AX102" s="16">
        <f t="shared" si="74"/>
        <v>0</v>
      </c>
      <c r="AY102" s="16">
        <f t="shared" si="75"/>
        <v>0</v>
      </c>
      <c r="AZ102" s="16">
        <f t="shared" si="76"/>
        <v>0</v>
      </c>
      <c r="BA102" s="16">
        <f t="shared" si="77"/>
        <v>0</v>
      </c>
      <c r="BB102" s="1373">
        <f>IF(AB102,VLOOKUP(IF(ISNUMBER(MATCH(Overview!$B$14,useless_spell_races,0)),Overview!$B$14,"Other"),Constants!$P$89:$S$102,4,FALSE),IF(BB101&gt;0,BB101-1,0))</f>
        <v>0</v>
      </c>
    </row>
    <row r="103" spans="1:54" s="16" customFormat="1" x14ac:dyDescent="0.25">
      <c r="A103" s="982">
        <f>Rezone!J103</f>
        <v>101</v>
      </c>
      <c r="B103" s="16">
        <f>Construction!E103</f>
        <v>1000</v>
      </c>
      <c r="C103" s="26">
        <f ca="1">Production!K103</f>
        <v>56865</v>
      </c>
      <c r="D103" s="62">
        <f>MIN(1,D102+0.04+ROUNDDOWN(10*Military!BN102,0)+MAX(Techs!AN102,Techs!AW102*3))-AE103</f>
        <v>1</v>
      </c>
      <c r="E103" s="530">
        <f>Imps!L103</f>
        <v>43769.041666666424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AB103*VLOOKUP(IF(ISNUMBER(MATCH(Overview!$B$14,useless_spell_races,0)),Overview!$B$14,"Other"),Constants!$P$89:$S$102,3,FALSE))</f>
        <v>0</v>
      </c>
      <c r="AE103" s="62">
        <f t="shared" si="61"/>
        <v>0</v>
      </c>
      <c r="AG103" s="633">
        <f t="shared" si="56"/>
        <v>0</v>
      </c>
      <c r="AH103" s="527">
        <f t="shared" si="57"/>
        <v>0</v>
      </c>
      <c r="AI103" s="527">
        <f t="shared" si="58"/>
        <v>0</v>
      </c>
      <c r="AJ103" s="527">
        <f t="shared" si="59"/>
        <v>0</v>
      </c>
      <c r="AK103" s="525">
        <f t="shared" si="60"/>
        <v>0</v>
      </c>
      <c r="AL103" s="527">
        <f t="shared" si="62"/>
        <v>0</v>
      </c>
      <c r="AM103" s="527">
        <f t="shared" si="63"/>
        <v>0</v>
      </c>
      <c r="AN103" s="527">
        <f t="shared" si="64"/>
        <v>0</v>
      </c>
      <c r="AO103" s="527">
        <f t="shared" si="65"/>
        <v>0</v>
      </c>
      <c r="AP103" s="527">
        <f t="shared" si="66"/>
        <v>0</v>
      </c>
      <c r="AQ103" s="527">
        <f t="shared" si="67"/>
        <v>0</v>
      </c>
      <c r="AR103" s="953">
        <f t="shared" si="68"/>
        <v>0</v>
      </c>
      <c r="AS103" s="953">
        <f t="shared" si="69"/>
        <v>0</v>
      </c>
      <c r="AT103" s="953">
        <f t="shared" si="70"/>
        <v>0</v>
      </c>
      <c r="AU103" s="953">
        <f t="shared" si="71"/>
        <v>0</v>
      </c>
      <c r="AV103" s="953">
        <f t="shared" si="72"/>
        <v>0</v>
      </c>
      <c r="AW103" s="16">
        <f t="shared" si="73"/>
        <v>0</v>
      </c>
      <c r="AX103" s="16">
        <f t="shared" si="74"/>
        <v>0</v>
      </c>
      <c r="AY103" s="16">
        <f t="shared" si="75"/>
        <v>0</v>
      </c>
      <c r="AZ103" s="16">
        <f t="shared" si="76"/>
        <v>0</v>
      </c>
      <c r="BA103" s="16">
        <f t="shared" si="77"/>
        <v>0</v>
      </c>
      <c r="BB103" s="1373">
        <f>IF(AB103,VLOOKUP(IF(ISNUMBER(MATCH(Overview!$B$14,useless_spell_races,0)),Overview!$B$14,"Other"),Constants!$P$89:$S$102,4,FALSE),IF(BB102&gt;0,BB102-1,0))</f>
        <v>0</v>
      </c>
    </row>
    <row r="104" spans="1:54" s="16" customFormat="1" x14ac:dyDescent="0.25">
      <c r="A104" s="982">
        <f>Rezone!J104</f>
        <v>102</v>
      </c>
      <c r="B104" s="16">
        <f>Construction!E104</f>
        <v>1000</v>
      </c>
      <c r="C104" s="26">
        <f ca="1">Production!K104</f>
        <v>56978</v>
      </c>
      <c r="D104" s="62">
        <f>MIN(1,D103+0.04+ROUNDDOWN(10*Military!BN103,0)+MAX(Techs!AN103,Techs!AW103*3))-AE104</f>
        <v>1</v>
      </c>
      <c r="E104" s="530">
        <f>Imps!L104</f>
        <v>43769.052083333088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AB104*VLOOKUP(IF(ISNUMBER(MATCH(Overview!$B$14,useless_spell_races,0)),Overview!$B$14,"Other"),Constants!$P$89:$S$102,3,FALSE))</f>
        <v>0</v>
      </c>
      <c r="AE104" s="62">
        <f t="shared" si="61"/>
        <v>0</v>
      </c>
      <c r="AG104" s="633">
        <f t="shared" si="56"/>
        <v>0</v>
      </c>
      <c r="AH104" s="527">
        <f t="shared" si="57"/>
        <v>0</v>
      </c>
      <c r="AI104" s="527">
        <f t="shared" si="58"/>
        <v>0</v>
      </c>
      <c r="AJ104" s="527">
        <f t="shared" si="59"/>
        <v>0</v>
      </c>
      <c r="AK104" s="525">
        <f t="shared" si="60"/>
        <v>0</v>
      </c>
      <c r="AL104" s="527">
        <f t="shared" si="62"/>
        <v>0</v>
      </c>
      <c r="AM104" s="527">
        <f t="shared" si="63"/>
        <v>0</v>
      </c>
      <c r="AN104" s="527">
        <f t="shared" si="64"/>
        <v>0</v>
      </c>
      <c r="AO104" s="527">
        <f t="shared" si="65"/>
        <v>0</v>
      </c>
      <c r="AP104" s="527">
        <f t="shared" si="66"/>
        <v>0</v>
      </c>
      <c r="AQ104" s="527">
        <f t="shared" si="67"/>
        <v>0</v>
      </c>
      <c r="AR104" s="953">
        <f t="shared" si="68"/>
        <v>0</v>
      </c>
      <c r="AS104" s="953">
        <f t="shared" si="69"/>
        <v>0</v>
      </c>
      <c r="AT104" s="953">
        <f t="shared" si="70"/>
        <v>0</v>
      </c>
      <c r="AU104" s="953">
        <f t="shared" si="71"/>
        <v>0</v>
      </c>
      <c r="AV104" s="953">
        <f t="shared" si="72"/>
        <v>0</v>
      </c>
      <c r="AW104" s="16">
        <f t="shared" si="73"/>
        <v>0</v>
      </c>
      <c r="AX104" s="16">
        <f t="shared" si="74"/>
        <v>0</v>
      </c>
      <c r="AY104" s="16">
        <f t="shared" si="75"/>
        <v>0</v>
      </c>
      <c r="AZ104" s="16">
        <f t="shared" si="76"/>
        <v>0</v>
      </c>
      <c r="BA104" s="16">
        <f t="shared" si="77"/>
        <v>0</v>
      </c>
      <c r="BB104" s="1373">
        <f>IF(AB104,VLOOKUP(IF(ISNUMBER(MATCH(Overview!$B$14,useless_spell_races,0)),Overview!$B$14,"Other"),Constants!$P$89:$S$102,4,FALSE),IF(BB103&gt;0,BB103-1,0))</f>
        <v>0</v>
      </c>
    </row>
    <row r="105" spans="1:54" s="16" customFormat="1" x14ac:dyDescent="0.25">
      <c r="A105" s="982">
        <f>Rezone!J105</f>
        <v>103</v>
      </c>
      <c r="B105" s="16">
        <f>Construction!E105</f>
        <v>1000</v>
      </c>
      <c r="C105" s="26">
        <f ca="1">Production!K105</f>
        <v>57088</v>
      </c>
      <c r="D105" s="62">
        <f>MIN(1,D104+0.04+ROUNDDOWN(10*Military!BN104,0)+MAX(Techs!AN104,Techs!AW104*3))-AE105</f>
        <v>1</v>
      </c>
      <c r="E105" s="530">
        <f>Imps!L105</f>
        <v>43769.062499999753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AB105*VLOOKUP(IF(ISNUMBER(MATCH(Overview!$B$14,useless_spell_races,0)),Overview!$B$14,"Other"),Constants!$P$89:$S$102,3,FALSE))</f>
        <v>0</v>
      </c>
      <c r="AE105" s="62">
        <f t="shared" si="61"/>
        <v>0</v>
      </c>
      <c r="AG105" s="633">
        <f t="shared" si="56"/>
        <v>0</v>
      </c>
      <c r="AH105" s="527">
        <f t="shared" si="57"/>
        <v>0</v>
      </c>
      <c r="AI105" s="527">
        <f t="shared" si="58"/>
        <v>0</v>
      </c>
      <c r="AJ105" s="527">
        <f t="shared" si="59"/>
        <v>0</v>
      </c>
      <c r="AK105" s="525">
        <f t="shared" si="60"/>
        <v>0</v>
      </c>
      <c r="AL105" s="527">
        <f t="shared" si="62"/>
        <v>0</v>
      </c>
      <c r="AM105" s="527">
        <f t="shared" si="63"/>
        <v>0</v>
      </c>
      <c r="AN105" s="527">
        <f t="shared" si="64"/>
        <v>0</v>
      </c>
      <c r="AO105" s="527">
        <f t="shared" si="65"/>
        <v>0</v>
      </c>
      <c r="AP105" s="527">
        <f t="shared" si="66"/>
        <v>0</v>
      </c>
      <c r="AQ105" s="527">
        <f t="shared" si="67"/>
        <v>0</v>
      </c>
      <c r="AR105" s="953">
        <f t="shared" si="68"/>
        <v>0</v>
      </c>
      <c r="AS105" s="953">
        <f t="shared" si="69"/>
        <v>0</v>
      </c>
      <c r="AT105" s="953">
        <f t="shared" si="70"/>
        <v>0</v>
      </c>
      <c r="AU105" s="953">
        <f t="shared" si="71"/>
        <v>0</v>
      </c>
      <c r="AV105" s="953">
        <f t="shared" si="72"/>
        <v>0</v>
      </c>
      <c r="AW105" s="16">
        <f t="shared" si="73"/>
        <v>0</v>
      </c>
      <c r="AX105" s="16">
        <f t="shared" si="74"/>
        <v>0</v>
      </c>
      <c r="AY105" s="16">
        <f t="shared" si="75"/>
        <v>0</v>
      </c>
      <c r="AZ105" s="16">
        <f t="shared" si="76"/>
        <v>0</v>
      </c>
      <c r="BA105" s="16">
        <f t="shared" si="77"/>
        <v>0</v>
      </c>
      <c r="BB105" s="1373">
        <f>IF(AB105,VLOOKUP(IF(ISNUMBER(MATCH(Overview!$B$14,useless_spell_races,0)),Overview!$B$14,"Other"),Constants!$P$89:$S$102,4,FALSE),IF(BB104&gt;0,BB104-1,0))</f>
        <v>0</v>
      </c>
    </row>
    <row r="106" spans="1:54" s="16" customFormat="1" x14ac:dyDescent="0.25">
      <c r="A106" s="982">
        <f>Rezone!J106</f>
        <v>104</v>
      </c>
      <c r="B106" s="16">
        <f>Construction!E106</f>
        <v>1000</v>
      </c>
      <c r="C106" s="26">
        <f ca="1">Production!K106</f>
        <v>57196</v>
      </c>
      <c r="D106" s="62">
        <f>MIN(1,D105+0.04+ROUNDDOWN(10*Military!BN105,0)+MAX(Techs!AN105,Techs!AW105*3))-AE106</f>
        <v>1</v>
      </c>
      <c r="E106" s="530">
        <f>Imps!L106</f>
        <v>43769.072916666417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AB106*VLOOKUP(IF(ISNUMBER(MATCH(Overview!$B$14,useless_spell_races,0)),Overview!$B$14,"Other"),Constants!$P$89:$S$102,3,FALSE))</f>
        <v>0</v>
      </c>
      <c r="AE106" s="62">
        <f t="shared" si="61"/>
        <v>0</v>
      </c>
      <c r="AG106" s="633">
        <f t="shared" si="56"/>
        <v>0</v>
      </c>
      <c r="AH106" s="527">
        <f t="shared" si="57"/>
        <v>0</v>
      </c>
      <c r="AI106" s="527">
        <f t="shared" si="58"/>
        <v>0</v>
      </c>
      <c r="AJ106" s="527">
        <f t="shared" si="59"/>
        <v>0</v>
      </c>
      <c r="AK106" s="525">
        <f t="shared" si="60"/>
        <v>0</v>
      </c>
      <c r="AL106" s="527">
        <f t="shared" si="62"/>
        <v>0</v>
      </c>
      <c r="AM106" s="527">
        <f t="shared" si="63"/>
        <v>0</v>
      </c>
      <c r="AN106" s="527">
        <f t="shared" si="64"/>
        <v>0</v>
      </c>
      <c r="AO106" s="527">
        <f t="shared" si="65"/>
        <v>0</v>
      </c>
      <c r="AP106" s="527">
        <f t="shared" si="66"/>
        <v>0</v>
      </c>
      <c r="AQ106" s="527">
        <f t="shared" si="67"/>
        <v>0</v>
      </c>
      <c r="AR106" s="953">
        <f t="shared" si="68"/>
        <v>0</v>
      </c>
      <c r="AS106" s="953">
        <f t="shared" si="69"/>
        <v>0</v>
      </c>
      <c r="AT106" s="953">
        <f t="shared" si="70"/>
        <v>0</v>
      </c>
      <c r="AU106" s="953">
        <f t="shared" si="71"/>
        <v>0</v>
      </c>
      <c r="AV106" s="953">
        <f t="shared" si="72"/>
        <v>0</v>
      </c>
      <c r="AW106" s="16">
        <f t="shared" si="73"/>
        <v>0</v>
      </c>
      <c r="AX106" s="16">
        <f t="shared" si="74"/>
        <v>0</v>
      </c>
      <c r="AY106" s="16">
        <f t="shared" si="75"/>
        <v>0</v>
      </c>
      <c r="AZ106" s="16">
        <f t="shared" si="76"/>
        <v>0</v>
      </c>
      <c r="BA106" s="16">
        <f t="shared" si="77"/>
        <v>0</v>
      </c>
      <c r="BB106" s="1373">
        <f>IF(AB106,VLOOKUP(IF(ISNUMBER(MATCH(Overview!$B$14,useless_spell_races,0)),Overview!$B$14,"Other"),Constants!$P$89:$S$102,4,FALSE),IF(BB105&gt;0,BB105-1,0))</f>
        <v>0</v>
      </c>
    </row>
    <row r="107" spans="1:54" s="16" customFormat="1" x14ac:dyDescent="0.25">
      <c r="A107" s="982">
        <f>Rezone!J107</f>
        <v>105</v>
      </c>
      <c r="B107" s="16">
        <f>Construction!E107</f>
        <v>1000</v>
      </c>
      <c r="C107" s="26">
        <f ca="1">Production!K107</f>
        <v>57302</v>
      </c>
      <c r="D107" s="62">
        <f>MIN(1,D106+0.04+ROUNDDOWN(10*Military!BN106,0)+MAX(Techs!AN106,Techs!AW106*3))-AE107</f>
        <v>1</v>
      </c>
      <c r="E107" s="530">
        <f>Imps!L107</f>
        <v>43769.083333333081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AB107*VLOOKUP(IF(ISNUMBER(MATCH(Overview!$B$14,useless_spell_races,0)),Overview!$B$14,"Other"),Constants!$P$89:$S$102,3,FALSE))</f>
        <v>0</v>
      </c>
      <c r="AE107" s="62">
        <f t="shared" si="61"/>
        <v>0</v>
      </c>
      <c r="AG107" s="633">
        <f t="shared" si="56"/>
        <v>0</v>
      </c>
      <c r="AH107" s="527">
        <f t="shared" si="57"/>
        <v>0</v>
      </c>
      <c r="AI107" s="527">
        <f t="shared" si="58"/>
        <v>0</v>
      </c>
      <c r="AJ107" s="527">
        <f t="shared" si="59"/>
        <v>0</v>
      </c>
      <c r="AK107" s="525">
        <f t="shared" si="60"/>
        <v>0</v>
      </c>
      <c r="AL107" s="527">
        <f t="shared" si="62"/>
        <v>0</v>
      </c>
      <c r="AM107" s="527">
        <f t="shared" si="63"/>
        <v>0</v>
      </c>
      <c r="AN107" s="527">
        <f t="shared" si="64"/>
        <v>0</v>
      </c>
      <c r="AO107" s="527">
        <f t="shared" si="65"/>
        <v>0</v>
      </c>
      <c r="AP107" s="527">
        <f t="shared" si="66"/>
        <v>0</v>
      </c>
      <c r="AQ107" s="527">
        <f t="shared" si="67"/>
        <v>0</v>
      </c>
      <c r="AR107" s="953">
        <f t="shared" si="68"/>
        <v>0</v>
      </c>
      <c r="AS107" s="953">
        <f t="shared" si="69"/>
        <v>0</v>
      </c>
      <c r="AT107" s="953">
        <f t="shared" si="70"/>
        <v>0</v>
      </c>
      <c r="AU107" s="953">
        <f t="shared" si="71"/>
        <v>0</v>
      </c>
      <c r="AV107" s="953">
        <f t="shared" si="72"/>
        <v>0</v>
      </c>
      <c r="AW107" s="16">
        <f t="shared" si="73"/>
        <v>0</v>
      </c>
      <c r="AX107" s="16">
        <f t="shared" si="74"/>
        <v>0</v>
      </c>
      <c r="AY107" s="16">
        <f t="shared" si="75"/>
        <v>0</v>
      </c>
      <c r="AZ107" s="16">
        <f t="shared" si="76"/>
        <v>0</v>
      </c>
      <c r="BA107" s="16">
        <f t="shared" si="77"/>
        <v>0</v>
      </c>
      <c r="BB107" s="1373">
        <f>IF(AB107,VLOOKUP(IF(ISNUMBER(MATCH(Overview!$B$14,useless_spell_races,0)),Overview!$B$14,"Other"),Constants!$P$89:$S$102,4,FALSE),IF(BB106&gt;0,BB106-1,0))</f>
        <v>0</v>
      </c>
    </row>
    <row r="108" spans="1:54" s="16" customFormat="1" x14ac:dyDescent="0.25">
      <c r="A108" s="982">
        <f>Rezone!J108</f>
        <v>106</v>
      </c>
      <c r="B108" s="16">
        <f>Construction!E108</f>
        <v>1000</v>
      </c>
      <c r="C108" s="26">
        <f ca="1">Production!K108</f>
        <v>57406</v>
      </c>
      <c r="D108" s="62">
        <f>MIN(1,D107+0.04+ROUNDDOWN(10*Military!BN107,0)+MAX(Techs!AN107,Techs!AW107*3))-AE108</f>
        <v>1</v>
      </c>
      <c r="E108" s="530">
        <f>Imps!L108</f>
        <v>43769.093749999745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AB108*VLOOKUP(IF(ISNUMBER(MATCH(Overview!$B$14,useless_spell_races,0)),Overview!$B$14,"Other"),Constants!$P$89:$S$102,3,FALSE))</f>
        <v>0</v>
      </c>
      <c r="AE108" s="62">
        <f t="shared" si="61"/>
        <v>0</v>
      </c>
      <c r="AG108" s="633">
        <f t="shared" si="56"/>
        <v>0</v>
      </c>
      <c r="AH108" s="527">
        <f t="shared" si="57"/>
        <v>0</v>
      </c>
      <c r="AI108" s="527">
        <f t="shared" si="58"/>
        <v>0</v>
      </c>
      <c r="AJ108" s="527">
        <f t="shared" si="59"/>
        <v>0</v>
      </c>
      <c r="AK108" s="525">
        <f t="shared" si="60"/>
        <v>0</v>
      </c>
      <c r="AL108" s="527">
        <f t="shared" si="62"/>
        <v>0</v>
      </c>
      <c r="AM108" s="527">
        <f t="shared" si="63"/>
        <v>0</v>
      </c>
      <c r="AN108" s="527">
        <f t="shared" si="64"/>
        <v>0</v>
      </c>
      <c r="AO108" s="527">
        <f t="shared" si="65"/>
        <v>0</v>
      </c>
      <c r="AP108" s="527">
        <f t="shared" si="66"/>
        <v>0</v>
      </c>
      <c r="AQ108" s="527">
        <f t="shared" si="67"/>
        <v>0</v>
      </c>
      <c r="AR108" s="953">
        <f t="shared" si="68"/>
        <v>0</v>
      </c>
      <c r="AS108" s="953">
        <f t="shared" si="69"/>
        <v>0</v>
      </c>
      <c r="AT108" s="953">
        <f t="shared" si="70"/>
        <v>0</v>
      </c>
      <c r="AU108" s="953">
        <f t="shared" si="71"/>
        <v>0</v>
      </c>
      <c r="AV108" s="953">
        <f t="shared" si="72"/>
        <v>0</v>
      </c>
      <c r="AW108" s="16">
        <f t="shared" si="73"/>
        <v>0</v>
      </c>
      <c r="AX108" s="16">
        <f t="shared" si="74"/>
        <v>0</v>
      </c>
      <c r="AY108" s="16">
        <f t="shared" si="75"/>
        <v>0</v>
      </c>
      <c r="AZ108" s="16">
        <f t="shared" si="76"/>
        <v>0</v>
      </c>
      <c r="BA108" s="16">
        <f t="shared" si="77"/>
        <v>0</v>
      </c>
      <c r="BB108" s="1373">
        <f>IF(AB108,VLOOKUP(IF(ISNUMBER(MATCH(Overview!$B$14,useless_spell_races,0)),Overview!$B$14,"Other"),Constants!$P$89:$S$102,4,FALSE),IF(BB107&gt;0,BB107-1,0))</f>
        <v>0</v>
      </c>
    </row>
    <row r="109" spans="1:54" s="16" customFormat="1" x14ac:dyDescent="0.25">
      <c r="A109" s="982">
        <f>Rezone!J109</f>
        <v>107</v>
      </c>
      <c r="B109" s="16">
        <f>Construction!E109</f>
        <v>1000</v>
      </c>
      <c r="C109" s="26">
        <f ca="1">Production!K109</f>
        <v>57508</v>
      </c>
      <c r="D109" s="62">
        <f>MIN(1,D108+0.04+ROUNDDOWN(10*Military!BN108,0)+MAX(Techs!AN108,Techs!AW108*3))-AE109</f>
        <v>1</v>
      </c>
      <c r="E109" s="530">
        <f>Imps!L109</f>
        <v>43769.10416666641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AB109*VLOOKUP(IF(ISNUMBER(MATCH(Overview!$B$14,useless_spell_races,0)),Overview!$B$14,"Other"),Constants!$P$89:$S$102,3,FALSE))</f>
        <v>0</v>
      </c>
      <c r="AE109" s="62">
        <f t="shared" si="61"/>
        <v>0</v>
      </c>
      <c r="AG109" s="633">
        <f t="shared" si="56"/>
        <v>0</v>
      </c>
      <c r="AH109" s="527">
        <f t="shared" si="57"/>
        <v>0</v>
      </c>
      <c r="AI109" s="527">
        <f t="shared" si="58"/>
        <v>0</v>
      </c>
      <c r="AJ109" s="527">
        <f t="shared" si="59"/>
        <v>0</v>
      </c>
      <c r="AK109" s="525">
        <f t="shared" si="60"/>
        <v>0</v>
      </c>
      <c r="AL109" s="527">
        <f t="shared" si="62"/>
        <v>0</v>
      </c>
      <c r="AM109" s="527">
        <f t="shared" si="63"/>
        <v>0</v>
      </c>
      <c r="AN109" s="527">
        <f t="shared" si="64"/>
        <v>0</v>
      </c>
      <c r="AO109" s="527">
        <f t="shared" si="65"/>
        <v>0</v>
      </c>
      <c r="AP109" s="527">
        <f t="shared" si="66"/>
        <v>0</v>
      </c>
      <c r="AQ109" s="527">
        <f t="shared" si="67"/>
        <v>0</v>
      </c>
      <c r="AR109" s="953">
        <f t="shared" si="68"/>
        <v>0</v>
      </c>
      <c r="AS109" s="953">
        <f t="shared" si="69"/>
        <v>0</v>
      </c>
      <c r="AT109" s="953">
        <f t="shared" si="70"/>
        <v>0</v>
      </c>
      <c r="AU109" s="953">
        <f t="shared" si="71"/>
        <v>0</v>
      </c>
      <c r="AV109" s="953">
        <f t="shared" si="72"/>
        <v>0</v>
      </c>
      <c r="AW109" s="16">
        <f t="shared" si="73"/>
        <v>0</v>
      </c>
      <c r="AX109" s="16">
        <f t="shared" si="74"/>
        <v>0</v>
      </c>
      <c r="AY109" s="16">
        <f t="shared" si="75"/>
        <v>0</v>
      </c>
      <c r="AZ109" s="16">
        <f t="shared" si="76"/>
        <v>0</v>
      </c>
      <c r="BA109" s="16">
        <f t="shared" si="77"/>
        <v>0</v>
      </c>
      <c r="BB109" s="1373">
        <f>IF(AB109,VLOOKUP(IF(ISNUMBER(MATCH(Overview!$B$14,useless_spell_races,0)),Overview!$B$14,"Other"),Constants!$P$89:$S$102,4,FALSE),IF(BB108&gt;0,BB108-1,0))</f>
        <v>0</v>
      </c>
    </row>
    <row r="110" spans="1:54" s="16" customFormat="1" x14ac:dyDescent="0.25">
      <c r="A110" s="982">
        <f>Rezone!J110</f>
        <v>108</v>
      </c>
      <c r="B110" s="16">
        <f>Construction!E110</f>
        <v>1000</v>
      </c>
      <c r="C110" s="26">
        <f ca="1">Production!K110</f>
        <v>57608</v>
      </c>
      <c r="D110" s="62">
        <f>MIN(1,D109+0.04+ROUNDDOWN(10*Military!BN109,0)+MAX(Techs!AN109,Techs!AW109*3))-AE110</f>
        <v>1</v>
      </c>
      <c r="E110" s="530">
        <f>Imps!L110</f>
        <v>43769.114583333074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AB110*VLOOKUP(IF(ISNUMBER(MATCH(Overview!$B$14,useless_spell_races,0)),Overview!$B$14,"Other"),Constants!$P$89:$S$102,3,FALSE))</f>
        <v>0</v>
      </c>
      <c r="AE110" s="62">
        <f t="shared" si="61"/>
        <v>0</v>
      </c>
      <c r="AG110" s="633">
        <f t="shared" si="56"/>
        <v>0</v>
      </c>
      <c r="AH110" s="527">
        <f t="shared" si="57"/>
        <v>0</v>
      </c>
      <c r="AI110" s="527">
        <f t="shared" si="58"/>
        <v>0</v>
      </c>
      <c r="AJ110" s="527">
        <f t="shared" si="59"/>
        <v>0</v>
      </c>
      <c r="AK110" s="525">
        <f t="shared" si="60"/>
        <v>0</v>
      </c>
      <c r="AL110" s="527">
        <f t="shared" si="62"/>
        <v>0</v>
      </c>
      <c r="AM110" s="527">
        <f t="shared" si="63"/>
        <v>0</v>
      </c>
      <c r="AN110" s="527">
        <f t="shared" si="64"/>
        <v>0</v>
      </c>
      <c r="AO110" s="527">
        <f t="shared" si="65"/>
        <v>0</v>
      </c>
      <c r="AP110" s="527">
        <f t="shared" si="66"/>
        <v>0</v>
      </c>
      <c r="AQ110" s="527">
        <f t="shared" si="67"/>
        <v>0</v>
      </c>
      <c r="AR110" s="953">
        <f t="shared" si="68"/>
        <v>0</v>
      </c>
      <c r="AS110" s="953">
        <f t="shared" si="69"/>
        <v>0</v>
      </c>
      <c r="AT110" s="953">
        <f t="shared" si="70"/>
        <v>0</v>
      </c>
      <c r="AU110" s="953">
        <f t="shared" si="71"/>
        <v>0</v>
      </c>
      <c r="AV110" s="953">
        <f t="shared" si="72"/>
        <v>0</v>
      </c>
      <c r="AW110" s="16">
        <f t="shared" si="73"/>
        <v>0</v>
      </c>
      <c r="AX110" s="16">
        <f t="shared" si="74"/>
        <v>0</v>
      </c>
      <c r="AY110" s="16">
        <f t="shared" si="75"/>
        <v>0</v>
      </c>
      <c r="AZ110" s="16">
        <f t="shared" si="76"/>
        <v>0</v>
      </c>
      <c r="BA110" s="16">
        <f t="shared" si="77"/>
        <v>0</v>
      </c>
      <c r="BB110" s="1373">
        <f>IF(AB110,VLOOKUP(IF(ISNUMBER(MATCH(Overview!$B$14,useless_spell_races,0)),Overview!$B$14,"Other"),Constants!$P$89:$S$102,4,FALSE),IF(BB109&gt;0,BB109-1,0))</f>
        <v>0</v>
      </c>
    </row>
    <row r="111" spans="1:54" s="12" customFormat="1" x14ac:dyDescent="0.25">
      <c r="A111" s="985">
        <f>Rezone!J111</f>
        <v>109</v>
      </c>
      <c r="B111" s="12">
        <f>Construction!E111</f>
        <v>1000</v>
      </c>
      <c r="C111" s="13">
        <f ca="1">Production!K111</f>
        <v>57706</v>
      </c>
      <c r="D111" s="61">
        <f>MIN(1,D110+0.04+ROUNDDOWN(10*Military!BN110,0)+MAX(Techs!AN110,Techs!AW110*3))-AE111</f>
        <v>1</v>
      </c>
      <c r="E111" s="531">
        <f>Imps!L111</f>
        <v>43769.124999999738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AB111*VLOOKUP(IF(ISNUMBER(MATCH(Overview!$B$14,useless_spell_races,0)),Overview!$B$14,"Other"),Constants!$P$89:$S$102,3,FALSE))</f>
        <v>0</v>
      </c>
      <c r="AE111" s="61">
        <f t="shared" si="61"/>
        <v>0</v>
      </c>
      <c r="AG111" s="751">
        <f t="shared" si="56"/>
        <v>0</v>
      </c>
      <c r="AH111" s="629">
        <f t="shared" si="57"/>
        <v>0</v>
      </c>
      <c r="AI111" s="629">
        <f t="shared" si="58"/>
        <v>0</v>
      </c>
      <c r="AJ111" s="629">
        <f t="shared" si="59"/>
        <v>0</v>
      </c>
      <c r="AK111" s="549">
        <f t="shared" si="60"/>
        <v>0</v>
      </c>
      <c r="AL111" s="629">
        <f t="shared" si="62"/>
        <v>0</v>
      </c>
      <c r="AM111" s="629">
        <f t="shared" si="63"/>
        <v>0</v>
      </c>
      <c r="AN111" s="629">
        <f t="shared" si="64"/>
        <v>0</v>
      </c>
      <c r="AO111" s="629">
        <f t="shared" si="65"/>
        <v>0</v>
      </c>
      <c r="AP111" s="629">
        <f t="shared" si="66"/>
        <v>0</v>
      </c>
      <c r="AQ111" s="629">
        <f t="shared" si="67"/>
        <v>0</v>
      </c>
      <c r="AR111" s="800">
        <f t="shared" si="68"/>
        <v>0</v>
      </c>
      <c r="AS111" s="800">
        <f t="shared" si="69"/>
        <v>0</v>
      </c>
      <c r="AT111" s="800">
        <f t="shared" si="70"/>
        <v>0</v>
      </c>
      <c r="AU111" s="800">
        <f t="shared" si="71"/>
        <v>0</v>
      </c>
      <c r="AV111" s="800">
        <f t="shared" si="72"/>
        <v>0</v>
      </c>
      <c r="AW111" s="12">
        <f t="shared" si="73"/>
        <v>0</v>
      </c>
      <c r="AX111" s="12">
        <f t="shared" si="74"/>
        <v>0</v>
      </c>
      <c r="AY111" s="12">
        <f t="shared" si="75"/>
        <v>0</v>
      </c>
      <c r="AZ111" s="12">
        <f t="shared" si="76"/>
        <v>0</v>
      </c>
      <c r="BA111" s="12">
        <f t="shared" si="77"/>
        <v>0</v>
      </c>
      <c r="BB111" s="1376">
        <f>IF(AB111,VLOOKUP(IF(ISNUMBER(MATCH(Overview!$B$14,useless_spell_races,0)),Overview!$B$14,"Other"),Constants!$P$89:$S$102,4,FALSE),IF(BB110&gt;0,BB110-1,0))</f>
        <v>0</v>
      </c>
    </row>
    <row r="112" spans="1:54" s="15" customFormat="1" x14ac:dyDescent="0.25">
      <c r="A112" s="999">
        <f>Rezone!J112</f>
        <v>110</v>
      </c>
      <c r="B112" s="15">
        <f>Construction!E112</f>
        <v>1000</v>
      </c>
      <c r="C112" s="23">
        <f ca="1">Production!K112</f>
        <v>57802</v>
      </c>
      <c r="D112" s="62">
        <f>MIN(1,D111+0.04+ROUNDDOWN(10*Military!BN111,0)+MAX(Techs!AN111,Techs!AW111*3))-AE112</f>
        <v>1</v>
      </c>
      <c r="E112" s="530">
        <f>Imps!L112</f>
        <v>43769.135416666402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AB112*VLOOKUP(IF(ISNUMBER(MATCH(Overview!$B$14,useless_spell_races,0)),Overview!$B$14,"Other"),Constants!$P$89:$S$102,3,FALSE))</f>
        <v>0</v>
      </c>
      <c r="AE112" s="101">
        <f t="shared" si="61"/>
        <v>0</v>
      </c>
      <c r="AF112" s="16"/>
      <c r="AG112" s="752">
        <f t="shared" si="56"/>
        <v>0</v>
      </c>
      <c r="AH112" s="630">
        <f t="shared" si="57"/>
        <v>0</v>
      </c>
      <c r="AI112" s="630">
        <f t="shared" si="58"/>
        <v>0</v>
      </c>
      <c r="AJ112" s="630">
        <f t="shared" si="59"/>
        <v>0</v>
      </c>
      <c r="AK112" s="526">
        <f t="shared" si="60"/>
        <v>0</v>
      </c>
      <c r="AL112" s="630">
        <f t="shared" si="62"/>
        <v>0</v>
      </c>
      <c r="AM112" s="630">
        <f t="shared" si="63"/>
        <v>0</v>
      </c>
      <c r="AN112" s="630">
        <f t="shared" si="64"/>
        <v>0</v>
      </c>
      <c r="AO112" s="630">
        <f t="shared" si="65"/>
        <v>0</v>
      </c>
      <c r="AP112" s="630">
        <f t="shared" si="66"/>
        <v>0</v>
      </c>
      <c r="AQ112" s="630">
        <f t="shared" si="67"/>
        <v>0</v>
      </c>
      <c r="AR112" s="953">
        <f t="shared" si="68"/>
        <v>0</v>
      </c>
      <c r="AS112" s="953">
        <f t="shared" si="69"/>
        <v>0</v>
      </c>
      <c r="AT112" s="953">
        <f t="shared" si="70"/>
        <v>0</v>
      </c>
      <c r="AU112" s="953">
        <f t="shared" si="71"/>
        <v>0</v>
      </c>
      <c r="AV112" s="953">
        <f t="shared" si="72"/>
        <v>0</v>
      </c>
      <c r="AW112" s="15">
        <f t="shared" si="73"/>
        <v>0</v>
      </c>
      <c r="AX112" s="15">
        <f t="shared" si="74"/>
        <v>0</v>
      </c>
      <c r="AY112" s="15">
        <f t="shared" si="75"/>
        <v>0</v>
      </c>
      <c r="AZ112" s="15">
        <f t="shared" si="76"/>
        <v>0</v>
      </c>
      <c r="BA112" s="15">
        <f t="shared" si="77"/>
        <v>0</v>
      </c>
      <c r="BB112" s="1377">
        <f>IF(AB112,VLOOKUP(IF(ISNUMBER(MATCH(Overview!$B$14,useless_spell_races,0)),Overview!$B$14,"Other"),Constants!$P$89:$S$102,4,FALSE),IF(BB111&gt;0,BB111-1,0))</f>
        <v>0</v>
      </c>
    </row>
    <row r="113" spans="1:54" s="16" customFormat="1" x14ac:dyDescent="0.25">
      <c r="A113" s="982">
        <f>Rezone!J113</f>
        <v>111</v>
      </c>
      <c r="B113" s="16">
        <f>Construction!E113</f>
        <v>1000</v>
      </c>
      <c r="C113" s="26">
        <f ca="1">Production!K113</f>
        <v>57896</v>
      </c>
      <c r="D113" s="62">
        <f>MIN(1,D112+0.04+ROUNDDOWN(10*Military!BN112,0)+MAX(Techs!AN112,Techs!AW112*3))-AE113</f>
        <v>1</v>
      </c>
      <c r="E113" s="530">
        <f>Imps!L113</f>
        <v>43769.145833333067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AB113*VLOOKUP(IF(ISNUMBER(MATCH(Overview!$B$14,useless_spell_races,0)),Overview!$B$14,"Other"),Constants!$P$89:$S$102,3,FALSE))</f>
        <v>0</v>
      </c>
      <c r="AE113" s="62">
        <f t="shared" si="61"/>
        <v>0</v>
      </c>
      <c r="AG113" s="633">
        <f t="shared" si="56"/>
        <v>0</v>
      </c>
      <c r="AH113" s="527">
        <f t="shared" si="57"/>
        <v>0</v>
      </c>
      <c r="AI113" s="527">
        <f t="shared" si="58"/>
        <v>0</v>
      </c>
      <c r="AJ113" s="527">
        <f t="shared" si="59"/>
        <v>0</v>
      </c>
      <c r="AK113" s="525">
        <f t="shared" si="60"/>
        <v>0</v>
      </c>
      <c r="AL113" s="527">
        <f t="shared" si="62"/>
        <v>0</v>
      </c>
      <c r="AM113" s="527">
        <f t="shared" si="63"/>
        <v>0</v>
      </c>
      <c r="AN113" s="527">
        <f t="shared" si="64"/>
        <v>0</v>
      </c>
      <c r="AO113" s="527">
        <f t="shared" si="65"/>
        <v>0</v>
      </c>
      <c r="AP113" s="527">
        <f t="shared" si="66"/>
        <v>0</v>
      </c>
      <c r="AQ113" s="527">
        <f t="shared" si="67"/>
        <v>0</v>
      </c>
      <c r="AR113" s="953">
        <f t="shared" si="68"/>
        <v>0</v>
      </c>
      <c r="AS113" s="953">
        <f t="shared" si="69"/>
        <v>0</v>
      </c>
      <c r="AT113" s="953">
        <f t="shared" si="70"/>
        <v>0</v>
      </c>
      <c r="AU113" s="953">
        <f t="shared" si="71"/>
        <v>0</v>
      </c>
      <c r="AV113" s="953">
        <f t="shared" si="72"/>
        <v>0</v>
      </c>
      <c r="AW113" s="16">
        <f t="shared" si="73"/>
        <v>0</v>
      </c>
      <c r="AX113" s="16">
        <f t="shared" si="74"/>
        <v>0</v>
      </c>
      <c r="AY113" s="16">
        <f t="shared" si="75"/>
        <v>0</v>
      </c>
      <c r="AZ113" s="16">
        <f t="shared" si="76"/>
        <v>0</v>
      </c>
      <c r="BA113" s="16">
        <f t="shared" si="77"/>
        <v>0</v>
      </c>
      <c r="BB113" s="1373">
        <f>IF(AB113,VLOOKUP(IF(ISNUMBER(MATCH(Overview!$B$14,useless_spell_races,0)),Overview!$B$14,"Other"),Constants!$P$89:$S$102,4,FALSE),IF(BB112&gt;0,BB112-1,0))</f>
        <v>0</v>
      </c>
    </row>
    <row r="114" spans="1:54" s="16" customFormat="1" x14ac:dyDescent="0.25">
      <c r="A114" s="982">
        <f>Rezone!J114</f>
        <v>112</v>
      </c>
      <c r="B114" s="16">
        <f>Construction!E114</f>
        <v>1000</v>
      </c>
      <c r="C114" s="26">
        <f ca="1">Production!K114</f>
        <v>57988</v>
      </c>
      <c r="D114" s="62">
        <f>MIN(1,D113+0.04+ROUNDDOWN(10*Military!BN113,0)+MAX(Techs!AN113,Techs!AW113*3))-AE114</f>
        <v>1</v>
      </c>
      <c r="E114" s="530">
        <f>Imps!L114</f>
        <v>43769.156249999731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AB114*VLOOKUP(IF(ISNUMBER(MATCH(Overview!$B$14,useless_spell_races,0)),Overview!$B$14,"Other"),Constants!$P$89:$S$102,3,FALSE))</f>
        <v>0</v>
      </c>
      <c r="AE114" s="62">
        <f t="shared" si="61"/>
        <v>0</v>
      </c>
      <c r="AG114" s="633">
        <f t="shared" si="56"/>
        <v>0</v>
      </c>
      <c r="AH114" s="527">
        <f t="shared" si="57"/>
        <v>0</v>
      </c>
      <c r="AI114" s="527">
        <f t="shared" si="58"/>
        <v>0</v>
      </c>
      <c r="AJ114" s="527">
        <f t="shared" si="59"/>
        <v>0</v>
      </c>
      <c r="AK114" s="525">
        <f t="shared" si="60"/>
        <v>0</v>
      </c>
      <c r="AL114" s="527">
        <f t="shared" si="62"/>
        <v>0</v>
      </c>
      <c r="AM114" s="527">
        <f t="shared" si="63"/>
        <v>0</v>
      </c>
      <c r="AN114" s="527">
        <f t="shared" si="64"/>
        <v>0</v>
      </c>
      <c r="AO114" s="527">
        <f t="shared" si="65"/>
        <v>0</v>
      </c>
      <c r="AP114" s="527">
        <f t="shared" si="66"/>
        <v>0</v>
      </c>
      <c r="AQ114" s="527">
        <f t="shared" si="67"/>
        <v>0</v>
      </c>
      <c r="AR114" s="953">
        <f t="shared" si="68"/>
        <v>0</v>
      </c>
      <c r="AS114" s="953">
        <f t="shared" si="69"/>
        <v>0</v>
      </c>
      <c r="AT114" s="953">
        <f t="shared" si="70"/>
        <v>0</v>
      </c>
      <c r="AU114" s="953">
        <f t="shared" si="71"/>
        <v>0</v>
      </c>
      <c r="AV114" s="953">
        <f t="shared" si="72"/>
        <v>0</v>
      </c>
      <c r="AW114" s="16">
        <f t="shared" si="73"/>
        <v>0</v>
      </c>
      <c r="AX114" s="16">
        <f t="shared" si="74"/>
        <v>0</v>
      </c>
      <c r="AY114" s="16">
        <f t="shared" si="75"/>
        <v>0</v>
      </c>
      <c r="AZ114" s="16">
        <f t="shared" si="76"/>
        <v>0</v>
      </c>
      <c r="BA114" s="16">
        <f t="shared" si="77"/>
        <v>0</v>
      </c>
      <c r="BB114" s="1373">
        <f>IF(AB114,VLOOKUP(IF(ISNUMBER(MATCH(Overview!$B$14,useless_spell_races,0)),Overview!$B$14,"Other"),Constants!$P$89:$S$102,4,FALSE),IF(BB113&gt;0,BB113-1,0))</f>
        <v>0</v>
      </c>
    </row>
    <row r="115" spans="1:54" s="16" customFormat="1" x14ac:dyDescent="0.25">
      <c r="A115" s="982">
        <f>Rezone!J115</f>
        <v>113</v>
      </c>
      <c r="B115" s="16">
        <f>Construction!E115</f>
        <v>1000</v>
      </c>
      <c r="C115" s="26">
        <f ca="1">Production!K115</f>
        <v>58078</v>
      </c>
      <c r="D115" s="62">
        <f>MIN(1,D114+0.04+ROUNDDOWN(10*Military!BN114,0)+MAX(Techs!AN114,Techs!AW114*3))-AE115</f>
        <v>1</v>
      </c>
      <c r="E115" s="530">
        <f>Imps!L115</f>
        <v>43769.166666666395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AB115*VLOOKUP(IF(ISNUMBER(MATCH(Overview!$B$14,useless_spell_races,0)),Overview!$B$14,"Other"),Constants!$P$89:$S$102,3,FALSE))</f>
        <v>0</v>
      </c>
      <c r="AE115" s="62">
        <f t="shared" si="61"/>
        <v>0</v>
      </c>
      <c r="AG115" s="633">
        <f t="shared" si="56"/>
        <v>0</v>
      </c>
      <c r="AH115" s="527">
        <f t="shared" si="57"/>
        <v>0</v>
      </c>
      <c r="AI115" s="527">
        <f t="shared" si="58"/>
        <v>0</v>
      </c>
      <c r="AJ115" s="527">
        <f t="shared" si="59"/>
        <v>0</v>
      </c>
      <c r="AK115" s="525">
        <f t="shared" si="60"/>
        <v>0</v>
      </c>
      <c r="AL115" s="527">
        <f t="shared" si="62"/>
        <v>0</v>
      </c>
      <c r="AM115" s="527">
        <f t="shared" si="63"/>
        <v>0</v>
      </c>
      <c r="AN115" s="527">
        <f t="shared" si="64"/>
        <v>0</v>
      </c>
      <c r="AO115" s="527">
        <f t="shared" si="65"/>
        <v>0</v>
      </c>
      <c r="AP115" s="527">
        <f t="shared" si="66"/>
        <v>0</v>
      </c>
      <c r="AQ115" s="527">
        <f t="shared" si="67"/>
        <v>0</v>
      </c>
      <c r="AR115" s="953">
        <f t="shared" si="68"/>
        <v>0</v>
      </c>
      <c r="AS115" s="953">
        <f t="shared" si="69"/>
        <v>0</v>
      </c>
      <c r="AT115" s="953">
        <f t="shared" si="70"/>
        <v>0</v>
      </c>
      <c r="AU115" s="953">
        <f t="shared" si="71"/>
        <v>0</v>
      </c>
      <c r="AV115" s="953">
        <f t="shared" si="72"/>
        <v>0</v>
      </c>
      <c r="AW115" s="16">
        <f t="shared" si="73"/>
        <v>0</v>
      </c>
      <c r="AX115" s="16">
        <f t="shared" si="74"/>
        <v>0</v>
      </c>
      <c r="AY115" s="16">
        <f t="shared" si="75"/>
        <v>0</v>
      </c>
      <c r="AZ115" s="16">
        <f t="shared" si="76"/>
        <v>0</v>
      </c>
      <c r="BA115" s="16">
        <f t="shared" si="77"/>
        <v>0</v>
      </c>
      <c r="BB115" s="1373">
        <f>IF(AB115,VLOOKUP(IF(ISNUMBER(MATCH(Overview!$B$14,useless_spell_races,0)),Overview!$B$14,"Other"),Constants!$P$89:$S$102,4,FALSE),IF(BB114&gt;0,BB114-1,0))</f>
        <v>0</v>
      </c>
    </row>
    <row r="116" spans="1:54" s="16" customFormat="1" x14ac:dyDescent="0.25">
      <c r="A116" s="982">
        <f>Rezone!J116</f>
        <v>114</v>
      </c>
      <c r="B116" s="16">
        <f>Construction!E116</f>
        <v>1000</v>
      </c>
      <c r="C116" s="26">
        <f ca="1">Production!K116</f>
        <v>58166</v>
      </c>
      <c r="D116" s="62">
        <f>MIN(1,D115+0.04+ROUNDDOWN(10*Military!BN115,0)+MAX(Techs!AN115,Techs!AW115*3))-AE116</f>
        <v>1</v>
      </c>
      <c r="E116" s="530">
        <f>Imps!L116</f>
        <v>43769.177083333059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AB116*VLOOKUP(IF(ISNUMBER(MATCH(Overview!$B$14,useless_spell_races,0)),Overview!$B$14,"Other"),Constants!$P$89:$S$102,3,FALSE))</f>
        <v>0</v>
      </c>
      <c r="AE116" s="62">
        <f t="shared" si="61"/>
        <v>0</v>
      </c>
      <c r="AG116" s="633">
        <f t="shared" si="56"/>
        <v>0</v>
      </c>
      <c r="AH116" s="527">
        <f t="shared" si="57"/>
        <v>0</v>
      </c>
      <c r="AI116" s="527">
        <f t="shared" si="58"/>
        <v>0</v>
      </c>
      <c r="AJ116" s="527">
        <f t="shared" si="59"/>
        <v>0</v>
      </c>
      <c r="AK116" s="525">
        <f t="shared" si="60"/>
        <v>0</v>
      </c>
      <c r="AL116" s="527">
        <f t="shared" si="62"/>
        <v>0</v>
      </c>
      <c r="AM116" s="527">
        <f t="shared" si="63"/>
        <v>0</v>
      </c>
      <c r="AN116" s="527">
        <f t="shared" si="64"/>
        <v>0</v>
      </c>
      <c r="AO116" s="527">
        <f t="shared" si="65"/>
        <v>0</v>
      </c>
      <c r="AP116" s="527">
        <f t="shared" si="66"/>
        <v>0</v>
      </c>
      <c r="AQ116" s="527">
        <f t="shared" si="67"/>
        <v>0</v>
      </c>
      <c r="AR116" s="953">
        <f t="shared" si="68"/>
        <v>0</v>
      </c>
      <c r="AS116" s="953">
        <f t="shared" si="69"/>
        <v>0</v>
      </c>
      <c r="AT116" s="953">
        <f t="shared" si="70"/>
        <v>0</v>
      </c>
      <c r="AU116" s="953">
        <f t="shared" si="71"/>
        <v>0</v>
      </c>
      <c r="AV116" s="953">
        <f t="shared" si="72"/>
        <v>0</v>
      </c>
      <c r="AW116" s="16">
        <f t="shared" si="73"/>
        <v>0</v>
      </c>
      <c r="AX116" s="16">
        <f t="shared" si="74"/>
        <v>0</v>
      </c>
      <c r="AY116" s="16">
        <f t="shared" si="75"/>
        <v>0</v>
      </c>
      <c r="AZ116" s="16">
        <f t="shared" si="76"/>
        <v>0</v>
      </c>
      <c r="BA116" s="16">
        <f t="shared" si="77"/>
        <v>0</v>
      </c>
      <c r="BB116" s="1373">
        <f>IF(AB116,VLOOKUP(IF(ISNUMBER(MATCH(Overview!$B$14,useless_spell_races,0)),Overview!$B$14,"Other"),Constants!$P$89:$S$102,4,FALSE),IF(BB115&gt;0,BB115-1,0))</f>
        <v>0</v>
      </c>
    </row>
    <row r="117" spans="1:54" s="16" customFormat="1" x14ac:dyDescent="0.25">
      <c r="A117" s="982">
        <f>Rezone!J117</f>
        <v>115</v>
      </c>
      <c r="B117" s="16">
        <f>Construction!E117</f>
        <v>1000</v>
      </c>
      <c r="C117" s="26">
        <f ca="1">Production!K117</f>
        <v>58253</v>
      </c>
      <c r="D117" s="62">
        <f>MIN(1,D116+0.04+ROUNDDOWN(10*Military!BN116,0)+MAX(Techs!AN116,Techs!AW116*3))-AE117</f>
        <v>1</v>
      </c>
      <c r="E117" s="530">
        <f>Imps!L117</f>
        <v>43769.187499999724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AB117*VLOOKUP(IF(ISNUMBER(MATCH(Overview!$B$14,useless_spell_races,0)),Overview!$B$14,"Other"),Constants!$P$89:$S$102,3,FALSE))</f>
        <v>0</v>
      </c>
      <c r="AE117" s="62">
        <f t="shared" si="61"/>
        <v>0</v>
      </c>
      <c r="AG117" s="633">
        <f t="shared" si="56"/>
        <v>0</v>
      </c>
      <c r="AH117" s="527">
        <f t="shared" si="57"/>
        <v>0</v>
      </c>
      <c r="AI117" s="527">
        <f t="shared" si="58"/>
        <v>0</v>
      </c>
      <c r="AJ117" s="527">
        <f t="shared" si="59"/>
        <v>0</v>
      </c>
      <c r="AK117" s="525">
        <f t="shared" si="60"/>
        <v>0</v>
      </c>
      <c r="AL117" s="527">
        <f t="shared" si="62"/>
        <v>0</v>
      </c>
      <c r="AM117" s="527">
        <f t="shared" si="63"/>
        <v>0</v>
      </c>
      <c r="AN117" s="527">
        <f t="shared" si="64"/>
        <v>0</v>
      </c>
      <c r="AO117" s="527">
        <f t="shared" si="65"/>
        <v>0</v>
      </c>
      <c r="AP117" s="527">
        <f t="shared" si="66"/>
        <v>0</v>
      </c>
      <c r="AQ117" s="527">
        <f t="shared" si="67"/>
        <v>0</v>
      </c>
      <c r="AR117" s="953">
        <f t="shared" si="68"/>
        <v>0</v>
      </c>
      <c r="AS117" s="953">
        <f t="shared" si="69"/>
        <v>0</v>
      </c>
      <c r="AT117" s="953">
        <f t="shared" si="70"/>
        <v>0</v>
      </c>
      <c r="AU117" s="953">
        <f t="shared" si="71"/>
        <v>0</v>
      </c>
      <c r="AV117" s="953">
        <f t="shared" si="72"/>
        <v>0</v>
      </c>
      <c r="AW117" s="16">
        <f t="shared" si="73"/>
        <v>0</v>
      </c>
      <c r="AX117" s="16">
        <f t="shared" si="74"/>
        <v>0</v>
      </c>
      <c r="AY117" s="16">
        <f t="shared" si="75"/>
        <v>0</v>
      </c>
      <c r="AZ117" s="16">
        <f t="shared" si="76"/>
        <v>0</v>
      </c>
      <c r="BA117" s="16">
        <f t="shared" si="77"/>
        <v>0</v>
      </c>
      <c r="BB117" s="1373">
        <f>IF(AB117,VLOOKUP(IF(ISNUMBER(MATCH(Overview!$B$14,useless_spell_races,0)),Overview!$B$14,"Other"),Constants!$P$89:$S$102,4,FALSE),IF(BB116&gt;0,BB116-1,0))</f>
        <v>0</v>
      </c>
    </row>
    <row r="118" spans="1:54" s="16" customFormat="1" x14ac:dyDescent="0.25">
      <c r="A118" s="982">
        <f>Rezone!J118</f>
        <v>116</v>
      </c>
      <c r="B118" s="16">
        <f>Construction!E118</f>
        <v>1000</v>
      </c>
      <c r="C118" s="26">
        <f ca="1">Production!K118</f>
        <v>58338</v>
      </c>
      <c r="D118" s="62">
        <f>MIN(1,D117+0.04+ROUNDDOWN(10*Military!BN117,0)+MAX(Techs!AN117,Techs!AW117*3))-AE118</f>
        <v>1</v>
      </c>
      <c r="E118" s="530">
        <f>Imps!L118</f>
        <v>43769.197916666388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AB118*VLOOKUP(IF(ISNUMBER(MATCH(Overview!$B$14,useless_spell_races,0)),Overview!$B$14,"Other"),Constants!$P$89:$S$102,3,FALSE))</f>
        <v>0</v>
      </c>
      <c r="AE118" s="62">
        <f t="shared" si="61"/>
        <v>0</v>
      </c>
      <c r="AG118" s="633">
        <f t="shared" si="56"/>
        <v>0</v>
      </c>
      <c r="AH118" s="527">
        <f t="shared" si="57"/>
        <v>0</v>
      </c>
      <c r="AI118" s="527">
        <f t="shared" si="58"/>
        <v>0</v>
      </c>
      <c r="AJ118" s="527">
        <f t="shared" si="59"/>
        <v>0</v>
      </c>
      <c r="AK118" s="525">
        <f t="shared" si="60"/>
        <v>0</v>
      </c>
      <c r="AL118" s="527">
        <f t="shared" si="62"/>
        <v>0</v>
      </c>
      <c r="AM118" s="527">
        <f t="shared" si="63"/>
        <v>0</v>
      </c>
      <c r="AN118" s="527">
        <f t="shared" si="64"/>
        <v>0</v>
      </c>
      <c r="AO118" s="527">
        <f t="shared" si="65"/>
        <v>0</v>
      </c>
      <c r="AP118" s="527">
        <f t="shared" si="66"/>
        <v>0</v>
      </c>
      <c r="AQ118" s="527">
        <f t="shared" si="67"/>
        <v>0</v>
      </c>
      <c r="AR118" s="953">
        <f t="shared" si="68"/>
        <v>0</v>
      </c>
      <c r="AS118" s="953">
        <f t="shared" si="69"/>
        <v>0</v>
      </c>
      <c r="AT118" s="953">
        <f t="shared" si="70"/>
        <v>0</v>
      </c>
      <c r="AU118" s="953">
        <f t="shared" si="71"/>
        <v>0</v>
      </c>
      <c r="AV118" s="953">
        <f t="shared" si="72"/>
        <v>0</v>
      </c>
      <c r="AW118" s="16">
        <f t="shared" si="73"/>
        <v>0</v>
      </c>
      <c r="AX118" s="16">
        <f t="shared" si="74"/>
        <v>0</v>
      </c>
      <c r="AY118" s="16">
        <f t="shared" si="75"/>
        <v>0</v>
      </c>
      <c r="AZ118" s="16">
        <f t="shared" si="76"/>
        <v>0</v>
      </c>
      <c r="BA118" s="16">
        <f t="shared" si="77"/>
        <v>0</v>
      </c>
      <c r="BB118" s="1373">
        <f>IF(AB118,VLOOKUP(IF(ISNUMBER(MATCH(Overview!$B$14,useless_spell_races,0)),Overview!$B$14,"Other"),Constants!$P$89:$S$102,4,FALSE),IF(BB117&gt;0,BB117-1,0))</f>
        <v>0</v>
      </c>
    </row>
    <row r="119" spans="1:54" s="16" customFormat="1" x14ac:dyDescent="0.25">
      <c r="A119" s="982">
        <f>Rezone!J119</f>
        <v>117</v>
      </c>
      <c r="B119" s="16">
        <f>Construction!E119</f>
        <v>1000</v>
      </c>
      <c r="C119" s="26">
        <f ca="1">Production!K119</f>
        <v>58421</v>
      </c>
      <c r="D119" s="62">
        <f>MIN(1,D118+0.04+ROUNDDOWN(10*Military!BN118,0)+MAX(Techs!AN118,Techs!AW118*3))-AE119</f>
        <v>1</v>
      </c>
      <c r="E119" s="530">
        <f>Imps!L119</f>
        <v>43769.208333333052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AB119*VLOOKUP(IF(ISNUMBER(MATCH(Overview!$B$14,useless_spell_races,0)),Overview!$B$14,"Other"),Constants!$P$89:$S$102,3,FALSE))</f>
        <v>0</v>
      </c>
      <c r="AE119" s="62">
        <f t="shared" si="61"/>
        <v>0</v>
      </c>
      <c r="AG119" s="633">
        <f t="shared" si="56"/>
        <v>0</v>
      </c>
      <c r="AH119" s="527">
        <f t="shared" si="57"/>
        <v>0</v>
      </c>
      <c r="AI119" s="527">
        <f t="shared" si="58"/>
        <v>0</v>
      </c>
      <c r="AJ119" s="527">
        <f t="shared" si="59"/>
        <v>0</v>
      </c>
      <c r="AK119" s="525">
        <f t="shared" si="60"/>
        <v>0</v>
      </c>
      <c r="AL119" s="527">
        <f t="shared" si="62"/>
        <v>0</v>
      </c>
      <c r="AM119" s="527">
        <f t="shared" si="63"/>
        <v>0</v>
      </c>
      <c r="AN119" s="527">
        <f t="shared" si="64"/>
        <v>0</v>
      </c>
      <c r="AO119" s="527">
        <f t="shared" si="65"/>
        <v>0</v>
      </c>
      <c r="AP119" s="527">
        <f t="shared" si="66"/>
        <v>0</v>
      </c>
      <c r="AQ119" s="527">
        <f t="shared" si="67"/>
        <v>0</v>
      </c>
      <c r="AR119" s="953">
        <f t="shared" si="68"/>
        <v>0</v>
      </c>
      <c r="AS119" s="953">
        <f t="shared" si="69"/>
        <v>0</v>
      </c>
      <c r="AT119" s="953">
        <f t="shared" si="70"/>
        <v>0</v>
      </c>
      <c r="AU119" s="953">
        <f t="shared" si="71"/>
        <v>0</v>
      </c>
      <c r="AV119" s="953">
        <f t="shared" si="72"/>
        <v>0</v>
      </c>
      <c r="AW119" s="16">
        <f t="shared" si="73"/>
        <v>0</v>
      </c>
      <c r="AX119" s="16">
        <f t="shared" si="74"/>
        <v>0</v>
      </c>
      <c r="AY119" s="16">
        <f t="shared" si="75"/>
        <v>0</v>
      </c>
      <c r="AZ119" s="16">
        <f t="shared" si="76"/>
        <v>0</v>
      </c>
      <c r="BA119" s="16">
        <f t="shared" si="77"/>
        <v>0</v>
      </c>
      <c r="BB119" s="1373">
        <f>IF(AB119,VLOOKUP(IF(ISNUMBER(MATCH(Overview!$B$14,useless_spell_races,0)),Overview!$B$14,"Other"),Constants!$P$89:$S$102,4,FALSE),IF(BB118&gt;0,BB118-1,0))</f>
        <v>0</v>
      </c>
    </row>
    <row r="120" spans="1:54" s="16" customFormat="1" x14ac:dyDescent="0.25">
      <c r="A120" s="982">
        <f>Rezone!J120</f>
        <v>118</v>
      </c>
      <c r="B120" s="16">
        <f>Construction!E120</f>
        <v>1000</v>
      </c>
      <c r="C120" s="26">
        <f ca="1">Production!K120</f>
        <v>58503</v>
      </c>
      <c r="D120" s="62">
        <f>MIN(1,D119+0.04+ROUNDDOWN(10*Military!BN119,0)+MAX(Techs!AN119,Techs!AW119*3))-AE120</f>
        <v>1</v>
      </c>
      <c r="E120" s="530">
        <f>Imps!L120</f>
        <v>43769.218749999716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AB120*VLOOKUP(IF(ISNUMBER(MATCH(Overview!$B$14,useless_spell_races,0)),Overview!$B$14,"Other"),Constants!$P$89:$S$102,3,FALSE))</f>
        <v>0</v>
      </c>
      <c r="AE120" s="62">
        <f t="shared" si="61"/>
        <v>0</v>
      </c>
      <c r="AG120" s="633">
        <f t="shared" si="56"/>
        <v>0</v>
      </c>
      <c r="AH120" s="527">
        <f t="shared" si="57"/>
        <v>0</v>
      </c>
      <c r="AI120" s="527">
        <f t="shared" si="58"/>
        <v>0</v>
      </c>
      <c r="AJ120" s="527">
        <f t="shared" si="59"/>
        <v>0</v>
      </c>
      <c r="AK120" s="525">
        <f t="shared" si="60"/>
        <v>0</v>
      </c>
      <c r="AL120" s="527">
        <f t="shared" si="62"/>
        <v>0</v>
      </c>
      <c r="AM120" s="527">
        <f t="shared" si="63"/>
        <v>0</v>
      </c>
      <c r="AN120" s="527">
        <f t="shared" si="64"/>
        <v>0</v>
      </c>
      <c r="AO120" s="527">
        <f t="shared" si="65"/>
        <v>0</v>
      </c>
      <c r="AP120" s="527">
        <f t="shared" si="66"/>
        <v>0</v>
      </c>
      <c r="AQ120" s="527">
        <f t="shared" si="67"/>
        <v>0</v>
      </c>
      <c r="AR120" s="953">
        <f t="shared" si="68"/>
        <v>0</v>
      </c>
      <c r="AS120" s="953">
        <f t="shared" si="69"/>
        <v>0</v>
      </c>
      <c r="AT120" s="953">
        <f t="shared" si="70"/>
        <v>0</v>
      </c>
      <c r="AU120" s="953">
        <f t="shared" si="71"/>
        <v>0</v>
      </c>
      <c r="AV120" s="953">
        <f t="shared" si="72"/>
        <v>0</v>
      </c>
      <c r="AW120" s="16">
        <f t="shared" si="73"/>
        <v>0</v>
      </c>
      <c r="AX120" s="16">
        <f t="shared" si="74"/>
        <v>0</v>
      </c>
      <c r="AY120" s="16">
        <f t="shared" si="75"/>
        <v>0</v>
      </c>
      <c r="AZ120" s="16">
        <f t="shared" si="76"/>
        <v>0</v>
      </c>
      <c r="BA120" s="16">
        <f t="shared" si="77"/>
        <v>0</v>
      </c>
      <c r="BB120" s="1373">
        <f>IF(AB120,VLOOKUP(IF(ISNUMBER(MATCH(Overview!$B$14,useless_spell_races,0)),Overview!$B$14,"Other"),Constants!$P$89:$S$102,4,FALSE),IF(BB119&gt;0,BB119-1,0))</f>
        <v>0</v>
      </c>
    </row>
    <row r="121" spans="1:54" s="16" customFormat="1" x14ac:dyDescent="0.25">
      <c r="A121" s="982">
        <f>Rezone!J121</f>
        <v>119</v>
      </c>
      <c r="B121" s="16">
        <f>Construction!E121</f>
        <v>1000</v>
      </c>
      <c r="C121" s="26">
        <f ca="1">Production!K121</f>
        <v>58583</v>
      </c>
      <c r="D121" s="62">
        <f>MIN(1,D120+0.04+ROUNDDOWN(10*Military!BN120,0)+MAX(Techs!AN120,Techs!AW120*3))-AE121</f>
        <v>1</v>
      </c>
      <c r="E121" s="530">
        <f>Imps!L121</f>
        <v>43769.22916666638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AB121*VLOOKUP(IF(ISNUMBER(MATCH(Overview!$B$14,useless_spell_races,0)),Overview!$B$14,"Other"),Constants!$P$89:$S$102,3,FALSE))</f>
        <v>0</v>
      </c>
      <c r="AE121" s="62">
        <f t="shared" si="61"/>
        <v>0</v>
      </c>
      <c r="AG121" s="633">
        <f t="shared" si="56"/>
        <v>0</v>
      </c>
      <c r="AH121" s="527">
        <f t="shared" si="57"/>
        <v>0</v>
      </c>
      <c r="AI121" s="527">
        <f t="shared" si="58"/>
        <v>0</v>
      </c>
      <c r="AJ121" s="527">
        <f t="shared" si="59"/>
        <v>0</v>
      </c>
      <c r="AK121" s="525">
        <f t="shared" si="60"/>
        <v>0</v>
      </c>
      <c r="AL121" s="527">
        <f t="shared" si="62"/>
        <v>0</v>
      </c>
      <c r="AM121" s="527">
        <f t="shared" si="63"/>
        <v>0</v>
      </c>
      <c r="AN121" s="527">
        <f t="shared" si="64"/>
        <v>0</v>
      </c>
      <c r="AO121" s="527">
        <f t="shared" si="65"/>
        <v>0</v>
      </c>
      <c r="AP121" s="527">
        <f t="shared" si="66"/>
        <v>0</v>
      </c>
      <c r="AQ121" s="527">
        <f t="shared" si="67"/>
        <v>0</v>
      </c>
      <c r="AR121" s="953">
        <f t="shared" si="68"/>
        <v>0</v>
      </c>
      <c r="AS121" s="953">
        <f t="shared" si="69"/>
        <v>0</v>
      </c>
      <c r="AT121" s="953">
        <f t="shared" si="70"/>
        <v>0</v>
      </c>
      <c r="AU121" s="953">
        <f t="shared" si="71"/>
        <v>0</v>
      </c>
      <c r="AV121" s="953">
        <f t="shared" si="72"/>
        <v>0</v>
      </c>
      <c r="AW121" s="16">
        <f t="shared" si="73"/>
        <v>0</v>
      </c>
      <c r="AX121" s="16">
        <f t="shared" si="74"/>
        <v>0</v>
      </c>
      <c r="AY121" s="16">
        <f t="shared" si="75"/>
        <v>0</v>
      </c>
      <c r="AZ121" s="16">
        <f t="shared" si="76"/>
        <v>0</v>
      </c>
      <c r="BA121" s="16">
        <f t="shared" si="77"/>
        <v>0</v>
      </c>
      <c r="BB121" s="1373">
        <f>IF(AB121,VLOOKUP(IF(ISNUMBER(MATCH(Overview!$B$14,useless_spell_races,0)),Overview!$B$14,"Other"),Constants!$P$89:$S$102,4,FALSE),IF(BB120&gt;0,BB120-1,0))</f>
        <v>0</v>
      </c>
    </row>
    <row r="122" spans="1:54" s="16" customFormat="1" ht="13.8" thickBot="1" x14ac:dyDescent="0.3">
      <c r="A122" s="982">
        <f>Rezone!J122</f>
        <v>120</v>
      </c>
      <c r="B122" s="16">
        <f>Construction!E122</f>
        <v>1000</v>
      </c>
      <c r="C122" s="26">
        <f ca="1">Production!K122</f>
        <v>58661</v>
      </c>
      <c r="D122" s="62">
        <f>MIN(1,D121+0.04+ROUNDDOWN(10*Military!BN121,0)+MAX(Techs!AN121,Techs!AW121*3))-AE122</f>
        <v>1</v>
      </c>
      <c r="E122" s="530">
        <f>Imps!L122</f>
        <v>43769.239583333045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AB122*VLOOKUP(IF(ISNUMBER(MATCH(Overview!$B$14,useless_spell_races,0)),Overview!$B$14,"Other"),Constants!$P$89:$S$102,3,FALSE))</f>
        <v>0</v>
      </c>
      <c r="AE122" s="62">
        <f t="shared" si="61"/>
        <v>0</v>
      </c>
      <c r="AG122" s="633">
        <f t="shared" si="56"/>
        <v>0</v>
      </c>
      <c r="AH122" s="527">
        <f t="shared" si="57"/>
        <v>0</v>
      </c>
      <c r="AI122" s="527">
        <f t="shared" si="58"/>
        <v>0</v>
      </c>
      <c r="AJ122" s="527">
        <f t="shared" si="59"/>
        <v>0</v>
      </c>
      <c r="AK122" s="525">
        <f t="shared" si="60"/>
        <v>0</v>
      </c>
      <c r="AL122" s="527">
        <f t="shared" si="62"/>
        <v>0</v>
      </c>
      <c r="AM122" s="527">
        <f t="shared" si="63"/>
        <v>0</v>
      </c>
      <c r="AN122" s="527">
        <f t="shared" si="64"/>
        <v>0</v>
      </c>
      <c r="AO122" s="527">
        <f t="shared" si="65"/>
        <v>0</v>
      </c>
      <c r="AP122" s="527">
        <f t="shared" si="66"/>
        <v>0</v>
      </c>
      <c r="AQ122" s="527">
        <f t="shared" si="67"/>
        <v>0</v>
      </c>
      <c r="AR122" s="953">
        <f t="shared" si="68"/>
        <v>0</v>
      </c>
      <c r="AS122" s="953">
        <f t="shared" si="69"/>
        <v>0</v>
      </c>
      <c r="AT122" s="953">
        <f t="shared" si="70"/>
        <v>0</v>
      </c>
      <c r="AU122" s="953">
        <f t="shared" si="71"/>
        <v>0</v>
      </c>
      <c r="AV122" s="953">
        <f t="shared" si="72"/>
        <v>0</v>
      </c>
      <c r="AW122" s="16">
        <f t="shared" si="73"/>
        <v>0</v>
      </c>
      <c r="AX122" s="16">
        <f t="shared" si="74"/>
        <v>0</v>
      </c>
      <c r="AY122" s="16">
        <f t="shared" si="75"/>
        <v>0</v>
      </c>
      <c r="AZ122" s="16">
        <f t="shared" si="76"/>
        <v>0</v>
      </c>
      <c r="BA122" s="16">
        <f t="shared" si="77"/>
        <v>0</v>
      </c>
      <c r="BB122" s="1373">
        <f>IF(AB122,VLOOKUP(IF(ISNUMBER(MATCH(Overview!$B$14,useless_spell_races,0)),Overview!$B$14,"Other"),Constants!$P$89:$S$102,4,FALSE),IF(BB121&gt;0,BB121-1,0))</f>
        <v>0</v>
      </c>
    </row>
    <row r="123" spans="1:54" s="111" customFormat="1" ht="14.4" thickTop="1" thickBot="1" x14ac:dyDescent="0.3">
      <c r="A123" s="986">
        <f>Rezone!J123</f>
        <v>121</v>
      </c>
      <c r="B123" s="111">
        <f>Construction!E123</f>
        <v>1000</v>
      </c>
      <c r="C123" s="108">
        <f ca="1">Production!K123</f>
        <v>58738</v>
      </c>
      <c r="D123" s="112">
        <f>MIN(1,D122+0.04+ROUNDDOWN(10*Military!BN122,0)+MAX(Techs!AN122,Techs!AW122*3))-AE123</f>
        <v>1</v>
      </c>
      <c r="E123" s="799">
        <f>Imps!L123</f>
        <v>43769.249999999709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AB123*VLOOKUP(IF(ISNUMBER(MATCH(Overview!$B$14,useless_spell_races,0)),Overview!$B$14,"Other"),Constants!$P$89:$S$102,3,FALSE))</f>
        <v>0</v>
      </c>
      <c r="AE123" s="112">
        <f t="shared" si="61"/>
        <v>0</v>
      </c>
      <c r="AG123" s="635">
        <f t="shared" si="56"/>
        <v>0</v>
      </c>
      <c r="AH123" s="631">
        <f t="shared" si="57"/>
        <v>0</v>
      </c>
      <c r="AI123" s="631">
        <f t="shared" si="58"/>
        <v>0</v>
      </c>
      <c r="AJ123" s="631">
        <f t="shared" si="59"/>
        <v>0</v>
      </c>
      <c r="AK123" s="550">
        <f t="shared" si="60"/>
        <v>0</v>
      </c>
      <c r="AL123" s="631">
        <f t="shared" si="62"/>
        <v>0</v>
      </c>
      <c r="AM123" s="631">
        <f t="shared" si="63"/>
        <v>0</v>
      </c>
      <c r="AN123" s="631">
        <f t="shared" si="64"/>
        <v>0</v>
      </c>
      <c r="AO123" s="631">
        <f t="shared" si="65"/>
        <v>0</v>
      </c>
      <c r="AP123" s="631">
        <f t="shared" si="66"/>
        <v>0</v>
      </c>
      <c r="AQ123" s="631">
        <f t="shared" si="67"/>
        <v>0</v>
      </c>
      <c r="AR123" s="956">
        <f t="shared" si="68"/>
        <v>0</v>
      </c>
      <c r="AS123" s="956">
        <f t="shared" si="69"/>
        <v>0</v>
      </c>
      <c r="AT123" s="956">
        <f t="shared" si="70"/>
        <v>0</v>
      </c>
      <c r="AU123" s="956">
        <f t="shared" si="71"/>
        <v>0</v>
      </c>
      <c r="AV123" s="956">
        <f t="shared" si="72"/>
        <v>0</v>
      </c>
      <c r="AW123" s="111">
        <f t="shared" si="73"/>
        <v>0</v>
      </c>
      <c r="AX123" s="111">
        <f t="shared" si="74"/>
        <v>0</v>
      </c>
      <c r="AY123" s="111">
        <f t="shared" si="75"/>
        <v>0</v>
      </c>
      <c r="AZ123" s="111">
        <f t="shared" si="76"/>
        <v>0</v>
      </c>
      <c r="BA123" s="111">
        <f t="shared" si="77"/>
        <v>0</v>
      </c>
      <c r="BB123" s="1378">
        <f>IF(AB123,VLOOKUP(IF(ISNUMBER(MATCH(Overview!$B$14,useless_spell_races,0)),Overview!$B$14,"Other"),Constants!$P$89:$S$102,4,FALSE),IF(BB122&gt;0,BB122-1,0))</f>
        <v>0</v>
      </c>
    </row>
    <row r="124" spans="1:54" s="16" customFormat="1" ht="13.8" thickTop="1" x14ac:dyDescent="0.25">
      <c r="A124" s="982">
        <f>Rezone!J124</f>
        <v>122</v>
      </c>
      <c r="B124" s="16">
        <f>Construction!E124</f>
        <v>1000</v>
      </c>
      <c r="C124" s="26">
        <f ca="1">Production!K124</f>
        <v>58813</v>
      </c>
      <c r="D124" s="62">
        <f>MIN(1,D123+0.04+ROUNDDOWN(10*Military!BN123,0)+MAX(Techs!AN123,Techs!AW123*3))-AE124</f>
        <v>1</v>
      </c>
      <c r="E124" s="530">
        <f>Imps!L124</f>
        <v>43769.260416666373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AB124*VLOOKUP(IF(ISNUMBER(MATCH(Overview!$B$14,useless_spell_races,0)),Overview!$B$14,"Other"),Constants!$P$89:$S$102,3,FALSE))</f>
        <v>0</v>
      </c>
      <c r="AE124" s="62">
        <f t="shared" si="61"/>
        <v>0</v>
      </c>
      <c r="AG124" s="633">
        <f t="shared" si="56"/>
        <v>0</v>
      </c>
      <c r="AH124" s="527">
        <f t="shared" si="57"/>
        <v>0</v>
      </c>
      <c r="AI124" s="527">
        <f t="shared" si="58"/>
        <v>0</v>
      </c>
      <c r="AJ124" s="527">
        <f t="shared" si="59"/>
        <v>0</v>
      </c>
      <c r="AK124" s="525">
        <f t="shared" si="60"/>
        <v>0</v>
      </c>
      <c r="AL124" s="527">
        <f t="shared" si="62"/>
        <v>0</v>
      </c>
      <c r="AM124" s="527">
        <f t="shared" si="63"/>
        <v>0</v>
      </c>
      <c r="AN124" s="527">
        <f t="shared" si="64"/>
        <v>0</v>
      </c>
      <c r="AO124" s="527">
        <f t="shared" si="65"/>
        <v>0</v>
      </c>
      <c r="AP124" s="527">
        <f t="shared" si="66"/>
        <v>0</v>
      </c>
      <c r="AQ124" s="527">
        <f t="shared" si="67"/>
        <v>0</v>
      </c>
      <c r="AR124" s="953">
        <f t="shared" si="68"/>
        <v>0</v>
      </c>
      <c r="AS124" s="953">
        <f t="shared" si="69"/>
        <v>0</v>
      </c>
      <c r="AT124" s="953">
        <f t="shared" si="70"/>
        <v>0</v>
      </c>
      <c r="AU124" s="953">
        <f t="shared" si="71"/>
        <v>0</v>
      </c>
      <c r="AV124" s="953">
        <f t="shared" si="72"/>
        <v>0</v>
      </c>
      <c r="AW124" s="16">
        <f t="shared" si="73"/>
        <v>0</v>
      </c>
      <c r="AX124" s="16">
        <f t="shared" si="74"/>
        <v>0</v>
      </c>
      <c r="AY124" s="16">
        <f t="shared" si="75"/>
        <v>0</v>
      </c>
      <c r="AZ124" s="16">
        <f t="shared" si="76"/>
        <v>0</v>
      </c>
      <c r="BA124" s="16">
        <f t="shared" si="77"/>
        <v>0</v>
      </c>
      <c r="BB124" s="1373">
        <f>IF(AB124,VLOOKUP(IF(ISNUMBER(MATCH(Overview!$B$14,useless_spell_races,0)),Overview!$B$14,"Other"),Constants!$P$89:$S$102,4,FALSE),IF(BB123&gt;0,BB123-1,0))</f>
        <v>0</v>
      </c>
    </row>
    <row r="125" spans="1:54" s="16" customFormat="1" x14ac:dyDescent="0.25">
      <c r="A125" s="982">
        <f>Rezone!J125</f>
        <v>123</v>
      </c>
      <c r="B125" s="16">
        <f>Construction!E125</f>
        <v>1000</v>
      </c>
      <c r="C125" s="26">
        <f ca="1">Production!K125</f>
        <v>58887</v>
      </c>
      <c r="D125" s="62">
        <f>MIN(1,D124+0.04+ROUNDDOWN(10*Military!BN124,0)+MAX(Techs!AN124,Techs!AW124*3))-AE125</f>
        <v>1</v>
      </c>
      <c r="E125" s="530">
        <f>Imps!L125</f>
        <v>43769.270833333037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AB125*VLOOKUP(IF(ISNUMBER(MATCH(Overview!$B$14,useless_spell_races,0)),Overview!$B$14,"Other"),Constants!$P$89:$S$102,3,FALSE))</f>
        <v>0</v>
      </c>
      <c r="AE125" s="62">
        <f t="shared" si="61"/>
        <v>0</v>
      </c>
      <c r="AG125" s="633">
        <f t="shared" si="56"/>
        <v>0</v>
      </c>
      <c r="AH125" s="527">
        <f t="shared" si="57"/>
        <v>0</v>
      </c>
      <c r="AI125" s="527">
        <f t="shared" si="58"/>
        <v>0</v>
      </c>
      <c r="AJ125" s="527">
        <f t="shared" si="59"/>
        <v>0</v>
      </c>
      <c r="AK125" s="525">
        <f t="shared" si="60"/>
        <v>0</v>
      </c>
      <c r="AL125" s="527">
        <f t="shared" si="62"/>
        <v>0</v>
      </c>
      <c r="AM125" s="527">
        <f t="shared" si="63"/>
        <v>0</v>
      </c>
      <c r="AN125" s="527">
        <f t="shared" si="64"/>
        <v>0</v>
      </c>
      <c r="AO125" s="527">
        <f t="shared" si="65"/>
        <v>0</v>
      </c>
      <c r="AP125" s="527">
        <f t="shared" si="66"/>
        <v>0</v>
      </c>
      <c r="AQ125" s="527">
        <f t="shared" si="67"/>
        <v>0</v>
      </c>
      <c r="AR125" s="953">
        <f t="shared" si="68"/>
        <v>0</v>
      </c>
      <c r="AS125" s="953">
        <f t="shared" si="69"/>
        <v>0</v>
      </c>
      <c r="AT125" s="953">
        <f t="shared" si="70"/>
        <v>0</v>
      </c>
      <c r="AU125" s="953">
        <f t="shared" si="71"/>
        <v>0</v>
      </c>
      <c r="AV125" s="953">
        <f t="shared" si="72"/>
        <v>0</v>
      </c>
      <c r="AW125" s="16">
        <f t="shared" si="73"/>
        <v>0</v>
      </c>
      <c r="AX125" s="16">
        <f t="shared" si="74"/>
        <v>0</v>
      </c>
      <c r="AY125" s="16">
        <f t="shared" si="75"/>
        <v>0</v>
      </c>
      <c r="AZ125" s="16">
        <f t="shared" si="76"/>
        <v>0</v>
      </c>
      <c r="BA125" s="16">
        <f t="shared" si="77"/>
        <v>0</v>
      </c>
      <c r="BB125" s="1373">
        <f>IF(AB125,VLOOKUP(IF(ISNUMBER(MATCH(Overview!$B$14,useless_spell_races,0)),Overview!$B$14,"Other"),Constants!$P$89:$S$102,4,FALSE),IF(BB124&gt;0,BB124-1,0))</f>
        <v>0</v>
      </c>
    </row>
    <row r="126" spans="1:54" s="16" customFormat="1" x14ac:dyDescent="0.25">
      <c r="A126" s="982">
        <f>Rezone!J126</f>
        <v>124</v>
      </c>
      <c r="B126" s="16">
        <f>Construction!E126</f>
        <v>1000</v>
      </c>
      <c r="C126" s="26">
        <f ca="1">Production!K126</f>
        <v>58959</v>
      </c>
      <c r="D126" s="62">
        <f>MIN(1,D125+0.04+ROUNDDOWN(10*Military!BN125,0)+MAX(Techs!AN125,Techs!AW125*3))-AE126</f>
        <v>1</v>
      </c>
      <c r="E126" s="530">
        <f>Imps!L126</f>
        <v>43769.281249999702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AB126*VLOOKUP(IF(ISNUMBER(MATCH(Overview!$B$14,useless_spell_races,0)),Overview!$B$14,"Other"),Constants!$P$89:$S$102,3,FALSE))</f>
        <v>0</v>
      </c>
      <c r="AE126" s="62">
        <f t="shared" si="61"/>
        <v>0</v>
      </c>
      <c r="AG126" s="633">
        <f t="shared" si="56"/>
        <v>0</v>
      </c>
      <c r="AH126" s="527">
        <f t="shared" si="57"/>
        <v>0</v>
      </c>
      <c r="AI126" s="527">
        <f t="shared" si="58"/>
        <v>0</v>
      </c>
      <c r="AJ126" s="527">
        <f t="shared" si="59"/>
        <v>0</v>
      </c>
      <c r="AK126" s="525">
        <f t="shared" si="60"/>
        <v>0</v>
      </c>
      <c r="AL126" s="527">
        <f t="shared" si="62"/>
        <v>0</v>
      </c>
      <c r="AM126" s="527">
        <f t="shared" si="63"/>
        <v>0</v>
      </c>
      <c r="AN126" s="527">
        <f t="shared" si="64"/>
        <v>0</v>
      </c>
      <c r="AO126" s="527">
        <f t="shared" si="65"/>
        <v>0</v>
      </c>
      <c r="AP126" s="527">
        <f t="shared" si="66"/>
        <v>0</v>
      </c>
      <c r="AQ126" s="527">
        <f t="shared" si="67"/>
        <v>0</v>
      </c>
      <c r="AR126" s="953">
        <f t="shared" si="68"/>
        <v>0</v>
      </c>
      <c r="AS126" s="953">
        <f t="shared" si="69"/>
        <v>0</v>
      </c>
      <c r="AT126" s="953">
        <f t="shared" si="70"/>
        <v>0</v>
      </c>
      <c r="AU126" s="953">
        <f t="shared" si="71"/>
        <v>0</v>
      </c>
      <c r="AV126" s="953">
        <f t="shared" si="72"/>
        <v>0</v>
      </c>
      <c r="AW126" s="16">
        <f t="shared" si="73"/>
        <v>0</v>
      </c>
      <c r="AX126" s="16">
        <f t="shared" si="74"/>
        <v>0</v>
      </c>
      <c r="AY126" s="16">
        <f t="shared" si="75"/>
        <v>0</v>
      </c>
      <c r="AZ126" s="16">
        <f t="shared" si="76"/>
        <v>0</v>
      </c>
      <c r="BA126" s="16">
        <f t="shared" si="77"/>
        <v>0</v>
      </c>
      <c r="BB126" s="1373">
        <f>IF(AB126,VLOOKUP(IF(ISNUMBER(MATCH(Overview!$B$14,useless_spell_races,0)),Overview!$B$14,"Other"),Constants!$P$89:$S$102,4,FALSE),IF(BB125&gt;0,BB125-1,0))</f>
        <v>0</v>
      </c>
    </row>
    <row r="127" spans="1:54" s="16" customFormat="1" x14ac:dyDescent="0.25">
      <c r="A127" s="982">
        <f>Rezone!J127</f>
        <v>125</v>
      </c>
      <c r="B127" s="16">
        <f>Construction!E127</f>
        <v>1000</v>
      </c>
      <c r="C127" s="26">
        <f ca="1">Production!K127</f>
        <v>59030</v>
      </c>
      <c r="D127" s="62">
        <f>MIN(1,D126+0.04+ROUNDDOWN(10*Military!BN126,0)+MAX(Techs!AN126,Techs!AW126*3))-AE127</f>
        <v>1</v>
      </c>
      <c r="E127" s="530">
        <f>Imps!L127</f>
        <v>43769.291666666366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AB127*VLOOKUP(IF(ISNUMBER(MATCH(Overview!$B$14,useless_spell_races,0)),Overview!$B$14,"Other"),Constants!$P$89:$S$102,3,FALSE))</f>
        <v>0</v>
      </c>
      <c r="AE127" s="62">
        <f t="shared" si="61"/>
        <v>0</v>
      </c>
      <c r="AG127" s="633">
        <f t="shared" si="56"/>
        <v>0</v>
      </c>
      <c r="AH127" s="527">
        <f t="shared" si="57"/>
        <v>0</v>
      </c>
      <c r="AI127" s="527">
        <f t="shared" si="58"/>
        <v>0</v>
      </c>
      <c r="AJ127" s="527">
        <f t="shared" si="59"/>
        <v>0</v>
      </c>
      <c r="AK127" s="525">
        <f t="shared" si="60"/>
        <v>0</v>
      </c>
      <c r="AL127" s="527">
        <f t="shared" si="62"/>
        <v>0</v>
      </c>
      <c r="AM127" s="527">
        <f t="shared" si="63"/>
        <v>0</v>
      </c>
      <c r="AN127" s="527">
        <f t="shared" si="64"/>
        <v>0</v>
      </c>
      <c r="AO127" s="527">
        <f t="shared" si="65"/>
        <v>0</v>
      </c>
      <c r="AP127" s="527">
        <f t="shared" si="66"/>
        <v>0</v>
      </c>
      <c r="AQ127" s="527">
        <f t="shared" si="67"/>
        <v>0</v>
      </c>
      <c r="AR127" s="953">
        <f t="shared" si="68"/>
        <v>0</v>
      </c>
      <c r="AS127" s="953">
        <f t="shared" si="69"/>
        <v>0</v>
      </c>
      <c r="AT127" s="953">
        <f t="shared" si="70"/>
        <v>0</v>
      </c>
      <c r="AU127" s="953">
        <f t="shared" si="71"/>
        <v>0</v>
      </c>
      <c r="AV127" s="953">
        <f t="shared" si="72"/>
        <v>0</v>
      </c>
      <c r="AW127" s="16">
        <f t="shared" si="73"/>
        <v>0</v>
      </c>
      <c r="AX127" s="16">
        <f t="shared" si="74"/>
        <v>0</v>
      </c>
      <c r="AY127" s="16">
        <f t="shared" si="75"/>
        <v>0</v>
      </c>
      <c r="AZ127" s="16">
        <f t="shared" si="76"/>
        <v>0</v>
      </c>
      <c r="BA127" s="16">
        <f t="shared" si="77"/>
        <v>0</v>
      </c>
      <c r="BB127" s="1373">
        <f>IF(AB127,VLOOKUP(IF(ISNUMBER(MATCH(Overview!$B$14,useless_spell_races,0)),Overview!$B$14,"Other"),Constants!$P$89:$S$102,4,FALSE),IF(BB126&gt;0,BB126-1,0))</f>
        <v>0</v>
      </c>
    </row>
    <row r="128" spans="1:54" s="16" customFormat="1" x14ac:dyDescent="0.25">
      <c r="A128" s="982">
        <f>Rezone!J128</f>
        <v>126</v>
      </c>
      <c r="B128" s="16">
        <f>Construction!E128</f>
        <v>1000</v>
      </c>
      <c r="C128" s="26">
        <f ca="1">Production!K128</f>
        <v>59099</v>
      </c>
      <c r="D128" s="62">
        <f>MIN(1,D127+0.04+ROUNDDOWN(10*Military!BN127,0)+MAX(Techs!AN127,Techs!AW127*3))-AE128</f>
        <v>1</v>
      </c>
      <c r="E128" s="530">
        <f>Imps!L128</f>
        <v>43769.30208333303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AB128*VLOOKUP(IF(ISNUMBER(MATCH(Overview!$B$14,useless_spell_races,0)),Overview!$B$14,"Other"),Constants!$P$89:$S$102,3,FALSE))</f>
        <v>0</v>
      </c>
      <c r="AE128" s="62">
        <f t="shared" si="61"/>
        <v>0</v>
      </c>
      <c r="AG128" s="633">
        <f t="shared" si="56"/>
        <v>0</v>
      </c>
      <c r="AH128" s="527">
        <f t="shared" si="57"/>
        <v>0</v>
      </c>
      <c r="AI128" s="527">
        <f t="shared" si="58"/>
        <v>0</v>
      </c>
      <c r="AJ128" s="527">
        <f t="shared" si="59"/>
        <v>0</v>
      </c>
      <c r="AK128" s="525">
        <f t="shared" si="60"/>
        <v>0</v>
      </c>
      <c r="AL128" s="527">
        <f t="shared" si="62"/>
        <v>0</v>
      </c>
      <c r="AM128" s="527">
        <f t="shared" si="63"/>
        <v>0</v>
      </c>
      <c r="AN128" s="527">
        <f t="shared" si="64"/>
        <v>0</v>
      </c>
      <c r="AO128" s="527">
        <f t="shared" si="65"/>
        <v>0</v>
      </c>
      <c r="AP128" s="527">
        <f t="shared" si="66"/>
        <v>0</v>
      </c>
      <c r="AQ128" s="527">
        <f t="shared" si="67"/>
        <v>0</v>
      </c>
      <c r="AR128" s="953">
        <f t="shared" si="68"/>
        <v>0</v>
      </c>
      <c r="AS128" s="953">
        <f t="shared" si="69"/>
        <v>0</v>
      </c>
      <c r="AT128" s="953">
        <f t="shared" si="70"/>
        <v>0</v>
      </c>
      <c r="AU128" s="953">
        <f t="shared" si="71"/>
        <v>0</v>
      </c>
      <c r="AV128" s="953">
        <f t="shared" si="72"/>
        <v>0</v>
      </c>
      <c r="AW128" s="16">
        <f t="shared" si="73"/>
        <v>0</v>
      </c>
      <c r="AX128" s="16">
        <f t="shared" si="74"/>
        <v>0</v>
      </c>
      <c r="AY128" s="16">
        <f t="shared" si="75"/>
        <v>0</v>
      </c>
      <c r="AZ128" s="16">
        <f t="shared" si="76"/>
        <v>0</v>
      </c>
      <c r="BA128" s="16">
        <f t="shared" si="77"/>
        <v>0</v>
      </c>
      <c r="BB128" s="1373">
        <f>IF(AB128,VLOOKUP(IF(ISNUMBER(MATCH(Overview!$B$14,useless_spell_races,0)),Overview!$B$14,"Other"),Constants!$P$89:$S$102,4,FALSE),IF(BB127&gt;0,BB127-1,0))</f>
        <v>0</v>
      </c>
    </row>
    <row r="129" spans="1:54" s="16" customFormat="1" x14ac:dyDescent="0.25">
      <c r="A129" s="982">
        <f>Rezone!J129</f>
        <v>127</v>
      </c>
      <c r="B129" s="16">
        <f>Construction!E129</f>
        <v>1000</v>
      </c>
      <c r="C129" s="26">
        <f ca="1">Production!K129</f>
        <v>59167</v>
      </c>
      <c r="D129" s="62">
        <f>MIN(1,D128+0.04+ROUNDDOWN(10*Military!BN128,0)+MAX(Techs!AN128,Techs!AW128*3))-AE129</f>
        <v>1</v>
      </c>
      <c r="E129" s="530">
        <f>Imps!L129</f>
        <v>43769.312499999694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AB129*VLOOKUP(IF(ISNUMBER(MATCH(Overview!$B$14,useless_spell_races,0)),Overview!$B$14,"Other"),Constants!$P$89:$S$102,3,FALSE))</f>
        <v>0</v>
      </c>
      <c r="AE129" s="62">
        <f t="shared" si="61"/>
        <v>0</v>
      </c>
      <c r="AG129" s="633">
        <f t="shared" si="56"/>
        <v>0</v>
      </c>
      <c r="AH129" s="527">
        <f t="shared" si="57"/>
        <v>0</v>
      </c>
      <c r="AI129" s="527">
        <f t="shared" si="58"/>
        <v>0</v>
      </c>
      <c r="AJ129" s="527">
        <f t="shared" si="59"/>
        <v>0</v>
      </c>
      <c r="AK129" s="525">
        <f t="shared" si="60"/>
        <v>0</v>
      </c>
      <c r="AL129" s="527">
        <f t="shared" si="62"/>
        <v>0</v>
      </c>
      <c r="AM129" s="527">
        <f t="shared" si="63"/>
        <v>0</v>
      </c>
      <c r="AN129" s="527">
        <f t="shared" si="64"/>
        <v>0</v>
      </c>
      <c r="AO129" s="527">
        <f t="shared" si="65"/>
        <v>0</v>
      </c>
      <c r="AP129" s="527">
        <f t="shared" si="66"/>
        <v>0</v>
      </c>
      <c r="AQ129" s="527">
        <f t="shared" si="67"/>
        <v>0</v>
      </c>
      <c r="AR129" s="953">
        <f t="shared" si="68"/>
        <v>0</v>
      </c>
      <c r="AS129" s="953">
        <f t="shared" si="69"/>
        <v>0</v>
      </c>
      <c r="AT129" s="953">
        <f t="shared" si="70"/>
        <v>0</v>
      </c>
      <c r="AU129" s="953">
        <f t="shared" si="71"/>
        <v>0</v>
      </c>
      <c r="AV129" s="953">
        <f t="shared" si="72"/>
        <v>0</v>
      </c>
      <c r="AW129" s="16">
        <f t="shared" si="73"/>
        <v>0</v>
      </c>
      <c r="AX129" s="16">
        <f t="shared" si="74"/>
        <v>0</v>
      </c>
      <c r="AY129" s="16">
        <f t="shared" si="75"/>
        <v>0</v>
      </c>
      <c r="AZ129" s="16">
        <f t="shared" si="76"/>
        <v>0</v>
      </c>
      <c r="BA129" s="16">
        <f t="shared" si="77"/>
        <v>0</v>
      </c>
      <c r="BB129" s="1373">
        <f>IF(AB129,VLOOKUP(IF(ISNUMBER(MATCH(Overview!$B$14,useless_spell_races,0)),Overview!$B$14,"Other"),Constants!$P$89:$S$102,4,FALSE),IF(BB128&gt;0,BB128-1,0))</f>
        <v>0</v>
      </c>
    </row>
    <row r="130" spans="1:54" s="16" customFormat="1" x14ac:dyDescent="0.25">
      <c r="A130" s="982">
        <f>Rezone!J130</f>
        <v>128</v>
      </c>
      <c r="B130" s="16">
        <f>Construction!E130</f>
        <v>1000</v>
      </c>
      <c r="C130" s="26">
        <f ca="1">Production!K130</f>
        <v>59234</v>
      </c>
      <c r="D130" s="62">
        <f>MIN(1,D129+0.04+ROUNDDOWN(10*Military!BN129,0)+MAX(Techs!AN129,Techs!AW129*3))-AE130</f>
        <v>1</v>
      </c>
      <c r="E130" s="530">
        <f>Imps!L130</f>
        <v>43769.322916666359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AB130*VLOOKUP(IF(ISNUMBER(MATCH(Overview!$B$14,useless_spell_races,0)),Overview!$B$14,"Other"),Constants!$P$89:$S$102,3,FALSE))</f>
        <v>0</v>
      </c>
      <c r="AE130" s="62">
        <f t="shared" si="61"/>
        <v>0</v>
      </c>
      <c r="AG130" s="633">
        <f t="shared" si="56"/>
        <v>0</v>
      </c>
      <c r="AH130" s="527">
        <f t="shared" si="57"/>
        <v>0</v>
      </c>
      <c r="AI130" s="527">
        <f t="shared" si="58"/>
        <v>0</v>
      </c>
      <c r="AJ130" s="527">
        <f t="shared" si="59"/>
        <v>0</v>
      </c>
      <c r="AK130" s="525">
        <f t="shared" si="60"/>
        <v>0</v>
      </c>
      <c r="AL130" s="527">
        <f t="shared" si="62"/>
        <v>0</v>
      </c>
      <c r="AM130" s="527">
        <f t="shared" si="63"/>
        <v>0</v>
      </c>
      <c r="AN130" s="527">
        <f t="shared" si="64"/>
        <v>0</v>
      </c>
      <c r="AO130" s="527">
        <f t="shared" si="65"/>
        <v>0</v>
      </c>
      <c r="AP130" s="527">
        <f t="shared" si="66"/>
        <v>0</v>
      </c>
      <c r="AQ130" s="527">
        <f t="shared" si="67"/>
        <v>0</v>
      </c>
      <c r="AR130" s="953">
        <f t="shared" si="68"/>
        <v>0</v>
      </c>
      <c r="AS130" s="953">
        <f t="shared" si="69"/>
        <v>0</v>
      </c>
      <c r="AT130" s="953">
        <f t="shared" si="70"/>
        <v>0</v>
      </c>
      <c r="AU130" s="953">
        <f t="shared" si="71"/>
        <v>0</v>
      </c>
      <c r="AV130" s="953">
        <f t="shared" si="72"/>
        <v>0</v>
      </c>
      <c r="AW130" s="16">
        <f t="shared" si="73"/>
        <v>0</v>
      </c>
      <c r="AX130" s="16">
        <f t="shared" si="74"/>
        <v>0</v>
      </c>
      <c r="AY130" s="16">
        <f t="shared" si="75"/>
        <v>0</v>
      </c>
      <c r="AZ130" s="16">
        <f t="shared" si="76"/>
        <v>0</v>
      </c>
      <c r="BA130" s="16">
        <f t="shared" si="77"/>
        <v>0</v>
      </c>
      <c r="BB130" s="1373">
        <f>IF(AB130,VLOOKUP(IF(ISNUMBER(MATCH(Overview!$B$14,useless_spell_races,0)),Overview!$B$14,"Other"),Constants!$P$89:$S$102,4,FALSE),IF(BB129&gt;0,BB129-1,0))</f>
        <v>0</v>
      </c>
    </row>
    <row r="131" spans="1:54" s="16" customFormat="1" x14ac:dyDescent="0.25">
      <c r="A131" s="982">
        <f>Rezone!J131</f>
        <v>129</v>
      </c>
      <c r="B131" s="16">
        <f>Construction!E131</f>
        <v>1000</v>
      </c>
      <c r="C131" s="26">
        <f ca="1">Production!K131</f>
        <v>59299</v>
      </c>
      <c r="D131" s="62">
        <f>MIN(1,D130+0.04+ROUNDDOWN(10*Military!BN130,0)+MAX(Techs!AN130,Techs!AW130*3))-AE131</f>
        <v>1</v>
      </c>
      <c r="E131" s="530">
        <f>Imps!L131</f>
        <v>43769.333333333023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AB131*VLOOKUP(IF(ISNUMBER(MATCH(Overview!$B$14,useless_spell_races,0)),Overview!$B$14,"Other"),Constants!$P$89:$S$102,3,FALSE))</f>
        <v>0</v>
      </c>
      <c r="AE131" s="62">
        <f t="shared" si="61"/>
        <v>0</v>
      </c>
      <c r="AG131" s="633">
        <f t="shared" si="56"/>
        <v>0</v>
      </c>
      <c r="AH131" s="527">
        <f t="shared" si="57"/>
        <v>0</v>
      </c>
      <c r="AI131" s="527">
        <f t="shared" si="58"/>
        <v>0</v>
      </c>
      <c r="AJ131" s="527">
        <f t="shared" si="59"/>
        <v>0</v>
      </c>
      <c r="AK131" s="525">
        <f t="shared" si="60"/>
        <v>0</v>
      </c>
      <c r="AL131" s="527">
        <f t="shared" si="62"/>
        <v>0</v>
      </c>
      <c r="AM131" s="527">
        <f t="shared" si="63"/>
        <v>0</v>
      </c>
      <c r="AN131" s="527">
        <f t="shared" si="64"/>
        <v>0</v>
      </c>
      <c r="AO131" s="527">
        <f t="shared" si="65"/>
        <v>0</v>
      </c>
      <c r="AP131" s="527">
        <f t="shared" si="66"/>
        <v>0</v>
      </c>
      <c r="AQ131" s="527">
        <f t="shared" si="67"/>
        <v>0</v>
      </c>
      <c r="AR131" s="953">
        <f t="shared" si="68"/>
        <v>0</v>
      </c>
      <c r="AS131" s="953">
        <f t="shared" si="69"/>
        <v>0</v>
      </c>
      <c r="AT131" s="953">
        <f t="shared" si="70"/>
        <v>0</v>
      </c>
      <c r="AU131" s="953">
        <f t="shared" si="71"/>
        <v>0</v>
      </c>
      <c r="AV131" s="953">
        <f t="shared" si="72"/>
        <v>0</v>
      </c>
      <c r="AW131" s="16">
        <f t="shared" si="73"/>
        <v>0</v>
      </c>
      <c r="AX131" s="16">
        <f t="shared" si="74"/>
        <v>0</v>
      </c>
      <c r="AY131" s="16">
        <f t="shared" si="75"/>
        <v>0</v>
      </c>
      <c r="AZ131" s="16">
        <f t="shared" si="76"/>
        <v>0</v>
      </c>
      <c r="BA131" s="16">
        <f t="shared" si="77"/>
        <v>0</v>
      </c>
      <c r="BB131" s="1373">
        <f>IF(AB131,VLOOKUP(IF(ISNUMBER(MATCH(Overview!$B$14,useless_spell_races,0)),Overview!$B$14,"Other"),Constants!$P$89:$S$102,4,FALSE),IF(BB130&gt;0,BB130-1,0))</f>
        <v>0</v>
      </c>
    </row>
    <row r="132" spans="1:54" s="16" customFormat="1" x14ac:dyDescent="0.25">
      <c r="A132" s="982">
        <f>Rezone!J132</f>
        <v>130</v>
      </c>
      <c r="B132" s="16">
        <f>Construction!E132</f>
        <v>1000</v>
      </c>
      <c r="C132" s="26">
        <f ca="1">Production!K132</f>
        <v>59363</v>
      </c>
      <c r="D132" s="62">
        <f>MIN(1,D131+0.04+ROUNDDOWN(10*Military!BN131,0)+MAX(Techs!AN131,Techs!AW131*3))-AE132</f>
        <v>1</v>
      </c>
      <c r="E132" s="530">
        <f>Imps!L132</f>
        <v>43769.343749999687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AB132*VLOOKUP(IF(ISNUMBER(MATCH(Overview!$B$14,useless_spell_races,0)),Overview!$B$14,"Other"),Constants!$P$89:$S$102,3,FALSE))</f>
        <v>0</v>
      </c>
      <c r="AE132" s="62">
        <f t="shared" si="61"/>
        <v>0</v>
      </c>
      <c r="AG132" s="633">
        <f t="shared" si="56"/>
        <v>0</v>
      </c>
      <c r="AH132" s="527">
        <f t="shared" si="57"/>
        <v>0</v>
      </c>
      <c r="AI132" s="527">
        <f t="shared" si="58"/>
        <v>0</v>
      </c>
      <c r="AJ132" s="527">
        <f t="shared" si="59"/>
        <v>0</v>
      </c>
      <c r="AK132" s="525">
        <f t="shared" si="60"/>
        <v>0</v>
      </c>
      <c r="AL132" s="527">
        <f t="shared" si="62"/>
        <v>0</v>
      </c>
      <c r="AM132" s="527">
        <f t="shared" si="63"/>
        <v>0</v>
      </c>
      <c r="AN132" s="527">
        <f t="shared" si="64"/>
        <v>0</v>
      </c>
      <c r="AO132" s="527">
        <f t="shared" si="65"/>
        <v>0</v>
      </c>
      <c r="AP132" s="527">
        <f t="shared" si="66"/>
        <v>0</v>
      </c>
      <c r="AQ132" s="527">
        <f t="shared" si="67"/>
        <v>0</v>
      </c>
      <c r="AR132" s="953">
        <f t="shared" si="68"/>
        <v>0</v>
      </c>
      <c r="AS132" s="953">
        <f t="shared" si="69"/>
        <v>0</v>
      </c>
      <c r="AT132" s="953">
        <f t="shared" si="70"/>
        <v>0</v>
      </c>
      <c r="AU132" s="953">
        <f t="shared" si="71"/>
        <v>0</v>
      </c>
      <c r="AV132" s="953">
        <f t="shared" si="72"/>
        <v>0</v>
      </c>
      <c r="AW132" s="16">
        <f t="shared" si="73"/>
        <v>0</v>
      </c>
      <c r="AX132" s="16">
        <f t="shared" si="74"/>
        <v>0</v>
      </c>
      <c r="AY132" s="16">
        <f t="shared" si="75"/>
        <v>0</v>
      </c>
      <c r="AZ132" s="16">
        <f t="shared" si="76"/>
        <v>0</v>
      </c>
      <c r="BA132" s="16">
        <f t="shared" si="77"/>
        <v>0</v>
      </c>
      <c r="BB132" s="1373">
        <f>IF(AB132,VLOOKUP(IF(ISNUMBER(MATCH(Overview!$B$14,useless_spell_races,0)),Overview!$B$14,"Other"),Constants!$P$89:$S$102,4,FALSE),IF(BB131&gt;0,BB131-1,0))</f>
        <v>0</v>
      </c>
    </row>
    <row r="133" spans="1:54" s="16" customFormat="1" x14ac:dyDescent="0.25">
      <c r="A133" s="982">
        <f>Rezone!J133</f>
        <v>131</v>
      </c>
      <c r="B133" s="16">
        <f>Construction!E133</f>
        <v>1000</v>
      </c>
      <c r="C133" s="26">
        <f ca="1">Production!K133</f>
        <v>59426</v>
      </c>
      <c r="D133" s="62">
        <f>MIN(1,D132+0.04+ROUNDDOWN(10*Military!BN132,0)+MAX(Techs!AN132,Techs!AW132*3))-AE133</f>
        <v>1</v>
      </c>
      <c r="E133" s="530">
        <f>Imps!L133</f>
        <v>43769.354166666351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AB133*VLOOKUP(IF(ISNUMBER(MATCH(Overview!$B$14,useless_spell_races,0)),Overview!$B$14,"Other"),Constants!$P$89:$S$102,3,FALSE))</f>
        <v>0</v>
      </c>
      <c r="AE133" s="62">
        <f t="shared" si="61"/>
        <v>0</v>
      </c>
      <c r="AG133" s="633">
        <f t="shared" ref="AG133:AG135" si="78">IF(G133,12*4,IF(AG132&gt;0,AG132-1,0))</f>
        <v>0</v>
      </c>
      <c r="AH133" s="527">
        <f t="shared" ref="AH133:AH135" si="79">IF(H133,12*4,IF(AH132&gt;0,AH132-1,0))</f>
        <v>0</v>
      </c>
      <c r="AI133" s="527">
        <f t="shared" ref="AI133:AI135" si="80">IF(I133,12*4,IF(AI132&gt;0,AI132-1,0))</f>
        <v>0</v>
      </c>
      <c r="AJ133" s="527">
        <f t="shared" ref="AJ133:AJ135" si="81">IF(J133,12*4,IF(AJ132&gt;0,AJ132-1,0))</f>
        <v>0</v>
      </c>
      <c r="AK133" s="525">
        <f t="shared" ref="AK133:AK135" si="82">IF(K133,12*4,IF(AK132&gt;0,AK132-1,0))</f>
        <v>0</v>
      </c>
      <c r="AL133" s="527">
        <f t="shared" si="62"/>
        <v>0</v>
      </c>
      <c r="AM133" s="527">
        <f t="shared" si="63"/>
        <v>0</v>
      </c>
      <c r="AN133" s="527">
        <f t="shared" si="64"/>
        <v>0</v>
      </c>
      <c r="AO133" s="527">
        <f t="shared" si="65"/>
        <v>0</v>
      </c>
      <c r="AP133" s="527">
        <f t="shared" si="66"/>
        <v>0</v>
      </c>
      <c r="AQ133" s="527">
        <f t="shared" si="67"/>
        <v>0</v>
      </c>
      <c r="AR133" s="953">
        <f t="shared" si="68"/>
        <v>0</v>
      </c>
      <c r="AS133" s="953">
        <f t="shared" si="69"/>
        <v>0</v>
      </c>
      <c r="AT133" s="953">
        <f t="shared" si="70"/>
        <v>0</v>
      </c>
      <c r="AU133" s="953">
        <f t="shared" si="71"/>
        <v>0</v>
      </c>
      <c r="AV133" s="953">
        <f t="shared" si="72"/>
        <v>0</v>
      </c>
      <c r="AW133" s="16">
        <f t="shared" si="73"/>
        <v>0</v>
      </c>
      <c r="AX133" s="16">
        <f t="shared" si="74"/>
        <v>0</v>
      </c>
      <c r="AY133" s="16">
        <f t="shared" si="75"/>
        <v>0</v>
      </c>
      <c r="AZ133" s="16">
        <f t="shared" si="76"/>
        <v>0</v>
      </c>
      <c r="BA133" s="16">
        <f t="shared" si="77"/>
        <v>0</v>
      </c>
      <c r="BB133" s="1373">
        <f>IF(AB133,VLOOKUP(IF(ISNUMBER(MATCH(Overview!$B$14,useless_spell_races,0)),Overview!$B$14,"Other"),Constants!$P$89:$S$102,4,FALSE),IF(BB132&gt;0,BB132-1,0))</f>
        <v>0</v>
      </c>
    </row>
    <row r="134" spans="1:54" s="16" customFormat="1" x14ac:dyDescent="0.25">
      <c r="A134" s="982">
        <f>Rezone!J134</f>
        <v>132</v>
      </c>
      <c r="B134" s="16">
        <f>Construction!E134</f>
        <v>1000</v>
      </c>
      <c r="C134" s="26">
        <f ca="1">Production!K134</f>
        <v>59487</v>
      </c>
      <c r="D134" s="62">
        <f>MIN(1,D133+0.04+ROUNDDOWN(10*Military!BN133,0)+MAX(Techs!AN133,Techs!AW133*3))-AE134</f>
        <v>1</v>
      </c>
      <c r="E134" s="530">
        <f>Imps!L134</f>
        <v>43769.364583333016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AB134*VLOOKUP(IF(ISNUMBER(MATCH(Overview!$B$14,useless_spell_races,0)),Overview!$B$14,"Other"),Constants!$P$89:$S$102,3,FALSE))</f>
        <v>0</v>
      </c>
      <c r="AE134" s="62">
        <f t="shared" si="61"/>
        <v>0</v>
      </c>
      <c r="AG134" s="633">
        <f t="shared" si="78"/>
        <v>0</v>
      </c>
      <c r="AH134" s="527">
        <f t="shared" si="79"/>
        <v>0</v>
      </c>
      <c r="AI134" s="527">
        <f t="shared" si="80"/>
        <v>0</v>
      </c>
      <c r="AJ134" s="527">
        <f t="shared" si="81"/>
        <v>0</v>
      </c>
      <c r="AK134" s="525">
        <f t="shared" si="82"/>
        <v>0</v>
      </c>
      <c r="AL134" s="527">
        <f t="shared" si="62"/>
        <v>0</v>
      </c>
      <c r="AM134" s="527">
        <f t="shared" si="63"/>
        <v>0</v>
      </c>
      <c r="AN134" s="527">
        <f t="shared" si="64"/>
        <v>0</v>
      </c>
      <c r="AO134" s="527">
        <f t="shared" si="65"/>
        <v>0</v>
      </c>
      <c r="AP134" s="527">
        <f t="shared" si="66"/>
        <v>0</v>
      </c>
      <c r="AQ134" s="527">
        <f t="shared" si="67"/>
        <v>0</v>
      </c>
      <c r="AR134" s="953">
        <f t="shared" si="68"/>
        <v>0</v>
      </c>
      <c r="AS134" s="953">
        <f t="shared" si="69"/>
        <v>0</v>
      </c>
      <c r="AT134" s="953">
        <f t="shared" si="70"/>
        <v>0</v>
      </c>
      <c r="AU134" s="953">
        <f t="shared" si="71"/>
        <v>0</v>
      </c>
      <c r="AV134" s="953">
        <f t="shared" si="72"/>
        <v>0</v>
      </c>
      <c r="AW134" s="16">
        <f t="shared" si="73"/>
        <v>0</v>
      </c>
      <c r="AX134" s="16">
        <f t="shared" si="74"/>
        <v>0</v>
      </c>
      <c r="AY134" s="16">
        <f t="shared" si="75"/>
        <v>0</v>
      </c>
      <c r="AZ134" s="16">
        <f t="shared" si="76"/>
        <v>0</v>
      </c>
      <c r="BA134" s="16">
        <f t="shared" si="77"/>
        <v>0</v>
      </c>
      <c r="BB134" s="1373">
        <f>IF(AB134,VLOOKUP(IF(ISNUMBER(MATCH(Overview!$B$14,useless_spell_races,0)),Overview!$B$14,"Other"),Constants!$P$89:$S$102,4,FALSE),IF(BB133&gt;0,BB133-1,0))</f>
        <v>0</v>
      </c>
    </row>
    <row r="135" spans="1:54" s="12" customFormat="1" x14ac:dyDescent="0.25">
      <c r="A135" s="985">
        <f>Rezone!J135</f>
        <v>133</v>
      </c>
      <c r="B135" s="12">
        <f>Construction!E135</f>
        <v>1000</v>
      </c>
      <c r="C135" s="13">
        <f ca="1">Production!K135</f>
        <v>59547</v>
      </c>
      <c r="D135" s="61">
        <f>MIN(1,D134+0.04+ROUNDDOWN(10*Military!BN134,0)+MAX(Techs!AN134,Techs!AW134*3))-AE135</f>
        <v>1</v>
      </c>
      <c r="E135" s="531">
        <f>Imps!L135</f>
        <v>43769.37499999968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AB135*VLOOKUP(IF(ISNUMBER(MATCH(Overview!$B$14,useless_spell_races,0)),Overview!$B$14,"Other"),Constants!$P$89:$S$102,3,FALSE))</f>
        <v>0</v>
      </c>
      <c r="AE135" s="61">
        <f t="shared" si="61"/>
        <v>0</v>
      </c>
      <c r="AG135" s="751">
        <f t="shared" si="78"/>
        <v>0</v>
      </c>
      <c r="AH135" s="629">
        <f t="shared" si="79"/>
        <v>0</v>
      </c>
      <c r="AI135" s="629">
        <f t="shared" si="80"/>
        <v>0</v>
      </c>
      <c r="AJ135" s="629">
        <f t="shared" si="81"/>
        <v>0</v>
      </c>
      <c r="AK135" s="549">
        <f t="shared" si="82"/>
        <v>0</v>
      </c>
      <c r="AL135" s="629">
        <f t="shared" si="62"/>
        <v>0</v>
      </c>
      <c r="AM135" s="629">
        <f t="shared" si="63"/>
        <v>0</v>
      </c>
      <c r="AN135" s="629">
        <f t="shared" si="64"/>
        <v>0</v>
      </c>
      <c r="AO135" s="629">
        <f t="shared" si="65"/>
        <v>0</v>
      </c>
      <c r="AP135" s="629">
        <f t="shared" si="66"/>
        <v>0</v>
      </c>
      <c r="AQ135" s="629">
        <f t="shared" si="67"/>
        <v>0</v>
      </c>
      <c r="AR135" s="800">
        <f t="shared" si="68"/>
        <v>0</v>
      </c>
      <c r="AS135" s="800">
        <f t="shared" si="69"/>
        <v>0</v>
      </c>
      <c r="AT135" s="800">
        <f t="shared" si="70"/>
        <v>0</v>
      </c>
      <c r="AU135" s="800">
        <f t="shared" si="71"/>
        <v>0</v>
      </c>
      <c r="AV135" s="800">
        <f t="shared" si="72"/>
        <v>0</v>
      </c>
      <c r="AW135" s="12">
        <f t="shared" si="73"/>
        <v>0</v>
      </c>
      <c r="AX135" s="12">
        <f t="shared" si="74"/>
        <v>0</v>
      </c>
      <c r="AY135" s="12">
        <f t="shared" si="75"/>
        <v>0</v>
      </c>
      <c r="AZ135" s="12">
        <f t="shared" si="76"/>
        <v>0</v>
      </c>
      <c r="BA135" s="12">
        <f t="shared" si="77"/>
        <v>0</v>
      </c>
      <c r="BB135" s="1376">
        <f>IF(AB135,VLOOKUP(IF(ISNUMBER(MATCH(Overview!$B$14,useless_spell_races,0)),Overview!$B$14,"Other"),Constants!$P$89:$S$102,4,FALSE),IF(BB134&gt;0,BB134-1,0))</f>
        <v>0</v>
      </c>
    </row>
    <row r="1268" spans="3:4" x14ac:dyDescent="0.25">
      <c r="C1268" s="1464" t="s">
        <v>330</v>
      </c>
      <c r="D1268" s="1415"/>
    </row>
    <row r="1269" spans="3:4" x14ac:dyDescent="0.25">
      <c r="C1269" s="669">
        <f ca="1">Overview!E17</f>
        <v>-42</v>
      </c>
      <c r="D1269" s="669"/>
    </row>
  </sheetData>
  <mergeCells count="1">
    <mergeCell ref="C1268:D1268"/>
  </mergeCells>
  <phoneticPr fontId="0" type="noConversion"/>
  <conditionalFormatting sqref="AW18582:JG29750 AW8198:JG8198 AE18613:AV29781 B12458:C20615 B8249:AV8249">
    <cfRule type="expression" dxfId="139" priority="10" stopIfTrue="1">
      <formula>ROW()-2=#REF!</formula>
    </cfRule>
  </conditionalFormatting>
  <conditionalFormatting sqref="A1268:XFD1269">
    <cfRule type="expression" dxfId="138" priority="11" stopIfTrue="1">
      <formula>$C$1269&gt;144</formula>
    </cfRule>
  </conditionalFormatting>
  <conditionalFormatting sqref="E3:F18 A3:A18 AC3:JG18 AC32:JG135 A32:A135 E32:F135 AC28:JG30 A28:A30 E28:F30 AC20:JG26 A20:A26 E20:F26">
    <cfRule type="expression" dxfId="137" priority="12" stopIfTrue="1">
      <formula>ROW()-3=$C$1269</formula>
    </cfRule>
  </conditionalFormatting>
  <conditionalFormatting sqref="B3:D18 B32:D135 B28:D30 B20:D26">
    <cfRule type="expression" dxfId="136" priority="13" stopIfTrue="1">
      <formula>OR(ROW()-3=$C$1269,B3&lt;0)</formula>
    </cfRule>
  </conditionalFormatting>
  <conditionalFormatting sqref="G3:AB18 G32:AB135 G28:AB30 G20:AB26">
    <cfRule type="expression" dxfId="135" priority="14" stopIfTrue="1">
      <formula>OR(ROW()-3=$C$1269,AND(G3&lt;&gt;1,G3&lt;&gt;""))</formula>
    </cfRule>
  </conditionalFormatting>
  <conditionalFormatting sqref="A1:XFD2">
    <cfRule type="expression" dxfId="134" priority="15" stopIfTrue="1">
      <formula>$C$1269&lt;0</formula>
    </cfRule>
  </conditionalFormatting>
  <conditionalFormatting sqref="E19:F19 A19 AC19:JG19">
    <cfRule type="expression" dxfId="133" priority="1" stopIfTrue="1">
      <formula>ROW()-3=$C$1269</formula>
    </cfRule>
  </conditionalFormatting>
  <conditionalFormatting sqref="E31:F31 A31 AC31:JG31">
    <cfRule type="expression" dxfId="132" priority="7" stopIfTrue="1">
      <formula>ROW()-3=$C$1269</formula>
    </cfRule>
  </conditionalFormatting>
  <conditionalFormatting sqref="B31:D31">
    <cfRule type="expression" dxfId="131" priority="8" stopIfTrue="1">
      <formula>OR(ROW()-3=$C$1269,B31&lt;0)</formula>
    </cfRule>
  </conditionalFormatting>
  <conditionalFormatting sqref="G31:AB31">
    <cfRule type="expression" dxfId="130" priority="9" stopIfTrue="1">
      <formula>OR(ROW()-3=$C$1269,AND(G31&lt;&gt;1,G31&lt;&gt;""))</formula>
    </cfRule>
  </conditionalFormatting>
  <conditionalFormatting sqref="E27:F27 A27 AC27:JG27">
    <cfRule type="expression" dxfId="129" priority="4" stopIfTrue="1">
      <formula>ROW()-3=$C$1269</formula>
    </cfRule>
  </conditionalFormatting>
  <conditionalFormatting sqref="B27:D27">
    <cfRule type="expression" dxfId="128" priority="5" stopIfTrue="1">
      <formula>OR(ROW()-3=$C$1269,B27&lt;0)</formula>
    </cfRule>
  </conditionalFormatting>
  <conditionalFormatting sqref="G27:AB27">
    <cfRule type="expression" dxfId="127" priority="6" stopIfTrue="1">
      <formula>OR(ROW()-3=$C$1269,AND(G27&lt;&gt;1,G27&lt;&gt;""))</formula>
    </cfRule>
  </conditionalFormatting>
  <conditionalFormatting sqref="B19:D19">
    <cfRule type="expression" dxfId="126" priority="2" stopIfTrue="1">
      <formula>OR(ROW()-3=$C$1269,B19&lt;0)</formula>
    </cfRule>
  </conditionalFormatting>
  <conditionalFormatting sqref="G19:AB19">
    <cfRule type="expression" dxfId="125" priority="3" stopIfTrue="1">
      <formula>OR(ROW()-3=$C$1269,AND(G19&lt;&gt;1,G19&lt;&gt;""))</formula>
    </cfRule>
  </conditionalFormatting>
  <dataValidations count="1">
    <dataValidation type="whole" operator="equal" allowBlank="1" showInputMessage="1" showErrorMessage="1" sqref="G3:AB135" xr:uid="{00000000-0002-0000-0700-000000000000}">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BY1269"/>
  <sheetViews>
    <sheetView zoomScale="85" workbookViewId="0">
      <pane ySplit="23" topLeftCell="A24" activePane="bottomLeft" state="frozen"/>
      <selection activeCell="S34" sqref="S34"/>
      <selection pane="bottomLeft" activeCell="A24" sqref="A24"/>
    </sheetView>
  </sheetViews>
  <sheetFormatPr defaultColWidth="30.44140625" defaultRowHeight="13.2" x14ac:dyDescent="0.25"/>
  <cols>
    <col min="1" max="1" width="3.88671875" style="16" customWidth="1"/>
    <col min="2" max="2" width="6.6640625" style="848" bestFit="1" customWidth="1"/>
    <col min="3" max="3" width="6.6640625" bestFit="1" customWidth="1"/>
    <col min="4" max="4" width="13.44140625" bestFit="1" customWidth="1"/>
    <col min="5" max="5" width="5.6640625" bestFit="1" customWidth="1"/>
    <col min="6" max="6" width="8.5546875" bestFit="1" customWidth="1"/>
    <col min="7" max="7" width="7.44140625" customWidth="1"/>
    <col min="8" max="8" width="14.44140625" customWidth="1"/>
    <col min="9" max="9" width="2.6640625" customWidth="1"/>
    <col min="10" max="10" width="6.5546875" customWidth="1"/>
    <col min="11" max="11" width="3" customWidth="1"/>
    <col min="12" max="12" width="3.88671875" customWidth="1"/>
    <col min="13" max="13" width="28.109375" bestFit="1" customWidth="1"/>
    <col min="14" max="14" width="3" customWidth="1"/>
    <col min="15" max="15" width="3.5546875" customWidth="1"/>
    <col min="16" max="16" width="7.33203125" customWidth="1"/>
    <col min="17" max="17" width="16.33203125" customWidth="1"/>
    <col min="18" max="18" width="3" customWidth="1"/>
    <col min="19" max="19" width="9.6640625" customWidth="1"/>
    <col min="20" max="20" width="3.109375" customWidth="1"/>
    <col min="21" max="21" width="7.33203125" customWidth="1"/>
    <col min="22" max="22" width="7.5546875" customWidth="1"/>
    <col min="23" max="23" width="7.88671875" style="52" customWidth="1"/>
    <col min="24" max="24" width="9" style="16" bestFit="1" customWidth="1"/>
    <col min="25" max="25" width="8.44140625" style="16" bestFit="1" customWidth="1"/>
    <col min="26" max="26" width="7.88671875" style="16" bestFit="1" customWidth="1"/>
    <col min="27" max="27" width="6.33203125" style="16" bestFit="1" customWidth="1"/>
    <col min="28" max="28" width="14.88671875" style="16" bestFit="1" customWidth="1"/>
    <col min="29" max="29" width="11.44140625" style="16" bestFit="1" customWidth="1"/>
    <col min="30" max="31" width="8.44140625" style="16" bestFit="1" customWidth="1"/>
    <col min="32" max="32" width="11.44140625" style="16" bestFit="1" customWidth="1"/>
    <col min="33" max="33" width="11.5546875" style="16" bestFit="1" customWidth="1"/>
    <col min="34" max="34" width="7.44140625" style="16" bestFit="1" customWidth="1"/>
    <col min="35" max="35" width="11.88671875" style="16" bestFit="1" customWidth="1"/>
    <col min="36" max="36" width="12.5546875" style="16" bestFit="1" customWidth="1"/>
    <col min="37" max="37" width="8.88671875" style="16" bestFit="1" customWidth="1"/>
    <col min="38" max="38" width="13.88671875" style="16" bestFit="1" customWidth="1"/>
    <col min="39" max="39" width="12.109375" style="16" bestFit="1" customWidth="1"/>
    <col min="40" max="40" width="9.109375" style="16" bestFit="1" customWidth="1"/>
    <col min="41" max="41" width="22" style="16" bestFit="1" customWidth="1"/>
    <col min="42" max="42" width="21.109375" style="16" bestFit="1" customWidth="1"/>
    <col min="43" max="43" width="16.88671875" style="16" bestFit="1" customWidth="1"/>
    <col min="44" max="44" width="16.6640625" style="16" bestFit="1" customWidth="1"/>
    <col min="45" max="45" width="22.109375" style="16" bestFit="1" customWidth="1"/>
    <col min="46" max="46" width="20.33203125" style="16" bestFit="1" customWidth="1"/>
    <col min="47" max="47" width="17.33203125" style="16" bestFit="1" customWidth="1"/>
    <col min="48" max="48" width="21" style="16" bestFit="1" customWidth="1"/>
    <col min="49" max="49" width="15.33203125" style="16" bestFit="1" customWidth="1"/>
    <col min="50" max="50" width="8" style="63" customWidth="1"/>
    <col min="51" max="51" width="7.88671875" style="16" bestFit="1" customWidth="1"/>
    <col min="52" max="52" width="9" style="16" bestFit="1" customWidth="1"/>
    <col min="53" max="53" width="8.44140625" style="16" bestFit="1" customWidth="1"/>
    <col min="54" max="54" width="7.88671875" style="16" bestFit="1" customWidth="1"/>
    <col min="55" max="55" width="6.33203125" style="16" bestFit="1" customWidth="1"/>
    <col min="56" max="56" width="14.88671875" style="16" bestFit="1" customWidth="1"/>
    <col min="57" max="57" width="11.44140625" style="16" bestFit="1" customWidth="1"/>
    <col min="58" max="59" width="8.44140625" style="16" bestFit="1" customWidth="1"/>
    <col min="60" max="60" width="11.44140625" style="16" bestFit="1" customWidth="1"/>
    <col min="61" max="61" width="11.5546875" style="16" bestFit="1" customWidth="1"/>
    <col min="62" max="62" width="7.44140625" style="16" bestFit="1" customWidth="1"/>
    <col min="63" max="63" width="11.88671875" style="16" bestFit="1" customWidth="1"/>
    <col min="64" max="64" width="12.5546875" style="16" bestFit="1" customWidth="1"/>
    <col min="65" max="65" width="8.88671875" style="16" bestFit="1" customWidth="1"/>
    <col min="66" max="66" width="13.88671875" style="16" bestFit="1" customWidth="1"/>
    <col min="67" max="67" width="12.109375" style="16" bestFit="1" customWidth="1"/>
    <col min="68" max="68" width="9.109375" style="16" bestFit="1" customWidth="1"/>
    <col min="69" max="69" width="22" style="16" bestFit="1" customWidth="1"/>
    <col min="70" max="70" width="21.109375" style="16" bestFit="1" customWidth="1"/>
    <col min="71" max="71" width="16.88671875" style="16" bestFit="1" customWidth="1"/>
    <col min="72" max="72" width="16.6640625" style="16" bestFit="1" customWidth="1"/>
    <col min="73" max="73" width="22.109375" style="16" bestFit="1" customWidth="1"/>
    <col min="74" max="74" width="20.33203125" style="16" bestFit="1" customWidth="1"/>
    <col min="75" max="75" width="17.33203125" style="16" bestFit="1" customWidth="1"/>
    <col min="76" max="76" width="21" style="16" bestFit="1" customWidth="1"/>
    <col min="77" max="77" width="15.33203125" style="53" bestFit="1" customWidth="1"/>
  </cols>
  <sheetData>
    <row r="1" spans="1:77" s="445" customFormat="1" x14ac:dyDescent="0.25">
      <c r="B1" s="49"/>
      <c r="F1" s="903" t="s">
        <v>425</v>
      </c>
      <c r="G1" s="935" t="s">
        <v>458</v>
      </c>
      <c r="H1" s="934">
        <f>A3</f>
        <v>1</v>
      </c>
      <c r="I1" s="937">
        <f ca="1">(INDIRECT("D" &amp; (INDIRECT("A3")+2)) &gt;= INDIRECT("E" &amp; (INDIRECT("A3")+2)))*1</f>
        <v>0</v>
      </c>
      <c r="J1" s="958" t="s">
        <v>490</v>
      </c>
      <c r="K1" s="905"/>
      <c r="L1" s="905"/>
      <c r="M1" s="904"/>
      <c r="N1" s="906"/>
      <c r="O1" s="906"/>
      <c r="P1" s="904"/>
      <c r="Q1" s="904"/>
      <c r="R1" s="905"/>
      <c r="S1" s="905"/>
      <c r="T1" s="904"/>
      <c r="U1" s="907"/>
      <c r="W1" s="1490" t="s">
        <v>398</v>
      </c>
      <c r="X1" s="1489"/>
      <c r="Y1" s="1489"/>
      <c r="Z1" s="1489" t="s">
        <v>188</v>
      </c>
      <c r="AA1" s="1489"/>
      <c r="AB1" s="1489"/>
      <c r="AC1" s="1489" t="s">
        <v>290</v>
      </c>
      <c r="AD1" s="1489"/>
      <c r="AE1" s="1489"/>
      <c r="AF1" s="1489" t="s">
        <v>22</v>
      </c>
      <c r="AG1" s="1489"/>
      <c r="AH1" s="1489"/>
      <c r="AI1" s="1489" t="s">
        <v>76</v>
      </c>
      <c r="AJ1" s="1489"/>
      <c r="AK1" s="1489"/>
      <c r="AL1" s="1489" t="s">
        <v>194</v>
      </c>
      <c r="AM1" s="1489"/>
      <c r="AN1" s="1489"/>
      <c r="AO1" s="929" t="s">
        <v>399</v>
      </c>
      <c r="AP1" s="929" t="s">
        <v>400</v>
      </c>
      <c r="AQ1" s="929" t="s">
        <v>401</v>
      </c>
      <c r="AR1" s="929" t="s">
        <v>402</v>
      </c>
      <c r="AS1" s="929" t="s">
        <v>403</v>
      </c>
      <c r="AT1" s="929" t="s">
        <v>404</v>
      </c>
      <c r="AU1" s="929" t="s">
        <v>405</v>
      </c>
      <c r="AV1" s="929" t="s">
        <v>406</v>
      </c>
      <c r="AW1" s="929" t="s">
        <v>407</v>
      </c>
      <c r="AX1" s="943"/>
      <c r="AY1" s="1490" t="s">
        <v>398</v>
      </c>
      <c r="AZ1" s="1489"/>
      <c r="BA1" s="1489"/>
      <c r="BB1" s="1489" t="s">
        <v>188</v>
      </c>
      <c r="BC1" s="1489"/>
      <c r="BD1" s="1489"/>
      <c r="BE1" s="1489" t="s">
        <v>290</v>
      </c>
      <c r="BF1" s="1489"/>
      <c r="BG1" s="1489"/>
      <c r="BH1" s="1489" t="s">
        <v>22</v>
      </c>
      <c r="BI1" s="1489"/>
      <c r="BJ1" s="1489"/>
      <c r="BK1" s="1489" t="s">
        <v>76</v>
      </c>
      <c r="BL1" s="1489"/>
      <c r="BM1" s="1489"/>
      <c r="BN1" s="1489" t="s">
        <v>194</v>
      </c>
      <c r="BO1" s="1489"/>
      <c r="BP1" s="1489"/>
      <c r="BQ1" s="929" t="s">
        <v>399</v>
      </c>
      <c r="BR1" s="929" t="s">
        <v>400</v>
      </c>
      <c r="BS1" s="929" t="s">
        <v>401</v>
      </c>
      <c r="BT1" s="929" t="s">
        <v>402</v>
      </c>
      <c r="BU1" s="929" t="s">
        <v>403</v>
      </c>
      <c r="BV1" s="929" t="s">
        <v>404</v>
      </c>
      <c r="BW1" s="929" t="s">
        <v>405</v>
      </c>
      <c r="BX1" s="929" t="s">
        <v>406</v>
      </c>
      <c r="BY1" s="930" t="s">
        <v>407</v>
      </c>
    </row>
    <row r="2" spans="1:77" s="521" customFormat="1" ht="13.8" thickBot="1" x14ac:dyDescent="0.3">
      <c r="B2" s="991" t="s">
        <v>0</v>
      </c>
      <c r="C2" s="936" t="s">
        <v>1</v>
      </c>
      <c r="D2" s="936" t="s">
        <v>384</v>
      </c>
      <c r="E2" s="936" t="s">
        <v>33</v>
      </c>
      <c r="F2" s="927"/>
      <c r="G2" s="910"/>
      <c r="H2" s="910"/>
      <c r="I2" s="910"/>
      <c r="J2" s="910"/>
      <c r="K2" s="910"/>
      <c r="L2" s="910"/>
      <c r="M2" s="910"/>
      <c r="N2" s="910"/>
      <c r="O2" s="910"/>
      <c r="P2" s="910"/>
      <c r="Q2" s="910"/>
      <c r="R2" s="910"/>
      <c r="S2" s="910"/>
      <c r="T2" s="910"/>
      <c r="U2" s="928"/>
      <c r="W2" s="679" t="s">
        <v>431</v>
      </c>
      <c r="X2" s="545" t="s">
        <v>432</v>
      </c>
      <c r="Y2" s="545" t="s">
        <v>433</v>
      </c>
      <c r="Z2" s="545" t="s">
        <v>434</v>
      </c>
      <c r="AA2" s="545" t="s">
        <v>435</v>
      </c>
      <c r="AB2" s="545" t="s">
        <v>436</v>
      </c>
      <c r="AC2" s="545" t="s">
        <v>437</v>
      </c>
      <c r="AD2" s="545" t="s">
        <v>438</v>
      </c>
      <c r="AE2" s="545" t="s">
        <v>439</v>
      </c>
      <c r="AF2" s="545" t="s">
        <v>440</v>
      </c>
      <c r="AG2" s="545" t="s">
        <v>441</v>
      </c>
      <c r="AH2" s="545" t="s">
        <v>442</v>
      </c>
      <c r="AI2" s="545" t="s">
        <v>443</v>
      </c>
      <c r="AJ2" s="545" t="s">
        <v>444</v>
      </c>
      <c r="AK2" s="545" t="s">
        <v>445</v>
      </c>
      <c r="AL2" s="545" t="s">
        <v>446</v>
      </c>
      <c r="AM2" s="545" t="s">
        <v>447</v>
      </c>
      <c r="AN2" s="545" t="s">
        <v>448</v>
      </c>
      <c r="AO2" s="545" t="s">
        <v>449</v>
      </c>
      <c r="AP2" s="545" t="s">
        <v>450</v>
      </c>
      <c r="AQ2" s="545" t="s">
        <v>451</v>
      </c>
      <c r="AR2" s="545" t="s">
        <v>452</v>
      </c>
      <c r="AS2" s="545" t="s">
        <v>453</v>
      </c>
      <c r="AT2" s="545" t="s">
        <v>454</v>
      </c>
      <c r="AU2" s="545" t="s">
        <v>455</v>
      </c>
      <c r="AV2" s="545" t="s">
        <v>456</v>
      </c>
      <c r="AW2" s="545" t="s">
        <v>457</v>
      </c>
      <c r="AX2" s="944"/>
      <c r="AY2" s="545" t="s">
        <v>431</v>
      </c>
      <c r="AZ2" s="545" t="s">
        <v>432</v>
      </c>
      <c r="BA2" s="545" t="s">
        <v>433</v>
      </c>
      <c r="BB2" s="545" t="s">
        <v>434</v>
      </c>
      <c r="BC2" s="545" t="s">
        <v>435</v>
      </c>
      <c r="BD2" s="545" t="s">
        <v>436</v>
      </c>
      <c r="BE2" s="545" t="s">
        <v>437</v>
      </c>
      <c r="BF2" s="545" t="s">
        <v>438</v>
      </c>
      <c r="BG2" s="545" t="s">
        <v>439</v>
      </c>
      <c r="BH2" s="545" t="s">
        <v>440</v>
      </c>
      <c r="BI2" s="545" t="s">
        <v>441</v>
      </c>
      <c r="BJ2" s="545" t="s">
        <v>442</v>
      </c>
      <c r="BK2" s="545" t="s">
        <v>443</v>
      </c>
      <c r="BL2" s="545">
        <v>1</v>
      </c>
      <c r="BM2" s="545" t="s">
        <v>445</v>
      </c>
      <c r="BN2" s="545" t="s">
        <v>446</v>
      </c>
      <c r="BO2" s="545" t="s">
        <v>447</v>
      </c>
      <c r="BP2" s="545" t="s">
        <v>448</v>
      </c>
      <c r="BQ2" s="545" t="s">
        <v>449</v>
      </c>
      <c r="BR2" s="545" t="s">
        <v>450</v>
      </c>
      <c r="BS2" s="545" t="s">
        <v>451</v>
      </c>
      <c r="BT2" s="545" t="s">
        <v>452</v>
      </c>
      <c r="BU2" s="545" t="s">
        <v>453</v>
      </c>
      <c r="BV2" s="545" t="s">
        <v>454</v>
      </c>
      <c r="BW2" s="545" t="s">
        <v>455</v>
      </c>
      <c r="BX2" s="545" t="s">
        <v>456</v>
      </c>
      <c r="BY2" s="660" t="s">
        <v>457</v>
      </c>
    </row>
    <row r="3" spans="1:77" s="12" customFormat="1" x14ac:dyDescent="0.25">
      <c r="A3" s="897">
        <v>1</v>
      </c>
      <c r="B3" s="992">
        <f>Rezone!J3</f>
        <v>1</v>
      </c>
      <c r="C3" s="898">
        <f>Construction!E3</f>
        <v>1000</v>
      </c>
      <c r="D3" s="683">
        <f>Production!P3</f>
        <v>0</v>
      </c>
      <c r="E3" s="841">
        <f>Production!Q3</f>
        <v>5000</v>
      </c>
      <c r="F3" s="908"/>
      <c r="G3" s="1487" t="s">
        <v>398</v>
      </c>
      <c r="H3" s="1488"/>
      <c r="I3" s="1488"/>
      <c r="J3" s="909"/>
      <c r="K3" s="910"/>
      <c r="L3" s="910"/>
      <c r="M3" s="909"/>
      <c r="N3" s="28"/>
      <c r="O3" s="28"/>
      <c r="P3" s="909"/>
      <c r="Q3" s="1491" t="s">
        <v>426</v>
      </c>
      <c r="R3" s="1492"/>
      <c r="S3" s="1492"/>
      <c r="T3" s="909"/>
      <c r="U3" s="911"/>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x14ac:dyDescent="0.25">
      <c r="A4" s="899"/>
      <c r="B4" s="993">
        <f>Rezone!J4</f>
        <v>2</v>
      </c>
      <c r="C4" s="160">
        <f>Construction!E4</f>
        <v>1000</v>
      </c>
      <c r="D4" s="164">
        <f>Production!P4</f>
        <v>0</v>
      </c>
      <c r="E4" s="166">
        <f>Production!Q4</f>
        <v>5000</v>
      </c>
      <c r="F4" s="912" t="b">
        <f>I4</f>
        <v>0</v>
      </c>
      <c r="G4" s="1485" t="s">
        <v>408</v>
      </c>
      <c r="H4" s="1486"/>
      <c r="I4" s="914" t="b">
        <v>0</v>
      </c>
      <c r="J4" s="909"/>
      <c r="K4" s="28"/>
      <c r="L4" s="28"/>
      <c r="M4" s="909" t="s">
        <v>427</v>
      </c>
      <c r="N4" s="28"/>
      <c r="O4" s="28"/>
      <c r="P4" s="915" t="b">
        <f>T4</f>
        <v>0</v>
      </c>
      <c r="Q4" s="1485" t="s">
        <v>411</v>
      </c>
      <c r="R4" s="1496"/>
      <c r="S4" s="1496"/>
      <c r="T4" s="914" t="b">
        <v>0</v>
      </c>
      <c r="U4" s="911"/>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x14ac:dyDescent="0.25">
      <c r="A5" s="899"/>
      <c r="B5" s="993">
        <f>Rezone!J5</f>
        <v>3</v>
      </c>
      <c r="C5" s="160">
        <f>Construction!E5</f>
        <v>1000</v>
      </c>
      <c r="D5" s="164">
        <f>Production!P5</f>
        <v>0</v>
      </c>
      <c r="E5" s="164">
        <f>Production!Q5</f>
        <v>5000</v>
      </c>
      <c r="F5" s="912" t="b">
        <f>I5</f>
        <v>0</v>
      </c>
      <c r="G5" s="1504" t="s">
        <v>409</v>
      </c>
      <c r="H5" s="1412"/>
      <c r="I5" s="917" t="b">
        <v>0</v>
      </c>
      <c r="J5" s="909"/>
      <c r="K5" s="28"/>
      <c r="L5" s="918" t="b">
        <v>0</v>
      </c>
      <c r="M5" s="919" t="s">
        <v>525</v>
      </c>
      <c r="N5" s="920" t="b">
        <v>0</v>
      </c>
      <c r="O5" s="28"/>
      <c r="P5" s="915" t="b">
        <f>T5</f>
        <v>0</v>
      </c>
      <c r="Q5" s="1497" t="s">
        <v>412</v>
      </c>
      <c r="R5" s="1492"/>
      <c r="S5" s="1492"/>
      <c r="T5" s="917" t="b">
        <v>0</v>
      </c>
      <c r="U5" s="911"/>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x14ac:dyDescent="0.25">
      <c r="A6" s="899"/>
      <c r="B6" s="994">
        <f>Rezone!J6</f>
        <v>4</v>
      </c>
      <c r="C6" s="64">
        <f>Construction!E6</f>
        <v>1000</v>
      </c>
      <c r="D6" s="26">
        <f>Production!P6</f>
        <v>0</v>
      </c>
      <c r="E6" s="57">
        <f>Production!Q6</f>
        <v>5000</v>
      </c>
      <c r="F6" s="912" t="b">
        <f>AND(F4,F5,I6)</f>
        <v>0</v>
      </c>
      <c r="G6" s="1505" t="s">
        <v>410</v>
      </c>
      <c r="H6" s="1502"/>
      <c r="I6" s="920" t="b">
        <v>0</v>
      </c>
      <c r="J6" s="909"/>
      <c r="K6" s="28"/>
      <c r="L6" s="28"/>
      <c r="M6" s="909"/>
      <c r="N6" s="28"/>
      <c r="O6" s="28"/>
      <c r="P6" s="915" t="b">
        <f>AND(T4:T6)</f>
        <v>0</v>
      </c>
      <c r="Q6" s="1493" t="s">
        <v>413</v>
      </c>
      <c r="R6" s="1494"/>
      <c r="S6" s="1494"/>
      <c r="T6" s="920" t="b">
        <v>0</v>
      </c>
      <c r="U6" s="911"/>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x14ac:dyDescent="0.25">
      <c r="A7" s="899"/>
      <c r="B7" s="994">
        <f>Rezone!J7</f>
        <v>5</v>
      </c>
      <c r="C7" s="64">
        <f>Construction!E7</f>
        <v>1000</v>
      </c>
      <c r="D7" s="26">
        <f>Production!P7</f>
        <v>0</v>
      </c>
      <c r="E7" s="57">
        <f>Production!Q7</f>
        <v>5000</v>
      </c>
      <c r="F7" s="908"/>
      <c r="G7" s="28"/>
      <c r="H7" s="909"/>
      <c r="I7" s="909"/>
      <c r="J7" s="909"/>
      <c r="K7" s="28"/>
      <c r="L7" s="28"/>
      <c r="M7" s="909" t="s">
        <v>290</v>
      </c>
      <c r="N7" s="28"/>
      <c r="O7" s="28"/>
      <c r="P7" s="909"/>
      <c r="Q7" s="909"/>
      <c r="R7" s="28"/>
      <c r="S7" s="28"/>
      <c r="T7" s="909"/>
      <c r="U7" s="911"/>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x14ac:dyDescent="0.25">
      <c r="A8" s="899"/>
      <c r="B8" s="994">
        <f>Rezone!J8</f>
        <v>6</v>
      </c>
      <c r="C8" s="64">
        <f>Construction!E8</f>
        <v>1000</v>
      </c>
      <c r="D8" s="26">
        <f>Production!P8</f>
        <v>0</v>
      </c>
      <c r="E8" s="57">
        <f>Production!Q8</f>
        <v>5000</v>
      </c>
      <c r="F8" s="908"/>
      <c r="G8" s="28"/>
      <c r="H8" s="1487" t="s">
        <v>400</v>
      </c>
      <c r="I8" s="1488"/>
      <c r="J8" s="1488"/>
      <c r="K8" s="1488"/>
      <c r="L8" s="918" t="b">
        <v>0</v>
      </c>
      <c r="M8" s="913" t="s">
        <v>414</v>
      </c>
      <c r="N8" s="914" t="b">
        <v>0</v>
      </c>
      <c r="O8" s="28"/>
      <c r="P8" s="1491" t="s">
        <v>401</v>
      </c>
      <c r="Q8" s="1491"/>
      <c r="R8" s="28"/>
      <c r="S8" s="28"/>
      <c r="T8" s="909"/>
      <c r="U8" s="911"/>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x14ac:dyDescent="0.25">
      <c r="A9" s="899"/>
      <c r="B9" s="994">
        <f>Rezone!J9</f>
        <v>7</v>
      </c>
      <c r="C9" s="64">
        <f>Construction!E9</f>
        <v>1000</v>
      </c>
      <c r="D9" s="26">
        <f>Production!P9</f>
        <v>0</v>
      </c>
      <c r="E9" s="57">
        <f>Production!Q9</f>
        <v>5000</v>
      </c>
      <c r="F9" s="922"/>
      <c r="G9" s="923" t="b">
        <v>0</v>
      </c>
      <c r="H9" s="1493" t="s">
        <v>523</v>
      </c>
      <c r="I9" s="1506"/>
      <c r="J9" s="1506"/>
      <c r="K9" s="920" t="b">
        <v>0</v>
      </c>
      <c r="L9" s="918" t="b">
        <v>0</v>
      </c>
      <c r="M9" s="916" t="s">
        <v>415</v>
      </c>
      <c r="N9" s="917" t="b">
        <v>0</v>
      </c>
      <c r="O9" s="918" t="b">
        <v>0</v>
      </c>
      <c r="P9" s="1493" t="s">
        <v>520</v>
      </c>
      <c r="Q9" s="1495"/>
      <c r="R9" s="920" t="b">
        <v>0</v>
      </c>
      <c r="S9" s="28"/>
      <c r="T9" s="909"/>
      <c r="U9" s="911"/>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x14ac:dyDescent="0.25">
      <c r="A10" s="899"/>
      <c r="B10" s="994">
        <f>Rezone!J10</f>
        <v>8</v>
      </c>
      <c r="C10" s="64">
        <f>Construction!E10</f>
        <v>1000</v>
      </c>
      <c r="D10" s="26">
        <f>Production!P10</f>
        <v>0</v>
      </c>
      <c r="E10" s="57">
        <f>Production!Q10</f>
        <v>5000</v>
      </c>
      <c r="F10" s="924"/>
      <c r="G10" s="910"/>
      <c r="H10" s="909"/>
      <c r="I10" s="909"/>
      <c r="J10" s="909"/>
      <c r="K10" s="28"/>
      <c r="L10" s="918" t="b">
        <v>0</v>
      </c>
      <c r="M10" s="921" t="s">
        <v>416</v>
      </c>
      <c r="N10" s="920" t="b">
        <v>0</v>
      </c>
      <c r="O10" s="28"/>
      <c r="P10" s="909"/>
      <c r="Q10" s="909"/>
      <c r="R10" s="28"/>
      <c r="S10" s="28"/>
      <c r="T10" s="909"/>
      <c r="U10" s="911"/>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x14ac:dyDescent="0.25">
      <c r="A11" s="899"/>
      <c r="B11" s="994">
        <f>Rezone!J11</f>
        <v>9</v>
      </c>
      <c r="C11" s="64">
        <f>Construction!E11</f>
        <v>1000</v>
      </c>
      <c r="D11" s="26">
        <f>Production!P11</f>
        <v>0</v>
      </c>
      <c r="E11" s="57">
        <f>Production!Q11</f>
        <v>5000</v>
      </c>
      <c r="F11" s="908"/>
      <c r="G11" s="28"/>
      <c r="H11" s="909"/>
      <c r="I11" s="28"/>
      <c r="J11" s="909"/>
      <c r="K11" s="910"/>
      <c r="L11" s="910"/>
      <c r="M11" s="909"/>
      <c r="N11" s="28"/>
      <c r="O11" s="28"/>
      <c r="P11" s="909"/>
      <c r="Q11" s="909"/>
      <c r="R11" s="910"/>
      <c r="S11" s="910"/>
      <c r="T11" s="909"/>
      <c r="U11" s="911"/>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x14ac:dyDescent="0.25">
      <c r="A12" s="899"/>
      <c r="B12" s="994">
        <f>Rezone!J12</f>
        <v>10</v>
      </c>
      <c r="C12" s="64">
        <f>Construction!E12</f>
        <v>1000</v>
      </c>
      <c r="D12" s="26">
        <f>Production!P12</f>
        <v>0</v>
      </c>
      <c r="E12" s="57">
        <f>Production!Q12</f>
        <v>5000</v>
      </c>
      <c r="F12" s="908"/>
      <c r="G12" s="1487" t="s">
        <v>402</v>
      </c>
      <c r="H12" s="1488"/>
      <c r="I12" s="1488"/>
      <c r="J12" s="909"/>
      <c r="K12" s="28"/>
      <c r="L12" s="28"/>
      <c r="M12" s="909" t="s">
        <v>403</v>
      </c>
      <c r="N12" s="28"/>
      <c r="O12" s="28"/>
      <c r="P12" s="909"/>
      <c r="Q12" s="1491" t="s">
        <v>404</v>
      </c>
      <c r="R12" s="1492"/>
      <c r="S12" s="1492"/>
      <c r="T12" s="909"/>
      <c r="U12" s="911"/>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x14ac:dyDescent="0.25">
      <c r="A13" s="899"/>
      <c r="B13" s="994">
        <f>Rezone!J13</f>
        <v>11</v>
      </c>
      <c r="C13" s="64">
        <f>Construction!E13</f>
        <v>1000</v>
      </c>
      <c r="D13" s="26">
        <f>Production!P13</f>
        <v>0</v>
      </c>
      <c r="E13" s="57">
        <f>Production!Q13</f>
        <v>5000</v>
      </c>
      <c r="F13" s="912" t="b">
        <v>0</v>
      </c>
      <c r="G13" s="1493" t="s">
        <v>519</v>
      </c>
      <c r="H13" s="1502"/>
      <c r="I13" s="920" t="b">
        <v>0</v>
      </c>
      <c r="J13" s="909"/>
      <c r="K13" s="28"/>
      <c r="L13" s="918" t="b">
        <v>0</v>
      </c>
      <c r="M13" s="919" t="s">
        <v>524</v>
      </c>
      <c r="N13" s="920" t="b">
        <v>0</v>
      </c>
      <c r="O13" s="28"/>
      <c r="P13" s="915" t="b">
        <v>0</v>
      </c>
      <c r="Q13" s="1493" t="s">
        <v>428</v>
      </c>
      <c r="R13" s="1494"/>
      <c r="S13" s="1494"/>
      <c r="T13" s="920" t="b">
        <v>0</v>
      </c>
      <c r="U13" s="911"/>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x14ac:dyDescent="0.25">
      <c r="A14" s="899"/>
      <c r="B14" s="993">
        <f>Rezone!J14</f>
        <v>12</v>
      </c>
      <c r="C14" s="160">
        <f>Construction!E14</f>
        <v>1000</v>
      </c>
      <c r="D14" s="164">
        <f>Production!P14</f>
        <v>0</v>
      </c>
      <c r="E14" s="166">
        <f>Production!Q14</f>
        <v>5000</v>
      </c>
      <c r="F14" s="925"/>
      <c r="G14" s="28"/>
      <c r="H14" s="909"/>
      <c r="I14" s="909"/>
      <c r="J14" s="909"/>
      <c r="K14" s="28"/>
      <c r="L14" s="28"/>
      <c r="M14" s="909"/>
      <c r="N14" s="28"/>
      <c r="O14" s="28"/>
      <c r="P14" s="909"/>
      <c r="Q14" s="909"/>
      <c r="R14" s="28"/>
      <c r="S14" s="28"/>
      <c r="T14" s="909"/>
      <c r="U14" s="911"/>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x14ac:dyDescent="0.25">
      <c r="A15" s="900"/>
      <c r="B15" s="995">
        <f>Rezone!J15</f>
        <v>13</v>
      </c>
      <c r="C15" s="203">
        <f>Construction!E15</f>
        <v>1000</v>
      </c>
      <c r="D15" s="153">
        <f>Production!P15</f>
        <v>0</v>
      </c>
      <c r="E15" s="158">
        <f>Production!Q15</f>
        <v>5000</v>
      </c>
      <c r="F15" s="908"/>
      <c r="G15" s="28"/>
      <c r="H15" s="909"/>
      <c r="I15" s="909"/>
      <c r="J15" s="909"/>
      <c r="K15" s="28"/>
      <c r="L15" s="28"/>
      <c r="M15" s="909" t="s">
        <v>22</v>
      </c>
      <c r="N15" s="28"/>
      <c r="O15" s="28"/>
      <c r="P15" s="909"/>
      <c r="Q15" s="909"/>
      <c r="R15" s="28"/>
      <c r="S15" s="28"/>
      <c r="T15" s="909"/>
      <c r="U15" s="911"/>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x14ac:dyDescent="0.25">
      <c r="A16" s="899"/>
      <c r="B16" s="993">
        <f>Rezone!J16</f>
        <v>14</v>
      </c>
      <c r="C16" s="160">
        <f>Construction!E16</f>
        <v>1000</v>
      </c>
      <c r="D16" s="164">
        <f>Production!P16</f>
        <v>0</v>
      </c>
      <c r="E16" s="166">
        <f>Production!Q16</f>
        <v>5000</v>
      </c>
      <c r="F16" s="925"/>
      <c r="G16" s="28"/>
      <c r="H16" s="1487" t="s">
        <v>405</v>
      </c>
      <c r="I16" s="1488"/>
      <c r="J16" s="1488"/>
      <c r="K16" s="1488"/>
      <c r="L16" s="923" t="b">
        <v>0</v>
      </c>
      <c r="M16" s="913" t="s">
        <v>417</v>
      </c>
      <c r="N16" s="938" t="b">
        <v>0</v>
      </c>
      <c r="O16" s="28"/>
      <c r="P16" s="1491" t="s">
        <v>406</v>
      </c>
      <c r="Q16" s="1491"/>
      <c r="R16" s="28"/>
      <c r="S16" s="28"/>
      <c r="T16" s="909"/>
      <c r="U16" s="911"/>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x14ac:dyDescent="0.25">
      <c r="A17" s="899"/>
      <c r="B17" s="993">
        <f>Rezone!J17</f>
        <v>15</v>
      </c>
      <c r="C17" s="160">
        <f>Construction!E17</f>
        <v>1000</v>
      </c>
      <c r="D17" s="164">
        <f>Production!P17</f>
        <v>0</v>
      </c>
      <c r="E17" s="166">
        <f>Production!Q17</f>
        <v>5000</v>
      </c>
      <c r="F17" s="925"/>
      <c r="G17" s="918" t="b">
        <v>0</v>
      </c>
      <c r="H17" s="1505" t="s">
        <v>424</v>
      </c>
      <c r="I17" s="1502"/>
      <c r="J17" s="1502"/>
      <c r="K17" s="920" t="b">
        <v>0</v>
      </c>
      <c r="L17" s="918" t="b">
        <v>0</v>
      </c>
      <c r="M17" s="916" t="s">
        <v>418</v>
      </c>
      <c r="N17" s="917" t="b">
        <v>0</v>
      </c>
      <c r="O17" s="918" t="b">
        <v>0</v>
      </c>
      <c r="P17" s="1493" t="s">
        <v>535</v>
      </c>
      <c r="Q17" s="1503"/>
      <c r="R17" s="920" t="b">
        <v>0</v>
      </c>
      <c r="S17" s="28"/>
      <c r="T17" s="909"/>
      <c r="U17" s="911"/>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x14ac:dyDescent="0.25">
      <c r="A18" s="899"/>
      <c r="B18" s="994">
        <f>Rezone!J18</f>
        <v>16</v>
      </c>
      <c r="C18" s="64">
        <f>Construction!E18</f>
        <v>1000</v>
      </c>
      <c r="D18" s="26">
        <f>Production!P18</f>
        <v>0</v>
      </c>
      <c r="E18" s="57">
        <f>Production!Q18</f>
        <v>5000</v>
      </c>
      <c r="F18" s="925"/>
      <c r="G18" s="28"/>
      <c r="H18" s="909"/>
      <c r="I18" s="909"/>
      <c r="J18" s="909"/>
      <c r="K18" s="28"/>
      <c r="L18" s="918" t="b">
        <v>0</v>
      </c>
      <c r="M18" s="921" t="s">
        <v>419</v>
      </c>
      <c r="N18" s="920" t="b">
        <v>0</v>
      </c>
      <c r="O18" s="28"/>
      <c r="P18" s="909"/>
      <c r="Q18" s="909"/>
      <c r="R18" s="28"/>
      <c r="S18" s="28"/>
      <c r="T18" s="909"/>
      <c r="U18" s="911"/>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s="12" customFormat="1" x14ac:dyDescent="0.25">
      <c r="A19" s="900"/>
      <c r="B19" s="995">
        <f>Rezone!J19</f>
        <v>17</v>
      </c>
      <c r="C19" s="203">
        <f>Construction!E19</f>
        <v>1000</v>
      </c>
      <c r="D19" s="153">
        <f>Production!P19</f>
        <v>0</v>
      </c>
      <c r="E19" s="158">
        <f>Production!Q19</f>
        <v>5000</v>
      </c>
      <c r="F19" s="908"/>
      <c r="G19" s="28" t="s">
        <v>76</v>
      </c>
      <c r="H19" s="1400"/>
      <c r="I19" s="1400"/>
      <c r="J19" s="1400"/>
      <c r="K19" s="28"/>
      <c r="L19" s="28"/>
      <c r="M19" s="1400"/>
      <c r="N19" s="28"/>
      <c r="O19" s="28"/>
      <c r="P19" s="1400"/>
      <c r="Q19" s="1400" t="s">
        <v>429</v>
      </c>
      <c r="R19" s="28"/>
      <c r="S19" s="28"/>
      <c r="T19" s="1400"/>
      <c r="U19" s="911"/>
      <c r="V19"/>
      <c r="W19" s="50">
        <f t="shared" si="2"/>
        <v>0</v>
      </c>
      <c r="X19" s="12">
        <f t="shared" si="3"/>
        <v>0</v>
      </c>
      <c r="Y19" s="12">
        <f t="shared" si="4"/>
        <v>0</v>
      </c>
      <c r="Z19" s="12">
        <f t="shared" si="5"/>
        <v>0</v>
      </c>
      <c r="AA19" s="12">
        <f t="shared" si="6"/>
        <v>0</v>
      </c>
      <c r="AB19" s="12">
        <f t="shared" si="7"/>
        <v>0</v>
      </c>
      <c r="AC19" s="12">
        <f t="shared" si="8"/>
        <v>0</v>
      </c>
      <c r="AD19" s="12">
        <f t="shared" si="9"/>
        <v>0</v>
      </c>
      <c r="AE19" s="12">
        <f t="shared" si="10"/>
        <v>0</v>
      </c>
      <c r="AF19" s="12">
        <f t="shared" si="11"/>
        <v>0</v>
      </c>
      <c r="AG19" s="12">
        <f t="shared" si="12"/>
        <v>0</v>
      </c>
      <c r="AH19" s="12">
        <f t="shared" si="13"/>
        <v>0</v>
      </c>
      <c r="AI19" s="12">
        <f t="shared" si="14"/>
        <v>0</v>
      </c>
      <c r="AJ19" s="12">
        <f t="shared" si="15"/>
        <v>0</v>
      </c>
      <c r="AK19" s="12">
        <f t="shared" si="16"/>
        <v>0</v>
      </c>
      <c r="AL19" s="12">
        <f t="shared" si="17"/>
        <v>0</v>
      </c>
      <c r="AM19" s="12">
        <f t="shared" si="18"/>
        <v>0</v>
      </c>
      <c r="AN19" s="12">
        <f t="shared" si="19"/>
        <v>0</v>
      </c>
      <c r="AO19" s="12">
        <f t="shared" si="20"/>
        <v>0</v>
      </c>
      <c r="AP19" s="12">
        <f t="shared" si="21"/>
        <v>0</v>
      </c>
      <c r="AQ19" s="12">
        <f t="shared" si="22"/>
        <v>0</v>
      </c>
      <c r="AR19" s="12">
        <f t="shared" si="23"/>
        <v>0</v>
      </c>
      <c r="AS19" s="12">
        <f t="shared" si="24"/>
        <v>0</v>
      </c>
      <c r="AT19" s="12">
        <f t="shared" si="25"/>
        <v>0</v>
      </c>
      <c r="AU19" s="12">
        <f t="shared" si="26"/>
        <v>0</v>
      </c>
      <c r="AV19" s="12">
        <f t="shared" si="27"/>
        <v>0</v>
      </c>
      <c r="AW19" s="12">
        <f t="shared" si="28"/>
        <v>0</v>
      </c>
      <c r="AX19" s="286"/>
      <c r="BY19" s="51"/>
    </row>
    <row r="20" spans="1:77" x14ac:dyDescent="0.25">
      <c r="A20" s="899"/>
      <c r="B20" s="994">
        <f>Rezone!J20</f>
        <v>18</v>
      </c>
      <c r="C20" s="64">
        <f>Construction!E20</f>
        <v>1000</v>
      </c>
      <c r="D20" s="26">
        <f>Production!P20</f>
        <v>0</v>
      </c>
      <c r="E20" s="57">
        <f>Production!Q20</f>
        <v>5000</v>
      </c>
      <c r="F20" s="912" t="b">
        <v>0</v>
      </c>
      <c r="G20" s="1499" t="s">
        <v>420</v>
      </c>
      <c r="H20" s="1500"/>
      <c r="I20" s="914" t="b">
        <v>0</v>
      </c>
      <c r="J20" s="909"/>
      <c r="K20" s="28"/>
      <c r="L20" s="28"/>
      <c r="M20" s="909" t="s">
        <v>407</v>
      </c>
      <c r="N20" s="28"/>
      <c r="O20" s="28"/>
      <c r="P20" s="915" t="b">
        <v>0</v>
      </c>
      <c r="Q20" s="1485" t="s">
        <v>422</v>
      </c>
      <c r="R20" s="1496"/>
      <c r="S20" s="1496"/>
      <c r="T20" s="914" t="b">
        <v>0</v>
      </c>
      <c r="U20" s="911"/>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x14ac:dyDescent="0.25">
      <c r="A21" s="899"/>
      <c r="B21" s="994">
        <f>Rezone!J21</f>
        <v>19</v>
      </c>
      <c r="C21" s="64">
        <f>Construction!E21</f>
        <v>1000</v>
      </c>
      <c r="D21" s="26">
        <f>Production!P21</f>
        <v>0</v>
      </c>
      <c r="E21" s="57">
        <f>Production!Q21</f>
        <v>5000</v>
      </c>
      <c r="F21" s="926" t="b">
        <v>0</v>
      </c>
      <c r="G21" s="1501" t="s">
        <v>522</v>
      </c>
      <c r="H21" s="1441"/>
      <c r="I21" s="917" t="b">
        <v>0</v>
      </c>
      <c r="J21" s="909"/>
      <c r="K21" s="28"/>
      <c r="L21" s="923" t="b">
        <v>0</v>
      </c>
      <c r="M21" s="919" t="s">
        <v>430</v>
      </c>
      <c r="N21" s="920" t="b">
        <v>0</v>
      </c>
      <c r="O21" s="28"/>
      <c r="P21" s="915" t="b">
        <v>0</v>
      </c>
      <c r="Q21" s="1498" t="s">
        <v>521</v>
      </c>
      <c r="R21" s="1492"/>
      <c r="S21" s="1492"/>
      <c r="T21" s="917" t="b">
        <v>0</v>
      </c>
      <c r="U21" s="911"/>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x14ac:dyDescent="0.25">
      <c r="A22" s="899"/>
      <c r="B22" s="994">
        <f>Rezone!J22</f>
        <v>20</v>
      </c>
      <c r="C22" s="64">
        <f>Construction!E22</f>
        <v>1000</v>
      </c>
      <c r="D22" s="26">
        <f>Production!P22</f>
        <v>0</v>
      </c>
      <c r="E22" s="57">
        <f>Production!Q22</f>
        <v>5000</v>
      </c>
      <c r="F22" s="926" t="b">
        <v>0</v>
      </c>
      <c r="G22" s="1493" t="s">
        <v>421</v>
      </c>
      <c r="H22" s="1502"/>
      <c r="I22" s="920" t="b">
        <v>0</v>
      </c>
      <c r="J22" s="909"/>
      <c r="K22" s="28"/>
      <c r="L22" s="910"/>
      <c r="M22" s="909"/>
      <c r="N22" s="28"/>
      <c r="O22" s="28"/>
      <c r="P22" s="915" t="b">
        <v>0</v>
      </c>
      <c r="Q22" s="1493" t="s">
        <v>423</v>
      </c>
      <c r="R22" s="1494"/>
      <c r="S22" s="1494"/>
      <c r="T22" s="920" t="b">
        <v>0</v>
      </c>
      <c r="U22" s="911"/>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8" thickBot="1" x14ac:dyDescent="0.3">
      <c r="A23" s="899"/>
      <c r="B23" s="994">
        <f>Rezone!J23</f>
        <v>21</v>
      </c>
      <c r="C23" s="64">
        <f>Construction!E23</f>
        <v>1000</v>
      </c>
      <c r="D23" s="26">
        <f>Production!P23</f>
        <v>0</v>
      </c>
      <c r="E23" s="57">
        <f>Production!Q23</f>
        <v>5000</v>
      </c>
      <c r="F23" s="939"/>
      <c r="G23" s="940"/>
      <c r="H23" s="941"/>
      <c r="I23" s="941"/>
      <c r="J23" s="941"/>
      <c r="K23" s="940"/>
      <c r="L23" s="940"/>
      <c r="M23" s="941"/>
      <c r="N23" s="940"/>
      <c r="O23" s="940"/>
      <c r="P23" s="941"/>
      <c r="Q23" s="941"/>
      <c r="R23" s="940"/>
      <c r="S23" s="940"/>
      <c r="T23" s="941"/>
      <c r="U23" s="942"/>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x14ac:dyDescent="0.25">
      <c r="A24" s="899"/>
      <c r="B24" s="994">
        <f>Rezone!J24</f>
        <v>22</v>
      </c>
      <c r="C24" s="64">
        <f>Construction!E24</f>
        <v>1000</v>
      </c>
      <c r="D24" s="26">
        <f>Production!P24</f>
        <v>0</v>
      </c>
      <c r="E24" s="57">
        <f>Production!Q24</f>
        <v>5000</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x14ac:dyDescent="0.25">
      <c r="A25" s="899"/>
      <c r="B25" s="994">
        <f>Rezone!J25</f>
        <v>23</v>
      </c>
      <c r="C25" s="64">
        <f>Construction!E25</f>
        <v>1000</v>
      </c>
      <c r="D25" s="26">
        <f>Production!P25</f>
        <v>0</v>
      </c>
      <c r="E25" s="57">
        <f>Production!Q25</f>
        <v>5000</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x14ac:dyDescent="0.25">
      <c r="A26" s="899"/>
      <c r="B26" s="993">
        <f>Rezone!J26</f>
        <v>24</v>
      </c>
      <c r="C26" s="160">
        <f>Construction!E26</f>
        <v>1000</v>
      </c>
      <c r="D26" s="164">
        <f>Production!P26</f>
        <v>0</v>
      </c>
      <c r="E26" s="166">
        <f>Production!Q26</f>
        <v>5000</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x14ac:dyDescent="0.25">
      <c r="A27" s="899"/>
      <c r="B27" s="994">
        <f>Rezone!J27</f>
        <v>25</v>
      </c>
      <c r="C27" s="64">
        <f>Construction!E27</f>
        <v>1000</v>
      </c>
      <c r="D27" s="26">
        <f>Production!P27</f>
        <v>0</v>
      </c>
      <c r="E27" s="57">
        <f>Production!Q27</f>
        <v>5000</v>
      </c>
      <c r="F27" s="926"/>
      <c r="G27" s="1501"/>
      <c r="H27" s="1441"/>
      <c r="I27" s="917"/>
      <c r="J27" s="1400"/>
      <c r="K27" s="28"/>
      <c r="L27" s="923"/>
      <c r="M27" s="1401"/>
      <c r="N27" s="920"/>
      <c r="O27" s="28"/>
      <c r="P27" s="915"/>
      <c r="Q27" s="1498"/>
      <c r="R27" s="1492"/>
      <c r="S27" s="1492"/>
      <c r="T27" s="917"/>
      <c r="U27" s="911"/>
      <c r="W27" s="52">
        <f t="shared" si="2"/>
        <v>0</v>
      </c>
      <c r="X27" s="16">
        <f t="shared" si="3"/>
        <v>0</v>
      </c>
      <c r="Y27" s="16">
        <f t="shared" si="4"/>
        <v>0</v>
      </c>
      <c r="Z27" s="16">
        <f t="shared" si="5"/>
        <v>0</v>
      </c>
      <c r="AA27" s="16">
        <f t="shared" si="6"/>
        <v>0</v>
      </c>
      <c r="AB27" s="16">
        <f t="shared" si="7"/>
        <v>0</v>
      </c>
      <c r="AC27" s="16">
        <f t="shared" si="8"/>
        <v>0</v>
      </c>
      <c r="AD27" s="16">
        <f t="shared" si="9"/>
        <v>0</v>
      </c>
      <c r="AE27" s="16">
        <f t="shared" si="10"/>
        <v>0</v>
      </c>
      <c r="AF27" s="16">
        <f t="shared" si="11"/>
        <v>0</v>
      </c>
      <c r="AG27" s="16">
        <f t="shared" si="12"/>
        <v>0</v>
      </c>
      <c r="AH27" s="16">
        <f t="shared" si="13"/>
        <v>0</v>
      </c>
      <c r="AI27" s="16">
        <f t="shared" si="14"/>
        <v>0</v>
      </c>
      <c r="AJ27" s="16">
        <f t="shared" si="15"/>
        <v>0</v>
      </c>
      <c r="AK27" s="16">
        <f t="shared" si="16"/>
        <v>0</v>
      </c>
      <c r="AL27" s="16">
        <f t="shared" si="17"/>
        <v>0</v>
      </c>
      <c r="AM27" s="16">
        <f t="shared" si="18"/>
        <v>0</v>
      </c>
      <c r="AN27" s="16">
        <f t="shared" si="19"/>
        <v>0</v>
      </c>
      <c r="AO27" s="16">
        <f t="shared" si="20"/>
        <v>0</v>
      </c>
      <c r="AP27" s="16">
        <f t="shared" si="21"/>
        <v>0</v>
      </c>
      <c r="AQ27" s="16">
        <f t="shared" si="22"/>
        <v>0</v>
      </c>
      <c r="AR27" s="16">
        <f t="shared" si="23"/>
        <v>0</v>
      </c>
      <c r="AS27" s="16">
        <f t="shared" si="24"/>
        <v>0</v>
      </c>
      <c r="AT27" s="16">
        <f t="shared" si="25"/>
        <v>0</v>
      </c>
      <c r="AU27" s="16">
        <f t="shared" si="26"/>
        <v>0</v>
      </c>
      <c r="AV27" s="16">
        <f t="shared" si="27"/>
        <v>0</v>
      </c>
      <c r="AW27" s="16">
        <f t="shared" si="28"/>
        <v>0</v>
      </c>
    </row>
    <row r="28" spans="1:77" x14ac:dyDescent="0.25">
      <c r="A28" s="899"/>
      <c r="B28" s="993">
        <f>Rezone!J28</f>
        <v>26</v>
      </c>
      <c r="C28" s="160">
        <f>Construction!E28</f>
        <v>1000</v>
      </c>
      <c r="D28" s="164">
        <f>Production!P28</f>
        <v>0</v>
      </c>
      <c r="E28" s="166">
        <f>Production!Q28</f>
        <v>5000</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x14ac:dyDescent="0.25">
      <c r="A29" s="899"/>
      <c r="B29" s="993">
        <f>Rezone!J29</f>
        <v>27</v>
      </c>
      <c r="C29" s="160">
        <f>Construction!E29</f>
        <v>1000</v>
      </c>
      <c r="D29" s="164">
        <f>Production!P29</f>
        <v>0</v>
      </c>
      <c r="E29" s="166">
        <f>Production!Q29</f>
        <v>5000</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ht="13.8" thickBot="1" x14ac:dyDescent="0.3">
      <c r="A30" s="899"/>
      <c r="B30" s="994">
        <f>Rezone!J30</f>
        <v>28</v>
      </c>
      <c r="C30" s="64">
        <f>Construction!E30</f>
        <v>1000</v>
      </c>
      <c r="D30" s="26">
        <f>Production!P30</f>
        <v>0</v>
      </c>
      <c r="E30" s="57">
        <f>Production!Q30</f>
        <v>5000</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s="1255" customFormat="1" ht="14.4" thickTop="1" thickBot="1" x14ac:dyDescent="0.3">
      <c r="A31" s="1253"/>
      <c r="B31" s="1254">
        <f>Rezone!J31</f>
        <v>29</v>
      </c>
      <c r="C31" s="1230">
        <f>Construction!E31</f>
        <v>1000</v>
      </c>
      <c r="D31" s="1193">
        <f>Production!P31</f>
        <v>0</v>
      </c>
      <c r="E31" s="1198">
        <f>Production!Q31</f>
        <v>5000</v>
      </c>
      <c r="F31" s="1225"/>
      <c r="W31" s="1225">
        <f t="shared" si="2"/>
        <v>0</v>
      </c>
      <c r="X31" s="1255">
        <f t="shared" si="3"/>
        <v>0</v>
      </c>
      <c r="Y31" s="1255">
        <f t="shared" si="4"/>
        <v>0</v>
      </c>
      <c r="Z31" s="1255">
        <f t="shared" si="5"/>
        <v>0</v>
      </c>
      <c r="AA31" s="1255">
        <f t="shared" si="6"/>
        <v>0</v>
      </c>
      <c r="AB31" s="1255">
        <f t="shared" si="7"/>
        <v>0</v>
      </c>
      <c r="AC31" s="1255">
        <f t="shared" si="8"/>
        <v>0</v>
      </c>
      <c r="AD31" s="1255">
        <f t="shared" si="9"/>
        <v>0</v>
      </c>
      <c r="AE31" s="1255">
        <f t="shared" si="10"/>
        <v>0</v>
      </c>
      <c r="AF31" s="1255">
        <f t="shared" si="11"/>
        <v>0</v>
      </c>
      <c r="AG31" s="1255">
        <f t="shared" si="12"/>
        <v>0</v>
      </c>
      <c r="AH31" s="1255">
        <f t="shared" si="13"/>
        <v>0</v>
      </c>
      <c r="AI31" s="1255">
        <f t="shared" si="14"/>
        <v>0</v>
      </c>
      <c r="AJ31" s="1255">
        <f t="shared" si="15"/>
        <v>0</v>
      </c>
      <c r="AK31" s="1255">
        <f t="shared" si="16"/>
        <v>0</v>
      </c>
      <c r="AL31" s="1255">
        <f t="shared" si="17"/>
        <v>0</v>
      </c>
      <c r="AM31" s="1255">
        <f t="shared" si="18"/>
        <v>0</v>
      </c>
      <c r="AN31" s="1255">
        <f t="shared" si="19"/>
        <v>0</v>
      </c>
      <c r="AO31" s="1255">
        <f t="shared" si="20"/>
        <v>0</v>
      </c>
      <c r="AP31" s="1255">
        <f t="shared" si="21"/>
        <v>0</v>
      </c>
      <c r="AQ31" s="1255">
        <f t="shared" si="22"/>
        <v>0</v>
      </c>
      <c r="AR31" s="1255">
        <f t="shared" si="23"/>
        <v>0</v>
      </c>
      <c r="AS31" s="1255">
        <f t="shared" si="24"/>
        <v>0</v>
      </c>
      <c r="AT31" s="1255">
        <f t="shared" si="25"/>
        <v>0</v>
      </c>
      <c r="AU31" s="1255">
        <f t="shared" si="26"/>
        <v>0</v>
      </c>
      <c r="AV31" s="1255">
        <f t="shared" si="27"/>
        <v>0</v>
      </c>
      <c r="AW31" s="1255">
        <f t="shared" si="28"/>
        <v>0</v>
      </c>
      <c r="AX31" s="1218"/>
      <c r="BY31" s="1253"/>
    </row>
    <row r="32" spans="1:77" ht="13.8" thickTop="1" x14ac:dyDescent="0.25">
      <c r="A32" s="899"/>
      <c r="B32" s="994">
        <f>Rezone!J32</f>
        <v>30</v>
      </c>
      <c r="C32" s="64">
        <f>Construction!E32</f>
        <v>1000</v>
      </c>
      <c r="D32" s="26">
        <f>Production!P32</f>
        <v>0</v>
      </c>
      <c r="E32" s="57">
        <f>Production!Q32</f>
        <v>5000</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x14ac:dyDescent="0.25">
      <c r="A33" s="899"/>
      <c r="B33" s="994">
        <f>Rezone!J33</f>
        <v>31</v>
      </c>
      <c r="C33" s="64">
        <f>Construction!E33</f>
        <v>1000</v>
      </c>
      <c r="D33" s="26">
        <f>Production!P33</f>
        <v>0</v>
      </c>
      <c r="E33" s="57">
        <f>Production!Q33</f>
        <v>5000</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x14ac:dyDescent="0.25">
      <c r="A34" s="899"/>
      <c r="B34" s="994">
        <f>Rezone!J34</f>
        <v>32</v>
      </c>
      <c r="C34" s="64">
        <f>Construction!E34</f>
        <v>1000</v>
      </c>
      <c r="D34" s="26">
        <f>Production!P34</f>
        <v>0</v>
      </c>
      <c r="E34" s="57">
        <f>Production!Q34</f>
        <v>5000</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x14ac:dyDescent="0.25">
      <c r="A35" s="899"/>
      <c r="B35" s="994">
        <f>Rezone!J35</f>
        <v>33</v>
      </c>
      <c r="C35" s="64">
        <f>Construction!E35</f>
        <v>1000</v>
      </c>
      <c r="D35" s="26">
        <f>Production!P35</f>
        <v>0</v>
      </c>
      <c r="E35" s="57">
        <f>Production!Q35</f>
        <v>5000</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x14ac:dyDescent="0.25">
      <c r="A36" s="899"/>
      <c r="B36" s="994">
        <f>Rezone!J36</f>
        <v>34</v>
      </c>
      <c r="C36" s="64">
        <f>Construction!E36</f>
        <v>1000</v>
      </c>
      <c r="D36" s="26">
        <f>Production!P36</f>
        <v>0</v>
      </c>
      <c r="E36" s="57">
        <f>Production!Q36</f>
        <v>5000</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x14ac:dyDescent="0.25">
      <c r="A37" s="899"/>
      <c r="B37" s="994">
        <f>Rezone!J37</f>
        <v>35</v>
      </c>
      <c r="C37" s="64">
        <f>Construction!E37</f>
        <v>1000</v>
      </c>
      <c r="D37" s="26">
        <f>Production!P37</f>
        <v>0</v>
      </c>
      <c r="E37" s="57">
        <f>Production!Q37</f>
        <v>5000</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x14ac:dyDescent="0.25">
      <c r="A38" s="899"/>
      <c r="B38" s="994">
        <f>Rezone!J38</f>
        <v>36</v>
      </c>
      <c r="C38" s="64">
        <f>Construction!E38</f>
        <v>1000</v>
      </c>
      <c r="D38" s="26">
        <f>Production!P38</f>
        <v>0</v>
      </c>
      <c r="E38" s="57">
        <f>Production!Q38</f>
        <v>5000</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x14ac:dyDescent="0.25">
      <c r="A39" s="900"/>
      <c r="B39" s="997">
        <f>Rezone!J39</f>
        <v>37</v>
      </c>
      <c r="C39" s="93">
        <f>Construction!E39</f>
        <v>1000</v>
      </c>
      <c r="D39" s="13">
        <f>Production!P39</f>
        <v>0</v>
      </c>
      <c r="E39" s="55">
        <f>Production!Q39</f>
        <v>5000</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x14ac:dyDescent="0.25">
      <c r="A40" s="899"/>
      <c r="B40" s="994">
        <f>Rezone!J40</f>
        <v>38</v>
      </c>
      <c r="C40" s="64">
        <f>Construction!E40</f>
        <v>1000</v>
      </c>
      <c r="D40" s="26">
        <f>Production!P40</f>
        <v>0</v>
      </c>
      <c r="E40" s="57">
        <f>Production!Q40</f>
        <v>5000</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x14ac:dyDescent="0.25">
      <c r="A41" s="899"/>
      <c r="B41" s="994">
        <f>Rezone!J41</f>
        <v>39</v>
      </c>
      <c r="C41" s="64">
        <f>Construction!E41</f>
        <v>1000</v>
      </c>
      <c r="D41" s="26">
        <f>Production!P41</f>
        <v>0</v>
      </c>
      <c r="E41" s="57">
        <f>Production!Q41</f>
        <v>5000</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x14ac:dyDescent="0.25">
      <c r="A42" s="899"/>
      <c r="B42" s="994">
        <f>Rezone!J42</f>
        <v>40</v>
      </c>
      <c r="C42" s="64">
        <f>Construction!E42</f>
        <v>1000</v>
      </c>
      <c r="D42" s="26">
        <f>Production!P42</f>
        <v>0</v>
      </c>
      <c r="E42" s="57">
        <f>Production!Q42</f>
        <v>5000</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x14ac:dyDescent="0.25">
      <c r="A43" s="899"/>
      <c r="B43" s="994">
        <f>Rezone!J43</f>
        <v>41</v>
      </c>
      <c r="C43" s="64">
        <f>Construction!E43</f>
        <v>1000</v>
      </c>
      <c r="D43" s="26">
        <f>Production!P43</f>
        <v>0</v>
      </c>
      <c r="E43" s="57">
        <f>Production!Q43</f>
        <v>5000</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x14ac:dyDescent="0.25">
      <c r="A44" s="899"/>
      <c r="B44" s="994">
        <f>Rezone!J44</f>
        <v>42</v>
      </c>
      <c r="C44" s="64">
        <f>Construction!E44</f>
        <v>1000</v>
      </c>
      <c r="D44" s="26">
        <f>Production!P44</f>
        <v>0</v>
      </c>
      <c r="E44" s="57">
        <f>Production!Q44</f>
        <v>5000</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x14ac:dyDescent="0.25">
      <c r="A45" s="899"/>
      <c r="B45" s="994">
        <f>Rezone!J45</f>
        <v>43</v>
      </c>
      <c r="C45" s="64">
        <f>Construction!E45</f>
        <v>1000</v>
      </c>
      <c r="D45" s="26">
        <f>Production!P45</f>
        <v>0</v>
      </c>
      <c r="E45" s="57">
        <f>Production!Q45</f>
        <v>5000</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x14ac:dyDescent="0.25">
      <c r="A46" s="899"/>
      <c r="B46" s="994">
        <f>Rezone!J46</f>
        <v>44</v>
      </c>
      <c r="C46" s="64">
        <f>Construction!E46</f>
        <v>1000</v>
      </c>
      <c r="D46" s="26">
        <f>Production!P46</f>
        <v>0</v>
      </c>
      <c r="E46" s="57">
        <f>Production!Q46</f>
        <v>5000</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x14ac:dyDescent="0.25">
      <c r="A47" s="899"/>
      <c r="B47" s="994">
        <f>Rezone!J47</f>
        <v>45</v>
      </c>
      <c r="C47" s="64">
        <f>Construction!E47</f>
        <v>1000</v>
      </c>
      <c r="D47" s="26">
        <f>Production!P47</f>
        <v>0</v>
      </c>
      <c r="E47" s="57">
        <f>Production!Q47</f>
        <v>5000</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x14ac:dyDescent="0.25">
      <c r="A48" s="899"/>
      <c r="B48" s="994">
        <f>Rezone!J48</f>
        <v>46</v>
      </c>
      <c r="C48" s="64">
        <f>Construction!E48</f>
        <v>1000</v>
      </c>
      <c r="D48" s="26">
        <f>Production!P48</f>
        <v>0</v>
      </c>
      <c r="E48" s="57">
        <f>Production!Q48</f>
        <v>5000</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x14ac:dyDescent="0.25">
      <c r="A49" s="899"/>
      <c r="B49" s="994">
        <f>Rezone!J49</f>
        <v>47</v>
      </c>
      <c r="C49" s="64">
        <f>Construction!E49</f>
        <v>1000</v>
      </c>
      <c r="D49" s="26">
        <f>Production!P49</f>
        <v>0</v>
      </c>
      <c r="E49" s="57">
        <f>Production!Q49</f>
        <v>5000</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8" thickBot="1" x14ac:dyDescent="0.3">
      <c r="A50" s="899"/>
      <c r="B50" s="994">
        <f>Rezone!J50</f>
        <v>48</v>
      </c>
      <c r="C50" s="64">
        <f>Construction!E50</f>
        <v>1000</v>
      </c>
      <c r="D50" s="26">
        <f>Production!P50</f>
        <v>0</v>
      </c>
      <c r="E50" s="57">
        <f>Production!Q50</f>
        <v>5000</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4" thickTop="1" thickBot="1" x14ac:dyDescent="0.3">
      <c r="A51" s="902"/>
      <c r="B51" s="998">
        <f>Rezone!J51</f>
        <v>49</v>
      </c>
      <c r="C51" s="117">
        <f>Construction!E51</f>
        <v>1000</v>
      </c>
      <c r="D51" s="108">
        <f>Production!P51</f>
        <v>0</v>
      </c>
      <c r="E51" s="109">
        <f>Production!Q51</f>
        <v>5000</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8" thickTop="1" x14ac:dyDescent="0.25">
      <c r="A52" s="899"/>
      <c r="B52" s="994">
        <f>Rezone!J52</f>
        <v>50</v>
      </c>
      <c r="C52" s="64">
        <f>Construction!E52</f>
        <v>1000</v>
      </c>
      <c r="D52" s="26">
        <f>Production!P52</f>
        <v>0</v>
      </c>
      <c r="E52" s="57">
        <f>Production!Q52</f>
        <v>5000</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x14ac:dyDescent="0.25">
      <c r="A53" s="899"/>
      <c r="B53" s="994">
        <f>Rezone!J53</f>
        <v>51</v>
      </c>
      <c r="C53" s="64">
        <f>Construction!E53</f>
        <v>1000</v>
      </c>
      <c r="D53" s="26">
        <f>Production!P53</f>
        <v>0</v>
      </c>
      <c r="E53" s="57">
        <f>Production!Q53</f>
        <v>5000</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x14ac:dyDescent="0.25">
      <c r="A54" s="899"/>
      <c r="B54" s="994">
        <f>Rezone!J54</f>
        <v>52</v>
      </c>
      <c r="C54" s="64">
        <f>Construction!E54</f>
        <v>1000</v>
      </c>
      <c r="D54" s="26">
        <f>Production!P54</f>
        <v>0</v>
      </c>
      <c r="E54" s="57">
        <f>Production!Q54</f>
        <v>5000</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x14ac:dyDescent="0.25">
      <c r="A55" s="899"/>
      <c r="B55" s="994">
        <f>Rezone!J55</f>
        <v>53</v>
      </c>
      <c r="C55" s="64">
        <f>Construction!E55</f>
        <v>1000</v>
      </c>
      <c r="D55" s="26">
        <f>Production!P55</f>
        <v>0</v>
      </c>
      <c r="E55" s="57">
        <f>Production!Q55</f>
        <v>5000</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x14ac:dyDescent="0.25">
      <c r="A56" s="899"/>
      <c r="B56" s="994">
        <f>Rezone!J56</f>
        <v>54</v>
      </c>
      <c r="C56" s="64">
        <f>Construction!E56</f>
        <v>1000</v>
      </c>
      <c r="D56" s="26">
        <f>Production!P56</f>
        <v>0</v>
      </c>
      <c r="E56" s="57">
        <f>Production!Q56</f>
        <v>5000</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x14ac:dyDescent="0.25">
      <c r="A57" s="899"/>
      <c r="B57" s="994">
        <f>Rezone!J57</f>
        <v>55</v>
      </c>
      <c r="C57" s="64">
        <f>Construction!E57</f>
        <v>1000</v>
      </c>
      <c r="D57" s="26">
        <f>Production!P57</f>
        <v>0</v>
      </c>
      <c r="E57" s="57">
        <f>Production!Q57</f>
        <v>5000</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x14ac:dyDescent="0.25">
      <c r="A58" s="899"/>
      <c r="B58" s="994">
        <f>Rezone!J58</f>
        <v>56</v>
      </c>
      <c r="C58" s="64">
        <f>Construction!E58</f>
        <v>1000</v>
      </c>
      <c r="D58" s="26">
        <f>Production!P58</f>
        <v>0</v>
      </c>
      <c r="E58" s="57">
        <f>Production!Q58</f>
        <v>5000</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x14ac:dyDescent="0.25">
      <c r="A59" s="899"/>
      <c r="B59" s="994">
        <f>Rezone!J59</f>
        <v>57</v>
      </c>
      <c r="C59" s="64">
        <f>Construction!E59</f>
        <v>1000</v>
      </c>
      <c r="D59" s="26">
        <f>Production!P59</f>
        <v>0</v>
      </c>
      <c r="E59" s="57">
        <f>Production!Q59</f>
        <v>5000</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x14ac:dyDescent="0.25">
      <c r="A60" s="899"/>
      <c r="B60" s="994">
        <f>Rezone!J60</f>
        <v>58</v>
      </c>
      <c r="C60" s="64">
        <f>Construction!E60</f>
        <v>1000</v>
      </c>
      <c r="D60" s="26">
        <f>Production!P60</f>
        <v>0</v>
      </c>
      <c r="E60" s="57">
        <f>Production!Q60</f>
        <v>5000</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x14ac:dyDescent="0.25">
      <c r="A61" s="899"/>
      <c r="B61" s="994">
        <f>Rezone!J61</f>
        <v>59</v>
      </c>
      <c r="C61" s="64">
        <f>Construction!E61</f>
        <v>1000</v>
      </c>
      <c r="D61" s="26">
        <f>Production!P61</f>
        <v>0</v>
      </c>
      <c r="E61" s="57">
        <f>Production!Q61</f>
        <v>5000</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x14ac:dyDescent="0.25">
      <c r="A62" s="899"/>
      <c r="B62" s="994">
        <f>Rezone!J62</f>
        <v>60</v>
      </c>
      <c r="C62" s="64">
        <f>Construction!E62</f>
        <v>1000</v>
      </c>
      <c r="D62" s="26">
        <f>Production!P62</f>
        <v>0</v>
      </c>
      <c r="E62" s="57">
        <f>Production!Q62</f>
        <v>5000</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x14ac:dyDescent="0.25">
      <c r="A63" s="900"/>
      <c r="B63" s="997">
        <f>Rezone!J63</f>
        <v>61</v>
      </c>
      <c r="C63" s="93">
        <f>Construction!E63</f>
        <v>1000</v>
      </c>
      <c r="D63" s="13">
        <f>Production!P63</f>
        <v>0</v>
      </c>
      <c r="E63" s="55">
        <f>Production!Q63</f>
        <v>5000</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x14ac:dyDescent="0.25">
      <c r="A64" s="899"/>
      <c r="B64" s="994">
        <f>Rezone!J64</f>
        <v>62</v>
      </c>
      <c r="C64" s="64">
        <f>Construction!E64</f>
        <v>1000</v>
      </c>
      <c r="D64" s="26">
        <f>Production!P64</f>
        <v>0</v>
      </c>
      <c r="E64" s="57">
        <f>Production!Q64</f>
        <v>5000</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x14ac:dyDescent="0.25">
      <c r="A65" s="899"/>
      <c r="B65" s="994">
        <f>Rezone!J65</f>
        <v>63</v>
      </c>
      <c r="C65" s="64">
        <f>Construction!E65</f>
        <v>1000</v>
      </c>
      <c r="D65" s="26">
        <f>Production!P65</f>
        <v>0</v>
      </c>
      <c r="E65" s="57">
        <f>Production!Q65</f>
        <v>5000</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x14ac:dyDescent="0.25">
      <c r="A66" s="899"/>
      <c r="B66" s="994">
        <f>Rezone!J66</f>
        <v>64</v>
      </c>
      <c r="C66" s="64">
        <f>Construction!E66</f>
        <v>1000</v>
      </c>
      <c r="D66" s="26">
        <f>Production!P66</f>
        <v>0</v>
      </c>
      <c r="E66" s="57">
        <f>Production!Q66</f>
        <v>5000</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x14ac:dyDescent="0.25">
      <c r="A67" s="899"/>
      <c r="B67" s="994">
        <f>Rezone!J67</f>
        <v>65</v>
      </c>
      <c r="C67" s="64">
        <f>Construction!E67</f>
        <v>1000</v>
      </c>
      <c r="D67" s="26">
        <f>Production!P67</f>
        <v>0</v>
      </c>
      <c r="E67" s="57">
        <f>Production!Q67</f>
        <v>5000</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x14ac:dyDescent="0.25">
      <c r="A68" s="899"/>
      <c r="B68" s="994">
        <f>Rezone!J68</f>
        <v>66</v>
      </c>
      <c r="C68" s="64">
        <f>Construction!E68</f>
        <v>1000</v>
      </c>
      <c r="D68" s="26">
        <f>Production!P68</f>
        <v>0</v>
      </c>
      <c r="E68" s="57">
        <f>Production!Q68</f>
        <v>5000</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x14ac:dyDescent="0.25">
      <c r="A69" s="899"/>
      <c r="B69" s="994">
        <f>Rezone!J69</f>
        <v>67</v>
      </c>
      <c r="C69" s="64">
        <f>Construction!E69</f>
        <v>1000</v>
      </c>
      <c r="D69" s="26">
        <f>Production!P69</f>
        <v>0</v>
      </c>
      <c r="E69" s="57">
        <f>Production!Q69</f>
        <v>5000</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x14ac:dyDescent="0.25">
      <c r="A70" s="899"/>
      <c r="B70" s="994">
        <f>Rezone!J70</f>
        <v>68</v>
      </c>
      <c r="C70" s="64">
        <f>Construction!E70</f>
        <v>1000</v>
      </c>
      <c r="D70" s="26">
        <f>Production!P70</f>
        <v>0</v>
      </c>
      <c r="E70" s="57">
        <f>Production!Q70</f>
        <v>5000</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x14ac:dyDescent="0.25">
      <c r="A71" s="899"/>
      <c r="B71" s="994">
        <f>Rezone!J71</f>
        <v>69</v>
      </c>
      <c r="C71" s="64">
        <f>Construction!E71</f>
        <v>1000</v>
      </c>
      <c r="D71" s="26">
        <f>Production!P71</f>
        <v>0</v>
      </c>
      <c r="E71" s="57">
        <f>Production!Q71</f>
        <v>5000</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x14ac:dyDescent="0.25">
      <c r="A72" s="899"/>
      <c r="B72" s="994">
        <f>Rezone!J72</f>
        <v>70</v>
      </c>
      <c r="C72" s="64">
        <f>Construction!E72</f>
        <v>1000</v>
      </c>
      <c r="D72" s="26">
        <f>Production!P72</f>
        <v>0</v>
      </c>
      <c r="E72" s="57">
        <f>Production!Q72</f>
        <v>5000</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x14ac:dyDescent="0.25">
      <c r="A73" s="899"/>
      <c r="B73" s="994">
        <f>Rezone!J73</f>
        <v>71</v>
      </c>
      <c r="C73" s="64">
        <f>Construction!E73</f>
        <v>1000</v>
      </c>
      <c r="D73" s="26">
        <f>Production!P73</f>
        <v>0</v>
      </c>
      <c r="E73" s="57">
        <f>Production!Q73</f>
        <v>5000</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8" thickBot="1" x14ac:dyDescent="0.3">
      <c r="A74" s="899"/>
      <c r="B74" s="994">
        <f>Rezone!J74</f>
        <v>72</v>
      </c>
      <c r="C74" s="64">
        <f>Construction!E74</f>
        <v>1000</v>
      </c>
      <c r="D74" s="26">
        <f>Production!P74</f>
        <v>0</v>
      </c>
      <c r="E74" s="57">
        <f>Production!Q74</f>
        <v>5000</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1" customFormat="1" ht="13.8" thickBot="1" x14ac:dyDescent="0.3">
      <c r="A75" s="1295"/>
      <c r="B75" s="1296">
        <f>Rezone!J75</f>
        <v>73</v>
      </c>
      <c r="C75" s="1297">
        <f>Construction!E75</f>
        <v>1000</v>
      </c>
      <c r="D75" s="279">
        <f>Production!P75</f>
        <v>0</v>
      </c>
      <c r="E75" s="1298">
        <f>Production!Q75</f>
        <v>5000</v>
      </c>
      <c r="W75" s="932">
        <f t="shared" si="29"/>
        <v>0</v>
      </c>
      <c r="X75" s="931">
        <f t="shared" si="30"/>
        <v>0</v>
      </c>
      <c r="Y75" s="931">
        <f t="shared" si="31"/>
        <v>0</v>
      </c>
      <c r="Z75" s="931">
        <f t="shared" si="32"/>
        <v>0</v>
      </c>
      <c r="AA75" s="931">
        <f t="shared" si="33"/>
        <v>0</v>
      </c>
      <c r="AB75" s="931">
        <f t="shared" si="34"/>
        <v>0</v>
      </c>
      <c r="AC75" s="931">
        <f t="shared" si="35"/>
        <v>0</v>
      </c>
      <c r="AD75" s="931">
        <f t="shared" si="36"/>
        <v>0</v>
      </c>
      <c r="AE75" s="931">
        <f t="shared" si="37"/>
        <v>0</v>
      </c>
      <c r="AF75" s="931">
        <f t="shared" si="38"/>
        <v>0</v>
      </c>
      <c r="AG75" s="931">
        <f t="shared" si="39"/>
        <v>0</v>
      </c>
      <c r="AH75" s="931">
        <f t="shared" si="40"/>
        <v>0</v>
      </c>
      <c r="AI75" s="931">
        <f t="shared" si="41"/>
        <v>0</v>
      </c>
      <c r="AJ75" s="931">
        <f t="shared" si="42"/>
        <v>0</v>
      </c>
      <c r="AK75" s="931">
        <f t="shared" si="43"/>
        <v>0</v>
      </c>
      <c r="AL75" s="931">
        <f t="shared" si="44"/>
        <v>0</v>
      </c>
      <c r="AM75" s="931">
        <f t="shared" si="45"/>
        <v>0</v>
      </c>
      <c r="AN75" s="931">
        <f t="shared" si="46"/>
        <v>0</v>
      </c>
      <c r="AO75" s="931">
        <f t="shared" si="47"/>
        <v>0</v>
      </c>
      <c r="AP75" s="931">
        <f t="shared" si="48"/>
        <v>0</v>
      </c>
      <c r="AQ75" s="931">
        <f t="shared" si="49"/>
        <v>0</v>
      </c>
      <c r="AR75" s="931">
        <f t="shared" si="50"/>
        <v>0</v>
      </c>
      <c r="AS75" s="931">
        <f t="shared" si="51"/>
        <v>0</v>
      </c>
      <c r="AT75" s="931">
        <f t="shared" si="52"/>
        <v>0</v>
      </c>
      <c r="AU75" s="931">
        <f t="shared" si="53"/>
        <v>0</v>
      </c>
      <c r="AV75" s="931">
        <f t="shared" si="54"/>
        <v>0</v>
      </c>
      <c r="AW75" s="931">
        <f t="shared" si="55"/>
        <v>0</v>
      </c>
      <c r="AX75" s="945"/>
      <c r="BY75" s="933"/>
    </row>
    <row r="76" spans="1:77" x14ac:dyDescent="0.25">
      <c r="A76" s="899"/>
      <c r="B76" s="993">
        <f>Rezone!J76</f>
        <v>74</v>
      </c>
      <c r="C76" s="160">
        <f>Construction!E76</f>
        <v>1000</v>
      </c>
      <c r="D76" s="164">
        <f>Production!P76</f>
        <v>0</v>
      </c>
      <c r="E76" s="164">
        <f>Production!Q76</f>
        <v>5000</v>
      </c>
      <c r="F76" s="1017"/>
      <c r="G76" s="953"/>
      <c r="H76" s="953"/>
      <c r="I76" s="953"/>
      <c r="J76" s="953"/>
      <c r="K76" s="1014"/>
      <c r="L76" s="1014"/>
      <c r="M76" s="953"/>
      <c r="N76" s="1014"/>
      <c r="O76" s="1014"/>
      <c r="P76" s="1010"/>
      <c r="Q76" s="953"/>
      <c r="R76" s="1014"/>
      <c r="S76" s="1014"/>
      <c r="T76" s="953"/>
      <c r="U76" s="1014"/>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x14ac:dyDescent="0.25">
      <c r="A77" s="899"/>
      <c r="B77" s="993">
        <f>Rezone!J77</f>
        <v>75</v>
      </c>
      <c r="C77" s="160">
        <f>Construction!E77</f>
        <v>1000</v>
      </c>
      <c r="D77" s="164">
        <f>Production!P77</f>
        <v>0</v>
      </c>
      <c r="E77" s="164">
        <f>Production!Q77</f>
        <v>5000</v>
      </c>
      <c r="F77" s="1017"/>
      <c r="G77" s="953"/>
      <c r="H77" s="953"/>
      <c r="I77" s="1011"/>
      <c r="J77" s="953"/>
      <c r="K77" s="1014"/>
      <c r="L77" s="1013"/>
      <c r="M77" s="1012"/>
      <c r="N77" s="1011"/>
      <c r="O77" s="1014"/>
      <c r="P77" s="1010"/>
      <c r="Q77" s="953"/>
      <c r="R77" s="1014"/>
      <c r="S77" s="1014"/>
      <c r="T77" s="1011"/>
      <c r="U77" s="1014"/>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x14ac:dyDescent="0.25">
      <c r="A78" s="899"/>
      <c r="B78" s="994">
        <f>Rezone!J78</f>
        <v>76</v>
      </c>
      <c r="C78" s="64">
        <f>Construction!E78</f>
        <v>1000</v>
      </c>
      <c r="D78" s="26">
        <f>Production!P78</f>
        <v>0</v>
      </c>
      <c r="E78" s="26">
        <f>Production!Q78</f>
        <v>5000</v>
      </c>
      <c r="F78" s="1017"/>
      <c r="G78" s="953"/>
      <c r="H78" s="1014"/>
      <c r="I78" s="1011"/>
      <c r="J78" s="953"/>
      <c r="K78" s="1014"/>
      <c r="L78" s="1014"/>
      <c r="M78" s="953"/>
      <c r="N78" s="1014"/>
      <c r="O78" s="1014"/>
      <c r="P78" s="1010"/>
      <c r="Q78" s="1012"/>
      <c r="R78" s="1014"/>
      <c r="S78" s="1014"/>
      <c r="T78" s="1011"/>
      <c r="U78" s="1014"/>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x14ac:dyDescent="0.25">
      <c r="A79" s="899"/>
      <c r="B79" s="994">
        <f>Rezone!J79</f>
        <v>77</v>
      </c>
      <c r="C79" s="64">
        <f>Construction!E79</f>
        <v>1000</v>
      </c>
      <c r="D79" s="26">
        <f>Production!P79</f>
        <v>0</v>
      </c>
      <c r="E79" s="26">
        <f>Production!Q79</f>
        <v>5000</v>
      </c>
      <c r="F79" s="877"/>
      <c r="G79" s="1014"/>
      <c r="H79" s="953"/>
      <c r="I79" s="953"/>
      <c r="J79" s="953"/>
      <c r="K79" s="1014"/>
      <c r="L79" s="1014"/>
      <c r="M79" s="953"/>
      <c r="N79" s="1014"/>
      <c r="O79" s="1014"/>
      <c r="P79" s="953"/>
      <c r="Q79" s="953"/>
      <c r="R79" s="1014"/>
      <c r="S79" s="1014"/>
      <c r="T79" s="953"/>
      <c r="U79" s="1014"/>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x14ac:dyDescent="0.25">
      <c r="A80" s="899"/>
      <c r="B80" s="994">
        <f>Rezone!J80</f>
        <v>78</v>
      </c>
      <c r="C80" s="64">
        <f>Construction!E80</f>
        <v>1000</v>
      </c>
      <c r="D80" s="26">
        <f>Production!P80</f>
        <v>0</v>
      </c>
      <c r="E80" s="26">
        <f>Production!Q80</f>
        <v>5000</v>
      </c>
      <c r="F80" s="877"/>
      <c r="G80" s="1014"/>
      <c r="H80" s="953"/>
      <c r="I80" s="1014"/>
      <c r="J80" s="1014"/>
      <c r="K80" s="1014"/>
      <c r="L80" s="1013"/>
      <c r="M80" s="953"/>
      <c r="N80" s="953"/>
      <c r="O80" s="1014"/>
      <c r="P80" s="953"/>
      <c r="Q80" s="953"/>
      <c r="R80" s="1014"/>
      <c r="S80" s="1014"/>
      <c r="T80" s="953"/>
      <c r="U80" s="1014"/>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x14ac:dyDescent="0.25">
      <c r="A81" s="899"/>
      <c r="B81" s="994">
        <f>Rezone!J81</f>
        <v>79</v>
      </c>
      <c r="C81" s="64">
        <f>Construction!E81</f>
        <v>1000</v>
      </c>
      <c r="D81" s="26">
        <f>Production!P81</f>
        <v>0</v>
      </c>
      <c r="E81" s="26">
        <f>Production!Q81</f>
        <v>5000</v>
      </c>
      <c r="F81" s="1018"/>
      <c r="G81" s="1013"/>
      <c r="H81" s="1012"/>
      <c r="I81" s="953"/>
      <c r="J81" s="953"/>
      <c r="K81" s="1011"/>
      <c r="L81" s="1013"/>
      <c r="M81" s="953"/>
      <c r="N81" s="1011"/>
      <c r="O81" s="1013"/>
      <c r="P81" s="1012"/>
      <c r="Q81" s="953"/>
      <c r="R81" s="1011"/>
      <c r="S81" s="1014"/>
      <c r="T81" s="953"/>
      <c r="U81" s="1014"/>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x14ac:dyDescent="0.25">
      <c r="A82" s="899"/>
      <c r="B82" s="994">
        <f>Rezone!J82</f>
        <v>80</v>
      </c>
      <c r="C82" s="64">
        <f>Construction!E82</f>
        <v>1000</v>
      </c>
      <c r="D82" s="26">
        <f>Production!P82</f>
        <v>0</v>
      </c>
      <c r="E82" s="26">
        <f>Production!Q82</f>
        <v>5000</v>
      </c>
      <c r="F82" s="1019"/>
      <c r="G82" s="1014"/>
      <c r="H82" s="953"/>
      <c r="I82" s="953"/>
      <c r="J82" s="953"/>
      <c r="K82" s="1014"/>
      <c r="L82" s="1013"/>
      <c r="M82" s="953"/>
      <c r="N82" s="1011"/>
      <c r="O82" s="1014"/>
      <c r="P82" s="953"/>
      <c r="Q82" s="953"/>
      <c r="R82" s="1014"/>
      <c r="S82" s="1014"/>
      <c r="T82" s="953"/>
      <c r="U82" s="1014"/>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x14ac:dyDescent="0.25">
      <c r="A83" s="899"/>
      <c r="B83" s="994">
        <f>Rezone!J83</f>
        <v>81</v>
      </c>
      <c r="C83" s="64">
        <f>Construction!E83</f>
        <v>1000</v>
      </c>
      <c r="D83" s="26">
        <f>Production!P83</f>
        <v>0</v>
      </c>
      <c r="E83" s="26">
        <f>Production!Q83</f>
        <v>5000</v>
      </c>
      <c r="F83" s="877"/>
      <c r="G83" s="1014"/>
      <c r="H83" s="953"/>
      <c r="I83" s="1014"/>
      <c r="J83" s="953"/>
      <c r="K83" s="1014"/>
      <c r="L83" s="1014"/>
      <c r="M83" s="953"/>
      <c r="N83" s="1014"/>
      <c r="O83" s="1014"/>
      <c r="P83" s="953"/>
      <c r="Q83" s="953"/>
      <c r="R83" s="1014"/>
      <c r="S83" s="1014"/>
      <c r="T83" s="953"/>
      <c r="U83" s="1014"/>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x14ac:dyDescent="0.25">
      <c r="A84" s="899"/>
      <c r="B84" s="994">
        <f>Rezone!J84</f>
        <v>82</v>
      </c>
      <c r="C84" s="64">
        <f>Construction!E84</f>
        <v>1000</v>
      </c>
      <c r="D84" s="26">
        <f>Production!P84</f>
        <v>0</v>
      </c>
      <c r="E84" s="26">
        <f>Production!Q84</f>
        <v>5000</v>
      </c>
      <c r="F84" s="877"/>
      <c r="G84" s="953"/>
      <c r="H84" s="1014"/>
      <c r="I84" s="1014"/>
      <c r="J84" s="953"/>
      <c r="K84" s="1014"/>
      <c r="L84" s="1014"/>
      <c r="M84" s="953"/>
      <c r="N84" s="1014"/>
      <c r="O84" s="1014"/>
      <c r="P84" s="953"/>
      <c r="Q84" s="953"/>
      <c r="R84" s="1014"/>
      <c r="S84" s="1014"/>
      <c r="T84" s="953"/>
      <c r="U84" s="1014"/>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x14ac:dyDescent="0.25">
      <c r="A85" s="899"/>
      <c r="B85" s="994">
        <f>Rezone!J85</f>
        <v>83</v>
      </c>
      <c r="C85" s="64">
        <f>Construction!E85</f>
        <v>1000</v>
      </c>
      <c r="D85" s="26">
        <f>Production!P85</f>
        <v>0</v>
      </c>
      <c r="E85" s="26">
        <f>Production!Q85</f>
        <v>5000</v>
      </c>
      <c r="F85" s="1017"/>
      <c r="G85" s="1012"/>
      <c r="H85" s="1014"/>
      <c r="I85" s="1011"/>
      <c r="J85" s="953"/>
      <c r="K85" s="1014"/>
      <c r="L85" s="1013"/>
      <c r="M85" s="1012"/>
      <c r="N85" s="1011"/>
      <c r="O85" s="1014"/>
      <c r="P85" s="1010"/>
      <c r="Q85" s="1012"/>
      <c r="R85" s="1014"/>
      <c r="S85" s="1014"/>
      <c r="T85" s="1011"/>
      <c r="U85" s="1014"/>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x14ac:dyDescent="0.25">
      <c r="A86" s="899"/>
      <c r="B86" s="993">
        <f>Rezone!J86</f>
        <v>84</v>
      </c>
      <c r="C86" s="160">
        <f>Construction!E86</f>
        <v>1000</v>
      </c>
      <c r="D86" s="164">
        <f>Production!P86</f>
        <v>0</v>
      </c>
      <c r="E86" s="164">
        <f>Production!Q86</f>
        <v>5000</v>
      </c>
      <c r="F86" s="1020"/>
      <c r="G86" s="1014"/>
      <c r="H86" s="953"/>
      <c r="I86" s="953"/>
      <c r="J86" s="953"/>
      <c r="K86" s="1014"/>
      <c r="L86" s="1014"/>
      <c r="M86" s="953"/>
      <c r="N86" s="1014"/>
      <c r="O86" s="1014"/>
      <c r="P86" s="953"/>
      <c r="Q86" s="953"/>
      <c r="R86" s="1014"/>
      <c r="S86" s="1014"/>
      <c r="T86" s="953"/>
      <c r="U86" s="1014"/>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x14ac:dyDescent="0.25">
      <c r="A87" s="900"/>
      <c r="B87" s="995">
        <f>Rezone!J87</f>
        <v>85</v>
      </c>
      <c r="C87" s="203">
        <f>Construction!E87</f>
        <v>1000</v>
      </c>
      <c r="D87" s="153">
        <f>Production!P87</f>
        <v>0</v>
      </c>
      <c r="E87" s="153">
        <f>Production!Q87</f>
        <v>5000</v>
      </c>
      <c r="F87" s="1015"/>
      <c r="G87" s="1016"/>
      <c r="H87" s="800"/>
      <c r="I87" s="800"/>
      <c r="J87" s="800"/>
      <c r="K87" s="1016"/>
      <c r="L87" s="1016"/>
      <c r="M87" s="800"/>
      <c r="N87" s="1016"/>
      <c r="O87" s="1016"/>
      <c r="P87" s="800"/>
      <c r="Q87" s="800"/>
      <c r="R87" s="1016"/>
      <c r="S87" s="1016"/>
      <c r="T87" s="800"/>
      <c r="U87" s="1016"/>
      <c r="V87" s="849"/>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x14ac:dyDescent="0.25">
      <c r="A88" s="899"/>
      <c r="B88" s="993">
        <f>Rezone!J88</f>
        <v>86</v>
      </c>
      <c r="C88" s="160">
        <f>Construction!E88</f>
        <v>1000</v>
      </c>
      <c r="D88" s="164">
        <f>Production!P88</f>
        <v>0</v>
      </c>
      <c r="E88" s="164">
        <f>Production!Q88</f>
        <v>5000</v>
      </c>
      <c r="F88" s="1020"/>
      <c r="G88" s="1014"/>
      <c r="H88" s="953"/>
      <c r="I88" s="1014"/>
      <c r="J88" s="1014"/>
      <c r="K88" s="1014"/>
      <c r="L88" s="1013"/>
      <c r="M88" s="953"/>
      <c r="N88" s="1010"/>
      <c r="O88" s="1014"/>
      <c r="P88" s="953"/>
      <c r="Q88" s="953"/>
      <c r="R88" s="1014"/>
      <c r="S88" s="1014"/>
      <c r="T88" s="953"/>
      <c r="U88" s="1014"/>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x14ac:dyDescent="0.25">
      <c r="A89" s="899"/>
      <c r="B89" s="993">
        <f>Rezone!J89</f>
        <v>87</v>
      </c>
      <c r="C89" s="160">
        <f>Construction!E89</f>
        <v>1000</v>
      </c>
      <c r="D89" s="164">
        <f>Production!P89</f>
        <v>0</v>
      </c>
      <c r="E89" s="164">
        <f>Production!Q89</f>
        <v>5000</v>
      </c>
      <c r="F89" s="1020"/>
      <c r="G89" s="1013"/>
      <c r="H89" s="953"/>
      <c r="I89" s="1014"/>
      <c r="J89" s="1014"/>
      <c r="K89" s="1011"/>
      <c r="L89" s="1013"/>
      <c r="M89" s="953"/>
      <c r="N89" s="1011"/>
      <c r="O89" s="1013"/>
      <c r="P89" s="1012"/>
      <c r="Q89" s="1012"/>
      <c r="R89" s="1011"/>
      <c r="S89" s="1014"/>
      <c r="T89" s="953"/>
      <c r="U89" s="1014"/>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x14ac:dyDescent="0.25">
      <c r="A90" s="899"/>
      <c r="B90" s="994">
        <f>Rezone!J90</f>
        <v>88</v>
      </c>
      <c r="C90" s="64">
        <f>Construction!E90</f>
        <v>1000</v>
      </c>
      <c r="D90" s="26">
        <f>Production!P90</f>
        <v>0</v>
      </c>
      <c r="E90" s="26">
        <f>Production!Q90</f>
        <v>5000</v>
      </c>
      <c r="F90" s="1020"/>
      <c r="G90" s="1014"/>
      <c r="H90" s="953"/>
      <c r="I90" s="953"/>
      <c r="J90" s="953"/>
      <c r="K90" s="1014"/>
      <c r="L90" s="1013"/>
      <c r="M90" s="953"/>
      <c r="N90" s="1011"/>
      <c r="O90" s="1014"/>
      <c r="P90" s="953"/>
      <c r="Q90" s="953"/>
      <c r="R90" s="1014"/>
      <c r="S90" s="1014"/>
      <c r="T90" s="953"/>
      <c r="U90" s="1014"/>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x14ac:dyDescent="0.25">
      <c r="A91" s="899"/>
      <c r="B91" s="994">
        <f>Rezone!J91</f>
        <v>89</v>
      </c>
      <c r="C91" s="64">
        <f>Construction!E91</f>
        <v>1000</v>
      </c>
      <c r="D91" s="26">
        <f>Production!P91</f>
        <v>0</v>
      </c>
      <c r="E91" s="26">
        <f>Production!Q91</f>
        <v>5000</v>
      </c>
      <c r="F91" s="877"/>
      <c r="G91" s="953"/>
      <c r="H91" s="953"/>
      <c r="I91" s="953"/>
      <c r="J91" s="953"/>
      <c r="K91" s="1014"/>
      <c r="L91" s="1014"/>
      <c r="M91" s="953"/>
      <c r="N91" s="1014"/>
      <c r="O91" s="1014"/>
      <c r="P91" s="953"/>
      <c r="Q91" s="953"/>
      <c r="R91" s="1014"/>
      <c r="S91" s="1014"/>
      <c r="T91" s="953"/>
      <c r="U91" s="1014"/>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x14ac:dyDescent="0.25">
      <c r="A92" s="899"/>
      <c r="B92" s="994">
        <f>Rezone!J92</f>
        <v>90</v>
      </c>
      <c r="C92" s="64">
        <f>Construction!E92</f>
        <v>1000</v>
      </c>
      <c r="D92" s="26">
        <f>Production!P92</f>
        <v>0</v>
      </c>
      <c r="E92" s="26">
        <f>Production!Q92</f>
        <v>5000</v>
      </c>
      <c r="F92" s="1017"/>
      <c r="G92" s="1012"/>
      <c r="H92" s="1014"/>
      <c r="I92" s="953"/>
      <c r="J92" s="953"/>
      <c r="K92" s="1014"/>
      <c r="L92" s="1014"/>
      <c r="M92" s="953"/>
      <c r="N92" s="1014"/>
      <c r="O92" s="1014"/>
      <c r="P92" s="1010"/>
      <c r="Q92" s="953"/>
      <c r="R92" s="1014"/>
      <c r="S92" s="1014"/>
      <c r="T92" s="953"/>
      <c r="U92" s="1014"/>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x14ac:dyDescent="0.25">
      <c r="A93" s="899"/>
      <c r="B93" s="994">
        <f>Rezone!J93</f>
        <v>91</v>
      </c>
      <c r="C93" s="64">
        <f>Construction!E93</f>
        <v>1000</v>
      </c>
      <c r="D93" s="26">
        <f>Production!P93</f>
        <v>0</v>
      </c>
      <c r="E93" s="26">
        <f>Production!Q93</f>
        <v>5000</v>
      </c>
      <c r="F93" s="1021"/>
      <c r="G93" s="953"/>
      <c r="H93" s="1014"/>
      <c r="I93" s="1011"/>
      <c r="J93" s="953"/>
      <c r="K93" s="1014"/>
      <c r="L93" s="1013"/>
      <c r="M93" s="1012"/>
      <c r="N93" s="1011"/>
      <c r="O93" s="1014"/>
      <c r="P93" s="1010"/>
      <c r="Q93" s="953"/>
      <c r="R93" s="1014"/>
      <c r="S93" s="1014"/>
      <c r="T93" s="1011"/>
      <c r="U93" s="1014"/>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x14ac:dyDescent="0.25">
      <c r="A94" s="899"/>
      <c r="B94" s="994">
        <f>Rezone!J94</f>
        <v>92</v>
      </c>
      <c r="C94" s="64">
        <f>Construction!E94</f>
        <v>1000</v>
      </c>
      <c r="D94" s="26">
        <f>Production!P94</f>
        <v>0</v>
      </c>
      <c r="E94" s="26">
        <f>Production!Q94</f>
        <v>5000</v>
      </c>
      <c r="F94" s="1021"/>
      <c r="G94" s="1012"/>
      <c r="H94" s="1014"/>
      <c r="I94" s="1011"/>
      <c r="J94" s="953"/>
      <c r="K94" s="1014"/>
      <c r="L94" s="1014"/>
      <c r="M94" s="953"/>
      <c r="N94" s="1014"/>
      <c r="O94" s="1014"/>
      <c r="P94" s="1010"/>
      <c r="Q94" s="1012"/>
      <c r="R94" s="1014"/>
      <c r="S94" s="1014"/>
      <c r="T94" s="1011"/>
      <c r="U94" s="1014"/>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x14ac:dyDescent="0.25">
      <c r="A95" s="899"/>
      <c r="B95" s="994">
        <f>Rezone!J95</f>
        <v>93</v>
      </c>
      <c r="C95" s="64">
        <f>Construction!E95</f>
        <v>1000</v>
      </c>
      <c r="D95" s="26">
        <f>Production!P95</f>
        <v>0</v>
      </c>
      <c r="E95" s="26">
        <f>Production!Q95</f>
        <v>5000</v>
      </c>
      <c r="F95" s="1022"/>
      <c r="G95" s="107"/>
      <c r="H95" s="953"/>
      <c r="I95" s="953"/>
      <c r="J95" s="953"/>
      <c r="K95" s="107"/>
      <c r="L95" s="107"/>
      <c r="M95" s="953"/>
      <c r="N95" s="107"/>
      <c r="O95" s="107"/>
      <c r="P95" s="953"/>
      <c r="Q95" s="953"/>
      <c r="R95" s="107"/>
      <c r="S95" s="107"/>
      <c r="T95" s="953"/>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x14ac:dyDescent="0.25">
      <c r="A96" s="899"/>
      <c r="B96" s="994">
        <f>Rezone!J96</f>
        <v>94</v>
      </c>
      <c r="C96" s="64">
        <f>Construction!E96</f>
        <v>1000</v>
      </c>
      <c r="D96" s="26">
        <f>Production!P96</f>
        <v>0</v>
      </c>
      <c r="E96" s="57">
        <f>Production!Q96</f>
        <v>5000</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x14ac:dyDescent="0.25">
      <c r="A97" s="899"/>
      <c r="B97" s="994">
        <f>Rezone!J97</f>
        <v>95</v>
      </c>
      <c r="C97" s="64">
        <f>Construction!E97</f>
        <v>1000</v>
      </c>
      <c r="D97" s="26">
        <f>Production!P97</f>
        <v>0</v>
      </c>
      <c r="E97" s="57">
        <f>Production!Q97</f>
        <v>5000</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8" thickBot="1" x14ac:dyDescent="0.3">
      <c r="A98" s="899"/>
      <c r="B98" s="993">
        <f>Rezone!J98</f>
        <v>96</v>
      </c>
      <c r="C98" s="160">
        <f>Construction!E98</f>
        <v>1000</v>
      </c>
      <c r="D98" s="164">
        <f>Production!P98</f>
        <v>0</v>
      </c>
      <c r="E98" s="166">
        <f>Production!Q98</f>
        <v>5000</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1" customFormat="1" ht="13.8" thickBot="1" x14ac:dyDescent="0.3">
      <c r="A99" s="901"/>
      <c r="B99" s="996">
        <f>Rezone!J99</f>
        <v>97</v>
      </c>
      <c r="C99" s="181">
        <f>Construction!E99</f>
        <v>1000</v>
      </c>
      <c r="D99" s="174">
        <f>Production!P99</f>
        <v>0</v>
      </c>
      <c r="E99" s="179">
        <f>Production!Q99</f>
        <v>5000</v>
      </c>
      <c r="F99" s="932"/>
      <c r="W99" s="932">
        <f t="shared" si="56"/>
        <v>0</v>
      </c>
      <c r="X99" s="931">
        <f t="shared" si="30"/>
        <v>0</v>
      </c>
      <c r="Y99" s="931">
        <f t="shared" si="31"/>
        <v>0</v>
      </c>
      <c r="Z99" s="931">
        <f t="shared" si="32"/>
        <v>0</v>
      </c>
      <c r="AA99" s="931">
        <f t="shared" si="33"/>
        <v>0</v>
      </c>
      <c r="AB99" s="931">
        <f t="shared" si="34"/>
        <v>0</v>
      </c>
      <c r="AC99" s="931">
        <f t="shared" si="35"/>
        <v>0</v>
      </c>
      <c r="AD99" s="931">
        <f t="shared" si="36"/>
        <v>0</v>
      </c>
      <c r="AE99" s="931">
        <f t="shared" si="37"/>
        <v>0</v>
      </c>
      <c r="AF99" s="931">
        <f t="shared" si="38"/>
        <v>0</v>
      </c>
      <c r="AG99" s="931">
        <f t="shared" si="39"/>
        <v>0</v>
      </c>
      <c r="AH99" s="931">
        <f t="shared" si="40"/>
        <v>0</v>
      </c>
      <c r="AI99" s="931">
        <f t="shared" si="41"/>
        <v>0</v>
      </c>
      <c r="AJ99" s="931">
        <f t="shared" si="42"/>
        <v>0</v>
      </c>
      <c r="AK99" s="931">
        <f t="shared" si="43"/>
        <v>0</v>
      </c>
      <c r="AL99" s="931">
        <f t="shared" si="44"/>
        <v>0</v>
      </c>
      <c r="AM99" s="931">
        <f t="shared" si="45"/>
        <v>0</v>
      </c>
      <c r="AN99" s="931">
        <f t="shared" si="46"/>
        <v>0</v>
      </c>
      <c r="AO99" s="931">
        <f t="shared" si="47"/>
        <v>0</v>
      </c>
      <c r="AP99" s="931">
        <f t="shared" si="48"/>
        <v>0</v>
      </c>
      <c r="AQ99" s="931">
        <f t="shared" si="49"/>
        <v>0</v>
      </c>
      <c r="AR99" s="931">
        <f t="shared" si="50"/>
        <v>0</v>
      </c>
      <c r="AS99" s="931">
        <f t="shared" si="51"/>
        <v>0</v>
      </c>
      <c r="AT99" s="931">
        <f t="shared" si="52"/>
        <v>0</v>
      </c>
      <c r="AU99" s="931">
        <f t="shared" si="53"/>
        <v>0</v>
      </c>
      <c r="AV99" s="931">
        <f t="shared" si="54"/>
        <v>0</v>
      </c>
      <c r="AW99" s="931">
        <f t="shared" si="55"/>
        <v>0</v>
      </c>
      <c r="AX99" s="945"/>
      <c r="BY99" s="933"/>
    </row>
    <row r="100" spans="1:77" x14ac:dyDescent="0.25">
      <c r="A100" s="899"/>
      <c r="B100" s="993">
        <f>Rezone!J100</f>
        <v>98</v>
      </c>
      <c r="C100" s="160">
        <f>Construction!E100</f>
        <v>1000</v>
      </c>
      <c r="D100" s="164">
        <f>Production!P100</f>
        <v>0</v>
      </c>
      <c r="E100" s="166">
        <f>Production!Q100</f>
        <v>5000</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x14ac:dyDescent="0.25">
      <c r="A101" s="899"/>
      <c r="B101" s="993">
        <f>Rezone!J101</f>
        <v>99</v>
      </c>
      <c r="C101" s="160">
        <f>Construction!E101</f>
        <v>1000</v>
      </c>
      <c r="D101" s="164">
        <f>Production!P101</f>
        <v>0</v>
      </c>
      <c r="E101" s="166">
        <f>Production!Q101</f>
        <v>5000</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x14ac:dyDescent="0.25">
      <c r="A102" s="899"/>
      <c r="B102" s="994">
        <f>Rezone!J102</f>
        <v>100</v>
      </c>
      <c r="C102" s="64">
        <f>Construction!E102</f>
        <v>1000</v>
      </c>
      <c r="D102" s="26">
        <f>Production!P102</f>
        <v>0</v>
      </c>
      <c r="E102" s="57">
        <f>Production!Q102</f>
        <v>5000</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x14ac:dyDescent="0.25">
      <c r="A103" s="899"/>
      <c r="B103" s="994">
        <f>Rezone!J103</f>
        <v>101</v>
      </c>
      <c r="C103" s="64">
        <f>Construction!E103</f>
        <v>1000</v>
      </c>
      <c r="D103" s="26">
        <f>Production!P103</f>
        <v>0</v>
      </c>
      <c r="E103" s="57">
        <f>Production!Q103</f>
        <v>5000</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x14ac:dyDescent="0.25">
      <c r="A104" s="899"/>
      <c r="B104" s="994">
        <f>Rezone!J104</f>
        <v>102</v>
      </c>
      <c r="C104" s="64">
        <f>Construction!E104</f>
        <v>1000</v>
      </c>
      <c r="D104" s="26">
        <f>Production!P104</f>
        <v>0</v>
      </c>
      <c r="E104" s="57">
        <f>Production!Q104</f>
        <v>5000</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x14ac:dyDescent="0.25">
      <c r="A105" s="899"/>
      <c r="B105" s="994">
        <f>Rezone!J105</f>
        <v>103</v>
      </c>
      <c r="C105" s="64">
        <f>Construction!E105</f>
        <v>1000</v>
      </c>
      <c r="D105" s="26">
        <f>Production!P105</f>
        <v>0</v>
      </c>
      <c r="E105" s="57">
        <f>Production!Q105</f>
        <v>5000</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x14ac:dyDescent="0.25">
      <c r="A106" s="899"/>
      <c r="B106" s="994">
        <f>Rezone!J106</f>
        <v>104</v>
      </c>
      <c r="C106" s="64">
        <f>Construction!E106</f>
        <v>1000</v>
      </c>
      <c r="D106" s="26">
        <f>Production!P106</f>
        <v>0</v>
      </c>
      <c r="E106" s="57">
        <f>Production!Q106</f>
        <v>5000</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x14ac:dyDescent="0.25">
      <c r="A107" s="899"/>
      <c r="B107" s="994">
        <f>Rezone!J107</f>
        <v>105</v>
      </c>
      <c r="C107" s="64">
        <f>Construction!E107</f>
        <v>1000</v>
      </c>
      <c r="D107" s="26">
        <f>Production!P107</f>
        <v>0</v>
      </c>
      <c r="E107" s="57">
        <f>Production!Q107</f>
        <v>5000</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x14ac:dyDescent="0.25">
      <c r="A108" s="899"/>
      <c r="B108" s="994">
        <f>Rezone!J108</f>
        <v>106</v>
      </c>
      <c r="C108" s="64">
        <f>Construction!E108</f>
        <v>1000</v>
      </c>
      <c r="D108" s="26">
        <f>Production!P108</f>
        <v>0</v>
      </c>
      <c r="E108" s="57">
        <f>Production!Q108</f>
        <v>5000</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x14ac:dyDescent="0.25">
      <c r="A109" s="899"/>
      <c r="B109" s="994">
        <f>Rezone!J109</f>
        <v>107</v>
      </c>
      <c r="C109" s="64">
        <f>Construction!E109</f>
        <v>1000</v>
      </c>
      <c r="D109" s="26">
        <f>Production!P109</f>
        <v>0</v>
      </c>
      <c r="E109" s="57">
        <f>Production!Q109</f>
        <v>5000</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x14ac:dyDescent="0.25">
      <c r="A110" s="899"/>
      <c r="B110" s="994">
        <f>Rezone!J110</f>
        <v>108</v>
      </c>
      <c r="C110" s="64">
        <f>Construction!E110</f>
        <v>1000</v>
      </c>
      <c r="D110" s="26">
        <f>Production!P110</f>
        <v>0</v>
      </c>
      <c r="E110" s="57">
        <f>Production!Q110</f>
        <v>5000</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x14ac:dyDescent="0.25">
      <c r="A111" s="900"/>
      <c r="B111" s="997">
        <f>Rezone!J111</f>
        <v>109</v>
      </c>
      <c r="C111" s="93">
        <f>Construction!E111</f>
        <v>1000</v>
      </c>
      <c r="D111" s="13">
        <f>Production!P111</f>
        <v>0</v>
      </c>
      <c r="E111" s="55">
        <f>Production!Q111</f>
        <v>5000</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x14ac:dyDescent="0.25">
      <c r="A112" s="899"/>
      <c r="B112" s="994">
        <f>Rezone!J112</f>
        <v>110</v>
      </c>
      <c r="C112" s="64">
        <f>Construction!E112</f>
        <v>1000</v>
      </c>
      <c r="D112" s="26">
        <f>Production!P112</f>
        <v>0</v>
      </c>
      <c r="E112" s="57">
        <f>Production!Q112</f>
        <v>5000</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x14ac:dyDescent="0.25">
      <c r="A113" s="899"/>
      <c r="B113" s="994">
        <f>Rezone!J113</f>
        <v>111</v>
      </c>
      <c r="C113" s="64">
        <f>Construction!E113</f>
        <v>1000</v>
      </c>
      <c r="D113" s="26">
        <f>Production!P113</f>
        <v>0</v>
      </c>
      <c r="E113" s="57">
        <f>Production!Q113</f>
        <v>5000</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x14ac:dyDescent="0.25">
      <c r="A114" s="899"/>
      <c r="B114" s="994">
        <f>Rezone!J114</f>
        <v>112</v>
      </c>
      <c r="C114" s="64">
        <f>Construction!E114</f>
        <v>1000</v>
      </c>
      <c r="D114" s="26">
        <f>Production!P114</f>
        <v>0</v>
      </c>
      <c r="E114" s="57">
        <f>Production!Q114</f>
        <v>5000</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x14ac:dyDescent="0.25">
      <c r="A115" s="899"/>
      <c r="B115" s="994">
        <f>Rezone!J115</f>
        <v>113</v>
      </c>
      <c r="C115" s="64">
        <f>Construction!E115</f>
        <v>1000</v>
      </c>
      <c r="D115" s="26">
        <f>Production!P115</f>
        <v>0</v>
      </c>
      <c r="E115" s="57">
        <f>Production!Q115</f>
        <v>5000</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x14ac:dyDescent="0.25">
      <c r="A116" s="899"/>
      <c r="B116" s="994">
        <f>Rezone!J116</f>
        <v>114</v>
      </c>
      <c r="C116" s="64">
        <f>Construction!E116</f>
        <v>1000</v>
      </c>
      <c r="D116" s="26">
        <f>Production!P116</f>
        <v>0</v>
      </c>
      <c r="E116" s="57">
        <f>Production!Q116</f>
        <v>5000</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x14ac:dyDescent="0.25">
      <c r="A117" s="899"/>
      <c r="B117" s="994">
        <f>Rezone!J117</f>
        <v>115</v>
      </c>
      <c r="C117" s="64">
        <f>Construction!E117</f>
        <v>1000</v>
      </c>
      <c r="D117" s="26">
        <f>Production!P117</f>
        <v>0</v>
      </c>
      <c r="E117" s="57">
        <f>Production!Q117</f>
        <v>5000</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x14ac:dyDescent="0.25">
      <c r="A118" s="899"/>
      <c r="B118" s="994">
        <f>Rezone!J118</f>
        <v>116</v>
      </c>
      <c r="C118" s="64">
        <f>Construction!E118</f>
        <v>1000</v>
      </c>
      <c r="D118" s="26">
        <f>Production!P118</f>
        <v>0</v>
      </c>
      <c r="E118" s="57">
        <f>Production!Q118</f>
        <v>5000</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x14ac:dyDescent="0.25">
      <c r="A119" s="899"/>
      <c r="B119" s="994">
        <f>Rezone!J119</f>
        <v>117</v>
      </c>
      <c r="C119" s="64">
        <f>Construction!E119</f>
        <v>1000</v>
      </c>
      <c r="D119" s="26">
        <f>Production!P119</f>
        <v>0</v>
      </c>
      <c r="E119" s="57">
        <f>Production!Q119</f>
        <v>5000</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x14ac:dyDescent="0.25">
      <c r="A120" s="899"/>
      <c r="B120" s="994">
        <f>Rezone!J120</f>
        <v>118</v>
      </c>
      <c r="C120" s="64">
        <f>Construction!E120</f>
        <v>1000</v>
      </c>
      <c r="D120" s="26">
        <f>Production!P120</f>
        <v>0</v>
      </c>
      <c r="E120" s="57">
        <f>Production!Q120</f>
        <v>5000</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x14ac:dyDescent="0.25">
      <c r="A121" s="899"/>
      <c r="B121" s="994">
        <f>Rezone!J121</f>
        <v>119</v>
      </c>
      <c r="C121" s="64">
        <f>Construction!E121</f>
        <v>1000</v>
      </c>
      <c r="D121" s="26">
        <f>Production!P121</f>
        <v>0</v>
      </c>
      <c r="E121" s="57">
        <f>Production!Q121</f>
        <v>5000</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8" thickBot="1" x14ac:dyDescent="0.3">
      <c r="A122" s="899"/>
      <c r="B122" s="994">
        <f>Rezone!J122</f>
        <v>120</v>
      </c>
      <c r="C122" s="64">
        <f>Construction!E122</f>
        <v>1000</v>
      </c>
      <c r="D122" s="26">
        <f>Production!P122</f>
        <v>0</v>
      </c>
      <c r="E122" s="57">
        <f>Production!Q122</f>
        <v>5000</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4" thickTop="1" thickBot="1" x14ac:dyDescent="0.3">
      <c r="A123" s="902"/>
      <c r="B123" s="998">
        <f>Rezone!J123</f>
        <v>121</v>
      </c>
      <c r="C123" s="117">
        <f>Construction!E123</f>
        <v>1000</v>
      </c>
      <c r="D123" s="108">
        <f>Production!P123</f>
        <v>0</v>
      </c>
      <c r="E123" s="109">
        <f>Production!Q123</f>
        <v>5000</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8" thickTop="1" x14ac:dyDescent="0.25">
      <c r="A124" s="899"/>
      <c r="B124" s="994">
        <f>Rezone!J124</f>
        <v>122</v>
      </c>
      <c r="C124" s="64">
        <f>Construction!E124</f>
        <v>1000</v>
      </c>
      <c r="D124" s="26">
        <f>Production!P124</f>
        <v>0</v>
      </c>
      <c r="E124" s="57">
        <f>Production!Q124</f>
        <v>5000</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x14ac:dyDescent="0.25">
      <c r="A125" s="899"/>
      <c r="B125" s="994">
        <f>Rezone!J125</f>
        <v>123</v>
      </c>
      <c r="C125" s="64">
        <f>Construction!E125</f>
        <v>1000</v>
      </c>
      <c r="D125" s="26">
        <f>Production!P125</f>
        <v>0</v>
      </c>
      <c r="E125" s="57">
        <f>Production!Q125</f>
        <v>5000</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x14ac:dyDescent="0.25">
      <c r="A126" s="899"/>
      <c r="B126" s="994">
        <f>Rezone!J126</f>
        <v>124</v>
      </c>
      <c r="C126" s="64">
        <f>Construction!E126</f>
        <v>1000</v>
      </c>
      <c r="D126" s="26">
        <f>Production!P126</f>
        <v>0</v>
      </c>
      <c r="E126" s="57">
        <f>Production!Q126</f>
        <v>5000</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x14ac:dyDescent="0.25">
      <c r="A127" s="899"/>
      <c r="B127" s="994">
        <f>Rezone!J127</f>
        <v>125</v>
      </c>
      <c r="C127" s="64">
        <f>Construction!E127</f>
        <v>1000</v>
      </c>
      <c r="D127" s="26">
        <f>Production!P127</f>
        <v>0</v>
      </c>
      <c r="E127" s="57">
        <f>Production!Q127</f>
        <v>5000</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x14ac:dyDescent="0.25">
      <c r="A128" s="899"/>
      <c r="B128" s="994">
        <f>Rezone!J128</f>
        <v>126</v>
      </c>
      <c r="C128" s="64">
        <f>Construction!E128</f>
        <v>1000</v>
      </c>
      <c r="D128" s="26">
        <f>Production!P128</f>
        <v>0</v>
      </c>
      <c r="E128" s="57">
        <f>Production!Q128</f>
        <v>5000</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x14ac:dyDescent="0.25">
      <c r="A129" s="899"/>
      <c r="B129" s="994">
        <f>Rezone!J129</f>
        <v>127</v>
      </c>
      <c r="C129" s="64">
        <f>Construction!E129</f>
        <v>1000</v>
      </c>
      <c r="D129" s="26">
        <f>Production!P129</f>
        <v>0</v>
      </c>
      <c r="E129" s="57">
        <f>Production!Q129</f>
        <v>5000</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x14ac:dyDescent="0.25">
      <c r="A130" s="899"/>
      <c r="B130" s="994">
        <f>Rezone!J130</f>
        <v>128</v>
      </c>
      <c r="C130" s="64">
        <f>Construction!E130</f>
        <v>1000</v>
      </c>
      <c r="D130" s="26">
        <f>Production!P130</f>
        <v>0</v>
      </c>
      <c r="E130" s="57">
        <f>Production!Q130</f>
        <v>5000</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x14ac:dyDescent="0.25">
      <c r="A131" s="899"/>
      <c r="B131" s="994">
        <f>Rezone!J131</f>
        <v>129</v>
      </c>
      <c r="C131" s="64">
        <f>Construction!E131</f>
        <v>1000</v>
      </c>
      <c r="D131" s="26">
        <f>Production!P131</f>
        <v>0</v>
      </c>
      <c r="E131" s="57">
        <f>Production!Q131</f>
        <v>5000</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x14ac:dyDescent="0.25">
      <c r="A132" s="899"/>
      <c r="B132" s="994">
        <f>Rezone!J132</f>
        <v>130</v>
      </c>
      <c r="C132" s="64">
        <f>Construction!E132</f>
        <v>1000</v>
      </c>
      <c r="D132" s="26">
        <f>Production!P132</f>
        <v>0</v>
      </c>
      <c r="E132" s="57">
        <f>Production!Q132</f>
        <v>5000</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x14ac:dyDescent="0.25">
      <c r="A133" s="899"/>
      <c r="B133" s="994">
        <f>Rezone!J133</f>
        <v>131</v>
      </c>
      <c r="C133" s="64">
        <f>Construction!E133</f>
        <v>1000</v>
      </c>
      <c r="D133" s="26">
        <f>Production!P133</f>
        <v>0</v>
      </c>
      <c r="E133" s="57">
        <f>Production!Q133</f>
        <v>5000</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x14ac:dyDescent="0.25">
      <c r="A134" s="899"/>
      <c r="B134" s="994">
        <f>Rezone!J134</f>
        <v>132</v>
      </c>
      <c r="C134" s="64">
        <f>Construction!E134</f>
        <v>1000</v>
      </c>
      <c r="D134" s="26">
        <f>Production!P134</f>
        <v>0</v>
      </c>
      <c r="E134" s="57">
        <f>Production!Q134</f>
        <v>5000</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x14ac:dyDescent="0.25">
      <c r="A135" s="900"/>
      <c r="B135" s="997">
        <f>Rezone!J135</f>
        <v>133</v>
      </c>
      <c r="C135" s="93">
        <f>Construction!E135</f>
        <v>1000</v>
      </c>
      <c r="D135" s="13">
        <f>Production!P135</f>
        <v>0</v>
      </c>
      <c r="E135" s="55">
        <f>Production!Q135</f>
        <v>5000</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x14ac:dyDescent="0.25">
      <c r="A1268" s="495" t="s">
        <v>330</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x14ac:dyDescent="0.25">
      <c r="A1269" s="850">
        <f ca="1">Overview!E17</f>
        <v>-42</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40">
    <mergeCell ref="G27:H27"/>
    <mergeCell ref="Q27:S27"/>
    <mergeCell ref="P16:Q16"/>
    <mergeCell ref="P17:Q17"/>
    <mergeCell ref="G5:H5"/>
    <mergeCell ref="G6:H6"/>
    <mergeCell ref="G13:H13"/>
    <mergeCell ref="G12:I12"/>
    <mergeCell ref="H17:J17"/>
    <mergeCell ref="H16:K16"/>
    <mergeCell ref="H8:K8"/>
    <mergeCell ref="H9:J9"/>
    <mergeCell ref="Q21:S21"/>
    <mergeCell ref="Q22:S22"/>
    <mergeCell ref="G20:H20"/>
    <mergeCell ref="G21:H21"/>
    <mergeCell ref="G22:H22"/>
    <mergeCell ref="Q20:S20"/>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G4:H4"/>
    <mergeCell ref="G3:I3"/>
    <mergeCell ref="AI1:AK1"/>
    <mergeCell ref="AL1:AN1"/>
    <mergeCell ref="W1:Y1"/>
    <mergeCell ref="Z1:AB1"/>
    <mergeCell ref="AC1:AE1"/>
    <mergeCell ref="AF1:AH1"/>
  </mergeCells>
  <phoneticPr fontId="0" type="noConversion"/>
  <conditionalFormatting sqref="Q20:S22 H17 G4:G6 G20:G22 G13 M16:M18 M13 M8:M10 M5 M21 P17:Q17 Q13:S13 P9:Q9 Q4:S6 H9">
    <cfRule type="expression" dxfId="124" priority="15" stopIfTrue="1">
      <formula>NOT(F4)</formula>
    </cfRule>
    <cfRule type="expression" dxfId="123" priority="16" stopIfTrue="1">
      <formula>TRUE</formula>
    </cfRule>
  </conditionalFormatting>
  <conditionalFormatting sqref="I22 I6">
    <cfRule type="expression" dxfId="122" priority="17" stopIfTrue="1">
      <formula>AND(F4,F5)</formula>
    </cfRule>
  </conditionalFormatting>
  <conditionalFormatting sqref="N10 N18">
    <cfRule type="expression" dxfId="121" priority="18" stopIfTrue="1">
      <formula>AND(L8,L9)</formula>
    </cfRule>
  </conditionalFormatting>
  <conditionalFormatting sqref="T22 T6">
    <cfRule type="expression" dxfId="120" priority="19" stopIfTrue="1">
      <formula>AND(P4,P5)</formula>
    </cfRule>
  </conditionalFormatting>
  <conditionalFormatting sqref="I4:I5 I20:I21">
    <cfRule type="expression" dxfId="119" priority="20" stopIfTrue="1">
      <formula>OR(F4,$I$1&gt;0)</formula>
    </cfRule>
  </conditionalFormatting>
  <conditionalFormatting sqref="T4:T5 T20:T21">
    <cfRule type="expression" dxfId="118" priority="21" stopIfTrue="1">
      <formula>OR(P4,$I$1&gt;0)</formula>
    </cfRule>
  </conditionalFormatting>
  <conditionalFormatting sqref="N8:N9 N16:N17">
    <cfRule type="expression" dxfId="117" priority="22" stopIfTrue="1">
      <formula>OR(L8,$I$1&gt;0)</formula>
    </cfRule>
  </conditionalFormatting>
  <conditionalFormatting sqref="I13">
    <cfRule type="expression" dxfId="116" priority="23" stopIfTrue="1">
      <formula>OR(F13,AND(F22,$F$6,$I$1&gt;0))</formula>
    </cfRule>
  </conditionalFormatting>
  <conditionalFormatting sqref="A1269">
    <cfRule type="expression" dxfId="115" priority="24" stopIfTrue="1">
      <formula>#REF!&gt;144</formula>
    </cfRule>
  </conditionalFormatting>
  <conditionalFormatting sqref="K9">
    <cfRule type="expression" dxfId="114" priority="25" stopIfTrue="1">
      <formula>OR($G$9,AND($F$6,$L$10,$I$1&gt;0))</formula>
    </cfRule>
  </conditionalFormatting>
  <conditionalFormatting sqref="K17">
    <cfRule type="expression" dxfId="113" priority="26" stopIfTrue="1">
      <formula>OR($G$17,AND($F$22,$L$18,$I$1&gt;0))</formula>
    </cfRule>
  </conditionalFormatting>
  <conditionalFormatting sqref="R9">
    <cfRule type="expression" dxfId="112" priority="27" stopIfTrue="1">
      <formula>OR($O$9,AND($P$6,$L$10,$I$1&gt;0))</formula>
    </cfRule>
  </conditionalFormatting>
  <conditionalFormatting sqref="N21">
    <cfRule type="expression" dxfId="111" priority="28" stopIfTrue="1">
      <formula>OR($L$21,AND($F$22,$P$22,$I$1&gt;0))</formula>
    </cfRule>
  </conditionalFormatting>
  <conditionalFormatting sqref="R17">
    <cfRule type="expression" dxfId="110" priority="29" stopIfTrue="1">
      <formula>OR($O$17,AND($P$22,$L$18,$I$1&gt;0))</formula>
    </cfRule>
  </conditionalFormatting>
  <conditionalFormatting sqref="N5">
    <cfRule type="expression" dxfId="109" priority="30" stopIfTrue="1">
      <formula>OR($L$5,AND($F$6,$P$6,$I$1&gt;0))</formula>
    </cfRule>
  </conditionalFormatting>
  <conditionalFormatting sqref="T13">
    <cfRule type="expression" dxfId="108" priority="31" stopIfTrue="1">
      <formula>OR($P$13,AND($P$22,$P$6,$I$1&gt;0))</formula>
    </cfRule>
  </conditionalFormatting>
  <conditionalFormatting sqref="N13">
    <cfRule type="expression" dxfId="107" priority="32" stopIfTrue="1">
      <formula>OR($L$13,AND($L$18,$L$10,$I$1&gt;0))</formula>
    </cfRule>
  </conditionalFormatting>
  <conditionalFormatting sqref="D3 E3:E18 B3:C18 B32:C135 E32:E135 B28:C30 E28:E30 B20:C26 E20:E26">
    <cfRule type="expression" dxfId="106" priority="33" stopIfTrue="1">
      <formula>OR(ROW()-3=$A$1269,B3&lt;0)</formula>
    </cfRule>
  </conditionalFormatting>
  <conditionalFormatting sqref="A1:E2 V1:IV2">
    <cfRule type="expression" dxfId="105" priority="34" stopIfTrue="1">
      <formula>$A$1269&lt;1</formula>
    </cfRule>
  </conditionalFormatting>
  <conditionalFormatting sqref="D4:D18 D32:D135 D28:D30 D20:D26">
    <cfRule type="expression" dxfId="104" priority="35" stopIfTrue="1">
      <formula>OR(ROW()-3=$A$1269,D4&lt;0)</formula>
    </cfRule>
    <cfRule type="expression" dxfId="103" priority="36" stopIfTrue="1">
      <formula>D4&lt;D3</formula>
    </cfRule>
  </conditionalFormatting>
  <conditionalFormatting sqref="E19 B19:C19">
    <cfRule type="expression" dxfId="102" priority="1" stopIfTrue="1">
      <formula>OR(ROW()-3=$A$1269,B19&lt;0)</formula>
    </cfRule>
  </conditionalFormatting>
  <conditionalFormatting sqref="E31 B31:C31">
    <cfRule type="expression" dxfId="101" priority="12" stopIfTrue="1">
      <formula>OR(ROW()-3=$A$1269,B31&lt;0)</formula>
    </cfRule>
  </conditionalFormatting>
  <conditionalFormatting sqref="D31">
    <cfRule type="expression" dxfId="100" priority="13" stopIfTrue="1">
      <formula>OR(ROW()-3=$A$1269,D31&lt;0)</formula>
    </cfRule>
    <cfRule type="expression" dxfId="99" priority="14" stopIfTrue="1">
      <formula>D31&lt;D30</formula>
    </cfRule>
  </conditionalFormatting>
  <conditionalFormatting sqref="Q27:S27 G27 M27">
    <cfRule type="expression" dxfId="98" priority="4" stopIfTrue="1">
      <formula>NOT(F27)</formula>
    </cfRule>
    <cfRule type="expression" dxfId="97" priority="5" stopIfTrue="1">
      <formula>TRUE</formula>
    </cfRule>
  </conditionalFormatting>
  <conditionalFormatting sqref="I27">
    <cfRule type="expression" dxfId="96" priority="6" stopIfTrue="1">
      <formula>OR(F27,$I$1&gt;0)</formula>
    </cfRule>
  </conditionalFormatting>
  <conditionalFormatting sqref="T27">
    <cfRule type="expression" dxfId="95" priority="7" stopIfTrue="1">
      <formula>OR(P27,$I$1&gt;0)</formula>
    </cfRule>
  </conditionalFormatting>
  <conditionalFormatting sqref="N27">
    <cfRule type="expression" dxfId="94" priority="8" stopIfTrue="1">
      <formula>OR($L$21,AND($F$22,$P$22,$I$1&gt;0))</formula>
    </cfRule>
  </conditionalFormatting>
  <conditionalFormatting sqref="E27 B27:C27">
    <cfRule type="expression" dxfId="93" priority="9" stopIfTrue="1">
      <formula>OR(ROW()-3=$A$1269,B27&lt;0)</formula>
    </cfRule>
  </conditionalFormatting>
  <conditionalFormatting sqref="D27">
    <cfRule type="expression" dxfId="92" priority="10" stopIfTrue="1">
      <formula>OR(ROW()-3=$A$1269,D27&lt;0)</formula>
    </cfRule>
    <cfRule type="expression" dxfId="91" priority="11" stopIfTrue="1">
      <formula>D27&lt;D26</formula>
    </cfRule>
  </conditionalFormatting>
  <conditionalFormatting sqref="D19">
    <cfRule type="expression" dxfId="90" priority="2" stopIfTrue="1">
      <formula>OR(ROW()-3=$A$1269,D19&lt;0)</formula>
    </cfRule>
    <cfRule type="expression" dxfId="89" priority="3" stopIfTrue="1">
      <formula>D19&lt;D18</formula>
    </cfRule>
  </conditionalFormatting>
  <pageMargins left="0.75" right="0.75" top="1" bottom="1" header="0.5" footer="0.5"/>
  <pageSetup paperSize="9" orientation="portrait" horizontalDpi="300" verticalDpi="300" copies="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25" r:id="rId4" name="Option Button 9">
              <controlPr defaultSize="0" autoFill="0" autoLine="0" autoPict="0" macro="[0]!BuildTechscreen">
                <anchor moveWithCells="1">
                  <from>
                    <xdr:col>0</xdr:col>
                    <xdr:colOff>22860</xdr:colOff>
                    <xdr:row>1</xdr:row>
                    <xdr:rowOff>144780</xdr:rowOff>
                  </from>
                  <to>
                    <xdr:col>1</xdr:col>
                    <xdr:colOff>68580</xdr:colOff>
                    <xdr:row>3</xdr:row>
                    <xdr:rowOff>38100</xdr:rowOff>
                  </to>
                </anchor>
              </controlPr>
            </control>
          </mc:Choice>
        </mc:AlternateContent>
        <mc:AlternateContent xmlns:mc="http://schemas.openxmlformats.org/markup-compatibility/2006">
          <mc:Choice Requires="x14">
            <control shapeId="9226" r:id="rId5" name="Option Button 10">
              <controlPr defaultSize="0" autoFill="0" autoLine="0" autoPict="0" macro="[0]!BuildTechscreen">
                <anchor moveWithCells="1">
                  <from>
                    <xdr:col>0</xdr:col>
                    <xdr:colOff>22860</xdr:colOff>
                    <xdr:row>2</xdr:row>
                    <xdr:rowOff>129540</xdr:rowOff>
                  </from>
                  <to>
                    <xdr:col>1</xdr:col>
                    <xdr:colOff>68580</xdr:colOff>
                    <xdr:row>4</xdr:row>
                    <xdr:rowOff>45720</xdr:rowOff>
                  </to>
                </anchor>
              </controlPr>
            </control>
          </mc:Choice>
        </mc:AlternateContent>
        <mc:AlternateContent xmlns:mc="http://schemas.openxmlformats.org/markup-compatibility/2006">
          <mc:Choice Requires="x14">
            <control shapeId="9227" r:id="rId6" name="Option Button 11">
              <controlPr defaultSize="0" autoFill="0" autoLine="0" autoPict="0" macro="[0]!BuildTechscreen">
                <anchor moveWithCells="1">
                  <from>
                    <xdr:col>0</xdr:col>
                    <xdr:colOff>22860</xdr:colOff>
                    <xdr:row>3</xdr:row>
                    <xdr:rowOff>137160</xdr:rowOff>
                  </from>
                  <to>
                    <xdr:col>1</xdr:col>
                    <xdr:colOff>68580</xdr:colOff>
                    <xdr:row>5</xdr:row>
                    <xdr:rowOff>60960</xdr:rowOff>
                  </to>
                </anchor>
              </controlPr>
            </control>
          </mc:Choice>
        </mc:AlternateContent>
        <mc:AlternateContent xmlns:mc="http://schemas.openxmlformats.org/markup-compatibility/2006">
          <mc:Choice Requires="x14">
            <control shapeId="9228" r:id="rId7" name="Option Button 12">
              <controlPr defaultSize="0" autoFill="0" autoLine="0" autoPict="0" macro="[0]!BuildTechscreen">
                <anchor moveWithCells="1">
                  <from>
                    <xdr:col>0</xdr:col>
                    <xdr:colOff>22860</xdr:colOff>
                    <xdr:row>4</xdr:row>
                    <xdr:rowOff>129540</xdr:rowOff>
                  </from>
                  <to>
                    <xdr:col>1</xdr:col>
                    <xdr:colOff>68580</xdr:colOff>
                    <xdr:row>6</xdr:row>
                    <xdr:rowOff>38100</xdr:rowOff>
                  </to>
                </anchor>
              </controlPr>
            </control>
          </mc:Choice>
        </mc:AlternateContent>
        <mc:AlternateContent xmlns:mc="http://schemas.openxmlformats.org/markup-compatibility/2006">
          <mc:Choice Requires="x14">
            <control shapeId="9229" r:id="rId8" name="Option Button 13">
              <controlPr defaultSize="0" autoFill="0" autoLine="0" autoPict="0" macro="[0]!BuildTechscreen">
                <anchor moveWithCells="1">
                  <from>
                    <xdr:col>0</xdr:col>
                    <xdr:colOff>22860</xdr:colOff>
                    <xdr:row>5</xdr:row>
                    <xdr:rowOff>137160</xdr:rowOff>
                  </from>
                  <to>
                    <xdr:col>1</xdr:col>
                    <xdr:colOff>68580</xdr:colOff>
                    <xdr:row>7</xdr:row>
                    <xdr:rowOff>38100</xdr:rowOff>
                  </to>
                </anchor>
              </controlPr>
            </control>
          </mc:Choice>
        </mc:AlternateContent>
        <mc:AlternateContent xmlns:mc="http://schemas.openxmlformats.org/markup-compatibility/2006">
          <mc:Choice Requires="x14">
            <control shapeId="9230" r:id="rId9" name="Option Button 14">
              <controlPr defaultSize="0" autoFill="0" autoLine="0" autoPict="0" macro="[0]!BuildTechscreen">
                <anchor moveWithCells="1">
                  <from>
                    <xdr:col>0</xdr:col>
                    <xdr:colOff>22860</xdr:colOff>
                    <xdr:row>6</xdr:row>
                    <xdr:rowOff>129540</xdr:rowOff>
                  </from>
                  <to>
                    <xdr:col>1</xdr:col>
                    <xdr:colOff>68580</xdr:colOff>
                    <xdr:row>8</xdr:row>
                    <xdr:rowOff>38100</xdr:rowOff>
                  </to>
                </anchor>
              </controlPr>
            </control>
          </mc:Choice>
        </mc:AlternateContent>
        <mc:AlternateContent xmlns:mc="http://schemas.openxmlformats.org/markup-compatibility/2006">
          <mc:Choice Requires="x14">
            <control shapeId="9231" r:id="rId10" name="Option Button 15">
              <controlPr defaultSize="0" autoFill="0" autoLine="0" autoPict="0" macro="[0]!BuildTechscreen">
                <anchor moveWithCells="1">
                  <from>
                    <xdr:col>0</xdr:col>
                    <xdr:colOff>22860</xdr:colOff>
                    <xdr:row>7</xdr:row>
                    <xdr:rowOff>137160</xdr:rowOff>
                  </from>
                  <to>
                    <xdr:col>1</xdr:col>
                    <xdr:colOff>68580</xdr:colOff>
                    <xdr:row>9</xdr:row>
                    <xdr:rowOff>38100</xdr:rowOff>
                  </to>
                </anchor>
              </controlPr>
            </control>
          </mc:Choice>
        </mc:AlternateContent>
        <mc:AlternateContent xmlns:mc="http://schemas.openxmlformats.org/markup-compatibility/2006">
          <mc:Choice Requires="x14">
            <control shapeId="9232" r:id="rId11" name="Option Button 16">
              <controlPr defaultSize="0" autoFill="0" autoLine="0" autoPict="0" macro="[0]!BuildTechscreen">
                <anchor moveWithCells="1">
                  <from>
                    <xdr:col>0</xdr:col>
                    <xdr:colOff>22860</xdr:colOff>
                    <xdr:row>8</xdr:row>
                    <xdr:rowOff>129540</xdr:rowOff>
                  </from>
                  <to>
                    <xdr:col>1</xdr:col>
                    <xdr:colOff>68580</xdr:colOff>
                    <xdr:row>10</xdr:row>
                    <xdr:rowOff>38100</xdr:rowOff>
                  </to>
                </anchor>
              </controlPr>
            </control>
          </mc:Choice>
        </mc:AlternateContent>
        <mc:AlternateContent xmlns:mc="http://schemas.openxmlformats.org/markup-compatibility/2006">
          <mc:Choice Requires="x14">
            <control shapeId="9233" r:id="rId12" name="Option Button 17">
              <controlPr defaultSize="0" autoFill="0" autoLine="0" autoPict="0" macro="[0]!BuildTechscreen">
                <anchor moveWithCells="1">
                  <from>
                    <xdr:col>0</xdr:col>
                    <xdr:colOff>22860</xdr:colOff>
                    <xdr:row>9</xdr:row>
                    <xdr:rowOff>137160</xdr:rowOff>
                  </from>
                  <to>
                    <xdr:col>1</xdr:col>
                    <xdr:colOff>68580</xdr:colOff>
                    <xdr:row>11</xdr:row>
                    <xdr:rowOff>38100</xdr:rowOff>
                  </to>
                </anchor>
              </controlPr>
            </control>
          </mc:Choice>
        </mc:AlternateContent>
        <mc:AlternateContent xmlns:mc="http://schemas.openxmlformats.org/markup-compatibility/2006">
          <mc:Choice Requires="x14">
            <control shapeId="9234" r:id="rId13" name="Option Button 18">
              <controlPr defaultSize="0" autoFill="0" autoLine="0" autoPict="0" macro="[0]!BuildTechscreen">
                <anchor moveWithCells="1">
                  <from>
                    <xdr:col>0</xdr:col>
                    <xdr:colOff>22860</xdr:colOff>
                    <xdr:row>10</xdr:row>
                    <xdr:rowOff>129540</xdr:rowOff>
                  </from>
                  <to>
                    <xdr:col>1</xdr:col>
                    <xdr:colOff>68580</xdr:colOff>
                    <xdr:row>12</xdr:row>
                    <xdr:rowOff>38100</xdr:rowOff>
                  </to>
                </anchor>
              </controlPr>
            </control>
          </mc:Choice>
        </mc:AlternateContent>
        <mc:AlternateContent xmlns:mc="http://schemas.openxmlformats.org/markup-compatibility/2006">
          <mc:Choice Requires="x14">
            <control shapeId="9235" r:id="rId14" name="Option Button 19">
              <controlPr defaultSize="0" autoFill="0" autoLine="0" autoPict="0" macro="[0]!BuildTechscreen">
                <anchor moveWithCells="1">
                  <from>
                    <xdr:col>0</xdr:col>
                    <xdr:colOff>22860</xdr:colOff>
                    <xdr:row>11</xdr:row>
                    <xdr:rowOff>137160</xdr:rowOff>
                  </from>
                  <to>
                    <xdr:col>1</xdr:col>
                    <xdr:colOff>68580</xdr:colOff>
                    <xdr:row>13</xdr:row>
                    <xdr:rowOff>38100</xdr:rowOff>
                  </to>
                </anchor>
              </controlPr>
            </control>
          </mc:Choice>
        </mc:AlternateContent>
        <mc:AlternateContent xmlns:mc="http://schemas.openxmlformats.org/markup-compatibility/2006">
          <mc:Choice Requires="x14">
            <control shapeId="9236" r:id="rId15" name="Option Button 20">
              <controlPr defaultSize="0" autoFill="0" autoLine="0" autoPict="0" macro="[0]!BuildTechscreen">
                <anchor moveWithCells="1">
                  <from>
                    <xdr:col>0</xdr:col>
                    <xdr:colOff>22860</xdr:colOff>
                    <xdr:row>12</xdr:row>
                    <xdr:rowOff>129540</xdr:rowOff>
                  </from>
                  <to>
                    <xdr:col>1</xdr:col>
                    <xdr:colOff>68580</xdr:colOff>
                    <xdr:row>14</xdr:row>
                    <xdr:rowOff>38100</xdr:rowOff>
                  </to>
                </anchor>
              </controlPr>
            </control>
          </mc:Choice>
        </mc:AlternateContent>
        <mc:AlternateContent xmlns:mc="http://schemas.openxmlformats.org/markup-compatibility/2006">
          <mc:Choice Requires="x14">
            <control shapeId="9237" r:id="rId16" name="Option Button 21">
              <controlPr defaultSize="0" autoFill="0" autoLine="0" autoPict="0" macro="[0]!BuildTechscreen">
                <anchor moveWithCells="1">
                  <from>
                    <xdr:col>0</xdr:col>
                    <xdr:colOff>22860</xdr:colOff>
                    <xdr:row>13</xdr:row>
                    <xdr:rowOff>137160</xdr:rowOff>
                  </from>
                  <to>
                    <xdr:col>1</xdr:col>
                    <xdr:colOff>68580</xdr:colOff>
                    <xdr:row>15</xdr:row>
                    <xdr:rowOff>38100</xdr:rowOff>
                  </to>
                </anchor>
              </controlPr>
            </control>
          </mc:Choice>
        </mc:AlternateContent>
        <mc:AlternateContent xmlns:mc="http://schemas.openxmlformats.org/markup-compatibility/2006">
          <mc:Choice Requires="x14">
            <control shapeId="9238" r:id="rId17" name="Option Button 22">
              <controlPr defaultSize="0" autoFill="0" autoLine="0" autoPict="0" macro="[0]!BuildTechscreen">
                <anchor moveWithCells="1">
                  <from>
                    <xdr:col>0</xdr:col>
                    <xdr:colOff>22860</xdr:colOff>
                    <xdr:row>14</xdr:row>
                    <xdr:rowOff>129540</xdr:rowOff>
                  </from>
                  <to>
                    <xdr:col>1</xdr:col>
                    <xdr:colOff>68580</xdr:colOff>
                    <xdr:row>16</xdr:row>
                    <xdr:rowOff>38100</xdr:rowOff>
                  </to>
                </anchor>
              </controlPr>
            </control>
          </mc:Choice>
        </mc:AlternateContent>
        <mc:AlternateContent xmlns:mc="http://schemas.openxmlformats.org/markup-compatibility/2006">
          <mc:Choice Requires="x14">
            <control shapeId="9239" r:id="rId18" name="Option Button 23">
              <controlPr defaultSize="0" autoFill="0" autoLine="0" autoPict="0" macro="[0]!BuildTechscreen">
                <anchor moveWithCells="1">
                  <from>
                    <xdr:col>0</xdr:col>
                    <xdr:colOff>22860</xdr:colOff>
                    <xdr:row>15</xdr:row>
                    <xdr:rowOff>137160</xdr:rowOff>
                  </from>
                  <to>
                    <xdr:col>1</xdr:col>
                    <xdr:colOff>68580</xdr:colOff>
                    <xdr:row>17</xdr:row>
                    <xdr:rowOff>38100</xdr:rowOff>
                  </to>
                </anchor>
              </controlPr>
            </control>
          </mc:Choice>
        </mc:AlternateContent>
        <mc:AlternateContent xmlns:mc="http://schemas.openxmlformats.org/markup-compatibility/2006">
          <mc:Choice Requires="x14">
            <control shapeId="9240" r:id="rId19" name="Option Button 24">
              <controlPr defaultSize="0" autoFill="0" autoLine="0" autoPict="0" macro="[0]!BuildTechscreen">
                <anchor moveWithCells="1">
                  <from>
                    <xdr:col>0</xdr:col>
                    <xdr:colOff>22860</xdr:colOff>
                    <xdr:row>16</xdr:row>
                    <xdr:rowOff>129540</xdr:rowOff>
                  </from>
                  <to>
                    <xdr:col>1</xdr:col>
                    <xdr:colOff>68580</xdr:colOff>
                    <xdr:row>18</xdr:row>
                    <xdr:rowOff>38100</xdr:rowOff>
                  </to>
                </anchor>
              </controlPr>
            </control>
          </mc:Choice>
        </mc:AlternateContent>
        <mc:AlternateContent xmlns:mc="http://schemas.openxmlformats.org/markup-compatibility/2006">
          <mc:Choice Requires="x14">
            <control shapeId="9241" r:id="rId20" name="Option Button 25">
              <controlPr defaultSize="0" autoFill="0" autoLine="0" autoPict="0" macro="[0]!BuildTechscreen">
                <anchor moveWithCells="1">
                  <from>
                    <xdr:col>0</xdr:col>
                    <xdr:colOff>22860</xdr:colOff>
                    <xdr:row>17</xdr:row>
                    <xdr:rowOff>137160</xdr:rowOff>
                  </from>
                  <to>
                    <xdr:col>1</xdr:col>
                    <xdr:colOff>68580</xdr:colOff>
                    <xdr:row>19</xdr:row>
                    <xdr:rowOff>38100</xdr:rowOff>
                  </to>
                </anchor>
              </controlPr>
            </control>
          </mc:Choice>
        </mc:AlternateContent>
        <mc:AlternateContent xmlns:mc="http://schemas.openxmlformats.org/markup-compatibility/2006">
          <mc:Choice Requires="x14">
            <control shapeId="9242" r:id="rId21" name="Option Button 26">
              <controlPr defaultSize="0" autoFill="0" autoLine="0" autoPict="0" macro="[0]!BuildTechscreen">
                <anchor moveWithCells="1">
                  <from>
                    <xdr:col>0</xdr:col>
                    <xdr:colOff>22860</xdr:colOff>
                    <xdr:row>18</xdr:row>
                    <xdr:rowOff>129540</xdr:rowOff>
                  </from>
                  <to>
                    <xdr:col>1</xdr:col>
                    <xdr:colOff>68580</xdr:colOff>
                    <xdr:row>20</xdr:row>
                    <xdr:rowOff>38100</xdr:rowOff>
                  </to>
                </anchor>
              </controlPr>
            </control>
          </mc:Choice>
        </mc:AlternateContent>
        <mc:AlternateContent xmlns:mc="http://schemas.openxmlformats.org/markup-compatibility/2006">
          <mc:Choice Requires="x14">
            <control shapeId="9243" r:id="rId22" name="Option Button 27">
              <controlPr defaultSize="0" autoFill="0" autoLine="0" autoPict="0" macro="[0]!BuildTechscreen">
                <anchor moveWithCells="1">
                  <from>
                    <xdr:col>0</xdr:col>
                    <xdr:colOff>22860</xdr:colOff>
                    <xdr:row>19</xdr:row>
                    <xdr:rowOff>137160</xdr:rowOff>
                  </from>
                  <to>
                    <xdr:col>1</xdr:col>
                    <xdr:colOff>68580</xdr:colOff>
                    <xdr:row>21</xdr:row>
                    <xdr:rowOff>38100</xdr:rowOff>
                  </to>
                </anchor>
              </controlPr>
            </control>
          </mc:Choice>
        </mc:AlternateContent>
        <mc:AlternateContent xmlns:mc="http://schemas.openxmlformats.org/markup-compatibility/2006">
          <mc:Choice Requires="x14">
            <control shapeId="9244" r:id="rId23" name="Option Button 28">
              <controlPr defaultSize="0" autoFill="0" autoLine="0" autoPict="0" macro="[0]!BuildTechscreen">
                <anchor moveWithCells="1">
                  <from>
                    <xdr:col>0</xdr:col>
                    <xdr:colOff>22860</xdr:colOff>
                    <xdr:row>20</xdr:row>
                    <xdr:rowOff>129540</xdr:rowOff>
                  </from>
                  <to>
                    <xdr:col>1</xdr:col>
                    <xdr:colOff>68580</xdr:colOff>
                    <xdr:row>22</xdr:row>
                    <xdr:rowOff>38100</xdr:rowOff>
                  </to>
                </anchor>
              </controlPr>
            </control>
          </mc:Choice>
        </mc:AlternateContent>
        <mc:AlternateContent xmlns:mc="http://schemas.openxmlformats.org/markup-compatibility/2006">
          <mc:Choice Requires="x14">
            <control shapeId="9245" r:id="rId24" name="Option Button 29">
              <controlPr defaultSize="0" autoFill="0" autoLine="0" autoPict="0" macro="[0]!BuildTechscreen">
                <anchor moveWithCells="1">
                  <from>
                    <xdr:col>0</xdr:col>
                    <xdr:colOff>22860</xdr:colOff>
                    <xdr:row>21</xdr:row>
                    <xdr:rowOff>137160</xdr:rowOff>
                  </from>
                  <to>
                    <xdr:col>1</xdr:col>
                    <xdr:colOff>68580</xdr:colOff>
                    <xdr:row>23</xdr:row>
                    <xdr:rowOff>38100</xdr:rowOff>
                  </to>
                </anchor>
              </controlPr>
            </control>
          </mc:Choice>
        </mc:AlternateContent>
        <mc:AlternateContent xmlns:mc="http://schemas.openxmlformats.org/markup-compatibility/2006">
          <mc:Choice Requires="x14">
            <control shapeId="9246" r:id="rId25" name="Option Button 30">
              <controlPr defaultSize="0" autoFill="0" autoLine="0" autoPict="0" macro="[0]!BuildTechscreen">
                <anchor moveWithCells="1">
                  <from>
                    <xdr:col>0</xdr:col>
                    <xdr:colOff>22860</xdr:colOff>
                    <xdr:row>22</xdr:row>
                    <xdr:rowOff>137160</xdr:rowOff>
                  </from>
                  <to>
                    <xdr:col>1</xdr:col>
                    <xdr:colOff>68580</xdr:colOff>
                    <xdr:row>24</xdr:row>
                    <xdr:rowOff>38100</xdr:rowOff>
                  </to>
                </anchor>
              </controlPr>
            </control>
          </mc:Choice>
        </mc:AlternateContent>
        <mc:AlternateContent xmlns:mc="http://schemas.openxmlformats.org/markup-compatibility/2006">
          <mc:Choice Requires="x14">
            <control shapeId="9247" r:id="rId26" name="Option Button 31">
              <controlPr defaultSize="0" autoFill="0" autoLine="0" autoPict="0" macro="[0]!BuildTechscreen">
                <anchor moveWithCells="1">
                  <from>
                    <xdr:col>0</xdr:col>
                    <xdr:colOff>22860</xdr:colOff>
                    <xdr:row>23</xdr:row>
                    <xdr:rowOff>137160</xdr:rowOff>
                  </from>
                  <to>
                    <xdr:col>1</xdr:col>
                    <xdr:colOff>68580</xdr:colOff>
                    <xdr:row>25</xdr:row>
                    <xdr:rowOff>60960</xdr:rowOff>
                  </to>
                </anchor>
              </controlPr>
            </control>
          </mc:Choice>
        </mc:AlternateContent>
        <mc:AlternateContent xmlns:mc="http://schemas.openxmlformats.org/markup-compatibility/2006">
          <mc:Choice Requires="x14">
            <control shapeId="9248" r:id="rId27" name="Option Button 32">
              <controlPr defaultSize="0" autoFill="0" autoLine="0" autoPict="0" macro="[0]!BuildTechscreen">
                <anchor moveWithCells="1">
                  <from>
                    <xdr:col>0</xdr:col>
                    <xdr:colOff>22860</xdr:colOff>
                    <xdr:row>24</xdr:row>
                    <xdr:rowOff>129540</xdr:rowOff>
                  </from>
                  <to>
                    <xdr:col>1</xdr:col>
                    <xdr:colOff>68580</xdr:colOff>
                    <xdr:row>26</xdr:row>
                    <xdr:rowOff>30480</xdr:rowOff>
                  </to>
                </anchor>
              </controlPr>
            </control>
          </mc:Choice>
        </mc:AlternateContent>
        <mc:AlternateContent xmlns:mc="http://schemas.openxmlformats.org/markup-compatibility/2006">
          <mc:Choice Requires="x14">
            <control shapeId="9249" r:id="rId28" name="Option Button 33">
              <controlPr defaultSize="0" autoFill="0" autoLine="0" autoPict="0" macro="[0]!BuildTechscreen">
                <anchor moveWithCells="1">
                  <from>
                    <xdr:col>0</xdr:col>
                    <xdr:colOff>22860</xdr:colOff>
                    <xdr:row>25</xdr:row>
                    <xdr:rowOff>144780</xdr:rowOff>
                  </from>
                  <to>
                    <xdr:col>1</xdr:col>
                    <xdr:colOff>68580</xdr:colOff>
                    <xdr:row>27</xdr:row>
                    <xdr:rowOff>30480</xdr:rowOff>
                  </to>
                </anchor>
              </controlPr>
            </control>
          </mc:Choice>
        </mc:AlternateContent>
        <mc:AlternateContent xmlns:mc="http://schemas.openxmlformats.org/markup-compatibility/2006">
          <mc:Choice Requires="x14">
            <control shapeId="9250" r:id="rId29" name="Option Button 34">
              <controlPr defaultSize="0" autoFill="0" autoLine="0" autoPict="0" macro="[0]!BuildTechscreen">
                <anchor moveWithCells="1">
                  <from>
                    <xdr:col>0</xdr:col>
                    <xdr:colOff>22860</xdr:colOff>
                    <xdr:row>26</xdr:row>
                    <xdr:rowOff>137160</xdr:rowOff>
                  </from>
                  <to>
                    <xdr:col>1</xdr:col>
                    <xdr:colOff>68580</xdr:colOff>
                    <xdr:row>27</xdr:row>
                    <xdr:rowOff>144780</xdr:rowOff>
                  </to>
                </anchor>
              </controlPr>
            </control>
          </mc:Choice>
        </mc:AlternateContent>
        <mc:AlternateContent xmlns:mc="http://schemas.openxmlformats.org/markup-compatibility/2006">
          <mc:Choice Requires="x14">
            <control shapeId="9251" r:id="rId30" name="Option Button 35">
              <controlPr defaultSize="0" autoFill="0" autoLine="0" autoPict="0" macro="[0]!BuildTechscreen">
                <anchor moveWithCells="1">
                  <from>
                    <xdr:col>0</xdr:col>
                    <xdr:colOff>22860</xdr:colOff>
                    <xdr:row>27</xdr:row>
                    <xdr:rowOff>137160</xdr:rowOff>
                  </from>
                  <to>
                    <xdr:col>1</xdr:col>
                    <xdr:colOff>68580</xdr:colOff>
                    <xdr:row>29</xdr:row>
                    <xdr:rowOff>45720</xdr:rowOff>
                  </to>
                </anchor>
              </controlPr>
            </control>
          </mc:Choice>
        </mc:AlternateContent>
        <mc:AlternateContent xmlns:mc="http://schemas.openxmlformats.org/markup-compatibility/2006">
          <mc:Choice Requires="x14">
            <control shapeId="9252" r:id="rId31" name="Option Button 36">
              <controlPr defaultSize="0" autoFill="0" autoLine="0" autoPict="0" macro="[0]!BuildTechscreen">
                <anchor moveWithCells="1">
                  <from>
                    <xdr:col>0</xdr:col>
                    <xdr:colOff>22860</xdr:colOff>
                    <xdr:row>28</xdr:row>
                    <xdr:rowOff>129540</xdr:rowOff>
                  </from>
                  <to>
                    <xdr:col>1</xdr:col>
                    <xdr:colOff>68580</xdr:colOff>
                    <xdr:row>30</xdr:row>
                    <xdr:rowOff>30480</xdr:rowOff>
                  </to>
                </anchor>
              </controlPr>
            </control>
          </mc:Choice>
        </mc:AlternateContent>
        <mc:AlternateContent xmlns:mc="http://schemas.openxmlformats.org/markup-compatibility/2006">
          <mc:Choice Requires="x14">
            <control shapeId="9253" r:id="rId32" name="Option Button 37">
              <controlPr defaultSize="0" autoFill="0" autoLine="0" autoPict="0" macro="[0]!BuildTechscreen">
                <anchor moveWithCells="1">
                  <from>
                    <xdr:col>0</xdr:col>
                    <xdr:colOff>22860</xdr:colOff>
                    <xdr:row>29</xdr:row>
                    <xdr:rowOff>137160</xdr:rowOff>
                  </from>
                  <to>
                    <xdr:col>1</xdr:col>
                    <xdr:colOff>68580</xdr:colOff>
                    <xdr:row>31</xdr:row>
                    <xdr:rowOff>15240</xdr:rowOff>
                  </to>
                </anchor>
              </controlPr>
            </control>
          </mc:Choice>
        </mc:AlternateContent>
        <mc:AlternateContent xmlns:mc="http://schemas.openxmlformats.org/markup-compatibility/2006">
          <mc:Choice Requires="x14">
            <control shapeId="9254" r:id="rId33" name="Option Button 38">
              <controlPr defaultSize="0" autoFill="0" autoLine="0" autoPict="0" macro="[0]!BuildTechscreen">
                <anchor moveWithCells="1">
                  <from>
                    <xdr:col>0</xdr:col>
                    <xdr:colOff>22860</xdr:colOff>
                    <xdr:row>30</xdr:row>
                    <xdr:rowOff>129540</xdr:rowOff>
                  </from>
                  <to>
                    <xdr:col>1</xdr:col>
                    <xdr:colOff>68580</xdr:colOff>
                    <xdr:row>32</xdr:row>
                    <xdr:rowOff>15240</xdr:rowOff>
                  </to>
                </anchor>
              </controlPr>
            </control>
          </mc:Choice>
        </mc:AlternateContent>
        <mc:AlternateContent xmlns:mc="http://schemas.openxmlformats.org/markup-compatibility/2006">
          <mc:Choice Requires="x14">
            <control shapeId="9255" r:id="rId34" name="Option Button 39">
              <controlPr defaultSize="0" autoFill="0" autoLine="0" autoPict="0" macro="[0]!BuildTechscreen">
                <anchor moveWithCells="1">
                  <from>
                    <xdr:col>0</xdr:col>
                    <xdr:colOff>22860</xdr:colOff>
                    <xdr:row>31</xdr:row>
                    <xdr:rowOff>137160</xdr:rowOff>
                  </from>
                  <to>
                    <xdr:col>1</xdr:col>
                    <xdr:colOff>68580</xdr:colOff>
                    <xdr:row>33</xdr:row>
                    <xdr:rowOff>30480</xdr:rowOff>
                  </to>
                </anchor>
              </controlPr>
            </control>
          </mc:Choice>
        </mc:AlternateContent>
        <mc:AlternateContent xmlns:mc="http://schemas.openxmlformats.org/markup-compatibility/2006">
          <mc:Choice Requires="x14">
            <control shapeId="9256" r:id="rId35" name="Option Button 40">
              <controlPr defaultSize="0" autoFill="0" autoLine="0" autoPict="0" macro="[0]!BuildTechscreen">
                <anchor moveWithCells="1">
                  <from>
                    <xdr:col>0</xdr:col>
                    <xdr:colOff>22860</xdr:colOff>
                    <xdr:row>32</xdr:row>
                    <xdr:rowOff>129540</xdr:rowOff>
                  </from>
                  <to>
                    <xdr:col>1</xdr:col>
                    <xdr:colOff>68580</xdr:colOff>
                    <xdr:row>34</xdr:row>
                    <xdr:rowOff>38100</xdr:rowOff>
                  </to>
                </anchor>
              </controlPr>
            </control>
          </mc:Choice>
        </mc:AlternateContent>
        <mc:AlternateContent xmlns:mc="http://schemas.openxmlformats.org/markup-compatibility/2006">
          <mc:Choice Requires="x14">
            <control shapeId="9257" r:id="rId36" name="Option Button 41">
              <controlPr defaultSize="0" autoFill="0" autoLine="0" autoPict="0" macro="[0]!BuildTechscreen">
                <anchor moveWithCells="1">
                  <from>
                    <xdr:col>0</xdr:col>
                    <xdr:colOff>22860</xdr:colOff>
                    <xdr:row>33</xdr:row>
                    <xdr:rowOff>137160</xdr:rowOff>
                  </from>
                  <to>
                    <xdr:col>1</xdr:col>
                    <xdr:colOff>68580</xdr:colOff>
                    <xdr:row>35</xdr:row>
                    <xdr:rowOff>38100</xdr:rowOff>
                  </to>
                </anchor>
              </controlPr>
            </control>
          </mc:Choice>
        </mc:AlternateContent>
        <mc:AlternateContent xmlns:mc="http://schemas.openxmlformats.org/markup-compatibility/2006">
          <mc:Choice Requires="x14">
            <control shapeId="9258" r:id="rId37" name="Option Button 42">
              <controlPr defaultSize="0" autoFill="0" autoLine="0" autoPict="0" macro="[0]!BuildTechscreen">
                <anchor moveWithCells="1">
                  <from>
                    <xdr:col>0</xdr:col>
                    <xdr:colOff>22860</xdr:colOff>
                    <xdr:row>34</xdr:row>
                    <xdr:rowOff>129540</xdr:rowOff>
                  </from>
                  <to>
                    <xdr:col>1</xdr:col>
                    <xdr:colOff>68580</xdr:colOff>
                    <xdr:row>36</xdr:row>
                    <xdr:rowOff>38100</xdr:rowOff>
                  </to>
                </anchor>
              </controlPr>
            </control>
          </mc:Choice>
        </mc:AlternateContent>
        <mc:AlternateContent xmlns:mc="http://schemas.openxmlformats.org/markup-compatibility/2006">
          <mc:Choice Requires="x14">
            <control shapeId="9259" r:id="rId38" name="Option Button 43">
              <controlPr defaultSize="0" autoFill="0" autoLine="0" autoPict="0" macro="[0]!BuildTechscreen">
                <anchor moveWithCells="1">
                  <from>
                    <xdr:col>0</xdr:col>
                    <xdr:colOff>22860</xdr:colOff>
                    <xdr:row>35</xdr:row>
                    <xdr:rowOff>137160</xdr:rowOff>
                  </from>
                  <to>
                    <xdr:col>1</xdr:col>
                    <xdr:colOff>68580</xdr:colOff>
                    <xdr:row>37</xdr:row>
                    <xdr:rowOff>38100</xdr:rowOff>
                  </to>
                </anchor>
              </controlPr>
            </control>
          </mc:Choice>
        </mc:AlternateContent>
        <mc:AlternateContent xmlns:mc="http://schemas.openxmlformats.org/markup-compatibility/2006">
          <mc:Choice Requires="x14">
            <control shapeId="9260" r:id="rId39" name="Option Button 44">
              <controlPr defaultSize="0" autoFill="0" autoLine="0" autoPict="0" macro="[0]!BuildTechscreen">
                <anchor moveWithCells="1">
                  <from>
                    <xdr:col>0</xdr:col>
                    <xdr:colOff>22860</xdr:colOff>
                    <xdr:row>36</xdr:row>
                    <xdr:rowOff>129540</xdr:rowOff>
                  </from>
                  <to>
                    <xdr:col>1</xdr:col>
                    <xdr:colOff>68580</xdr:colOff>
                    <xdr:row>38</xdr:row>
                    <xdr:rowOff>38100</xdr:rowOff>
                  </to>
                </anchor>
              </controlPr>
            </control>
          </mc:Choice>
        </mc:AlternateContent>
        <mc:AlternateContent xmlns:mc="http://schemas.openxmlformats.org/markup-compatibility/2006">
          <mc:Choice Requires="x14">
            <control shapeId="9261" r:id="rId40" name="Option Button 45">
              <controlPr defaultSize="0" autoFill="0" autoLine="0" autoPict="0" macro="[0]!BuildTechscreen">
                <anchor moveWithCells="1">
                  <from>
                    <xdr:col>0</xdr:col>
                    <xdr:colOff>22860</xdr:colOff>
                    <xdr:row>37</xdr:row>
                    <xdr:rowOff>137160</xdr:rowOff>
                  </from>
                  <to>
                    <xdr:col>1</xdr:col>
                    <xdr:colOff>68580</xdr:colOff>
                    <xdr:row>39</xdr:row>
                    <xdr:rowOff>38100</xdr:rowOff>
                  </to>
                </anchor>
              </controlPr>
            </control>
          </mc:Choice>
        </mc:AlternateContent>
        <mc:AlternateContent xmlns:mc="http://schemas.openxmlformats.org/markup-compatibility/2006">
          <mc:Choice Requires="x14">
            <control shapeId="9262" r:id="rId41" name="Option Button 46">
              <controlPr defaultSize="0" autoFill="0" autoLine="0" autoPict="0" macro="[0]!BuildTechscreen">
                <anchor moveWithCells="1">
                  <from>
                    <xdr:col>0</xdr:col>
                    <xdr:colOff>22860</xdr:colOff>
                    <xdr:row>38</xdr:row>
                    <xdr:rowOff>129540</xdr:rowOff>
                  </from>
                  <to>
                    <xdr:col>1</xdr:col>
                    <xdr:colOff>68580</xdr:colOff>
                    <xdr:row>40</xdr:row>
                    <xdr:rowOff>38100</xdr:rowOff>
                  </to>
                </anchor>
              </controlPr>
            </control>
          </mc:Choice>
        </mc:AlternateContent>
        <mc:AlternateContent xmlns:mc="http://schemas.openxmlformats.org/markup-compatibility/2006">
          <mc:Choice Requires="x14">
            <control shapeId="9263" r:id="rId42" name="Option Button 47">
              <controlPr defaultSize="0" autoFill="0" autoLine="0" autoPict="0" macro="[0]!BuildTechscreen">
                <anchor moveWithCells="1">
                  <from>
                    <xdr:col>0</xdr:col>
                    <xdr:colOff>22860</xdr:colOff>
                    <xdr:row>39</xdr:row>
                    <xdr:rowOff>137160</xdr:rowOff>
                  </from>
                  <to>
                    <xdr:col>1</xdr:col>
                    <xdr:colOff>68580</xdr:colOff>
                    <xdr:row>41</xdr:row>
                    <xdr:rowOff>38100</xdr:rowOff>
                  </to>
                </anchor>
              </controlPr>
            </control>
          </mc:Choice>
        </mc:AlternateContent>
        <mc:AlternateContent xmlns:mc="http://schemas.openxmlformats.org/markup-compatibility/2006">
          <mc:Choice Requires="x14">
            <control shapeId="9264" r:id="rId43" name="Option Button 48">
              <controlPr defaultSize="0" autoFill="0" autoLine="0" autoPict="0" macro="[0]!BuildTechscreen">
                <anchor moveWithCells="1">
                  <from>
                    <xdr:col>0</xdr:col>
                    <xdr:colOff>22860</xdr:colOff>
                    <xdr:row>40</xdr:row>
                    <xdr:rowOff>129540</xdr:rowOff>
                  </from>
                  <to>
                    <xdr:col>1</xdr:col>
                    <xdr:colOff>68580</xdr:colOff>
                    <xdr:row>42</xdr:row>
                    <xdr:rowOff>38100</xdr:rowOff>
                  </to>
                </anchor>
              </controlPr>
            </control>
          </mc:Choice>
        </mc:AlternateContent>
        <mc:AlternateContent xmlns:mc="http://schemas.openxmlformats.org/markup-compatibility/2006">
          <mc:Choice Requires="x14">
            <control shapeId="9265" r:id="rId44" name="Option Button 49">
              <controlPr defaultSize="0" autoFill="0" autoLine="0" autoPict="0" macro="[0]!BuildTechscreen">
                <anchor moveWithCells="1">
                  <from>
                    <xdr:col>0</xdr:col>
                    <xdr:colOff>22860</xdr:colOff>
                    <xdr:row>41</xdr:row>
                    <xdr:rowOff>137160</xdr:rowOff>
                  </from>
                  <to>
                    <xdr:col>1</xdr:col>
                    <xdr:colOff>68580</xdr:colOff>
                    <xdr:row>43</xdr:row>
                    <xdr:rowOff>38100</xdr:rowOff>
                  </to>
                </anchor>
              </controlPr>
            </control>
          </mc:Choice>
        </mc:AlternateContent>
        <mc:AlternateContent xmlns:mc="http://schemas.openxmlformats.org/markup-compatibility/2006">
          <mc:Choice Requires="x14">
            <control shapeId="9266" r:id="rId45" name="Option Button 50">
              <controlPr defaultSize="0" autoFill="0" autoLine="0" autoPict="0" macro="[0]!BuildTechscreen">
                <anchor moveWithCells="1">
                  <from>
                    <xdr:col>0</xdr:col>
                    <xdr:colOff>22860</xdr:colOff>
                    <xdr:row>42</xdr:row>
                    <xdr:rowOff>129540</xdr:rowOff>
                  </from>
                  <to>
                    <xdr:col>1</xdr:col>
                    <xdr:colOff>68580</xdr:colOff>
                    <xdr:row>44</xdr:row>
                    <xdr:rowOff>38100</xdr:rowOff>
                  </to>
                </anchor>
              </controlPr>
            </control>
          </mc:Choice>
        </mc:AlternateContent>
        <mc:AlternateContent xmlns:mc="http://schemas.openxmlformats.org/markup-compatibility/2006">
          <mc:Choice Requires="x14">
            <control shapeId="9267" r:id="rId46" name="Option Button 51">
              <controlPr defaultSize="0" autoFill="0" autoLine="0" autoPict="0" macro="[0]!BuildTechscreen">
                <anchor moveWithCells="1">
                  <from>
                    <xdr:col>0</xdr:col>
                    <xdr:colOff>22860</xdr:colOff>
                    <xdr:row>43</xdr:row>
                    <xdr:rowOff>137160</xdr:rowOff>
                  </from>
                  <to>
                    <xdr:col>1</xdr:col>
                    <xdr:colOff>68580</xdr:colOff>
                    <xdr:row>45</xdr:row>
                    <xdr:rowOff>38100</xdr:rowOff>
                  </to>
                </anchor>
              </controlPr>
            </control>
          </mc:Choice>
        </mc:AlternateContent>
        <mc:AlternateContent xmlns:mc="http://schemas.openxmlformats.org/markup-compatibility/2006">
          <mc:Choice Requires="x14">
            <control shapeId="9268" r:id="rId47" name="Option Button 52">
              <controlPr defaultSize="0" autoFill="0" autoLine="0" autoPict="0" macro="[0]!BuildTechscreen">
                <anchor moveWithCells="1">
                  <from>
                    <xdr:col>0</xdr:col>
                    <xdr:colOff>22860</xdr:colOff>
                    <xdr:row>44</xdr:row>
                    <xdr:rowOff>129540</xdr:rowOff>
                  </from>
                  <to>
                    <xdr:col>1</xdr:col>
                    <xdr:colOff>68580</xdr:colOff>
                    <xdr:row>46</xdr:row>
                    <xdr:rowOff>38100</xdr:rowOff>
                  </to>
                </anchor>
              </controlPr>
            </control>
          </mc:Choice>
        </mc:AlternateContent>
        <mc:AlternateContent xmlns:mc="http://schemas.openxmlformats.org/markup-compatibility/2006">
          <mc:Choice Requires="x14">
            <control shapeId="9269" r:id="rId48" name="Option Button 53">
              <controlPr defaultSize="0" autoFill="0" autoLine="0" autoPict="0" macro="[0]!BuildTechscreen">
                <anchor moveWithCells="1">
                  <from>
                    <xdr:col>0</xdr:col>
                    <xdr:colOff>22860</xdr:colOff>
                    <xdr:row>45</xdr:row>
                    <xdr:rowOff>137160</xdr:rowOff>
                  </from>
                  <to>
                    <xdr:col>1</xdr:col>
                    <xdr:colOff>68580</xdr:colOff>
                    <xdr:row>47</xdr:row>
                    <xdr:rowOff>38100</xdr:rowOff>
                  </to>
                </anchor>
              </controlPr>
            </control>
          </mc:Choice>
        </mc:AlternateContent>
        <mc:AlternateContent xmlns:mc="http://schemas.openxmlformats.org/markup-compatibility/2006">
          <mc:Choice Requires="x14">
            <control shapeId="9270" r:id="rId49" name="Option Button 54">
              <controlPr defaultSize="0" autoFill="0" autoLine="0" autoPict="0" macro="[0]!BuildTechscreen">
                <anchor moveWithCells="1">
                  <from>
                    <xdr:col>0</xdr:col>
                    <xdr:colOff>22860</xdr:colOff>
                    <xdr:row>46</xdr:row>
                    <xdr:rowOff>129540</xdr:rowOff>
                  </from>
                  <to>
                    <xdr:col>1</xdr:col>
                    <xdr:colOff>68580</xdr:colOff>
                    <xdr:row>48</xdr:row>
                    <xdr:rowOff>38100</xdr:rowOff>
                  </to>
                </anchor>
              </controlPr>
            </control>
          </mc:Choice>
        </mc:AlternateContent>
        <mc:AlternateContent xmlns:mc="http://schemas.openxmlformats.org/markup-compatibility/2006">
          <mc:Choice Requires="x14">
            <control shapeId="9271" r:id="rId50" name="Option Button 55">
              <controlPr defaultSize="0" autoFill="0" autoLine="0" autoPict="0" macro="[0]!BuildTechscreen">
                <anchor moveWithCells="1">
                  <from>
                    <xdr:col>0</xdr:col>
                    <xdr:colOff>22860</xdr:colOff>
                    <xdr:row>47</xdr:row>
                    <xdr:rowOff>137160</xdr:rowOff>
                  </from>
                  <to>
                    <xdr:col>1</xdr:col>
                    <xdr:colOff>68580</xdr:colOff>
                    <xdr:row>49</xdr:row>
                    <xdr:rowOff>38100</xdr:rowOff>
                  </to>
                </anchor>
              </controlPr>
            </control>
          </mc:Choice>
        </mc:AlternateContent>
        <mc:AlternateContent xmlns:mc="http://schemas.openxmlformats.org/markup-compatibility/2006">
          <mc:Choice Requires="x14">
            <control shapeId="9272" r:id="rId51" name="Option Button 56">
              <controlPr defaultSize="0" autoFill="0" autoLine="0" autoPict="0" macro="[0]!BuildTechscreen">
                <anchor moveWithCells="1">
                  <from>
                    <xdr:col>0</xdr:col>
                    <xdr:colOff>22860</xdr:colOff>
                    <xdr:row>48</xdr:row>
                    <xdr:rowOff>129540</xdr:rowOff>
                  </from>
                  <to>
                    <xdr:col>1</xdr:col>
                    <xdr:colOff>68580</xdr:colOff>
                    <xdr:row>50</xdr:row>
                    <xdr:rowOff>7620</xdr:rowOff>
                  </to>
                </anchor>
              </controlPr>
            </control>
          </mc:Choice>
        </mc:AlternateContent>
        <mc:AlternateContent xmlns:mc="http://schemas.openxmlformats.org/markup-compatibility/2006">
          <mc:Choice Requires="x14">
            <control shapeId="9273" r:id="rId52" name="Option Button 57">
              <controlPr defaultSize="0" autoFill="0" autoLine="0" autoPict="0" macro="[0]!BuildTechscreen">
                <anchor moveWithCells="1">
                  <from>
                    <xdr:col>0</xdr:col>
                    <xdr:colOff>22860</xdr:colOff>
                    <xdr:row>49</xdr:row>
                    <xdr:rowOff>144780</xdr:rowOff>
                  </from>
                  <to>
                    <xdr:col>1</xdr:col>
                    <xdr:colOff>68580</xdr:colOff>
                    <xdr:row>51</xdr:row>
                    <xdr:rowOff>7620</xdr:rowOff>
                  </to>
                </anchor>
              </controlPr>
            </control>
          </mc:Choice>
        </mc:AlternateContent>
        <mc:AlternateContent xmlns:mc="http://schemas.openxmlformats.org/markup-compatibility/2006">
          <mc:Choice Requires="x14">
            <control shapeId="9274" r:id="rId53" name="Option Button 58">
              <controlPr defaultSize="0" autoFill="0" autoLine="0" autoPict="0" macro="[0]!BuildTechscreen">
                <anchor moveWithCells="1">
                  <from>
                    <xdr:col>0</xdr:col>
                    <xdr:colOff>22860</xdr:colOff>
                    <xdr:row>50</xdr:row>
                    <xdr:rowOff>137160</xdr:rowOff>
                  </from>
                  <to>
                    <xdr:col>1</xdr:col>
                    <xdr:colOff>68580</xdr:colOff>
                    <xdr:row>52</xdr:row>
                    <xdr:rowOff>0</xdr:rowOff>
                  </to>
                </anchor>
              </controlPr>
            </control>
          </mc:Choice>
        </mc:AlternateContent>
        <mc:AlternateContent xmlns:mc="http://schemas.openxmlformats.org/markup-compatibility/2006">
          <mc:Choice Requires="x14">
            <control shapeId="9275" r:id="rId54" name="Option Button 59">
              <controlPr defaultSize="0" autoFill="0" autoLine="0" autoPict="0" macro="[0]!BuildTechscreen">
                <anchor moveWithCells="1">
                  <from>
                    <xdr:col>0</xdr:col>
                    <xdr:colOff>22860</xdr:colOff>
                    <xdr:row>51</xdr:row>
                    <xdr:rowOff>144780</xdr:rowOff>
                  </from>
                  <to>
                    <xdr:col>1</xdr:col>
                    <xdr:colOff>68580</xdr:colOff>
                    <xdr:row>53</xdr:row>
                    <xdr:rowOff>38100</xdr:rowOff>
                  </to>
                </anchor>
              </controlPr>
            </control>
          </mc:Choice>
        </mc:AlternateContent>
        <mc:AlternateContent xmlns:mc="http://schemas.openxmlformats.org/markup-compatibility/2006">
          <mc:Choice Requires="x14">
            <control shapeId="9276" r:id="rId55" name="Option Button 60">
              <controlPr defaultSize="0" autoFill="0" autoLine="0" autoPict="0" macro="[0]!BuildTechscreen">
                <anchor moveWithCells="1">
                  <from>
                    <xdr:col>0</xdr:col>
                    <xdr:colOff>22860</xdr:colOff>
                    <xdr:row>52</xdr:row>
                    <xdr:rowOff>129540</xdr:rowOff>
                  </from>
                  <to>
                    <xdr:col>1</xdr:col>
                    <xdr:colOff>68580</xdr:colOff>
                    <xdr:row>54</xdr:row>
                    <xdr:rowOff>38100</xdr:rowOff>
                  </to>
                </anchor>
              </controlPr>
            </control>
          </mc:Choice>
        </mc:AlternateContent>
        <mc:AlternateContent xmlns:mc="http://schemas.openxmlformats.org/markup-compatibility/2006">
          <mc:Choice Requires="x14">
            <control shapeId="9277" r:id="rId56" name="Option Button 61">
              <controlPr defaultSize="0" autoFill="0" autoLine="0" autoPict="0" macro="[0]!BuildTechscreen">
                <anchor moveWithCells="1">
                  <from>
                    <xdr:col>0</xdr:col>
                    <xdr:colOff>22860</xdr:colOff>
                    <xdr:row>53</xdr:row>
                    <xdr:rowOff>137160</xdr:rowOff>
                  </from>
                  <to>
                    <xdr:col>1</xdr:col>
                    <xdr:colOff>68580</xdr:colOff>
                    <xdr:row>55</xdr:row>
                    <xdr:rowOff>38100</xdr:rowOff>
                  </to>
                </anchor>
              </controlPr>
            </control>
          </mc:Choice>
        </mc:AlternateContent>
        <mc:AlternateContent xmlns:mc="http://schemas.openxmlformats.org/markup-compatibility/2006">
          <mc:Choice Requires="x14">
            <control shapeId="9278" r:id="rId57" name="Option Button 62">
              <controlPr defaultSize="0" autoFill="0" autoLine="0" autoPict="0" macro="[0]!BuildTechscreen">
                <anchor moveWithCells="1">
                  <from>
                    <xdr:col>0</xdr:col>
                    <xdr:colOff>22860</xdr:colOff>
                    <xdr:row>54</xdr:row>
                    <xdr:rowOff>129540</xdr:rowOff>
                  </from>
                  <to>
                    <xdr:col>1</xdr:col>
                    <xdr:colOff>68580</xdr:colOff>
                    <xdr:row>56</xdr:row>
                    <xdr:rowOff>38100</xdr:rowOff>
                  </to>
                </anchor>
              </controlPr>
            </control>
          </mc:Choice>
        </mc:AlternateContent>
        <mc:AlternateContent xmlns:mc="http://schemas.openxmlformats.org/markup-compatibility/2006">
          <mc:Choice Requires="x14">
            <control shapeId="9279" r:id="rId58" name="Option Button 63">
              <controlPr defaultSize="0" autoFill="0" autoLine="0" autoPict="0" macro="[0]!BuildTechscreen">
                <anchor moveWithCells="1">
                  <from>
                    <xdr:col>0</xdr:col>
                    <xdr:colOff>22860</xdr:colOff>
                    <xdr:row>55</xdr:row>
                    <xdr:rowOff>137160</xdr:rowOff>
                  </from>
                  <to>
                    <xdr:col>1</xdr:col>
                    <xdr:colOff>68580</xdr:colOff>
                    <xdr:row>57</xdr:row>
                    <xdr:rowOff>38100</xdr:rowOff>
                  </to>
                </anchor>
              </controlPr>
            </control>
          </mc:Choice>
        </mc:AlternateContent>
        <mc:AlternateContent xmlns:mc="http://schemas.openxmlformats.org/markup-compatibility/2006">
          <mc:Choice Requires="x14">
            <control shapeId="9280" r:id="rId59" name="Option Button 64">
              <controlPr defaultSize="0" autoFill="0" autoLine="0" autoPict="0" macro="[0]!BuildTechscreen">
                <anchor moveWithCells="1">
                  <from>
                    <xdr:col>0</xdr:col>
                    <xdr:colOff>22860</xdr:colOff>
                    <xdr:row>56</xdr:row>
                    <xdr:rowOff>129540</xdr:rowOff>
                  </from>
                  <to>
                    <xdr:col>1</xdr:col>
                    <xdr:colOff>68580</xdr:colOff>
                    <xdr:row>58</xdr:row>
                    <xdr:rowOff>38100</xdr:rowOff>
                  </to>
                </anchor>
              </controlPr>
            </control>
          </mc:Choice>
        </mc:AlternateContent>
        <mc:AlternateContent xmlns:mc="http://schemas.openxmlformats.org/markup-compatibility/2006">
          <mc:Choice Requires="x14">
            <control shapeId="9281" r:id="rId60" name="Option Button 65">
              <controlPr defaultSize="0" autoFill="0" autoLine="0" autoPict="0" macro="[0]!BuildTechscreen">
                <anchor moveWithCells="1">
                  <from>
                    <xdr:col>0</xdr:col>
                    <xdr:colOff>22860</xdr:colOff>
                    <xdr:row>57</xdr:row>
                    <xdr:rowOff>137160</xdr:rowOff>
                  </from>
                  <to>
                    <xdr:col>1</xdr:col>
                    <xdr:colOff>68580</xdr:colOff>
                    <xdr:row>59</xdr:row>
                    <xdr:rowOff>38100</xdr:rowOff>
                  </to>
                </anchor>
              </controlPr>
            </control>
          </mc:Choice>
        </mc:AlternateContent>
        <mc:AlternateContent xmlns:mc="http://schemas.openxmlformats.org/markup-compatibility/2006">
          <mc:Choice Requires="x14">
            <control shapeId="9282" r:id="rId61" name="Option Button 66">
              <controlPr defaultSize="0" autoFill="0" autoLine="0" autoPict="0" macro="[0]!BuildTechscreen">
                <anchor moveWithCells="1">
                  <from>
                    <xdr:col>0</xdr:col>
                    <xdr:colOff>22860</xdr:colOff>
                    <xdr:row>58</xdr:row>
                    <xdr:rowOff>129540</xdr:rowOff>
                  </from>
                  <to>
                    <xdr:col>1</xdr:col>
                    <xdr:colOff>68580</xdr:colOff>
                    <xdr:row>60</xdr:row>
                    <xdr:rowOff>38100</xdr:rowOff>
                  </to>
                </anchor>
              </controlPr>
            </control>
          </mc:Choice>
        </mc:AlternateContent>
        <mc:AlternateContent xmlns:mc="http://schemas.openxmlformats.org/markup-compatibility/2006">
          <mc:Choice Requires="x14">
            <control shapeId="9283" r:id="rId62" name="Option Button 67">
              <controlPr defaultSize="0" autoFill="0" autoLine="0" autoPict="0" macro="[0]!BuildTechscreen">
                <anchor moveWithCells="1">
                  <from>
                    <xdr:col>0</xdr:col>
                    <xdr:colOff>22860</xdr:colOff>
                    <xdr:row>59</xdr:row>
                    <xdr:rowOff>137160</xdr:rowOff>
                  </from>
                  <to>
                    <xdr:col>1</xdr:col>
                    <xdr:colOff>68580</xdr:colOff>
                    <xdr:row>61</xdr:row>
                    <xdr:rowOff>38100</xdr:rowOff>
                  </to>
                </anchor>
              </controlPr>
            </control>
          </mc:Choice>
        </mc:AlternateContent>
        <mc:AlternateContent xmlns:mc="http://schemas.openxmlformats.org/markup-compatibility/2006">
          <mc:Choice Requires="x14">
            <control shapeId="9284" r:id="rId63" name="Option Button 68">
              <controlPr defaultSize="0" autoFill="0" autoLine="0" autoPict="0" macro="[0]!BuildTechscreen">
                <anchor moveWithCells="1">
                  <from>
                    <xdr:col>0</xdr:col>
                    <xdr:colOff>22860</xdr:colOff>
                    <xdr:row>60</xdr:row>
                    <xdr:rowOff>129540</xdr:rowOff>
                  </from>
                  <to>
                    <xdr:col>1</xdr:col>
                    <xdr:colOff>68580</xdr:colOff>
                    <xdr:row>62</xdr:row>
                    <xdr:rowOff>38100</xdr:rowOff>
                  </to>
                </anchor>
              </controlPr>
            </control>
          </mc:Choice>
        </mc:AlternateContent>
        <mc:AlternateContent xmlns:mc="http://schemas.openxmlformats.org/markup-compatibility/2006">
          <mc:Choice Requires="x14">
            <control shapeId="9285" r:id="rId64" name="Option Button 69">
              <controlPr defaultSize="0" autoFill="0" autoLine="0" autoPict="0" macro="[0]!BuildTechscreen">
                <anchor moveWithCells="1">
                  <from>
                    <xdr:col>0</xdr:col>
                    <xdr:colOff>22860</xdr:colOff>
                    <xdr:row>61</xdr:row>
                    <xdr:rowOff>137160</xdr:rowOff>
                  </from>
                  <to>
                    <xdr:col>1</xdr:col>
                    <xdr:colOff>68580</xdr:colOff>
                    <xdr:row>63</xdr:row>
                    <xdr:rowOff>38100</xdr:rowOff>
                  </to>
                </anchor>
              </controlPr>
            </control>
          </mc:Choice>
        </mc:AlternateContent>
        <mc:AlternateContent xmlns:mc="http://schemas.openxmlformats.org/markup-compatibility/2006">
          <mc:Choice Requires="x14">
            <control shapeId="9286" r:id="rId65" name="Option Button 70">
              <controlPr defaultSize="0" autoFill="0" autoLine="0" autoPict="0" macro="[0]!BuildTechscreen">
                <anchor moveWithCells="1">
                  <from>
                    <xdr:col>0</xdr:col>
                    <xdr:colOff>22860</xdr:colOff>
                    <xdr:row>62</xdr:row>
                    <xdr:rowOff>129540</xdr:rowOff>
                  </from>
                  <to>
                    <xdr:col>1</xdr:col>
                    <xdr:colOff>68580</xdr:colOff>
                    <xdr:row>64</xdr:row>
                    <xdr:rowOff>38100</xdr:rowOff>
                  </to>
                </anchor>
              </controlPr>
            </control>
          </mc:Choice>
        </mc:AlternateContent>
        <mc:AlternateContent xmlns:mc="http://schemas.openxmlformats.org/markup-compatibility/2006">
          <mc:Choice Requires="x14">
            <control shapeId="9287" r:id="rId66" name="Option Button 71">
              <controlPr defaultSize="0" autoFill="0" autoLine="0" autoPict="0" macro="[0]!BuildTechscreen">
                <anchor moveWithCells="1">
                  <from>
                    <xdr:col>0</xdr:col>
                    <xdr:colOff>22860</xdr:colOff>
                    <xdr:row>63</xdr:row>
                    <xdr:rowOff>137160</xdr:rowOff>
                  </from>
                  <to>
                    <xdr:col>1</xdr:col>
                    <xdr:colOff>68580</xdr:colOff>
                    <xdr:row>65</xdr:row>
                    <xdr:rowOff>38100</xdr:rowOff>
                  </to>
                </anchor>
              </controlPr>
            </control>
          </mc:Choice>
        </mc:AlternateContent>
        <mc:AlternateContent xmlns:mc="http://schemas.openxmlformats.org/markup-compatibility/2006">
          <mc:Choice Requires="x14">
            <control shapeId="9288" r:id="rId67" name="Option Button 72">
              <controlPr defaultSize="0" autoFill="0" autoLine="0" autoPict="0" macro="[0]!BuildTechscreen">
                <anchor moveWithCells="1">
                  <from>
                    <xdr:col>0</xdr:col>
                    <xdr:colOff>22860</xdr:colOff>
                    <xdr:row>64</xdr:row>
                    <xdr:rowOff>129540</xdr:rowOff>
                  </from>
                  <to>
                    <xdr:col>1</xdr:col>
                    <xdr:colOff>68580</xdr:colOff>
                    <xdr:row>66</xdr:row>
                    <xdr:rowOff>38100</xdr:rowOff>
                  </to>
                </anchor>
              </controlPr>
            </control>
          </mc:Choice>
        </mc:AlternateContent>
        <mc:AlternateContent xmlns:mc="http://schemas.openxmlformats.org/markup-compatibility/2006">
          <mc:Choice Requires="x14">
            <control shapeId="9289" r:id="rId68" name="Option Button 73">
              <controlPr defaultSize="0" autoFill="0" autoLine="0" autoPict="0" macro="[0]!BuildTechscreen">
                <anchor moveWithCells="1">
                  <from>
                    <xdr:col>0</xdr:col>
                    <xdr:colOff>22860</xdr:colOff>
                    <xdr:row>65</xdr:row>
                    <xdr:rowOff>137160</xdr:rowOff>
                  </from>
                  <to>
                    <xdr:col>1</xdr:col>
                    <xdr:colOff>68580</xdr:colOff>
                    <xdr:row>67</xdr:row>
                    <xdr:rowOff>38100</xdr:rowOff>
                  </to>
                </anchor>
              </controlPr>
            </control>
          </mc:Choice>
        </mc:AlternateContent>
        <mc:AlternateContent xmlns:mc="http://schemas.openxmlformats.org/markup-compatibility/2006">
          <mc:Choice Requires="x14">
            <control shapeId="9290" r:id="rId69" name="Option Button 74">
              <controlPr defaultSize="0" autoFill="0" autoLine="0" autoPict="0" macro="[0]!BuildTechscreen">
                <anchor moveWithCells="1">
                  <from>
                    <xdr:col>0</xdr:col>
                    <xdr:colOff>22860</xdr:colOff>
                    <xdr:row>66</xdr:row>
                    <xdr:rowOff>129540</xdr:rowOff>
                  </from>
                  <to>
                    <xdr:col>1</xdr:col>
                    <xdr:colOff>68580</xdr:colOff>
                    <xdr:row>68</xdr:row>
                    <xdr:rowOff>38100</xdr:rowOff>
                  </to>
                </anchor>
              </controlPr>
            </control>
          </mc:Choice>
        </mc:AlternateContent>
        <mc:AlternateContent xmlns:mc="http://schemas.openxmlformats.org/markup-compatibility/2006">
          <mc:Choice Requires="x14">
            <control shapeId="9291" r:id="rId70" name="Option Button 75">
              <controlPr defaultSize="0" autoFill="0" autoLine="0" autoPict="0" macro="[0]!BuildTechscreen">
                <anchor moveWithCells="1">
                  <from>
                    <xdr:col>0</xdr:col>
                    <xdr:colOff>22860</xdr:colOff>
                    <xdr:row>67</xdr:row>
                    <xdr:rowOff>137160</xdr:rowOff>
                  </from>
                  <to>
                    <xdr:col>1</xdr:col>
                    <xdr:colOff>68580</xdr:colOff>
                    <xdr:row>69</xdr:row>
                    <xdr:rowOff>38100</xdr:rowOff>
                  </to>
                </anchor>
              </controlPr>
            </control>
          </mc:Choice>
        </mc:AlternateContent>
        <mc:AlternateContent xmlns:mc="http://schemas.openxmlformats.org/markup-compatibility/2006">
          <mc:Choice Requires="x14">
            <control shapeId="9292" r:id="rId71" name="Option Button 76">
              <controlPr defaultSize="0" autoFill="0" autoLine="0" autoPict="0" macro="[0]!BuildTechscreen">
                <anchor moveWithCells="1">
                  <from>
                    <xdr:col>0</xdr:col>
                    <xdr:colOff>22860</xdr:colOff>
                    <xdr:row>68</xdr:row>
                    <xdr:rowOff>129540</xdr:rowOff>
                  </from>
                  <to>
                    <xdr:col>1</xdr:col>
                    <xdr:colOff>68580</xdr:colOff>
                    <xdr:row>70</xdr:row>
                    <xdr:rowOff>38100</xdr:rowOff>
                  </to>
                </anchor>
              </controlPr>
            </control>
          </mc:Choice>
        </mc:AlternateContent>
        <mc:AlternateContent xmlns:mc="http://schemas.openxmlformats.org/markup-compatibility/2006">
          <mc:Choice Requires="x14">
            <control shapeId="9293" r:id="rId72" name="Option Button 77">
              <controlPr defaultSize="0" autoFill="0" autoLine="0" autoPict="0" macro="[0]!BuildTechscreen">
                <anchor moveWithCells="1">
                  <from>
                    <xdr:col>0</xdr:col>
                    <xdr:colOff>22860</xdr:colOff>
                    <xdr:row>69</xdr:row>
                    <xdr:rowOff>137160</xdr:rowOff>
                  </from>
                  <to>
                    <xdr:col>1</xdr:col>
                    <xdr:colOff>68580</xdr:colOff>
                    <xdr:row>71</xdr:row>
                    <xdr:rowOff>38100</xdr:rowOff>
                  </to>
                </anchor>
              </controlPr>
            </control>
          </mc:Choice>
        </mc:AlternateContent>
        <mc:AlternateContent xmlns:mc="http://schemas.openxmlformats.org/markup-compatibility/2006">
          <mc:Choice Requires="x14">
            <control shapeId="9294" r:id="rId73" name="Option Button 78">
              <controlPr defaultSize="0" autoFill="0" autoLine="0" autoPict="0" macro="[0]!BuildTechscreen">
                <anchor moveWithCells="1">
                  <from>
                    <xdr:col>0</xdr:col>
                    <xdr:colOff>22860</xdr:colOff>
                    <xdr:row>70</xdr:row>
                    <xdr:rowOff>129540</xdr:rowOff>
                  </from>
                  <to>
                    <xdr:col>1</xdr:col>
                    <xdr:colOff>68580</xdr:colOff>
                    <xdr:row>72</xdr:row>
                    <xdr:rowOff>38100</xdr:rowOff>
                  </to>
                </anchor>
              </controlPr>
            </control>
          </mc:Choice>
        </mc:AlternateContent>
        <mc:AlternateContent xmlns:mc="http://schemas.openxmlformats.org/markup-compatibility/2006">
          <mc:Choice Requires="x14">
            <control shapeId="9295" r:id="rId74" name="Option Button 79">
              <controlPr defaultSize="0" autoFill="0" autoLine="0" autoPict="0" macro="[0]!BuildTechscreen">
                <anchor moveWithCells="1">
                  <from>
                    <xdr:col>0</xdr:col>
                    <xdr:colOff>22860</xdr:colOff>
                    <xdr:row>71</xdr:row>
                    <xdr:rowOff>137160</xdr:rowOff>
                  </from>
                  <to>
                    <xdr:col>1</xdr:col>
                    <xdr:colOff>68580</xdr:colOff>
                    <xdr:row>73</xdr:row>
                    <xdr:rowOff>38100</xdr:rowOff>
                  </to>
                </anchor>
              </controlPr>
            </control>
          </mc:Choice>
        </mc:AlternateContent>
        <mc:AlternateContent xmlns:mc="http://schemas.openxmlformats.org/markup-compatibility/2006">
          <mc:Choice Requires="x14">
            <control shapeId="9296" r:id="rId75" name="Option Button 80">
              <controlPr defaultSize="0" autoFill="0" autoLine="0" autoPict="0" macro="[0]!BuildTechscreen">
                <anchor moveWithCells="1">
                  <from>
                    <xdr:col>0</xdr:col>
                    <xdr:colOff>22860</xdr:colOff>
                    <xdr:row>72</xdr:row>
                    <xdr:rowOff>129540</xdr:rowOff>
                  </from>
                  <to>
                    <xdr:col>1</xdr:col>
                    <xdr:colOff>68580</xdr:colOff>
                    <xdr:row>74</xdr:row>
                    <xdr:rowOff>7620</xdr:rowOff>
                  </to>
                </anchor>
              </controlPr>
            </control>
          </mc:Choice>
        </mc:AlternateContent>
        <mc:AlternateContent xmlns:mc="http://schemas.openxmlformats.org/markup-compatibility/2006">
          <mc:Choice Requires="x14">
            <control shapeId="9297" r:id="rId76" name="Option Button 81">
              <controlPr defaultSize="0" autoFill="0" autoLine="0" autoPict="0" macro="[0]!BuildTechscreen">
                <anchor moveWithCells="1">
                  <from>
                    <xdr:col>0</xdr:col>
                    <xdr:colOff>22860</xdr:colOff>
                    <xdr:row>73</xdr:row>
                    <xdr:rowOff>144780</xdr:rowOff>
                  </from>
                  <to>
                    <xdr:col>1</xdr:col>
                    <xdr:colOff>68580</xdr:colOff>
                    <xdr:row>75</xdr:row>
                    <xdr:rowOff>15240</xdr:rowOff>
                  </to>
                </anchor>
              </controlPr>
            </control>
          </mc:Choice>
        </mc:AlternateContent>
        <mc:AlternateContent xmlns:mc="http://schemas.openxmlformats.org/markup-compatibility/2006">
          <mc:Choice Requires="x14">
            <control shapeId="9298" r:id="rId77" name="Option Button 82">
              <controlPr defaultSize="0" autoFill="0" autoLine="0" autoPict="0" macro="[0]!BuildTechscreen">
                <anchor moveWithCells="1">
                  <from>
                    <xdr:col>0</xdr:col>
                    <xdr:colOff>22860</xdr:colOff>
                    <xdr:row>74</xdr:row>
                    <xdr:rowOff>137160</xdr:rowOff>
                  </from>
                  <to>
                    <xdr:col>1</xdr:col>
                    <xdr:colOff>68580</xdr:colOff>
                    <xdr:row>76</xdr:row>
                    <xdr:rowOff>15240</xdr:rowOff>
                  </to>
                </anchor>
              </controlPr>
            </control>
          </mc:Choice>
        </mc:AlternateContent>
        <mc:AlternateContent xmlns:mc="http://schemas.openxmlformats.org/markup-compatibility/2006">
          <mc:Choice Requires="x14">
            <control shapeId="9299" r:id="rId78" name="Option Button 83">
              <controlPr defaultSize="0" autoFill="0" autoLine="0" autoPict="0" macro="[0]!BuildTechscreen">
                <anchor moveWithCells="1">
                  <from>
                    <xdr:col>0</xdr:col>
                    <xdr:colOff>22860</xdr:colOff>
                    <xdr:row>75</xdr:row>
                    <xdr:rowOff>144780</xdr:rowOff>
                  </from>
                  <to>
                    <xdr:col>1</xdr:col>
                    <xdr:colOff>68580</xdr:colOff>
                    <xdr:row>77</xdr:row>
                    <xdr:rowOff>38100</xdr:rowOff>
                  </to>
                </anchor>
              </controlPr>
            </control>
          </mc:Choice>
        </mc:AlternateContent>
        <mc:AlternateContent xmlns:mc="http://schemas.openxmlformats.org/markup-compatibility/2006">
          <mc:Choice Requires="x14">
            <control shapeId="9300" r:id="rId79" name="Option Button 84">
              <controlPr defaultSize="0" autoFill="0" autoLine="0" autoPict="0" macro="[0]!BuildTechscreen">
                <anchor moveWithCells="1">
                  <from>
                    <xdr:col>0</xdr:col>
                    <xdr:colOff>22860</xdr:colOff>
                    <xdr:row>76</xdr:row>
                    <xdr:rowOff>129540</xdr:rowOff>
                  </from>
                  <to>
                    <xdr:col>1</xdr:col>
                    <xdr:colOff>68580</xdr:colOff>
                    <xdr:row>78</xdr:row>
                    <xdr:rowOff>38100</xdr:rowOff>
                  </to>
                </anchor>
              </controlPr>
            </control>
          </mc:Choice>
        </mc:AlternateContent>
        <mc:AlternateContent xmlns:mc="http://schemas.openxmlformats.org/markup-compatibility/2006">
          <mc:Choice Requires="x14">
            <control shapeId="9301" r:id="rId80" name="Option Button 85">
              <controlPr defaultSize="0" autoFill="0" autoLine="0" autoPict="0" macro="[0]!BuildTechscreen">
                <anchor moveWithCells="1">
                  <from>
                    <xdr:col>0</xdr:col>
                    <xdr:colOff>22860</xdr:colOff>
                    <xdr:row>77</xdr:row>
                    <xdr:rowOff>137160</xdr:rowOff>
                  </from>
                  <to>
                    <xdr:col>1</xdr:col>
                    <xdr:colOff>68580</xdr:colOff>
                    <xdr:row>79</xdr:row>
                    <xdr:rowOff>38100</xdr:rowOff>
                  </to>
                </anchor>
              </controlPr>
            </control>
          </mc:Choice>
        </mc:AlternateContent>
        <mc:AlternateContent xmlns:mc="http://schemas.openxmlformats.org/markup-compatibility/2006">
          <mc:Choice Requires="x14">
            <control shapeId="9302" r:id="rId81" name="Option Button 86">
              <controlPr defaultSize="0" autoFill="0" autoLine="0" autoPict="0" macro="[0]!BuildTechscreen">
                <anchor moveWithCells="1">
                  <from>
                    <xdr:col>0</xdr:col>
                    <xdr:colOff>22860</xdr:colOff>
                    <xdr:row>78</xdr:row>
                    <xdr:rowOff>129540</xdr:rowOff>
                  </from>
                  <to>
                    <xdr:col>1</xdr:col>
                    <xdr:colOff>68580</xdr:colOff>
                    <xdr:row>80</xdr:row>
                    <xdr:rowOff>38100</xdr:rowOff>
                  </to>
                </anchor>
              </controlPr>
            </control>
          </mc:Choice>
        </mc:AlternateContent>
        <mc:AlternateContent xmlns:mc="http://schemas.openxmlformats.org/markup-compatibility/2006">
          <mc:Choice Requires="x14">
            <control shapeId="9303" r:id="rId82" name="Option Button 87">
              <controlPr defaultSize="0" autoFill="0" autoLine="0" autoPict="0" macro="[0]!BuildTechscreen">
                <anchor moveWithCells="1">
                  <from>
                    <xdr:col>0</xdr:col>
                    <xdr:colOff>22860</xdr:colOff>
                    <xdr:row>79</xdr:row>
                    <xdr:rowOff>137160</xdr:rowOff>
                  </from>
                  <to>
                    <xdr:col>1</xdr:col>
                    <xdr:colOff>68580</xdr:colOff>
                    <xdr:row>81</xdr:row>
                    <xdr:rowOff>38100</xdr:rowOff>
                  </to>
                </anchor>
              </controlPr>
            </control>
          </mc:Choice>
        </mc:AlternateContent>
        <mc:AlternateContent xmlns:mc="http://schemas.openxmlformats.org/markup-compatibility/2006">
          <mc:Choice Requires="x14">
            <control shapeId="9304" r:id="rId83" name="Option Button 88">
              <controlPr defaultSize="0" autoFill="0" autoLine="0" autoPict="0" macro="[0]!BuildTechscreen">
                <anchor moveWithCells="1">
                  <from>
                    <xdr:col>0</xdr:col>
                    <xdr:colOff>22860</xdr:colOff>
                    <xdr:row>80</xdr:row>
                    <xdr:rowOff>129540</xdr:rowOff>
                  </from>
                  <to>
                    <xdr:col>1</xdr:col>
                    <xdr:colOff>68580</xdr:colOff>
                    <xdr:row>82</xdr:row>
                    <xdr:rowOff>38100</xdr:rowOff>
                  </to>
                </anchor>
              </controlPr>
            </control>
          </mc:Choice>
        </mc:AlternateContent>
        <mc:AlternateContent xmlns:mc="http://schemas.openxmlformats.org/markup-compatibility/2006">
          <mc:Choice Requires="x14">
            <control shapeId="9305" r:id="rId84" name="Option Button 89">
              <controlPr defaultSize="0" autoFill="0" autoLine="0" autoPict="0" macro="[0]!BuildTechscreen">
                <anchor moveWithCells="1">
                  <from>
                    <xdr:col>0</xdr:col>
                    <xdr:colOff>22860</xdr:colOff>
                    <xdr:row>81</xdr:row>
                    <xdr:rowOff>137160</xdr:rowOff>
                  </from>
                  <to>
                    <xdr:col>1</xdr:col>
                    <xdr:colOff>68580</xdr:colOff>
                    <xdr:row>83</xdr:row>
                    <xdr:rowOff>38100</xdr:rowOff>
                  </to>
                </anchor>
              </controlPr>
            </control>
          </mc:Choice>
        </mc:AlternateContent>
        <mc:AlternateContent xmlns:mc="http://schemas.openxmlformats.org/markup-compatibility/2006">
          <mc:Choice Requires="x14">
            <control shapeId="9306" r:id="rId85" name="Option Button 90">
              <controlPr defaultSize="0" autoFill="0" autoLine="0" autoPict="0" macro="[0]!BuildTechscreen">
                <anchor moveWithCells="1">
                  <from>
                    <xdr:col>0</xdr:col>
                    <xdr:colOff>22860</xdr:colOff>
                    <xdr:row>82</xdr:row>
                    <xdr:rowOff>129540</xdr:rowOff>
                  </from>
                  <to>
                    <xdr:col>1</xdr:col>
                    <xdr:colOff>68580</xdr:colOff>
                    <xdr:row>84</xdr:row>
                    <xdr:rowOff>38100</xdr:rowOff>
                  </to>
                </anchor>
              </controlPr>
            </control>
          </mc:Choice>
        </mc:AlternateContent>
        <mc:AlternateContent xmlns:mc="http://schemas.openxmlformats.org/markup-compatibility/2006">
          <mc:Choice Requires="x14">
            <control shapeId="9307" r:id="rId86" name="Option Button 91">
              <controlPr defaultSize="0" autoFill="0" autoLine="0" autoPict="0" macro="[0]!BuildTechscreen">
                <anchor moveWithCells="1">
                  <from>
                    <xdr:col>0</xdr:col>
                    <xdr:colOff>22860</xdr:colOff>
                    <xdr:row>83</xdr:row>
                    <xdr:rowOff>137160</xdr:rowOff>
                  </from>
                  <to>
                    <xdr:col>1</xdr:col>
                    <xdr:colOff>68580</xdr:colOff>
                    <xdr:row>85</xdr:row>
                    <xdr:rowOff>38100</xdr:rowOff>
                  </to>
                </anchor>
              </controlPr>
            </control>
          </mc:Choice>
        </mc:AlternateContent>
        <mc:AlternateContent xmlns:mc="http://schemas.openxmlformats.org/markup-compatibility/2006">
          <mc:Choice Requires="x14">
            <control shapeId="9308" r:id="rId87" name="Option Button 92">
              <controlPr defaultSize="0" autoFill="0" autoLine="0" autoPict="0" macro="[0]!BuildTechscreen">
                <anchor moveWithCells="1">
                  <from>
                    <xdr:col>0</xdr:col>
                    <xdr:colOff>22860</xdr:colOff>
                    <xdr:row>84</xdr:row>
                    <xdr:rowOff>129540</xdr:rowOff>
                  </from>
                  <to>
                    <xdr:col>1</xdr:col>
                    <xdr:colOff>68580</xdr:colOff>
                    <xdr:row>86</xdr:row>
                    <xdr:rowOff>38100</xdr:rowOff>
                  </to>
                </anchor>
              </controlPr>
            </control>
          </mc:Choice>
        </mc:AlternateContent>
        <mc:AlternateContent xmlns:mc="http://schemas.openxmlformats.org/markup-compatibility/2006">
          <mc:Choice Requires="x14">
            <control shapeId="9365" r:id="rId88" name="Check Box 149">
              <controlPr defaultSize="0" autoFill="0" autoLine="0" autoPict="0" macro="[0]!CheckBox149_Click">
                <anchor moveWithCells="1">
                  <from>
                    <xdr:col>7</xdr:col>
                    <xdr:colOff>952500</xdr:colOff>
                    <xdr:row>2</xdr:row>
                    <xdr:rowOff>137160</xdr:rowOff>
                  </from>
                  <to>
                    <xdr:col>9</xdr:col>
                    <xdr:colOff>106680</xdr:colOff>
                    <xdr:row>4</xdr:row>
                    <xdr:rowOff>38100</xdr:rowOff>
                  </to>
                </anchor>
              </controlPr>
            </control>
          </mc:Choice>
        </mc:AlternateContent>
        <mc:AlternateContent xmlns:mc="http://schemas.openxmlformats.org/markup-compatibility/2006">
          <mc:Choice Requires="x14">
            <control shapeId="9366" r:id="rId89" name="Check Box 150">
              <controlPr defaultSize="0" autoFill="0" autoLine="0" autoPict="0" macro="[0]!CheckBox150_Click">
                <anchor moveWithCells="1">
                  <from>
                    <xdr:col>7</xdr:col>
                    <xdr:colOff>952500</xdr:colOff>
                    <xdr:row>3</xdr:row>
                    <xdr:rowOff>121920</xdr:rowOff>
                  </from>
                  <to>
                    <xdr:col>9</xdr:col>
                    <xdr:colOff>106680</xdr:colOff>
                    <xdr:row>5</xdr:row>
                    <xdr:rowOff>7620</xdr:rowOff>
                  </to>
                </anchor>
              </controlPr>
            </control>
          </mc:Choice>
        </mc:AlternateContent>
        <mc:AlternateContent xmlns:mc="http://schemas.openxmlformats.org/markup-compatibility/2006">
          <mc:Choice Requires="x14">
            <control shapeId="9367" r:id="rId90" name="Check Box 151">
              <controlPr defaultSize="0" autoFill="0" autoLine="0" autoPict="0" macro="[0]!CheckBox151_Click">
                <anchor moveWithCells="1">
                  <from>
                    <xdr:col>7</xdr:col>
                    <xdr:colOff>952500</xdr:colOff>
                    <xdr:row>4</xdr:row>
                    <xdr:rowOff>129540</xdr:rowOff>
                  </from>
                  <to>
                    <xdr:col>9</xdr:col>
                    <xdr:colOff>106680</xdr:colOff>
                    <xdr:row>6</xdr:row>
                    <xdr:rowOff>22860</xdr:rowOff>
                  </to>
                </anchor>
              </controlPr>
            </control>
          </mc:Choice>
        </mc:AlternateContent>
        <mc:AlternateContent xmlns:mc="http://schemas.openxmlformats.org/markup-compatibility/2006">
          <mc:Choice Requires="x14">
            <control shapeId="9388" r:id="rId91" name="Check Box 172">
              <controlPr defaultSize="0" autoFill="0" autoLine="0" autoPict="0" macro="[0]!CheckBox172_Click">
                <anchor moveWithCells="1">
                  <from>
                    <xdr:col>7</xdr:col>
                    <xdr:colOff>952500</xdr:colOff>
                    <xdr:row>18</xdr:row>
                    <xdr:rowOff>129540</xdr:rowOff>
                  </from>
                  <to>
                    <xdr:col>9</xdr:col>
                    <xdr:colOff>106680</xdr:colOff>
                    <xdr:row>20</xdr:row>
                    <xdr:rowOff>38100</xdr:rowOff>
                  </to>
                </anchor>
              </controlPr>
            </control>
          </mc:Choice>
        </mc:AlternateContent>
        <mc:AlternateContent xmlns:mc="http://schemas.openxmlformats.org/markup-compatibility/2006">
          <mc:Choice Requires="x14">
            <control shapeId="9389" r:id="rId92" name="Check Box 173">
              <controlPr defaultSize="0" autoFill="0" autoLine="0" autoPict="0" macro="[0]!CheckBox173_Click">
                <anchor moveWithCells="1">
                  <from>
                    <xdr:col>7</xdr:col>
                    <xdr:colOff>952500</xdr:colOff>
                    <xdr:row>19</xdr:row>
                    <xdr:rowOff>121920</xdr:rowOff>
                  </from>
                  <to>
                    <xdr:col>9</xdr:col>
                    <xdr:colOff>106680</xdr:colOff>
                    <xdr:row>21</xdr:row>
                    <xdr:rowOff>7620</xdr:rowOff>
                  </to>
                </anchor>
              </controlPr>
            </control>
          </mc:Choice>
        </mc:AlternateContent>
        <mc:AlternateContent xmlns:mc="http://schemas.openxmlformats.org/markup-compatibility/2006">
          <mc:Choice Requires="x14">
            <control shapeId="9390" r:id="rId93" name="Check Box 174">
              <controlPr defaultSize="0" autoFill="0" autoLine="0" autoPict="0" macro="[0]!CheckBox174_Click">
                <anchor moveWithCells="1">
                  <from>
                    <xdr:col>7</xdr:col>
                    <xdr:colOff>952500</xdr:colOff>
                    <xdr:row>20</xdr:row>
                    <xdr:rowOff>129540</xdr:rowOff>
                  </from>
                  <to>
                    <xdr:col>9</xdr:col>
                    <xdr:colOff>106680</xdr:colOff>
                    <xdr:row>22</xdr:row>
                    <xdr:rowOff>22860</xdr:rowOff>
                  </to>
                </anchor>
              </controlPr>
            </control>
          </mc:Choice>
        </mc:AlternateContent>
        <mc:AlternateContent xmlns:mc="http://schemas.openxmlformats.org/markup-compatibility/2006">
          <mc:Choice Requires="x14">
            <control shapeId="9391" r:id="rId94" name="Check Box 175">
              <controlPr defaultSize="0" autoFill="0" autoLine="0" autoPict="0" macro="[0]!CheckBox175_Click">
                <anchor moveWithCells="1">
                  <from>
                    <xdr:col>19</xdr:col>
                    <xdr:colOff>0</xdr:colOff>
                    <xdr:row>18</xdr:row>
                    <xdr:rowOff>129540</xdr:rowOff>
                  </from>
                  <to>
                    <xdr:col>20</xdr:col>
                    <xdr:colOff>106680</xdr:colOff>
                    <xdr:row>20</xdr:row>
                    <xdr:rowOff>38100</xdr:rowOff>
                  </to>
                </anchor>
              </controlPr>
            </control>
          </mc:Choice>
        </mc:AlternateContent>
        <mc:AlternateContent xmlns:mc="http://schemas.openxmlformats.org/markup-compatibility/2006">
          <mc:Choice Requires="x14">
            <control shapeId="9392" r:id="rId95" name="Check Box 176">
              <controlPr defaultSize="0" autoFill="0" autoLine="0" autoPict="0" macro="[0]!CheckBox176_Click">
                <anchor moveWithCells="1">
                  <from>
                    <xdr:col>19</xdr:col>
                    <xdr:colOff>0</xdr:colOff>
                    <xdr:row>19</xdr:row>
                    <xdr:rowOff>121920</xdr:rowOff>
                  </from>
                  <to>
                    <xdr:col>20</xdr:col>
                    <xdr:colOff>91440</xdr:colOff>
                    <xdr:row>21</xdr:row>
                    <xdr:rowOff>7620</xdr:rowOff>
                  </to>
                </anchor>
              </controlPr>
            </control>
          </mc:Choice>
        </mc:AlternateContent>
        <mc:AlternateContent xmlns:mc="http://schemas.openxmlformats.org/markup-compatibility/2006">
          <mc:Choice Requires="x14">
            <control shapeId="9393" r:id="rId96" name="Check Box 177">
              <controlPr defaultSize="0" autoFill="0" autoLine="0" autoPict="0" macro="[0]!CheckBox177_Click">
                <anchor moveWithCells="1">
                  <from>
                    <xdr:col>19</xdr:col>
                    <xdr:colOff>0</xdr:colOff>
                    <xdr:row>20</xdr:row>
                    <xdr:rowOff>129540</xdr:rowOff>
                  </from>
                  <to>
                    <xdr:col>20</xdr:col>
                    <xdr:colOff>91440</xdr:colOff>
                    <xdr:row>22</xdr:row>
                    <xdr:rowOff>22860</xdr:rowOff>
                  </to>
                </anchor>
              </controlPr>
            </control>
          </mc:Choice>
        </mc:AlternateContent>
        <mc:AlternateContent xmlns:mc="http://schemas.openxmlformats.org/markup-compatibility/2006">
          <mc:Choice Requires="x14">
            <control shapeId="9394" r:id="rId97" name="Check Box 178">
              <controlPr defaultSize="0" autoFill="0" autoLine="0" autoPict="0" macro="[0]!CheckBox178_Click">
                <anchor moveWithCells="1">
                  <from>
                    <xdr:col>19</xdr:col>
                    <xdr:colOff>0</xdr:colOff>
                    <xdr:row>2</xdr:row>
                    <xdr:rowOff>137160</xdr:rowOff>
                  </from>
                  <to>
                    <xdr:col>20</xdr:col>
                    <xdr:colOff>91440</xdr:colOff>
                    <xdr:row>4</xdr:row>
                    <xdr:rowOff>38100</xdr:rowOff>
                  </to>
                </anchor>
              </controlPr>
            </control>
          </mc:Choice>
        </mc:AlternateContent>
        <mc:AlternateContent xmlns:mc="http://schemas.openxmlformats.org/markup-compatibility/2006">
          <mc:Choice Requires="x14">
            <control shapeId="9395" r:id="rId98" name="Check Box 179">
              <controlPr defaultSize="0" autoFill="0" autoLine="0" autoPict="0" macro="[0]!CheckBox179_Click">
                <anchor moveWithCells="1">
                  <from>
                    <xdr:col>19</xdr:col>
                    <xdr:colOff>0</xdr:colOff>
                    <xdr:row>3</xdr:row>
                    <xdr:rowOff>121920</xdr:rowOff>
                  </from>
                  <to>
                    <xdr:col>20</xdr:col>
                    <xdr:colOff>91440</xdr:colOff>
                    <xdr:row>5</xdr:row>
                    <xdr:rowOff>7620</xdr:rowOff>
                  </to>
                </anchor>
              </controlPr>
            </control>
          </mc:Choice>
        </mc:AlternateContent>
        <mc:AlternateContent xmlns:mc="http://schemas.openxmlformats.org/markup-compatibility/2006">
          <mc:Choice Requires="x14">
            <control shapeId="9396" r:id="rId99" name="Check Box 180">
              <controlPr defaultSize="0" autoFill="0" autoLine="0" autoPict="0" macro="[0]!CheckBox180_Click">
                <anchor moveWithCells="1">
                  <from>
                    <xdr:col>19</xdr:col>
                    <xdr:colOff>0</xdr:colOff>
                    <xdr:row>4</xdr:row>
                    <xdr:rowOff>129540</xdr:rowOff>
                  </from>
                  <to>
                    <xdr:col>20</xdr:col>
                    <xdr:colOff>91440</xdr:colOff>
                    <xdr:row>6</xdr:row>
                    <xdr:rowOff>22860</xdr:rowOff>
                  </to>
                </anchor>
              </controlPr>
            </control>
          </mc:Choice>
        </mc:AlternateContent>
        <mc:AlternateContent xmlns:mc="http://schemas.openxmlformats.org/markup-compatibility/2006">
          <mc:Choice Requires="x14">
            <control shapeId="9397" r:id="rId100" name="Check Box 181">
              <controlPr defaultSize="0" autoFill="0" autoLine="0" autoPict="0" macro="[0]!CheckBox181_Click">
                <anchor moveWithCells="1">
                  <from>
                    <xdr:col>13</xdr:col>
                    <xdr:colOff>0</xdr:colOff>
                    <xdr:row>6</xdr:row>
                    <xdr:rowOff>129540</xdr:rowOff>
                  </from>
                  <to>
                    <xdr:col>14</xdr:col>
                    <xdr:colOff>106680</xdr:colOff>
                    <xdr:row>8</xdr:row>
                    <xdr:rowOff>38100</xdr:rowOff>
                  </to>
                </anchor>
              </controlPr>
            </control>
          </mc:Choice>
        </mc:AlternateContent>
        <mc:AlternateContent xmlns:mc="http://schemas.openxmlformats.org/markup-compatibility/2006">
          <mc:Choice Requires="x14">
            <control shapeId="9398" r:id="rId101" name="Check Box 182">
              <controlPr defaultSize="0" autoFill="0" autoLine="0" autoPict="0" macro="[0]!CheckBox182_Click">
                <anchor moveWithCells="1">
                  <from>
                    <xdr:col>13</xdr:col>
                    <xdr:colOff>0</xdr:colOff>
                    <xdr:row>7</xdr:row>
                    <xdr:rowOff>121920</xdr:rowOff>
                  </from>
                  <to>
                    <xdr:col>14</xdr:col>
                    <xdr:colOff>106680</xdr:colOff>
                    <xdr:row>9</xdr:row>
                    <xdr:rowOff>7620</xdr:rowOff>
                  </to>
                </anchor>
              </controlPr>
            </control>
          </mc:Choice>
        </mc:AlternateContent>
        <mc:AlternateContent xmlns:mc="http://schemas.openxmlformats.org/markup-compatibility/2006">
          <mc:Choice Requires="x14">
            <control shapeId="9399" r:id="rId102" name="Check Box 183">
              <controlPr defaultSize="0" autoFill="0" autoLine="0" autoPict="0" macro="[0]!CheckBox183_Click">
                <anchor moveWithCells="1">
                  <from>
                    <xdr:col>13</xdr:col>
                    <xdr:colOff>0</xdr:colOff>
                    <xdr:row>8</xdr:row>
                    <xdr:rowOff>129540</xdr:rowOff>
                  </from>
                  <to>
                    <xdr:col>14</xdr:col>
                    <xdr:colOff>106680</xdr:colOff>
                    <xdr:row>10</xdr:row>
                    <xdr:rowOff>22860</xdr:rowOff>
                  </to>
                </anchor>
              </controlPr>
            </control>
          </mc:Choice>
        </mc:AlternateContent>
        <mc:AlternateContent xmlns:mc="http://schemas.openxmlformats.org/markup-compatibility/2006">
          <mc:Choice Requires="x14">
            <control shapeId="9400" r:id="rId103" name="Check Box 184">
              <controlPr defaultSize="0" autoFill="0" autoLine="0" autoPict="0" macro="[0]!CheckBox184_Click">
                <anchor moveWithCells="1">
                  <from>
                    <xdr:col>13</xdr:col>
                    <xdr:colOff>0</xdr:colOff>
                    <xdr:row>14</xdr:row>
                    <xdr:rowOff>129540</xdr:rowOff>
                  </from>
                  <to>
                    <xdr:col>14</xdr:col>
                    <xdr:colOff>106680</xdr:colOff>
                    <xdr:row>16</xdr:row>
                    <xdr:rowOff>38100</xdr:rowOff>
                  </to>
                </anchor>
              </controlPr>
            </control>
          </mc:Choice>
        </mc:AlternateContent>
        <mc:AlternateContent xmlns:mc="http://schemas.openxmlformats.org/markup-compatibility/2006">
          <mc:Choice Requires="x14">
            <control shapeId="9401" r:id="rId104" name="Check Box 185">
              <controlPr defaultSize="0" autoFill="0" autoLine="0" autoPict="0" macro="[0]!CheckBox185_Click">
                <anchor moveWithCells="1">
                  <from>
                    <xdr:col>13</xdr:col>
                    <xdr:colOff>0</xdr:colOff>
                    <xdr:row>15</xdr:row>
                    <xdr:rowOff>121920</xdr:rowOff>
                  </from>
                  <to>
                    <xdr:col>14</xdr:col>
                    <xdr:colOff>106680</xdr:colOff>
                    <xdr:row>17</xdr:row>
                    <xdr:rowOff>7620</xdr:rowOff>
                  </to>
                </anchor>
              </controlPr>
            </control>
          </mc:Choice>
        </mc:AlternateContent>
        <mc:AlternateContent xmlns:mc="http://schemas.openxmlformats.org/markup-compatibility/2006">
          <mc:Choice Requires="x14">
            <control shapeId="9402" r:id="rId105" name="Check Box 186">
              <controlPr defaultSize="0" autoFill="0" autoLine="0" autoPict="0" macro="[0]!CheckBox186_Click">
                <anchor moveWithCells="1">
                  <from>
                    <xdr:col>13</xdr:col>
                    <xdr:colOff>0</xdr:colOff>
                    <xdr:row>16</xdr:row>
                    <xdr:rowOff>129540</xdr:rowOff>
                  </from>
                  <to>
                    <xdr:col>14</xdr:col>
                    <xdr:colOff>106680</xdr:colOff>
                    <xdr:row>18</xdr:row>
                    <xdr:rowOff>22860</xdr:rowOff>
                  </to>
                </anchor>
              </controlPr>
            </control>
          </mc:Choice>
        </mc:AlternateContent>
        <mc:AlternateContent xmlns:mc="http://schemas.openxmlformats.org/markup-compatibility/2006">
          <mc:Choice Requires="x14">
            <control shapeId="9403" r:id="rId106" name="Check Box 187">
              <controlPr defaultSize="0" autoFill="0" autoLine="0" autoPict="0" macro="[0]!CheckBox187_Click">
                <anchor moveWithCells="1">
                  <from>
                    <xdr:col>10</xdr:col>
                    <xdr:colOff>0</xdr:colOff>
                    <xdr:row>7</xdr:row>
                    <xdr:rowOff>129540</xdr:rowOff>
                  </from>
                  <to>
                    <xdr:col>11</xdr:col>
                    <xdr:colOff>106680</xdr:colOff>
                    <xdr:row>9</xdr:row>
                    <xdr:rowOff>22860</xdr:rowOff>
                  </to>
                </anchor>
              </controlPr>
            </control>
          </mc:Choice>
        </mc:AlternateContent>
        <mc:AlternateContent xmlns:mc="http://schemas.openxmlformats.org/markup-compatibility/2006">
          <mc:Choice Requires="x14">
            <control shapeId="9404" r:id="rId107" name="Check Box 188">
              <controlPr defaultSize="0" autoFill="0" autoLine="0" autoPict="0" macro="[0]!CheckBox188_Click">
                <anchor moveWithCells="1">
                  <from>
                    <xdr:col>7</xdr:col>
                    <xdr:colOff>952500</xdr:colOff>
                    <xdr:row>11</xdr:row>
                    <xdr:rowOff>129540</xdr:rowOff>
                  </from>
                  <to>
                    <xdr:col>9</xdr:col>
                    <xdr:colOff>106680</xdr:colOff>
                    <xdr:row>13</xdr:row>
                    <xdr:rowOff>22860</xdr:rowOff>
                  </to>
                </anchor>
              </controlPr>
            </control>
          </mc:Choice>
        </mc:AlternateContent>
        <mc:AlternateContent xmlns:mc="http://schemas.openxmlformats.org/markup-compatibility/2006">
          <mc:Choice Requires="x14">
            <control shapeId="9405" r:id="rId108" name="Check Box 189">
              <controlPr defaultSize="0" autoFill="0" autoLine="0" autoPict="0" macro="[0]!CheckBox189_Click">
                <anchor moveWithCells="1">
                  <from>
                    <xdr:col>10</xdr:col>
                    <xdr:colOff>0</xdr:colOff>
                    <xdr:row>15</xdr:row>
                    <xdr:rowOff>129540</xdr:rowOff>
                  </from>
                  <to>
                    <xdr:col>11</xdr:col>
                    <xdr:colOff>106680</xdr:colOff>
                    <xdr:row>17</xdr:row>
                    <xdr:rowOff>22860</xdr:rowOff>
                  </to>
                </anchor>
              </controlPr>
            </control>
          </mc:Choice>
        </mc:AlternateContent>
        <mc:AlternateContent xmlns:mc="http://schemas.openxmlformats.org/markup-compatibility/2006">
          <mc:Choice Requires="x14">
            <control shapeId="9406" r:id="rId109" name="Check Box 190">
              <controlPr defaultSize="0" autoFill="0" autoLine="0" autoPict="0" macro="[0]!CheckBox190_Click">
                <anchor moveWithCells="1">
                  <from>
                    <xdr:col>13</xdr:col>
                    <xdr:colOff>0</xdr:colOff>
                    <xdr:row>19</xdr:row>
                    <xdr:rowOff>129540</xdr:rowOff>
                  </from>
                  <to>
                    <xdr:col>14</xdr:col>
                    <xdr:colOff>106680</xdr:colOff>
                    <xdr:row>21</xdr:row>
                    <xdr:rowOff>22860</xdr:rowOff>
                  </to>
                </anchor>
              </controlPr>
            </control>
          </mc:Choice>
        </mc:AlternateContent>
        <mc:AlternateContent xmlns:mc="http://schemas.openxmlformats.org/markup-compatibility/2006">
          <mc:Choice Requires="x14">
            <control shapeId="9407" r:id="rId110" name="Check Box 191">
              <controlPr defaultSize="0" autoFill="0" autoLine="0" autoPict="0" macro="[0]!CheckBox191_Click">
                <anchor moveWithCells="1">
                  <from>
                    <xdr:col>17</xdr:col>
                    <xdr:colOff>0</xdr:colOff>
                    <xdr:row>15</xdr:row>
                    <xdr:rowOff>129540</xdr:rowOff>
                  </from>
                  <to>
                    <xdr:col>18</xdr:col>
                    <xdr:colOff>106680</xdr:colOff>
                    <xdr:row>17</xdr:row>
                    <xdr:rowOff>22860</xdr:rowOff>
                  </to>
                </anchor>
              </controlPr>
            </control>
          </mc:Choice>
        </mc:AlternateContent>
        <mc:AlternateContent xmlns:mc="http://schemas.openxmlformats.org/markup-compatibility/2006">
          <mc:Choice Requires="x14">
            <control shapeId="9408" r:id="rId111" name="Check Box 192">
              <controlPr defaultSize="0" autoFill="0" autoLine="0" autoPict="0" macro="[0]!CheckBox192_Click">
                <anchor moveWithCells="1">
                  <from>
                    <xdr:col>19</xdr:col>
                    <xdr:colOff>0</xdr:colOff>
                    <xdr:row>11</xdr:row>
                    <xdr:rowOff>129540</xdr:rowOff>
                  </from>
                  <to>
                    <xdr:col>20</xdr:col>
                    <xdr:colOff>91440</xdr:colOff>
                    <xdr:row>13</xdr:row>
                    <xdr:rowOff>22860</xdr:rowOff>
                  </to>
                </anchor>
              </controlPr>
            </control>
          </mc:Choice>
        </mc:AlternateContent>
        <mc:AlternateContent xmlns:mc="http://schemas.openxmlformats.org/markup-compatibility/2006">
          <mc:Choice Requires="x14">
            <control shapeId="9409" r:id="rId112" name="Check Box 193">
              <controlPr defaultSize="0" autoFill="0" autoLine="0" autoPict="0" macro="[0]!CheckBox193_Click">
                <anchor moveWithCells="1">
                  <from>
                    <xdr:col>17</xdr:col>
                    <xdr:colOff>0</xdr:colOff>
                    <xdr:row>7</xdr:row>
                    <xdr:rowOff>129540</xdr:rowOff>
                  </from>
                  <to>
                    <xdr:col>18</xdr:col>
                    <xdr:colOff>106680</xdr:colOff>
                    <xdr:row>9</xdr:row>
                    <xdr:rowOff>22860</xdr:rowOff>
                  </to>
                </anchor>
              </controlPr>
            </control>
          </mc:Choice>
        </mc:AlternateContent>
        <mc:AlternateContent xmlns:mc="http://schemas.openxmlformats.org/markup-compatibility/2006">
          <mc:Choice Requires="x14">
            <control shapeId="9410" r:id="rId113" name="Check Box 194">
              <controlPr defaultSize="0" autoFill="0" autoLine="0" autoPict="0" macro="[0]!CheckBox194_Click">
                <anchor moveWithCells="1">
                  <from>
                    <xdr:col>13</xdr:col>
                    <xdr:colOff>0</xdr:colOff>
                    <xdr:row>11</xdr:row>
                    <xdr:rowOff>129540</xdr:rowOff>
                  </from>
                  <to>
                    <xdr:col>14</xdr:col>
                    <xdr:colOff>106680</xdr:colOff>
                    <xdr:row>13</xdr:row>
                    <xdr:rowOff>22860</xdr:rowOff>
                  </to>
                </anchor>
              </controlPr>
            </control>
          </mc:Choice>
        </mc:AlternateContent>
        <mc:AlternateContent xmlns:mc="http://schemas.openxmlformats.org/markup-compatibility/2006">
          <mc:Choice Requires="x14">
            <control shapeId="9411" r:id="rId114" name="Check Box 195">
              <controlPr defaultSize="0" autoFill="0" autoLine="0" autoPict="0" macro="[0]!CheckBox195_Click">
                <anchor moveWithCells="1">
                  <from>
                    <xdr:col>13</xdr:col>
                    <xdr:colOff>0</xdr:colOff>
                    <xdr:row>3</xdr:row>
                    <xdr:rowOff>129540</xdr:rowOff>
                  </from>
                  <to>
                    <xdr:col>14</xdr:col>
                    <xdr:colOff>106680</xdr:colOff>
                    <xdr:row>5</xdr:row>
                    <xdr:rowOff>22860</xdr:rowOff>
                  </to>
                </anchor>
              </controlPr>
            </control>
          </mc:Choice>
        </mc:AlternateContent>
        <mc:AlternateContent xmlns:mc="http://schemas.openxmlformats.org/markup-compatibility/2006">
          <mc:Choice Requires="x14">
            <control shapeId="9418" r:id="rId115" name="Option Button 202">
              <controlPr defaultSize="0" autoFill="0" autoLine="0" autoPict="0" macro="[0]!BuildTechscreen">
                <anchor moveWithCells="1">
                  <from>
                    <xdr:col>0</xdr:col>
                    <xdr:colOff>22860</xdr:colOff>
                    <xdr:row>85</xdr:row>
                    <xdr:rowOff>129540</xdr:rowOff>
                  </from>
                  <to>
                    <xdr:col>1</xdr:col>
                    <xdr:colOff>68580</xdr:colOff>
                    <xdr:row>87</xdr:row>
                    <xdr:rowOff>38100</xdr:rowOff>
                  </to>
                </anchor>
              </controlPr>
            </control>
          </mc:Choice>
        </mc:AlternateContent>
        <mc:AlternateContent xmlns:mc="http://schemas.openxmlformats.org/markup-compatibility/2006">
          <mc:Choice Requires="x14">
            <control shapeId="9497" r:id="rId116" name="Option Button 281">
              <controlPr defaultSize="0" autoFill="0" autoLine="0" autoPict="0" macro="[0]!BuildTechscreen">
                <anchor moveWithCells="1">
                  <from>
                    <xdr:col>0</xdr:col>
                    <xdr:colOff>22860</xdr:colOff>
                    <xdr:row>86</xdr:row>
                    <xdr:rowOff>129540</xdr:rowOff>
                  </from>
                  <to>
                    <xdr:col>1</xdr:col>
                    <xdr:colOff>68580</xdr:colOff>
                    <xdr:row>88</xdr:row>
                    <xdr:rowOff>38100</xdr:rowOff>
                  </to>
                </anchor>
              </controlPr>
            </control>
          </mc:Choice>
        </mc:AlternateContent>
        <mc:AlternateContent xmlns:mc="http://schemas.openxmlformats.org/markup-compatibility/2006">
          <mc:Choice Requires="x14">
            <control shapeId="9498" r:id="rId117" name="Option Button 282">
              <controlPr defaultSize="0" autoFill="0" autoLine="0" autoPict="0" macro="[0]!BuildTechscreen">
                <anchor moveWithCells="1">
                  <from>
                    <xdr:col>0</xdr:col>
                    <xdr:colOff>22860</xdr:colOff>
                    <xdr:row>87</xdr:row>
                    <xdr:rowOff>137160</xdr:rowOff>
                  </from>
                  <to>
                    <xdr:col>1</xdr:col>
                    <xdr:colOff>68580</xdr:colOff>
                    <xdr:row>89</xdr:row>
                    <xdr:rowOff>38100</xdr:rowOff>
                  </to>
                </anchor>
              </controlPr>
            </control>
          </mc:Choice>
        </mc:AlternateContent>
        <mc:AlternateContent xmlns:mc="http://schemas.openxmlformats.org/markup-compatibility/2006">
          <mc:Choice Requires="x14">
            <control shapeId="9499" r:id="rId118" name="Option Button 283">
              <controlPr defaultSize="0" autoFill="0" autoLine="0" autoPict="0" macro="[0]!BuildTechscreen">
                <anchor moveWithCells="1">
                  <from>
                    <xdr:col>0</xdr:col>
                    <xdr:colOff>22860</xdr:colOff>
                    <xdr:row>88</xdr:row>
                    <xdr:rowOff>129540</xdr:rowOff>
                  </from>
                  <to>
                    <xdr:col>1</xdr:col>
                    <xdr:colOff>68580</xdr:colOff>
                    <xdr:row>90</xdr:row>
                    <xdr:rowOff>38100</xdr:rowOff>
                  </to>
                </anchor>
              </controlPr>
            </control>
          </mc:Choice>
        </mc:AlternateContent>
        <mc:AlternateContent xmlns:mc="http://schemas.openxmlformats.org/markup-compatibility/2006">
          <mc:Choice Requires="x14">
            <control shapeId="9500" r:id="rId119" name="Option Button 284">
              <controlPr defaultSize="0" autoFill="0" autoLine="0" autoPict="0" macro="[0]!BuildTechscreen">
                <anchor moveWithCells="1">
                  <from>
                    <xdr:col>0</xdr:col>
                    <xdr:colOff>22860</xdr:colOff>
                    <xdr:row>89</xdr:row>
                    <xdr:rowOff>137160</xdr:rowOff>
                  </from>
                  <to>
                    <xdr:col>1</xdr:col>
                    <xdr:colOff>68580</xdr:colOff>
                    <xdr:row>91</xdr:row>
                    <xdr:rowOff>38100</xdr:rowOff>
                  </to>
                </anchor>
              </controlPr>
            </control>
          </mc:Choice>
        </mc:AlternateContent>
        <mc:AlternateContent xmlns:mc="http://schemas.openxmlformats.org/markup-compatibility/2006">
          <mc:Choice Requires="x14">
            <control shapeId="9501" r:id="rId120" name="Option Button 285">
              <controlPr defaultSize="0" autoFill="0" autoLine="0" autoPict="0" macro="[0]!BuildTechscreen">
                <anchor moveWithCells="1">
                  <from>
                    <xdr:col>0</xdr:col>
                    <xdr:colOff>22860</xdr:colOff>
                    <xdr:row>90</xdr:row>
                    <xdr:rowOff>129540</xdr:rowOff>
                  </from>
                  <to>
                    <xdr:col>1</xdr:col>
                    <xdr:colOff>68580</xdr:colOff>
                    <xdr:row>92</xdr:row>
                    <xdr:rowOff>38100</xdr:rowOff>
                  </to>
                </anchor>
              </controlPr>
            </control>
          </mc:Choice>
        </mc:AlternateContent>
        <mc:AlternateContent xmlns:mc="http://schemas.openxmlformats.org/markup-compatibility/2006">
          <mc:Choice Requires="x14">
            <control shapeId="9502" r:id="rId121" name="Option Button 286">
              <controlPr defaultSize="0" autoFill="0" autoLine="0" autoPict="0" macro="[0]!BuildTechscreen">
                <anchor moveWithCells="1">
                  <from>
                    <xdr:col>0</xdr:col>
                    <xdr:colOff>22860</xdr:colOff>
                    <xdr:row>91</xdr:row>
                    <xdr:rowOff>137160</xdr:rowOff>
                  </from>
                  <to>
                    <xdr:col>1</xdr:col>
                    <xdr:colOff>68580</xdr:colOff>
                    <xdr:row>93</xdr:row>
                    <xdr:rowOff>38100</xdr:rowOff>
                  </to>
                </anchor>
              </controlPr>
            </control>
          </mc:Choice>
        </mc:AlternateContent>
        <mc:AlternateContent xmlns:mc="http://schemas.openxmlformats.org/markup-compatibility/2006">
          <mc:Choice Requires="x14">
            <control shapeId="9503" r:id="rId122" name="Option Button 287">
              <controlPr defaultSize="0" autoFill="0" autoLine="0" autoPict="0" macro="[0]!BuildTechscreen">
                <anchor moveWithCells="1">
                  <from>
                    <xdr:col>0</xdr:col>
                    <xdr:colOff>22860</xdr:colOff>
                    <xdr:row>92</xdr:row>
                    <xdr:rowOff>129540</xdr:rowOff>
                  </from>
                  <to>
                    <xdr:col>1</xdr:col>
                    <xdr:colOff>68580</xdr:colOff>
                    <xdr:row>94</xdr:row>
                    <xdr:rowOff>38100</xdr:rowOff>
                  </to>
                </anchor>
              </controlPr>
            </control>
          </mc:Choice>
        </mc:AlternateContent>
        <mc:AlternateContent xmlns:mc="http://schemas.openxmlformats.org/markup-compatibility/2006">
          <mc:Choice Requires="x14">
            <control shapeId="9504" r:id="rId123" name="Option Button 288">
              <controlPr defaultSize="0" autoFill="0" autoLine="0" autoPict="0" macro="[0]!BuildTechscreen">
                <anchor moveWithCells="1">
                  <from>
                    <xdr:col>0</xdr:col>
                    <xdr:colOff>22860</xdr:colOff>
                    <xdr:row>93</xdr:row>
                    <xdr:rowOff>137160</xdr:rowOff>
                  </from>
                  <to>
                    <xdr:col>1</xdr:col>
                    <xdr:colOff>68580</xdr:colOff>
                    <xdr:row>95</xdr:row>
                    <xdr:rowOff>45720</xdr:rowOff>
                  </to>
                </anchor>
              </controlPr>
            </control>
          </mc:Choice>
        </mc:AlternateContent>
        <mc:AlternateContent xmlns:mc="http://schemas.openxmlformats.org/markup-compatibility/2006">
          <mc:Choice Requires="x14">
            <control shapeId="9505" r:id="rId124" name="Option Button 289">
              <controlPr defaultSize="0" autoFill="0" autoLine="0" autoPict="0" macro="[0]!BuildTechscreen">
                <anchor moveWithCells="1">
                  <from>
                    <xdr:col>0</xdr:col>
                    <xdr:colOff>22860</xdr:colOff>
                    <xdr:row>94</xdr:row>
                    <xdr:rowOff>129540</xdr:rowOff>
                  </from>
                  <to>
                    <xdr:col>1</xdr:col>
                    <xdr:colOff>68580</xdr:colOff>
                    <xdr:row>96</xdr:row>
                    <xdr:rowOff>45720</xdr:rowOff>
                  </to>
                </anchor>
              </controlPr>
            </control>
          </mc:Choice>
        </mc:AlternateContent>
        <mc:AlternateContent xmlns:mc="http://schemas.openxmlformats.org/markup-compatibility/2006">
          <mc:Choice Requires="x14">
            <control shapeId="9506" r:id="rId125" name="Option Button 290">
              <controlPr defaultSize="0" autoFill="0" autoLine="0" autoPict="0" macro="[0]!BuildTechscreen">
                <anchor moveWithCells="1">
                  <from>
                    <xdr:col>0</xdr:col>
                    <xdr:colOff>22860</xdr:colOff>
                    <xdr:row>95</xdr:row>
                    <xdr:rowOff>137160</xdr:rowOff>
                  </from>
                  <to>
                    <xdr:col>1</xdr:col>
                    <xdr:colOff>68580</xdr:colOff>
                    <xdr:row>97</xdr:row>
                    <xdr:rowOff>60960</xdr:rowOff>
                  </to>
                </anchor>
              </controlPr>
            </control>
          </mc:Choice>
        </mc:AlternateContent>
        <mc:AlternateContent xmlns:mc="http://schemas.openxmlformats.org/markup-compatibility/2006">
          <mc:Choice Requires="x14">
            <control shapeId="9507" r:id="rId126" name="Option Button 291">
              <controlPr defaultSize="0" autoFill="0" autoLine="0" autoPict="0" macro="[0]!BuildTechscreen">
                <anchor moveWithCells="1">
                  <from>
                    <xdr:col>0</xdr:col>
                    <xdr:colOff>22860</xdr:colOff>
                    <xdr:row>96</xdr:row>
                    <xdr:rowOff>129540</xdr:rowOff>
                  </from>
                  <to>
                    <xdr:col>1</xdr:col>
                    <xdr:colOff>68580</xdr:colOff>
                    <xdr:row>98</xdr:row>
                    <xdr:rowOff>7620</xdr:rowOff>
                  </to>
                </anchor>
              </controlPr>
            </control>
          </mc:Choice>
        </mc:AlternateContent>
        <mc:AlternateContent xmlns:mc="http://schemas.openxmlformats.org/markup-compatibility/2006">
          <mc:Choice Requires="x14">
            <control shapeId="9508" r:id="rId127" name="Option Button 292">
              <controlPr defaultSize="0" autoFill="0" autoLine="0" autoPict="0" macro="[0]!BuildTechscreen">
                <anchor moveWithCells="1">
                  <from>
                    <xdr:col>0</xdr:col>
                    <xdr:colOff>22860</xdr:colOff>
                    <xdr:row>97</xdr:row>
                    <xdr:rowOff>144780</xdr:rowOff>
                  </from>
                  <to>
                    <xdr:col>1</xdr:col>
                    <xdr:colOff>68580</xdr:colOff>
                    <xdr:row>99</xdr:row>
                    <xdr:rowOff>7620</xdr:rowOff>
                  </to>
                </anchor>
              </controlPr>
            </control>
          </mc:Choice>
        </mc:AlternateContent>
        <mc:AlternateContent xmlns:mc="http://schemas.openxmlformats.org/markup-compatibility/2006">
          <mc:Choice Requires="x14">
            <control shapeId="9509" r:id="rId128" name="Option Button 293">
              <controlPr defaultSize="0" autoFill="0" autoLine="0" autoPict="0" macro="[0]!BuildTechscreen">
                <anchor moveWithCells="1">
                  <from>
                    <xdr:col>0</xdr:col>
                    <xdr:colOff>22860</xdr:colOff>
                    <xdr:row>98</xdr:row>
                    <xdr:rowOff>137160</xdr:rowOff>
                  </from>
                  <to>
                    <xdr:col>1</xdr:col>
                    <xdr:colOff>68580</xdr:colOff>
                    <xdr:row>100</xdr:row>
                    <xdr:rowOff>7620</xdr:rowOff>
                  </to>
                </anchor>
              </controlPr>
            </control>
          </mc:Choice>
        </mc:AlternateContent>
        <mc:AlternateContent xmlns:mc="http://schemas.openxmlformats.org/markup-compatibility/2006">
          <mc:Choice Requires="x14">
            <control shapeId="9510" r:id="rId129" name="Option Button 294">
              <controlPr defaultSize="0" autoFill="0" autoLine="0" autoPict="0" macro="[0]!BuildTechscreen">
                <anchor moveWithCells="1">
                  <from>
                    <xdr:col>0</xdr:col>
                    <xdr:colOff>22860</xdr:colOff>
                    <xdr:row>99</xdr:row>
                    <xdr:rowOff>137160</xdr:rowOff>
                  </from>
                  <to>
                    <xdr:col>1</xdr:col>
                    <xdr:colOff>68580</xdr:colOff>
                    <xdr:row>101</xdr:row>
                    <xdr:rowOff>38100</xdr:rowOff>
                  </to>
                </anchor>
              </controlPr>
            </control>
          </mc:Choice>
        </mc:AlternateContent>
        <mc:AlternateContent xmlns:mc="http://schemas.openxmlformats.org/markup-compatibility/2006">
          <mc:Choice Requires="x14">
            <control shapeId="9511" r:id="rId130" name="Option Button 295">
              <controlPr defaultSize="0" autoFill="0" autoLine="0" autoPict="0" macro="[0]!BuildTechscreen">
                <anchor moveWithCells="1">
                  <from>
                    <xdr:col>0</xdr:col>
                    <xdr:colOff>22860</xdr:colOff>
                    <xdr:row>100</xdr:row>
                    <xdr:rowOff>129540</xdr:rowOff>
                  </from>
                  <to>
                    <xdr:col>1</xdr:col>
                    <xdr:colOff>68580</xdr:colOff>
                    <xdr:row>102</xdr:row>
                    <xdr:rowOff>38100</xdr:rowOff>
                  </to>
                </anchor>
              </controlPr>
            </control>
          </mc:Choice>
        </mc:AlternateContent>
        <mc:AlternateContent xmlns:mc="http://schemas.openxmlformats.org/markup-compatibility/2006">
          <mc:Choice Requires="x14">
            <control shapeId="9512" r:id="rId131" name="Option Button 296">
              <controlPr defaultSize="0" autoFill="0" autoLine="0" autoPict="0" macro="[0]!BuildTechscreen">
                <anchor moveWithCells="1">
                  <from>
                    <xdr:col>0</xdr:col>
                    <xdr:colOff>22860</xdr:colOff>
                    <xdr:row>101</xdr:row>
                    <xdr:rowOff>137160</xdr:rowOff>
                  </from>
                  <to>
                    <xdr:col>1</xdr:col>
                    <xdr:colOff>68580</xdr:colOff>
                    <xdr:row>103</xdr:row>
                    <xdr:rowOff>38100</xdr:rowOff>
                  </to>
                </anchor>
              </controlPr>
            </control>
          </mc:Choice>
        </mc:AlternateContent>
        <mc:AlternateContent xmlns:mc="http://schemas.openxmlformats.org/markup-compatibility/2006">
          <mc:Choice Requires="x14">
            <control shapeId="9513" r:id="rId132" name="Option Button 297">
              <controlPr defaultSize="0" autoFill="0" autoLine="0" autoPict="0" macro="[0]!BuildTechscreen">
                <anchor moveWithCells="1">
                  <from>
                    <xdr:col>0</xdr:col>
                    <xdr:colOff>22860</xdr:colOff>
                    <xdr:row>102</xdr:row>
                    <xdr:rowOff>129540</xdr:rowOff>
                  </from>
                  <to>
                    <xdr:col>1</xdr:col>
                    <xdr:colOff>68580</xdr:colOff>
                    <xdr:row>104</xdr:row>
                    <xdr:rowOff>38100</xdr:rowOff>
                  </to>
                </anchor>
              </controlPr>
            </control>
          </mc:Choice>
        </mc:AlternateContent>
        <mc:AlternateContent xmlns:mc="http://schemas.openxmlformats.org/markup-compatibility/2006">
          <mc:Choice Requires="x14">
            <control shapeId="9514" r:id="rId133" name="Option Button 298">
              <controlPr defaultSize="0" autoFill="0" autoLine="0" autoPict="0" macro="[0]!BuildTechscreen">
                <anchor moveWithCells="1">
                  <from>
                    <xdr:col>0</xdr:col>
                    <xdr:colOff>22860</xdr:colOff>
                    <xdr:row>103</xdr:row>
                    <xdr:rowOff>137160</xdr:rowOff>
                  </from>
                  <to>
                    <xdr:col>1</xdr:col>
                    <xdr:colOff>68580</xdr:colOff>
                    <xdr:row>105</xdr:row>
                    <xdr:rowOff>38100</xdr:rowOff>
                  </to>
                </anchor>
              </controlPr>
            </control>
          </mc:Choice>
        </mc:AlternateContent>
        <mc:AlternateContent xmlns:mc="http://schemas.openxmlformats.org/markup-compatibility/2006">
          <mc:Choice Requires="x14">
            <control shapeId="9515" r:id="rId134" name="Option Button 299">
              <controlPr defaultSize="0" autoFill="0" autoLine="0" autoPict="0" macro="[0]!BuildTechscreen">
                <anchor moveWithCells="1">
                  <from>
                    <xdr:col>0</xdr:col>
                    <xdr:colOff>22860</xdr:colOff>
                    <xdr:row>104</xdr:row>
                    <xdr:rowOff>129540</xdr:rowOff>
                  </from>
                  <to>
                    <xdr:col>1</xdr:col>
                    <xdr:colOff>68580</xdr:colOff>
                    <xdr:row>106</xdr:row>
                    <xdr:rowOff>38100</xdr:rowOff>
                  </to>
                </anchor>
              </controlPr>
            </control>
          </mc:Choice>
        </mc:AlternateContent>
        <mc:AlternateContent xmlns:mc="http://schemas.openxmlformats.org/markup-compatibility/2006">
          <mc:Choice Requires="x14">
            <control shapeId="9516" r:id="rId135" name="Option Button 300">
              <controlPr defaultSize="0" autoFill="0" autoLine="0" autoPict="0" macro="[0]!BuildTechscreen">
                <anchor moveWithCells="1">
                  <from>
                    <xdr:col>0</xdr:col>
                    <xdr:colOff>22860</xdr:colOff>
                    <xdr:row>105</xdr:row>
                    <xdr:rowOff>137160</xdr:rowOff>
                  </from>
                  <to>
                    <xdr:col>1</xdr:col>
                    <xdr:colOff>68580</xdr:colOff>
                    <xdr:row>107</xdr:row>
                    <xdr:rowOff>38100</xdr:rowOff>
                  </to>
                </anchor>
              </controlPr>
            </control>
          </mc:Choice>
        </mc:AlternateContent>
        <mc:AlternateContent xmlns:mc="http://schemas.openxmlformats.org/markup-compatibility/2006">
          <mc:Choice Requires="x14">
            <control shapeId="9517" r:id="rId136" name="Option Button 301">
              <controlPr defaultSize="0" autoFill="0" autoLine="0" autoPict="0" macro="[0]!BuildTechscreen">
                <anchor moveWithCells="1">
                  <from>
                    <xdr:col>0</xdr:col>
                    <xdr:colOff>22860</xdr:colOff>
                    <xdr:row>106</xdr:row>
                    <xdr:rowOff>129540</xdr:rowOff>
                  </from>
                  <to>
                    <xdr:col>1</xdr:col>
                    <xdr:colOff>68580</xdr:colOff>
                    <xdr:row>108</xdr:row>
                    <xdr:rowOff>38100</xdr:rowOff>
                  </to>
                </anchor>
              </controlPr>
            </control>
          </mc:Choice>
        </mc:AlternateContent>
        <mc:AlternateContent xmlns:mc="http://schemas.openxmlformats.org/markup-compatibility/2006">
          <mc:Choice Requires="x14">
            <control shapeId="9518" r:id="rId137" name="Option Button 302">
              <controlPr defaultSize="0" autoFill="0" autoLine="0" autoPict="0" macro="[0]!BuildTechscreen">
                <anchor moveWithCells="1">
                  <from>
                    <xdr:col>0</xdr:col>
                    <xdr:colOff>22860</xdr:colOff>
                    <xdr:row>107</xdr:row>
                    <xdr:rowOff>137160</xdr:rowOff>
                  </from>
                  <to>
                    <xdr:col>1</xdr:col>
                    <xdr:colOff>68580</xdr:colOff>
                    <xdr:row>109</xdr:row>
                    <xdr:rowOff>38100</xdr:rowOff>
                  </to>
                </anchor>
              </controlPr>
            </control>
          </mc:Choice>
        </mc:AlternateContent>
        <mc:AlternateContent xmlns:mc="http://schemas.openxmlformats.org/markup-compatibility/2006">
          <mc:Choice Requires="x14">
            <control shapeId="9519" r:id="rId138" name="Option Button 303">
              <controlPr defaultSize="0" autoFill="0" autoLine="0" autoPict="0" macro="[0]!BuildTechscreen">
                <anchor moveWithCells="1">
                  <from>
                    <xdr:col>0</xdr:col>
                    <xdr:colOff>22860</xdr:colOff>
                    <xdr:row>108</xdr:row>
                    <xdr:rowOff>129540</xdr:rowOff>
                  </from>
                  <to>
                    <xdr:col>1</xdr:col>
                    <xdr:colOff>68580</xdr:colOff>
                    <xdr:row>110</xdr:row>
                    <xdr:rowOff>38100</xdr:rowOff>
                  </to>
                </anchor>
              </controlPr>
            </control>
          </mc:Choice>
        </mc:AlternateContent>
        <mc:AlternateContent xmlns:mc="http://schemas.openxmlformats.org/markup-compatibility/2006">
          <mc:Choice Requires="x14">
            <control shapeId="9520" r:id="rId139" name="Option Button 304">
              <controlPr defaultSize="0" autoFill="0" autoLine="0" autoPict="0" macro="[0]!BuildTechscreen">
                <anchor moveWithCells="1">
                  <from>
                    <xdr:col>0</xdr:col>
                    <xdr:colOff>22860</xdr:colOff>
                    <xdr:row>109</xdr:row>
                    <xdr:rowOff>137160</xdr:rowOff>
                  </from>
                  <to>
                    <xdr:col>1</xdr:col>
                    <xdr:colOff>68580</xdr:colOff>
                    <xdr:row>111</xdr:row>
                    <xdr:rowOff>38100</xdr:rowOff>
                  </to>
                </anchor>
              </controlPr>
            </control>
          </mc:Choice>
        </mc:AlternateContent>
        <mc:AlternateContent xmlns:mc="http://schemas.openxmlformats.org/markup-compatibility/2006">
          <mc:Choice Requires="x14">
            <control shapeId="9521" r:id="rId140" name="Option Button 305">
              <controlPr defaultSize="0" autoFill="0" autoLine="0" autoPict="0" macro="[0]!BuildTechscreen">
                <anchor moveWithCells="1">
                  <from>
                    <xdr:col>0</xdr:col>
                    <xdr:colOff>22860</xdr:colOff>
                    <xdr:row>110</xdr:row>
                    <xdr:rowOff>129540</xdr:rowOff>
                  </from>
                  <to>
                    <xdr:col>1</xdr:col>
                    <xdr:colOff>68580</xdr:colOff>
                    <xdr:row>112</xdr:row>
                    <xdr:rowOff>38100</xdr:rowOff>
                  </to>
                </anchor>
              </controlPr>
            </control>
          </mc:Choice>
        </mc:AlternateContent>
        <mc:AlternateContent xmlns:mc="http://schemas.openxmlformats.org/markup-compatibility/2006">
          <mc:Choice Requires="x14">
            <control shapeId="9522" r:id="rId141" name="Option Button 306">
              <controlPr defaultSize="0" autoFill="0" autoLine="0" autoPict="0" macro="[0]!BuildTechscreen">
                <anchor moveWithCells="1">
                  <from>
                    <xdr:col>0</xdr:col>
                    <xdr:colOff>22860</xdr:colOff>
                    <xdr:row>111</xdr:row>
                    <xdr:rowOff>137160</xdr:rowOff>
                  </from>
                  <to>
                    <xdr:col>1</xdr:col>
                    <xdr:colOff>68580</xdr:colOff>
                    <xdr:row>113</xdr:row>
                    <xdr:rowOff>38100</xdr:rowOff>
                  </to>
                </anchor>
              </controlPr>
            </control>
          </mc:Choice>
        </mc:AlternateContent>
        <mc:AlternateContent xmlns:mc="http://schemas.openxmlformats.org/markup-compatibility/2006">
          <mc:Choice Requires="x14">
            <control shapeId="9523" r:id="rId142" name="Option Button 307">
              <controlPr defaultSize="0" autoFill="0" autoLine="0" autoPict="0" macro="[0]!BuildTechscreen">
                <anchor moveWithCells="1">
                  <from>
                    <xdr:col>0</xdr:col>
                    <xdr:colOff>22860</xdr:colOff>
                    <xdr:row>112</xdr:row>
                    <xdr:rowOff>129540</xdr:rowOff>
                  </from>
                  <to>
                    <xdr:col>1</xdr:col>
                    <xdr:colOff>68580</xdr:colOff>
                    <xdr:row>114</xdr:row>
                    <xdr:rowOff>38100</xdr:rowOff>
                  </to>
                </anchor>
              </controlPr>
            </control>
          </mc:Choice>
        </mc:AlternateContent>
        <mc:AlternateContent xmlns:mc="http://schemas.openxmlformats.org/markup-compatibility/2006">
          <mc:Choice Requires="x14">
            <control shapeId="9524" r:id="rId143" name="Option Button 308">
              <controlPr defaultSize="0" autoFill="0" autoLine="0" autoPict="0" macro="[0]!BuildTechscreen">
                <anchor moveWithCells="1">
                  <from>
                    <xdr:col>0</xdr:col>
                    <xdr:colOff>22860</xdr:colOff>
                    <xdr:row>113</xdr:row>
                    <xdr:rowOff>137160</xdr:rowOff>
                  </from>
                  <to>
                    <xdr:col>1</xdr:col>
                    <xdr:colOff>68580</xdr:colOff>
                    <xdr:row>115</xdr:row>
                    <xdr:rowOff>38100</xdr:rowOff>
                  </to>
                </anchor>
              </controlPr>
            </control>
          </mc:Choice>
        </mc:AlternateContent>
        <mc:AlternateContent xmlns:mc="http://schemas.openxmlformats.org/markup-compatibility/2006">
          <mc:Choice Requires="x14">
            <control shapeId="9525" r:id="rId144" name="Option Button 309">
              <controlPr defaultSize="0" autoFill="0" autoLine="0" autoPict="0" macro="[0]!BuildTechscreen">
                <anchor moveWithCells="1">
                  <from>
                    <xdr:col>0</xdr:col>
                    <xdr:colOff>22860</xdr:colOff>
                    <xdr:row>114</xdr:row>
                    <xdr:rowOff>129540</xdr:rowOff>
                  </from>
                  <to>
                    <xdr:col>1</xdr:col>
                    <xdr:colOff>68580</xdr:colOff>
                    <xdr:row>116</xdr:row>
                    <xdr:rowOff>38100</xdr:rowOff>
                  </to>
                </anchor>
              </controlPr>
            </control>
          </mc:Choice>
        </mc:AlternateContent>
        <mc:AlternateContent xmlns:mc="http://schemas.openxmlformats.org/markup-compatibility/2006">
          <mc:Choice Requires="x14">
            <control shapeId="9526" r:id="rId145" name="Option Button 310">
              <controlPr defaultSize="0" autoFill="0" autoLine="0" autoPict="0" macro="[0]!BuildTechscreen">
                <anchor moveWithCells="1">
                  <from>
                    <xdr:col>0</xdr:col>
                    <xdr:colOff>22860</xdr:colOff>
                    <xdr:row>115</xdr:row>
                    <xdr:rowOff>137160</xdr:rowOff>
                  </from>
                  <to>
                    <xdr:col>1</xdr:col>
                    <xdr:colOff>68580</xdr:colOff>
                    <xdr:row>117</xdr:row>
                    <xdr:rowOff>38100</xdr:rowOff>
                  </to>
                </anchor>
              </controlPr>
            </control>
          </mc:Choice>
        </mc:AlternateContent>
        <mc:AlternateContent xmlns:mc="http://schemas.openxmlformats.org/markup-compatibility/2006">
          <mc:Choice Requires="x14">
            <control shapeId="9527" r:id="rId146" name="Option Button 311">
              <controlPr defaultSize="0" autoFill="0" autoLine="0" autoPict="0" macro="[0]!BuildTechscreen">
                <anchor moveWithCells="1">
                  <from>
                    <xdr:col>0</xdr:col>
                    <xdr:colOff>22860</xdr:colOff>
                    <xdr:row>116</xdr:row>
                    <xdr:rowOff>129540</xdr:rowOff>
                  </from>
                  <to>
                    <xdr:col>1</xdr:col>
                    <xdr:colOff>68580</xdr:colOff>
                    <xdr:row>118</xdr:row>
                    <xdr:rowOff>38100</xdr:rowOff>
                  </to>
                </anchor>
              </controlPr>
            </control>
          </mc:Choice>
        </mc:AlternateContent>
        <mc:AlternateContent xmlns:mc="http://schemas.openxmlformats.org/markup-compatibility/2006">
          <mc:Choice Requires="x14">
            <control shapeId="9528" r:id="rId147" name="Option Button 312">
              <controlPr defaultSize="0" autoFill="0" autoLine="0" autoPict="0" macro="[0]!BuildTechscreen">
                <anchor moveWithCells="1">
                  <from>
                    <xdr:col>0</xdr:col>
                    <xdr:colOff>22860</xdr:colOff>
                    <xdr:row>117</xdr:row>
                    <xdr:rowOff>137160</xdr:rowOff>
                  </from>
                  <to>
                    <xdr:col>1</xdr:col>
                    <xdr:colOff>68580</xdr:colOff>
                    <xdr:row>119</xdr:row>
                    <xdr:rowOff>38100</xdr:rowOff>
                  </to>
                </anchor>
              </controlPr>
            </control>
          </mc:Choice>
        </mc:AlternateContent>
        <mc:AlternateContent xmlns:mc="http://schemas.openxmlformats.org/markup-compatibility/2006">
          <mc:Choice Requires="x14">
            <control shapeId="9529" r:id="rId148" name="Option Button 313">
              <controlPr defaultSize="0" autoFill="0" autoLine="0" autoPict="0" macro="[0]!BuildTechscreen">
                <anchor moveWithCells="1">
                  <from>
                    <xdr:col>0</xdr:col>
                    <xdr:colOff>22860</xdr:colOff>
                    <xdr:row>118</xdr:row>
                    <xdr:rowOff>129540</xdr:rowOff>
                  </from>
                  <to>
                    <xdr:col>1</xdr:col>
                    <xdr:colOff>68580</xdr:colOff>
                    <xdr:row>120</xdr:row>
                    <xdr:rowOff>38100</xdr:rowOff>
                  </to>
                </anchor>
              </controlPr>
            </control>
          </mc:Choice>
        </mc:AlternateContent>
        <mc:AlternateContent xmlns:mc="http://schemas.openxmlformats.org/markup-compatibility/2006">
          <mc:Choice Requires="x14">
            <control shapeId="9530" r:id="rId149" name="Option Button 314">
              <controlPr defaultSize="0" autoFill="0" autoLine="0" autoPict="0" macro="[0]!BuildTechscreen">
                <anchor moveWithCells="1">
                  <from>
                    <xdr:col>0</xdr:col>
                    <xdr:colOff>22860</xdr:colOff>
                    <xdr:row>119</xdr:row>
                    <xdr:rowOff>137160</xdr:rowOff>
                  </from>
                  <to>
                    <xdr:col>1</xdr:col>
                    <xdr:colOff>68580</xdr:colOff>
                    <xdr:row>121</xdr:row>
                    <xdr:rowOff>38100</xdr:rowOff>
                  </to>
                </anchor>
              </controlPr>
            </control>
          </mc:Choice>
        </mc:AlternateContent>
        <mc:AlternateContent xmlns:mc="http://schemas.openxmlformats.org/markup-compatibility/2006">
          <mc:Choice Requires="x14">
            <control shapeId="9531" r:id="rId150" name="Option Button 315">
              <controlPr defaultSize="0" autoFill="0" autoLine="0" autoPict="0" macro="[0]!BuildTechscreen">
                <anchor moveWithCells="1">
                  <from>
                    <xdr:col>0</xdr:col>
                    <xdr:colOff>22860</xdr:colOff>
                    <xdr:row>120</xdr:row>
                    <xdr:rowOff>129540</xdr:rowOff>
                  </from>
                  <to>
                    <xdr:col>1</xdr:col>
                    <xdr:colOff>68580</xdr:colOff>
                    <xdr:row>122</xdr:row>
                    <xdr:rowOff>7620</xdr:rowOff>
                  </to>
                </anchor>
              </controlPr>
            </control>
          </mc:Choice>
        </mc:AlternateContent>
        <mc:AlternateContent xmlns:mc="http://schemas.openxmlformats.org/markup-compatibility/2006">
          <mc:Choice Requires="x14">
            <control shapeId="9532" r:id="rId151" name="Option Button 316">
              <controlPr defaultSize="0" autoFill="0" autoLine="0" autoPict="0" macro="[0]!BuildTechscreen">
                <anchor moveWithCells="1">
                  <from>
                    <xdr:col>0</xdr:col>
                    <xdr:colOff>22860</xdr:colOff>
                    <xdr:row>121</xdr:row>
                    <xdr:rowOff>144780</xdr:rowOff>
                  </from>
                  <to>
                    <xdr:col>1</xdr:col>
                    <xdr:colOff>68580</xdr:colOff>
                    <xdr:row>123</xdr:row>
                    <xdr:rowOff>7620</xdr:rowOff>
                  </to>
                </anchor>
              </controlPr>
            </control>
          </mc:Choice>
        </mc:AlternateContent>
        <mc:AlternateContent xmlns:mc="http://schemas.openxmlformats.org/markup-compatibility/2006">
          <mc:Choice Requires="x14">
            <control shapeId="9533" r:id="rId152" name="Option Button 317">
              <controlPr defaultSize="0" autoFill="0" autoLine="0" autoPict="0" macro="[0]!BuildTechscreen">
                <anchor moveWithCells="1">
                  <from>
                    <xdr:col>0</xdr:col>
                    <xdr:colOff>22860</xdr:colOff>
                    <xdr:row>122</xdr:row>
                    <xdr:rowOff>137160</xdr:rowOff>
                  </from>
                  <to>
                    <xdr:col>1</xdr:col>
                    <xdr:colOff>68580</xdr:colOff>
                    <xdr:row>124</xdr:row>
                    <xdr:rowOff>0</xdr:rowOff>
                  </to>
                </anchor>
              </controlPr>
            </control>
          </mc:Choice>
        </mc:AlternateContent>
        <mc:AlternateContent xmlns:mc="http://schemas.openxmlformats.org/markup-compatibility/2006">
          <mc:Choice Requires="x14">
            <control shapeId="9534" r:id="rId153" name="Option Button 318">
              <controlPr defaultSize="0" autoFill="0" autoLine="0" autoPict="0" macro="[0]!BuildTechscreen">
                <anchor moveWithCells="1">
                  <from>
                    <xdr:col>0</xdr:col>
                    <xdr:colOff>22860</xdr:colOff>
                    <xdr:row>123</xdr:row>
                    <xdr:rowOff>144780</xdr:rowOff>
                  </from>
                  <to>
                    <xdr:col>1</xdr:col>
                    <xdr:colOff>68580</xdr:colOff>
                    <xdr:row>125</xdr:row>
                    <xdr:rowOff>38100</xdr:rowOff>
                  </to>
                </anchor>
              </controlPr>
            </control>
          </mc:Choice>
        </mc:AlternateContent>
        <mc:AlternateContent xmlns:mc="http://schemas.openxmlformats.org/markup-compatibility/2006">
          <mc:Choice Requires="x14">
            <control shapeId="9535" r:id="rId154" name="Option Button 319">
              <controlPr defaultSize="0" autoFill="0" autoLine="0" autoPict="0" macro="[0]!BuildTechscreen">
                <anchor moveWithCells="1">
                  <from>
                    <xdr:col>0</xdr:col>
                    <xdr:colOff>22860</xdr:colOff>
                    <xdr:row>124</xdr:row>
                    <xdr:rowOff>129540</xdr:rowOff>
                  </from>
                  <to>
                    <xdr:col>1</xdr:col>
                    <xdr:colOff>68580</xdr:colOff>
                    <xdr:row>126</xdr:row>
                    <xdr:rowOff>38100</xdr:rowOff>
                  </to>
                </anchor>
              </controlPr>
            </control>
          </mc:Choice>
        </mc:AlternateContent>
        <mc:AlternateContent xmlns:mc="http://schemas.openxmlformats.org/markup-compatibility/2006">
          <mc:Choice Requires="x14">
            <control shapeId="9536" r:id="rId155" name="Option Button 320">
              <controlPr defaultSize="0" autoFill="0" autoLine="0" autoPict="0" macro="[0]!BuildTechscreen">
                <anchor moveWithCells="1">
                  <from>
                    <xdr:col>0</xdr:col>
                    <xdr:colOff>22860</xdr:colOff>
                    <xdr:row>125</xdr:row>
                    <xdr:rowOff>137160</xdr:rowOff>
                  </from>
                  <to>
                    <xdr:col>1</xdr:col>
                    <xdr:colOff>68580</xdr:colOff>
                    <xdr:row>127</xdr:row>
                    <xdr:rowOff>38100</xdr:rowOff>
                  </to>
                </anchor>
              </controlPr>
            </control>
          </mc:Choice>
        </mc:AlternateContent>
        <mc:AlternateContent xmlns:mc="http://schemas.openxmlformats.org/markup-compatibility/2006">
          <mc:Choice Requires="x14">
            <control shapeId="9537" r:id="rId156" name="Option Button 321">
              <controlPr defaultSize="0" autoFill="0" autoLine="0" autoPict="0" macro="[0]!BuildTechscreen">
                <anchor moveWithCells="1">
                  <from>
                    <xdr:col>0</xdr:col>
                    <xdr:colOff>22860</xdr:colOff>
                    <xdr:row>126</xdr:row>
                    <xdr:rowOff>129540</xdr:rowOff>
                  </from>
                  <to>
                    <xdr:col>1</xdr:col>
                    <xdr:colOff>68580</xdr:colOff>
                    <xdr:row>128</xdr:row>
                    <xdr:rowOff>38100</xdr:rowOff>
                  </to>
                </anchor>
              </controlPr>
            </control>
          </mc:Choice>
        </mc:AlternateContent>
        <mc:AlternateContent xmlns:mc="http://schemas.openxmlformats.org/markup-compatibility/2006">
          <mc:Choice Requires="x14">
            <control shapeId="9538" r:id="rId157" name="Option Button 322">
              <controlPr defaultSize="0" autoFill="0" autoLine="0" autoPict="0" macro="[0]!BuildTechscreen">
                <anchor moveWithCells="1">
                  <from>
                    <xdr:col>0</xdr:col>
                    <xdr:colOff>22860</xdr:colOff>
                    <xdr:row>127</xdr:row>
                    <xdr:rowOff>137160</xdr:rowOff>
                  </from>
                  <to>
                    <xdr:col>1</xdr:col>
                    <xdr:colOff>68580</xdr:colOff>
                    <xdr:row>129</xdr:row>
                    <xdr:rowOff>38100</xdr:rowOff>
                  </to>
                </anchor>
              </controlPr>
            </control>
          </mc:Choice>
        </mc:AlternateContent>
        <mc:AlternateContent xmlns:mc="http://schemas.openxmlformats.org/markup-compatibility/2006">
          <mc:Choice Requires="x14">
            <control shapeId="9539" r:id="rId158" name="Option Button 323">
              <controlPr defaultSize="0" autoFill="0" autoLine="0" autoPict="0" macro="[0]!BuildTechscreen">
                <anchor moveWithCells="1">
                  <from>
                    <xdr:col>0</xdr:col>
                    <xdr:colOff>22860</xdr:colOff>
                    <xdr:row>128</xdr:row>
                    <xdr:rowOff>129540</xdr:rowOff>
                  </from>
                  <to>
                    <xdr:col>1</xdr:col>
                    <xdr:colOff>68580</xdr:colOff>
                    <xdr:row>130</xdr:row>
                    <xdr:rowOff>38100</xdr:rowOff>
                  </to>
                </anchor>
              </controlPr>
            </control>
          </mc:Choice>
        </mc:AlternateContent>
        <mc:AlternateContent xmlns:mc="http://schemas.openxmlformats.org/markup-compatibility/2006">
          <mc:Choice Requires="x14">
            <control shapeId="9540" r:id="rId159" name="Option Button 324">
              <controlPr defaultSize="0" autoFill="0" autoLine="0" autoPict="0" macro="[0]!BuildTechscreen">
                <anchor moveWithCells="1">
                  <from>
                    <xdr:col>0</xdr:col>
                    <xdr:colOff>22860</xdr:colOff>
                    <xdr:row>129</xdr:row>
                    <xdr:rowOff>137160</xdr:rowOff>
                  </from>
                  <to>
                    <xdr:col>1</xdr:col>
                    <xdr:colOff>68580</xdr:colOff>
                    <xdr:row>131</xdr:row>
                    <xdr:rowOff>38100</xdr:rowOff>
                  </to>
                </anchor>
              </controlPr>
            </control>
          </mc:Choice>
        </mc:AlternateContent>
        <mc:AlternateContent xmlns:mc="http://schemas.openxmlformats.org/markup-compatibility/2006">
          <mc:Choice Requires="x14">
            <control shapeId="9541" r:id="rId160" name="Option Button 325">
              <controlPr defaultSize="0" autoFill="0" autoLine="0" autoPict="0" macro="[0]!BuildTechscreen">
                <anchor moveWithCells="1">
                  <from>
                    <xdr:col>0</xdr:col>
                    <xdr:colOff>22860</xdr:colOff>
                    <xdr:row>130</xdr:row>
                    <xdr:rowOff>129540</xdr:rowOff>
                  </from>
                  <to>
                    <xdr:col>1</xdr:col>
                    <xdr:colOff>68580</xdr:colOff>
                    <xdr:row>132</xdr:row>
                    <xdr:rowOff>38100</xdr:rowOff>
                  </to>
                </anchor>
              </controlPr>
            </control>
          </mc:Choice>
        </mc:AlternateContent>
        <mc:AlternateContent xmlns:mc="http://schemas.openxmlformats.org/markup-compatibility/2006">
          <mc:Choice Requires="x14">
            <control shapeId="9542" r:id="rId161" name="Option Button 326">
              <controlPr defaultSize="0" autoFill="0" autoLine="0" autoPict="0" macro="[0]!BuildTechscreen">
                <anchor moveWithCells="1">
                  <from>
                    <xdr:col>0</xdr:col>
                    <xdr:colOff>22860</xdr:colOff>
                    <xdr:row>131</xdr:row>
                    <xdr:rowOff>137160</xdr:rowOff>
                  </from>
                  <to>
                    <xdr:col>1</xdr:col>
                    <xdr:colOff>68580</xdr:colOff>
                    <xdr:row>133</xdr:row>
                    <xdr:rowOff>38100</xdr:rowOff>
                  </to>
                </anchor>
              </controlPr>
            </control>
          </mc:Choice>
        </mc:AlternateContent>
        <mc:AlternateContent xmlns:mc="http://schemas.openxmlformats.org/markup-compatibility/2006">
          <mc:Choice Requires="x14">
            <control shapeId="9543" r:id="rId162" name="Option Button 327">
              <controlPr defaultSize="0" autoFill="0" autoLine="0" autoPict="0" macro="[0]!BuildTechscreen">
                <anchor moveWithCells="1">
                  <from>
                    <xdr:col>0</xdr:col>
                    <xdr:colOff>22860</xdr:colOff>
                    <xdr:row>132</xdr:row>
                    <xdr:rowOff>129540</xdr:rowOff>
                  </from>
                  <to>
                    <xdr:col>1</xdr:col>
                    <xdr:colOff>68580</xdr:colOff>
                    <xdr:row>134</xdr:row>
                    <xdr:rowOff>38100</xdr:rowOff>
                  </to>
                </anchor>
              </controlPr>
            </control>
          </mc:Choice>
        </mc:AlternateContent>
        <mc:AlternateContent xmlns:mc="http://schemas.openxmlformats.org/markup-compatibility/2006">
          <mc:Choice Requires="x14">
            <control shapeId="9544" r:id="rId163" name="Option Button 328">
              <controlPr defaultSize="0" autoFill="0" autoLine="0" autoPict="0" macro="[0]!BuildTechscreen">
                <anchor moveWithCells="1">
                  <from>
                    <xdr:col>0</xdr:col>
                    <xdr:colOff>22860</xdr:colOff>
                    <xdr:row>133</xdr:row>
                    <xdr:rowOff>137160</xdr:rowOff>
                  </from>
                  <to>
                    <xdr:col>1</xdr:col>
                    <xdr:colOff>68580</xdr:colOff>
                    <xdr:row>135</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14</vt:i4>
      </vt:variant>
      <vt:variant>
        <vt:lpstr>Benoemde bereiken</vt:lpstr>
      </vt:variant>
      <vt:variant>
        <vt:i4>320</vt:i4>
      </vt:variant>
    </vt:vector>
  </HeadingPairs>
  <TitlesOfParts>
    <vt:vector size="334"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Armory</vt:lpstr>
      <vt:lpstr>armory_cap</vt:lpstr>
      <vt:lpstr>armory_param</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food_db</vt:lpstr>
      <vt:lpstr>food_decay</vt:lpstr>
      <vt:lpstr>food_per_person</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impgnome_spell_cost</vt:lpstr>
      <vt:lpstr>impgnome_spell_time</vt:lpstr>
      <vt:lpstr>Imps</vt:lpstr>
      <vt:lpstr>Infirmary</vt:lpstr>
      <vt:lpstr>infirmary_cap</vt:lpstr>
      <vt:lpstr>infirmary_param</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mana_db</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om_ore</vt:lpstr>
      <vt:lpstr>orc</vt:lpstr>
      <vt:lpstr>orc_spell_cost</vt:lpstr>
      <vt:lpstr>orc_spell_time</vt:lpstr>
      <vt:lpstr>ore_db</vt:lpstr>
      <vt:lpstr>phantom_bonus</vt:lpstr>
      <vt:lpstr>phantom_cap</vt:lpstr>
      <vt:lpstr>plat_db</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tower_mana</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wraith_bonus</vt:lpstr>
      <vt:lpstr>wraith_cap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Timmer, Robbie</cp:lastModifiedBy>
  <cp:lastPrinted>2004-01-30T10:58:31Z</cp:lastPrinted>
  <dcterms:created xsi:type="dcterms:W3CDTF">2002-01-18T13:56:58Z</dcterms:created>
  <dcterms:modified xsi:type="dcterms:W3CDTF">2019-10-29T12:27:34Z</dcterms:modified>
</cp:coreProperties>
</file>