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bbie\"/>
    </mc:Choice>
  </mc:AlternateContent>
  <xr:revisionPtr revIDLastSave="0" documentId="13_ncr:1_{F221764C-59FB-4A31-884C-C44D50E1FADB}" xr6:coauthVersionLast="41" xr6:coauthVersionMax="41" xr10:uidLastSave="{00000000-0000-0000-0000-000000000000}"/>
  <bookViews>
    <workbookView xWindow="-108" yWindow="-108" windowWidth="23256" windowHeight="12576" xr2:uid="{9265EE89-FEC5-47DA-8573-5A382CD8B259}"/>
  </bookViews>
  <sheets>
    <sheet name="territory" sheetId="2" r:id="rId1"/>
    <sheet name="cost" sheetId="1" r:id="rId2"/>
    <sheet name="island" sheetId="3" r:id="rId3"/>
  </sheets>
  <definedNames>
    <definedName name="_xlnm._FilterDatabase" localSheetId="0" hidden="1">territory!$B$72:$C$76</definedName>
    <definedName name="abdicate">territory!$F$57</definedName>
    <definedName name="american1">territory!$C$89</definedName>
    <definedName name="American4">territory!$F$75</definedName>
    <definedName name="chickun?">territory!$X$60</definedName>
    <definedName name="chickun_bonus">territory!$F$54</definedName>
    <definedName name="chickun_god?">territory!$X$52</definedName>
    <definedName name="cromlechis?">territory!$X$59</definedName>
    <definedName name="english3">territory!$L$57</definedName>
    <definedName name="fame_bonus">territory!$F$55</definedName>
    <definedName name="farmers_tile">territory!$R$68</definedName>
    <definedName name="farms">territory!$R$67</definedName>
    <definedName name="food_multiplier">territory!$U$69</definedName>
    <definedName name="forest_camp_production">territory!$O$57</definedName>
    <definedName name="forest_camp_production_raw">territory!$O$56</definedName>
    <definedName name="forest_camps">territory!$R$50</definedName>
    <definedName name="frog?">territory!$X$54</definedName>
    <definedName name="gold_bonus">territory!$F$52</definedName>
    <definedName name="gold_per_ship">territory!$L$58</definedName>
    <definedName name="guru?">territory!$X$61</definedName>
    <definedName name="guru_blessing">territory!#REF!</definedName>
    <definedName name="instructors">territory!$L$62</definedName>
    <definedName name="logger_gold_bonus">territory!$I$62</definedName>
    <definedName name="loggers">territory!$R$51</definedName>
    <definedName name="logging?">territory!$X$57</definedName>
    <definedName name="mason_production">territory!$O$75</definedName>
    <definedName name="mason_production_raw">territory!$O$74</definedName>
    <definedName name="mystery_bonus">territory!$F$66</definedName>
    <definedName name="nature_god?">territory!$X$51</definedName>
    <definedName name="nature_pantheon?">territory!$X$58</definedName>
    <definedName name="oni_god?">territory!$X$53</definedName>
    <definedName name="pyramid_bonus">territory!$F$53</definedName>
    <definedName name="quarries">territory!$R$72</definedName>
    <definedName name="quarry_production">territory!$O$75</definedName>
    <definedName name="ritual_bonus">territory!$F$51</definedName>
    <definedName name="rituals_h">territory!$I$53</definedName>
    <definedName name="russian2">territory!$R$53</definedName>
    <definedName name="russian4">territory!$E$90</definedName>
    <definedName name="school_effect">territory!$L$65</definedName>
    <definedName name="schools">territory!$L$61</definedName>
    <definedName name="ship_gold_bonus">territory!$I$61</definedName>
    <definedName name="ship_production">territory!$O$79</definedName>
    <definedName name="ship_workers">territory!$L$51</definedName>
    <definedName name="ships">territory!$L$52</definedName>
    <definedName name="ships_per_hour">territory!$L$56</definedName>
    <definedName name="shipyards">territory!$L$50</definedName>
    <definedName name="stone_god?">territory!$X$50</definedName>
    <definedName name="stone_multiplier">territory!$U$77</definedName>
    <definedName name="stone_per_mason">territory!$R$82</definedName>
    <definedName name="total_instructs">territory!$L$63</definedName>
    <definedName name="total_loggers">territory!$R$52</definedName>
    <definedName name="total_masons">territory!$R$76</definedName>
    <definedName name="total_production">territory!$O$53</definedName>
    <definedName name="total_wheat_workers">territory!$R$66</definedName>
    <definedName name="total_workers">territory!$R$66</definedName>
    <definedName name="wheat_field_production">territory!$N$67</definedName>
    <definedName name="wheat_field_production_raw">territory!$N$66</definedName>
    <definedName name="wheat_fields">territory!$R$64</definedName>
    <definedName name="wheat_multiplier">territory!$U$69</definedName>
    <definedName name="wheat_per_worker">territory!$X$69</definedName>
    <definedName name="wheat_workers">territory!$R$65</definedName>
    <definedName name="wood_multiplier">territory!$U$61</definedName>
    <definedName name="worker?">territory!$X$56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3" i="2" l="1"/>
  <c r="J72" i="2"/>
  <c r="M76" i="2"/>
  <c r="M69" i="2"/>
  <c r="M53" i="2"/>
  <c r="T2" i="2"/>
  <c r="C6" i="1" l="1"/>
  <c r="N6" i="1"/>
  <c r="L58" i="2" l="1"/>
  <c r="J67" i="2" l="1"/>
  <c r="X76" i="2"/>
  <c r="U57" i="2"/>
  <c r="U74" i="2"/>
  <c r="U66" i="2"/>
  <c r="F51" i="2" l="1"/>
  <c r="D49" i="2"/>
  <c r="J52" i="2" l="1"/>
  <c r="G68" i="2"/>
  <c r="G67" i="2"/>
  <c r="G57" i="2"/>
  <c r="C49" i="2"/>
  <c r="AL8" i="2"/>
  <c r="AM8" i="2" s="1"/>
  <c r="AM5" i="2"/>
  <c r="AM6" i="2" s="1"/>
  <c r="S2" i="2"/>
  <c r="R7" i="1" l="1"/>
  <c r="R10" i="1" s="1"/>
  <c r="L63" i="2"/>
  <c r="R6" i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S5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C81" i="2"/>
  <c r="I62" i="2"/>
  <c r="G6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C84" i="2"/>
  <c r="C83" i="2"/>
  <c r="C82" i="2"/>
  <c r="C80" i="2"/>
  <c r="E80" i="2" s="1"/>
  <c r="D80" i="2" s="1"/>
  <c r="C79" i="2"/>
  <c r="R69" i="2"/>
  <c r="R66" i="2"/>
  <c r="X65" i="2"/>
  <c r="X61" i="2"/>
  <c r="I59" i="2"/>
  <c r="F64" i="2" s="1"/>
  <c r="X60" i="2"/>
  <c r="X59" i="2"/>
  <c r="R74" i="2" s="1"/>
  <c r="R75" i="2" s="1"/>
  <c r="R76" i="2" s="1"/>
  <c r="X58" i="2"/>
  <c r="R58" i="2" s="1"/>
  <c r="X57" i="2"/>
  <c r="R56" i="2" s="1"/>
  <c r="AB56" i="2"/>
  <c r="X56" i="2"/>
  <c r="X64" i="2" s="1"/>
  <c r="X54" i="2"/>
  <c r="X53" i="2"/>
  <c r="I53" i="2"/>
  <c r="F61" i="2" s="1"/>
  <c r="X52" i="2"/>
  <c r="U64" i="2" s="1"/>
  <c r="R52" i="2"/>
  <c r="X51" i="2"/>
  <c r="B51" i="2"/>
  <c r="B52" i="2" s="1"/>
  <c r="X50" i="2"/>
  <c r="U72" i="2" s="1"/>
  <c r="U4" i="2"/>
  <c r="U5" i="2" s="1"/>
  <c r="R4" i="2"/>
  <c r="S4" i="2" s="1"/>
  <c r="T4" i="2" s="1"/>
  <c r="V3" i="2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B3" i="2"/>
  <c r="M3" i="2"/>
  <c r="H3" i="2"/>
  <c r="P3" i="2"/>
  <c r="J3" i="2"/>
  <c r="L3" i="2"/>
  <c r="I3" i="2"/>
  <c r="E3" i="2"/>
  <c r="N3" i="2"/>
  <c r="G3" i="2"/>
  <c r="C3" i="2"/>
  <c r="D3" i="2"/>
  <c r="K3" i="2"/>
  <c r="F3" i="2"/>
  <c r="O3" i="2"/>
  <c r="Q3" i="2"/>
  <c r="X74" i="2" l="1"/>
  <c r="I56" i="2"/>
  <c r="U56" i="2"/>
  <c r="U51" i="2"/>
  <c r="R60" i="2" s="1"/>
  <c r="O64" i="2"/>
  <c r="O65" i="2" s="1"/>
  <c r="O58" i="2"/>
  <c r="L64" i="2"/>
  <c r="R11" i="1"/>
  <c r="Q10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O6" i="1"/>
  <c r="L52" i="2"/>
  <c r="X66" i="2"/>
  <c r="G7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F53" i="2"/>
  <c r="U53" i="2"/>
  <c r="V4" i="2"/>
  <c r="L65" i="2"/>
  <c r="X73" i="2" s="1"/>
  <c r="U6" i="2"/>
  <c r="V5" i="2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R5" i="2"/>
  <c r="G80" i="2"/>
  <c r="C87" i="2"/>
  <c r="E90" i="2" s="1"/>
  <c r="B53" i="2"/>
  <c r="X75" i="2"/>
  <c r="F56" i="2" s="1"/>
  <c r="Q4" i="2"/>
  <c r="P4" i="2"/>
  <c r="S5" i="2" l="1"/>
  <c r="T5" i="2" s="1"/>
  <c r="R6" i="2"/>
  <c r="S6" i="2" s="1"/>
  <c r="F55" i="2"/>
  <c r="F65" i="2" s="1"/>
  <c r="F66" i="2"/>
  <c r="I61" i="2"/>
  <c r="F52" i="2" s="1"/>
  <c r="I63" i="2"/>
  <c r="L54" i="2"/>
  <c r="S10" i="1"/>
  <c r="T10" i="1" s="1"/>
  <c r="S11" i="1"/>
  <c r="R12" i="1"/>
  <c r="S12" i="1" s="1"/>
  <c r="O7" i="1"/>
  <c r="O8" i="1" s="1"/>
  <c r="O9" i="1" s="1"/>
  <c r="O10" i="1" s="1"/>
  <c r="O72" i="2"/>
  <c r="G10" i="1"/>
  <c r="W4" i="2"/>
  <c r="R81" i="2"/>
  <c r="R82" i="2" s="1"/>
  <c r="O74" i="2" s="1"/>
  <c r="R57" i="2"/>
  <c r="R61" i="2" s="1"/>
  <c r="O56" i="2" s="1"/>
  <c r="L66" i="2"/>
  <c r="X67" i="2"/>
  <c r="X69" i="2" s="1"/>
  <c r="O66" i="2" s="1"/>
  <c r="B54" i="2"/>
  <c r="U7" i="2"/>
  <c r="V6" i="2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E5" i="2"/>
  <c r="N5" i="2"/>
  <c r="F5" i="2"/>
  <c r="O5" i="2"/>
  <c r="J5" i="2"/>
  <c r="H5" i="2"/>
  <c r="D5" i="2"/>
  <c r="B5" i="2"/>
  <c r="L5" i="2"/>
  <c r="I5" i="2"/>
  <c r="G5" i="2"/>
  <c r="M5" i="2"/>
  <c r="K5" i="2"/>
  <c r="Q5" i="2"/>
  <c r="P5" i="2"/>
  <c r="O4" i="2"/>
  <c r="C5" i="2"/>
  <c r="T11" i="1" l="1"/>
  <c r="R13" i="1"/>
  <c r="S13" i="1" s="1"/>
  <c r="O11" i="1"/>
  <c r="F10" i="1"/>
  <c r="H10" i="1" s="1"/>
  <c r="G11" i="1"/>
  <c r="X4" i="2"/>
  <c r="B55" i="2"/>
  <c r="U8" i="2"/>
  <c r="V7" i="2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R7" i="2"/>
  <c r="S7" i="2" s="1"/>
  <c r="T6" i="2"/>
  <c r="C6" i="2"/>
  <c r="D6" i="2"/>
  <c r="F6" i="2"/>
  <c r="M6" i="2"/>
  <c r="K6" i="2"/>
  <c r="O6" i="2"/>
  <c r="G6" i="2"/>
  <c r="H6" i="2"/>
  <c r="E6" i="2"/>
  <c r="N4" i="2"/>
  <c r="N6" i="2"/>
  <c r="I6" i="2"/>
  <c r="L6" i="2"/>
  <c r="B6" i="2"/>
  <c r="P6" i="2"/>
  <c r="Q6" i="2"/>
  <c r="J6" i="2"/>
  <c r="T12" i="1" l="1"/>
  <c r="T13" i="1" s="1"/>
  <c r="R14" i="1"/>
  <c r="S14" i="1" s="1"/>
  <c r="O12" i="1"/>
  <c r="I10" i="1"/>
  <c r="H11" i="1"/>
  <c r="G12" i="1"/>
  <c r="Y4" i="2"/>
  <c r="T7" i="2"/>
  <c r="R8" i="2"/>
  <c r="S8" i="2" s="1"/>
  <c r="B56" i="2"/>
  <c r="U9" i="2"/>
  <c r="V8" i="2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I7" i="2"/>
  <c r="O7" i="2"/>
  <c r="F7" i="2"/>
  <c r="M7" i="2"/>
  <c r="L7" i="2"/>
  <c r="H7" i="2"/>
  <c r="M4" i="2"/>
  <c r="K7" i="2"/>
  <c r="G7" i="2"/>
  <c r="N7" i="2"/>
  <c r="Q7" i="2"/>
  <c r="J7" i="2"/>
  <c r="E7" i="2"/>
  <c r="B7" i="2"/>
  <c r="D7" i="2"/>
  <c r="P7" i="2"/>
  <c r="C7" i="2"/>
  <c r="T14" i="1" l="1"/>
  <c r="R15" i="1"/>
  <c r="S15" i="1" s="1"/>
  <c r="O13" i="1"/>
  <c r="I11" i="1"/>
  <c r="H12" i="1"/>
  <c r="G13" i="1"/>
  <c r="Z4" i="2"/>
  <c r="U10" i="2"/>
  <c r="V9" i="2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T8" i="2"/>
  <c r="R9" i="2"/>
  <c r="S9" i="2" s="1"/>
  <c r="B57" i="2"/>
  <c r="N8" i="2"/>
  <c r="Q8" i="2"/>
  <c r="P8" i="2"/>
  <c r="F8" i="2"/>
  <c r="C8" i="2"/>
  <c r="L4" i="2"/>
  <c r="J8" i="2"/>
  <c r="L8" i="2"/>
  <c r="I8" i="2"/>
  <c r="M8" i="2"/>
  <c r="K8" i="2"/>
  <c r="G8" i="2"/>
  <c r="E8" i="2"/>
  <c r="O8" i="2"/>
  <c r="H8" i="2"/>
  <c r="B8" i="2"/>
  <c r="D8" i="2"/>
  <c r="R16" i="1" l="1"/>
  <c r="S16" i="1" s="1"/>
  <c r="T15" i="1"/>
  <c r="O14" i="1"/>
  <c r="I12" i="1"/>
  <c r="G14" i="1"/>
  <c r="H13" i="1"/>
  <c r="AA4" i="2"/>
  <c r="B58" i="2"/>
  <c r="R10" i="2"/>
  <c r="S10" i="2" s="1"/>
  <c r="T9" i="2"/>
  <c r="V10" i="2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U11" i="2"/>
  <c r="K4" i="2"/>
  <c r="H9" i="2"/>
  <c r="K9" i="2"/>
  <c r="Q9" i="2"/>
  <c r="F9" i="2"/>
  <c r="D9" i="2"/>
  <c r="M9" i="2"/>
  <c r="C9" i="2"/>
  <c r="G9" i="2"/>
  <c r="L9" i="2"/>
  <c r="J9" i="2"/>
  <c r="E9" i="2"/>
  <c r="N9" i="2"/>
  <c r="O9" i="2"/>
  <c r="P9" i="2"/>
  <c r="B9" i="2"/>
  <c r="I9" i="2"/>
  <c r="T16" i="1" l="1"/>
  <c r="R17" i="1"/>
  <c r="O15" i="1"/>
  <c r="I13" i="1"/>
  <c r="H14" i="1"/>
  <c r="G15" i="1"/>
  <c r="AB4" i="2"/>
  <c r="R11" i="2"/>
  <c r="S11" i="2" s="1"/>
  <c r="T10" i="2"/>
  <c r="V11" i="2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U12" i="2"/>
  <c r="B59" i="2"/>
  <c r="M10" i="2"/>
  <c r="F10" i="2"/>
  <c r="O10" i="2"/>
  <c r="Q10" i="2"/>
  <c r="J4" i="2"/>
  <c r="D10" i="2"/>
  <c r="L10" i="2"/>
  <c r="J10" i="2"/>
  <c r="K10" i="2"/>
  <c r="H10" i="2"/>
  <c r="N10" i="2"/>
  <c r="C10" i="2"/>
  <c r="E10" i="2"/>
  <c r="G10" i="2"/>
  <c r="B10" i="2"/>
  <c r="P10" i="2"/>
  <c r="I10" i="2"/>
  <c r="S17" i="1" l="1"/>
  <c r="T17" i="1" s="1"/>
  <c r="R18" i="1"/>
  <c r="O16" i="1"/>
  <c r="I14" i="1"/>
  <c r="H15" i="1"/>
  <c r="G16" i="1"/>
  <c r="AC4" i="2"/>
  <c r="B60" i="2"/>
  <c r="U13" i="2"/>
  <c r="V12" i="2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T11" i="2"/>
  <c r="R12" i="2"/>
  <c r="S12" i="2" s="1"/>
  <c r="I4" i="2"/>
  <c r="K11" i="2"/>
  <c r="H11" i="2"/>
  <c r="B11" i="2"/>
  <c r="N11" i="2"/>
  <c r="M11" i="2"/>
  <c r="I11" i="2"/>
  <c r="Q11" i="2"/>
  <c r="L11" i="2"/>
  <c r="E11" i="2"/>
  <c r="O11" i="2"/>
  <c r="P11" i="2"/>
  <c r="F11" i="2"/>
  <c r="J11" i="2"/>
  <c r="D11" i="2"/>
  <c r="C11" i="2"/>
  <c r="G11" i="2"/>
  <c r="R19" i="1" l="1"/>
  <c r="S18" i="1"/>
  <c r="T18" i="1" s="1"/>
  <c r="O17" i="1"/>
  <c r="I15" i="1"/>
  <c r="G17" i="1"/>
  <c r="G18" i="1" s="1"/>
  <c r="H16" i="1"/>
  <c r="AD4" i="2"/>
  <c r="T12" i="2"/>
  <c r="R13" i="2"/>
  <c r="S13" i="2" s="1"/>
  <c r="B61" i="2"/>
  <c r="U14" i="2"/>
  <c r="V13" i="2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C12" i="2"/>
  <c r="F12" i="2"/>
  <c r="G12" i="2"/>
  <c r="M12" i="2"/>
  <c r="O12" i="2"/>
  <c r="E12" i="2"/>
  <c r="P12" i="2"/>
  <c r="H12" i="2"/>
  <c r="K12" i="2"/>
  <c r="L12" i="2"/>
  <c r="J12" i="2"/>
  <c r="B12" i="2"/>
  <c r="D12" i="2"/>
  <c r="I12" i="2"/>
  <c r="N12" i="2"/>
  <c r="H4" i="2"/>
  <c r="Q12" i="2"/>
  <c r="S19" i="1" l="1"/>
  <c r="T19" i="1" s="1"/>
  <c r="R20" i="1"/>
  <c r="G19" i="1"/>
  <c r="H18" i="1"/>
  <c r="O18" i="1"/>
  <c r="I16" i="1"/>
  <c r="H17" i="1"/>
  <c r="AE4" i="2"/>
  <c r="V14" i="2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U15" i="2"/>
  <c r="R14" i="2"/>
  <c r="S14" i="2" s="1"/>
  <c r="T13" i="2"/>
  <c r="B62" i="2"/>
  <c r="L13" i="2"/>
  <c r="P13" i="2"/>
  <c r="C13" i="2"/>
  <c r="F13" i="2"/>
  <c r="G13" i="2"/>
  <c r="E13" i="2"/>
  <c r="O13" i="2"/>
  <c r="Q13" i="2"/>
  <c r="I13" i="2"/>
  <c r="M13" i="2"/>
  <c r="G4" i="2"/>
  <c r="H13" i="2"/>
  <c r="B13" i="2"/>
  <c r="K13" i="2"/>
  <c r="N13" i="2"/>
  <c r="D13" i="2"/>
  <c r="J13" i="2"/>
  <c r="S20" i="1" l="1"/>
  <c r="T20" i="1" s="1"/>
  <c r="R21" i="1"/>
  <c r="H19" i="1"/>
  <c r="G20" i="1"/>
  <c r="O19" i="1"/>
  <c r="I17" i="1"/>
  <c r="AF4" i="2"/>
  <c r="R15" i="2"/>
  <c r="S15" i="2" s="1"/>
  <c r="T14" i="2"/>
  <c r="V15" i="2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U16" i="2"/>
  <c r="B63" i="2"/>
  <c r="J14" i="2"/>
  <c r="D14" i="2"/>
  <c r="Q14" i="2"/>
  <c r="L14" i="2"/>
  <c r="E14" i="2"/>
  <c r="K14" i="2"/>
  <c r="B14" i="2"/>
  <c r="M14" i="2"/>
  <c r="P14" i="2"/>
  <c r="N14" i="2"/>
  <c r="I14" i="2"/>
  <c r="C14" i="2"/>
  <c r="F4" i="2"/>
  <c r="H14" i="2"/>
  <c r="O14" i="2"/>
  <c r="G14" i="2"/>
  <c r="F14" i="2"/>
  <c r="R22" i="1" l="1"/>
  <c r="S21" i="1"/>
  <c r="T21" i="1" s="1"/>
  <c r="I18" i="1"/>
  <c r="G21" i="1"/>
  <c r="H20" i="1"/>
  <c r="O20" i="1"/>
  <c r="AG4" i="2"/>
  <c r="B64" i="2"/>
  <c r="U17" i="2"/>
  <c r="V16" i="2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T15" i="2"/>
  <c r="R16" i="2"/>
  <c r="S16" i="2" s="1"/>
  <c r="M15" i="2"/>
  <c r="O15" i="2"/>
  <c r="Q15" i="2"/>
  <c r="J15" i="2"/>
  <c r="D15" i="2"/>
  <c r="C15" i="2"/>
  <c r="H15" i="2"/>
  <c r="P15" i="2"/>
  <c r="E15" i="2"/>
  <c r="B15" i="2"/>
  <c r="L15" i="2"/>
  <c r="G15" i="2"/>
  <c r="K15" i="2"/>
  <c r="I15" i="2"/>
  <c r="N15" i="2"/>
  <c r="F15" i="2"/>
  <c r="E4" i="2"/>
  <c r="I19" i="1" l="1"/>
  <c r="R23" i="1"/>
  <c r="S22" i="1"/>
  <c r="T22" i="1" s="1"/>
  <c r="H21" i="1"/>
  <c r="G22" i="1"/>
  <c r="O21" i="1"/>
  <c r="AH4" i="2"/>
  <c r="U18" i="2"/>
  <c r="V17" i="2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T16" i="2"/>
  <c r="R17" i="2"/>
  <c r="S17" i="2" s="1"/>
  <c r="B65" i="2"/>
  <c r="D16" i="2"/>
  <c r="B16" i="2"/>
  <c r="O16" i="2"/>
  <c r="G16" i="2"/>
  <c r="Q16" i="2"/>
  <c r="L16" i="2"/>
  <c r="N16" i="2"/>
  <c r="C16" i="2"/>
  <c r="K16" i="2"/>
  <c r="P16" i="2"/>
  <c r="H16" i="2"/>
  <c r="J16" i="2"/>
  <c r="I16" i="2"/>
  <c r="M16" i="2"/>
  <c r="D4" i="2"/>
  <c r="E16" i="2"/>
  <c r="F16" i="2"/>
  <c r="I20" i="1" l="1"/>
  <c r="S23" i="1"/>
  <c r="T23" i="1" s="1"/>
  <c r="R24" i="1"/>
  <c r="G23" i="1"/>
  <c r="H22" i="1"/>
  <c r="O22" i="1"/>
  <c r="AI4" i="2"/>
  <c r="R18" i="2"/>
  <c r="S18" i="2" s="1"/>
  <c r="T17" i="2"/>
  <c r="V18" i="2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U19" i="2"/>
  <c r="K17" i="2"/>
  <c r="J17" i="2"/>
  <c r="D17" i="2"/>
  <c r="P17" i="2"/>
  <c r="B17" i="2"/>
  <c r="I17" i="2"/>
  <c r="C4" i="2"/>
  <c r="G17" i="2"/>
  <c r="C17" i="2"/>
  <c r="N17" i="2"/>
  <c r="O17" i="2"/>
  <c r="H17" i="2"/>
  <c r="F17" i="2"/>
  <c r="L17" i="2"/>
  <c r="E17" i="2"/>
  <c r="M17" i="2"/>
  <c r="Q17" i="2"/>
  <c r="I21" i="1" l="1"/>
  <c r="R25" i="1"/>
  <c r="S24" i="1"/>
  <c r="T24" i="1" s="1"/>
  <c r="H23" i="1"/>
  <c r="G24" i="1"/>
  <c r="O23" i="1"/>
  <c r="AJ4" i="2"/>
  <c r="V19" i="2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U20" i="2"/>
  <c r="R19" i="2"/>
  <c r="S19" i="2" s="1"/>
  <c r="T18" i="2"/>
  <c r="K18" i="2"/>
  <c r="G18" i="2"/>
  <c r="C18" i="2"/>
  <c r="B4" i="2"/>
  <c r="N18" i="2"/>
  <c r="O18" i="2"/>
  <c r="B18" i="2"/>
  <c r="J18" i="2"/>
  <c r="E18" i="2"/>
  <c r="H18" i="2"/>
  <c r="Q18" i="2"/>
  <c r="P18" i="2"/>
  <c r="D18" i="2"/>
  <c r="F18" i="2"/>
  <c r="L18" i="2"/>
  <c r="I18" i="2"/>
  <c r="M18" i="2"/>
  <c r="I22" i="1" l="1"/>
  <c r="S25" i="1"/>
  <c r="T25" i="1" s="1"/>
  <c r="R26" i="1"/>
  <c r="G25" i="1"/>
  <c r="H24" i="1"/>
  <c r="O24" i="1"/>
  <c r="U21" i="2"/>
  <c r="V20" i="2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T19" i="2"/>
  <c r="R20" i="2"/>
  <c r="S20" i="2" s="1"/>
  <c r="Q19" i="2"/>
  <c r="C19" i="2"/>
  <c r="P19" i="2"/>
  <c r="G19" i="2"/>
  <c r="I19" i="2"/>
  <c r="K19" i="2"/>
  <c r="F19" i="2"/>
  <c r="J19" i="2"/>
  <c r="M19" i="2"/>
  <c r="L19" i="2"/>
  <c r="H19" i="2"/>
  <c r="B19" i="2"/>
  <c r="D19" i="2"/>
  <c r="O19" i="2"/>
  <c r="N19" i="2"/>
  <c r="E19" i="2"/>
  <c r="I23" i="1" l="1"/>
  <c r="S26" i="1"/>
  <c r="T26" i="1" s="1"/>
  <c r="R27" i="1"/>
  <c r="H25" i="1"/>
  <c r="G26" i="1"/>
  <c r="O25" i="1"/>
  <c r="T20" i="2"/>
  <c r="R21" i="2"/>
  <c r="S21" i="2" s="1"/>
  <c r="U22" i="2"/>
  <c r="V21" i="2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N20" i="2"/>
  <c r="D20" i="2"/>
  <c r="P20" i="2"/>
  <c r="L20" i="2"/>
  <c r="E20" i="2"/>
  <c r="H20" i="2"/>
  <c r="B20" i="2"/>
  <c r="K20" i="2"/>
  <c r="O20" i="2"/>
  <c r="M20" i="2"/>
  <c r="F20" i="2"/>
  <c r="I20" i="2"/>
  <c r="C20" i="2"/>
  <c r="J20" i="2"/>
  <c r="Q20" i="2"/>
  <c r="G20" i="2"/>
  <c r="I24" i="1" l="1"/>
  <c r="R28" i="1"/>
  <c r="S27" i="1"/>
  <c r="T27" i="1" s="1"/>
  <c r="G27" i="1"/>
  <c r="H26" i="1"/>
  <c r="O26" i="1"/>
  <c r="V22" i="2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U23" i="2"/>
  <c r="R22" i="2"/>
  <c r="S22" i="2" s="1"/>
  <c r="T21" i="2"/>
  <c r="O21" i="2"/>
  <c r="E21" i="2"/>
  <c r="P21" i="2"/>
  <c r="B21" i="2"/>
  <c r="L21" i="2"/>
  <c r="N21" i="2"/>
  <c r="Q21" i="2"/>
  <c r="H21" i="2"/>
  <c r="D21" i="2"/>
  <c r="G21" i="2"/>
  <c r="C21" i="2"/>
  <c r="K21" i="2"/>
  <c r="I21" i="2"/>
  <c r="J21" i="2"/>
  <c r="M21" i="2"/>
  <c r="F21" i="2"/>
  <c r="I25" i="1" l="1"/>
  <c r="S28" i="1"/>
  <c r="T28" i="1" s="1"/>
  <c r="R29" i="1"/>
  <c r="S29" i="1" s="1"/>
  <c r="H27" i="1"/>
  <c r="G28" i="1"/>
  <c r="O27" i="1"/>
  <c r="R23" i="2"/>
  <c r="S23" i="2" s="1"/>
  <c r="T22" i="2"/>
  <c r="V23" i="2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U24" i="2"/>
  <c r="E22" i="2"/>
  <c r="D22" i="2"/>
  <c r="B22" i="2"/>
  <c r="K22" i="2"/>
  <c r="H22" i="2"/>
  <c r="J22" i="2"/>
  <c r="O22" i="2"/>
  <c r="G22" i="2"/>
  <c r="M22" i="2"/>
  <c r="N22" i="2"/>
  <c r="I22" i="2"/>
  <c r="P22" i="2"/>
  <c r="C22" i="2"/>
  <c r="Q22" i="2"/>
  <c r="L22" i="2"/>
  <c r="F22" i="2"/>
  <c r="I26" i="1" l="1"/>
  <c r="T29" i="1"/>
  <c r="G29" i="1"/>
  <c r="H29" i="1" s="1"/>
  <c r="H28" i="1"/>
  <c r="O28" i="1"/>
  <c r="U25" i="2"/>
  <c r="V24" i="2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T23" i="2"/>
  <c r="R24" i="2"/>
  <c r="S24" i="2" s="1"/>
  <c r="P23" i="2"/>
  <c r="O23" i="2"/>
  <c r="I23" i="2"/>
  <c r="D23" i="2"/>
  <c r="C23" i="2"/>
  <c r="F23" i="2"/>
  <c r="M23" i="2"/>
  <c r="B23" i="2"/>
  <c r="L23" i="2"/>
  <c r="H23" i="2"/>
  <c r="Q23" i="2"/>
  <c r="K23" i="2"/>
  <c r="N23" i="2"/>
  <c r="G23" i="2"/>
  <c r="J23" i="2"/>
  <c r="E23" i="2"/>
  <c r="I27" i="1" l="1"/>
  <c r="O29" i="1"/>
  <c r="R25" i="2"/>
  <c r="S25" i="2" s="1"/>
  <c r="T24" i="2"/>
  <c r="U26" i="2"/>
  <c r="V25" i="2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F24" i="2"/>
  <c r="B24" i="2"/>
  <c r="P24" i="2"/>
  <c r="K24" i="2"/>
  <c r="D24" i="2"/>
  <c r="H24" i="2"/>
  <c r="I24" i="2"/>
  <c r="Q24" i="2"/>
  <c r="M24" i="2"/>
  <c r="C24" i="2"/>
  <c r="L24" i="2"/>
  <c r="J24" i="2"/>
  <c r="G24" i="2"/>
  <c r="O24" i="2"/>
  <c r="E24" i="2"/>
  <c r="N24" i="2"/>
  <c r="I28" i="1" l="1"/>
  <c r="O30" i="1"/>
  <c r="R26" i="2"/>
  <c r="S26" i="2" s="1"/>
  <c r="T25" i="2"/>
  <c r="V26" i="2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U27" i="2"/>
  <c r="M25" i="2"/>
  <c r="N25" i="2"/>
  <c r="P25" i="2"/>
  <c r="J25" i="2"/>
  <c r="E25" i="2"/>
  <c r="G25" i="2"/>
  <c r="C25" i="2"/>
  <c r="O25" i="2"/>
  <c r="L25" i="2"/>
  <c r="K25" i="2"/>
  <c r="F25" i="2"/>
  <c r="H25" i="2"/>
  <c r="Q25" i="2"/>
  <c r="I25" i="2"/>
  <c r="B25" i="2"/>
  <c r="D25" i="2"/>
  <c r="I29" i="1" l="1"/>
  <c r="O31" i="1"/>
  <c r="V27" i="2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U28" i="2"/>
  <c r="R27" i="2"/>
  <c r="S27" i="2" s="1"/>
  <c r="T26" i="2"/>
  <c r="B26" i="2"/>
  <c r="J26" i="2"/>
  <c r="G26" i="2"/>
  <c r="E26" i="2"/>
  <c r="P26" i="2"/>
  <c r="D26" i="2"/>
  <c r="L26" i="2"/>
  <c r="Q26" i="2"/>
  <c r="N26" i="2"/>
  <c r="F26" i="2"/>
  <c r="H26" i="2"/>
  <c r="M26" i="2"/>
  <c r="K26" i="2"/>
  <c r="I26" i="2"/>
  <c r="O26" i="2"/>
  <c r="C26" i="2"/>
  <c r="O32" i="1" l="1"/>
  <c r="T27" i="2"/>
  <c r="R28" i="2"/>
  <c r="S28" i="2" s="1"/>
  <c r="U29" i="2"/>
  <c r="V28" i="2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P27" i="2"/>
  <c r="M27" i="2"/>
  <c r="F27" i="2"/>
  <c r="J27" i="2"/>
  <c r="O27" i="2"/>
  <c r="B27" i="2"/>
  <c r="I27" i="2"/>
  <c r="D27" i="2"/>
  <c r="K27" i="2"/>
  <c r="E27" i="2"/>
  <c r="L27" i="2"/>
  <c r="Q27" i="2"/>
  <c r="H27" i="2"/>
  <c r="G27" i="2"/>
  <c r="C27" i="2"/>
  <c r="N27" i="2"/>
  <c r="O33" i="1" l="1"/>
  <c r="U30" i="2"/>
  <c r="V29" i="2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T28" i="2"/>
  <c r="R29" i="2"/>
  <c r="S29" i="2" s="1"/>
  <c r="D28" i="2"/>
  <c r="G28" i="2"/>
  <c r="K28" i="2"/>
  <c r="Q28" i="2"/>
  <c r="O28" i="2"/>
  <c r="I28" i="2"/>
  <c r="N28" i="2"/>
  <c r="B28" i="2"/>
  <c r="C28" i="2"/>
  <c r="J28" i="2"/>
  <c r="P28" i="2"/>
  <c r="M28" i="2"/>
  <c r="L28" i="2"/>
  <c r="E28" i="2"/>
  <c r="F28" i="2"/>
  <c r="H28" i="2"/>
  <c r="O34" i="1" l="1"/>
  <c r="R30" i="2"/>
  <c r="S30" i="2" s="1"/>
  <c r="T29" i="2"/>
  <c r="V30" i="2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U31" i="2"/>
  <c r="O29" i="2"/>
  <c r="Q29" i="2"/>
  <c r="M29" i="2"/>
  <c r="P29" i="2"/>
  <c r="I29" i="2"/>
  <c r="B29" i="2"/>
  <c r="F29" i="2"/>
  <c r="D29" i="2"/>
  <c r="C29" i="2"/>
  <c r="E29" i="2"/>
  <c r="N29" i="2"/>
  <c r="L29" i="2"/>
  <c r="J29" i="2"/>
  <c r="K29" i="2"/>
  <c r="H29" i="2"/>
  <c r="G29" i="2"/>
  <c r="O35" i="1" l="1"/>
  <c r="V31" i="2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U32" i="2"/>
  <c r="R31" i="2"/>
  <c r="S31" i="2" s="1"/>
  <c r="T30" i="2"/>
  <c r="P30" i="2"/>
  <c r="I30" i="2"/>
  <c r="O30" i="2"/>
  <c r="K30" i="2"/>
  <c r="F30" i="2"/>
  <c r="M30" i="2"/>
  <c r="G30" i="2"/>
  <c r="L30" i="2"/>
  <c r="N30" i="2"/>
  <c r="J30" i="2"/>
  <c r="Q30" i="2"/>
  <c r="B30" i="2"/>
  <c r="E30" i="2"/>
  <c r="C30" i="2"/>
  <c r="H30" i="2"/>
  <c r="D30" i="2"/>
  <c r="O36" i="1" l="1"/>
  <c r="T31" i="2"/>
  <c r="R32" i="2"/>
  <c r="S32" i="2" s="1"/>
  <c r="U33" i="2"/>
  <c r="V32" i="2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I31" i="2"/>
  <c r="H31" i="2"/>
  <c r="Q31" i="2"/>
  <c r="O31" i="2"/>
  <c r="G31" i="2"/>
  <c r="P31" i="2"/>
  <c r="K31" i="2"/>
  <c r="B31" i="2"/>
  <c r="M31" i="2"/>
  <c r="F31" i="2"/>
  <c r="N31" i="2"/>
  <c r="L31" i="2"/>
  <c r="E31" i="2"/>
  <c r="C31" i="2"/>
  <c r="D31" i="2"/>
  <c r="J31" i="2"/>
  <c r="O37" i="1" l="1"/>
  <c r="U34" i="2"/>
  <c r="V33" i="2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T32" i="2"/>
  <c r="R33" i="2"/>
  <c r="S33" i="2" s="1"/>
  <c r="D32" i="2"/>
  <c r="Q32" i="2"/>
  <c r="E32" i="2"/>
  <c r="G32" i="2"/>
  <c r="L32" i="2"/>
  <c r="H32" i="2"/>
  <c r="C32" i="2"/>
  <c r="M32" i="2"/>
  <c r="B32" i="2"/>
  <c r="N32" i="2"/>
  <c r="P32" i="2"/>
  <c r="I32" i="2"/>
  <c r="K32" i="2"/>
  <c r="O32" i="2"/>
  <c r="J32" i="2"/>
  <c r="F32" i="2"/>
  <c r="O38" i="1" l="1"/>
  <c r="R34" i="2"/>
  <c r="S34" i="2" s="1"/>
  <c r="T33" i="2"/>
  <c r="U35" i="2"/>
  <c r="V34" i="2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F33" i="2"/>
  <c r="J33" i="2"/>
  <c r="I33" i="2"/>
  <c r="O33" i="2"/>
  <c r="C33" i="2"/>
  <c r="P33" i="2"/>
  <c r="E33" i="2"/>
  <c r="B33" i="2"/>
  <c r="K33" i="2"/>
  <c r="D33" i="2"/>
  <c r="L33" i="2"/>
  <c r="H33" i="2"/>
  <c r="M33" i="2"/>
  <c r="G33" i="2"/>
  <c r="N33" i="2"/>
  <c r="Q33" i="2"/>
  <c r="O39" i="1" l="1"/>
  <c r="V35" i="2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U36" i="2"/>
  <c r="R35" i="2"/>
  <c r="S35" i="2" s="1"/>
  <c r="T34" i="2"/>
  <c r="N34" i="2"/>
  <c r="Q34" i="2"/>
  <c r="I34" i="2"/>
  <c r="M34" i="2"/>
  <c r="L34" i="2"/>
  <c r="G34" i="2"/>
  <c r="K34" i="2"/>
  <c r="B34" i="2"/>
  <c r="F34" i="2"/>
  <c r="O34" i="2"/>
  <c r="E34" i="2"/>
  <c r="H34" i="2"/>
  <c r="P34" i="2"/>
  <c r="C34" i="2"/>
  <c r="J34" i="2"/>
  <c r="D34" i="2"/>
  <c r="O40" i="1" l="1"/>
  <c r="R36" i="2"/>
  <c r="S36" i="2" s="1"/>
  <c r="T35" i="2"/>
  <c r="V36" i="2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U37" i="2"/>
  <c r="I35" i="2"/>
  <c r="Q35" i="2"/>
  <c r="B35" i="2"/>
  <c r="K35" i="2"/>
  <c r="O35" i="2"/>
  <c r="G35" i="2"/>
  <c r="F35" i="2"/>
  <c r="J35" i="2"/>
  <c r="D35" i="2"/>
  <c r="L35" i="2"/>
  <c r="E35" i="2"/>
  <c r="P35" i="2"/>
  <c r="M35" i="2"/>
  <c r="H35" i="2"/>
  <c r="N35" i="2"/>
  <c r="C35" i="2"/>
  <c r="O41" i="1" l="1"/>
  <c r="V37" i="2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U38" i="2"/>
  <c r="R37" i="2"/>
  <c r="S37" i="2" s="1"/>
  <c r="T36" i="2"/>
  <c r="N36" i="2"/>
  <c r="H36" i="2"/>
  <c r="B36" i="2"/>
  <c r="G36" i="2"/>
  <c r="Q36" i="2"/>
  <c r="I36" i="2"/>
  <c r="M36" i="2"/>
  <c r="L36" i="2"/>
  <c r="C36" i="2"/>
  <c r="K36" i="2"/>
  <c r="J36" i="2"/>
  <c r="F36" i="2"/>
  <c r="O36" i="2"/>
  <c r="E36" i="2"/>
  <c r="P36" i="2"/>
  <c r="D36" i="2"/>
  <c r="O42" i="1" l="1"/>
  <c r="T37" i="2"/>
  <c r="R38" i="2"/>
  <c r="S38" i="2" s="1"/>
  <c r="U39" i="2"/>
  <c r="V38" i="2"/>
  <c r="W38" i="2" s="1"/>
  <c r="X38" i="2" s="1"/>
  <c r="Y38" i="2" s="1"/>
  <c r="Z38" i="2" s="1"/>
  <c r="AA38" i="2" s="1"/>
  <c r="AB38" i="2" s="1"/>
  <c r="AC38" i="2" s="1"/>
  <c r="AD38" i="2" s="1"/>
  <c r="AE38" i="2" s="1"/>
  <c r="AF38" i="2" s="1"/>
  <c r="AG38" i="2" s="1"/>
  <c r="AH38" i="2" s="1"/>
  <c r="AI38" i="2" s="1"/>
  <c r="AJ38" i="2" s="1"/>
  <c r="F37" i="2"/>
  <c r="I37" i="2"/>
  <c r="O37" i="2"/>
  <c r="P37" i="2"/>
  <c r="J37" i="2"/>
  <c r="H37" i="2"/>
  <c r="B37" i="2"/>
  <c r="Q37" i="2"/>
  <c r="C37" i="2"/>
  <c r="E37" i="2"/>
  <c r="G37" i="2"/>
  <c r="N37" i="2"/>
  <c r="K37" i="2"/>
  <c r="D37" i="2"/>
  <c r="M37" i="2"/>
  <c r="L37" i="2"/>
  <c r="O43" i="1" l="1"/>
  <c r="U40" i="2"/>
  <c r="V39" i="2"/>
  <c r="W39" i="2" s="1"/>
  <c r="X39" i="2" s="1"/>
  <c r="Y39" i="2" s="1"/>
  <c r="Z39" i="2" s="1"/>
  <c r="AA39" i="2" s="1"/>
  <c r="AB39" i="2" s="1"/>
  <c r="AC39" i="2" s="1"/>
  <c r="AD39" i="2" s="1"/>
  <c r="AE39" i="2" s="1"/>
  <c r="AF39" i="2" s="1"/>
  <c r="AG39" i="2" s="1"/>
  <c r="AH39" i="2" s="1"/>
  <c r="AI39" i="2" s="1"/>
  <c r="AJ39" i="2" s="1"/>
  <c r="T38" i="2"/>
  <c r="R39" i="2"/>
  <c r="S39" i="2" s="1"/>
  <c r="F38" i="2"/>
  <c r="K38" i="2"/>
  <c r="O38" i="2"/>
  <c r="D38" i="2"/>
  <c r="P38" i="2"/>
  <c r="N38" i="2"/>
  <c r="H38" i="2"/>
  <c r="M38" i="2"/>
  <c r="J38" i="2"/>
  <c r="G38" i="2"/>
  <c r="L38" i="2"/>
  <c r="B38" i="2"/>
  <c r="C38" i="2"/>
  <c r="Q38" i="2"/>
  <c r="I38" i="2"/>
  <c r="E38" i="2"/>
  <c r="O44" i="1" l="1"/>
  <c r="R40" i="2"/>
  <c r="S40" i="2" s="1"/>
  <c r="T39" i="2"/>
  <c r="V40" i="2"/>
  <c r="W40" i="2" s="1"/>
  <c r="X40" i="2" s="1"/>
  <c r="Y40" i="2" s="1"/>
  <c r="Z40" i="2" s="1"/>
  <c r="AA40" i="2" s="1"/>
  <c r="AB40" i="2" s="1"/>
  <c r="AC40" i="2" s="1"/>
  <c r="AD40" i="2" s="1"/>
  <c r="AE40" i="2" s="1"/>
  <c r="AF40" i="2" s="1"/>
  <c r="AG40" i="2" s="1"/>
  <c r="AH40" i="2" s="1"/>
  <c r="AI40" i="2" s="1"/>
  <c r="AJ40" i="2" s="1"/>
  <c r="U41" i="2"/>
  <c r="P39" i="2"/>
  <c r="E39" i="2"/>
  <c r="O39" i="2"/>
  <c r="G39" i="2"/>
  <c r="B39" i="2"/>
  <c r="J39" i="2"/>
  <c r="L39" i="2"/>
  <c r="K39" i="2"/>
  <c r="F39" i="2"/>
  <c r="H39" i="2"/>
  <c r="M39" i="2"/>
  <c r="I39" i="2"/>
  <c r="C39" i="2"/>
  <c r="N39" i="2"/>
  <c r="Q39" i="2"/>
  <c r="D39" i="2"/>
  <c r="O45" i="1" l="1"/>
  <c r="U42" i="2"/>
  <c r="V41" i="2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R41" i="2"/>
  <c r="S41" i="2" s="1"/>
  <c r="T40" i="2"/>
  <c r="H40" i="2"/>
  <c r="P40" i="2"/>
  <c r="M40" i="2"/>
  <c r="C40" i="2"/>
  <c r="Q40" i="2"/>
  <c r="L40" i="2"/>
  <c r="G40" i="2"/>
  <c r="J40" i="2"/>
  <c r="F40" i="2"/>
  <c r="E40" i="2"/>
  <c r="I40" i="2"/>
  <c r="N40" i="2"/>
  <c r="K40" i="2"/>
  <c r="B40" i="2"/>
  <c r="O40" i="2"/>
  <c r="D40" i="2"/>
  <c r="O46" i="1" l="1"/>
  <c r="T41" i="2"/>
  <c r="R42" i="2"/>
  <c r="S42" i="2" s="1"/>
  <c r="U43" i="2"/>
  <c r="V42" i="2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E41" i="2"/>
  <c r="L41" i="2"/>
  <c r="O41" i="2"/>
  <c r="M41" i="2"/>
  <c r="P41" i="2"/>
  <c r="J41" i="2"/>
  <c r="H41" i="2"/>
  <c r="D41" i="2"/>
  <c r="Q41" i="2"/>
  <c r="N41" i="2"/>
  <c r="C41" i="2"/>
  <c r="I41" i="2"/>
  <c r="F41" i="2"/>
  <c r="B41" i="2"/>
  <c r="G41" i="2"/>
  <c r="K41" i="2"/>
  <c r="O47" i="1" l="1"/>
  <c r="U44" i="2"/>
  <c r="V43" i="2"/>
  <c r="W43" i="2" s="1"/>
  <c r="X43" i="2" s="1"/>
  <c r="Y43" i="2" s="1"/>
  <c r="Z43" i="2" s="1"/>
  <c r="AA43" i="2" s="1"/>
  <c r="AB43" i="2" s="1"/>
  <c r="AC43" i="2" s="1"/>
  <c r="AD43" i="2" s="1"/>
  <c r="AE43" i="2" s="1"/>
  <c r="AF43" i="2" s="1"/>
  <c r="AG43" i="2" s="1"/>
  <c r="AH43" i="2" s="1"/>
  <c r="AI43" i="2" s="1"/>
  <c r="AJ43" i="2" s="1"/>
  <c r="R43" i="2"/>
  <c r="S43" i="2" s="1"/>
  <c r="T42" i="2"/>
  <c r="Q42" i="2"/>
  <c r="I42" i="2"/>
  <c r="P42" i="2"/>
  <c r="K42" i="2"/>
  <c r="H42" i="2"/>
  <c r="L42" i="2"/>
  <c r="N42" i="2"/>
  <c r="O42" i="2"/>
  <c r="M42" i="2"/>
  <c r="B42" i="2"/>
  <c r="E42" i="2"/>
  <c r="F42" i="2"/>
  <c r="G42" i="2"/>
  <c r="J42" i="2"/>
  <c r="C42" i="2"/>
  <c r="D42" i="2"/>
  <c r="O48" i="1" l="1"/>
  <c r="R44" i="2"/>
  <c r="S44" i="2" s="1"/>
  <c r="T43" i="2"/>
  <c r="V44" i="2"/>
  <c r="W44" i="2" s="1"/>
  <c r="X44" i="2" s="1"/>
  <c r="Y44" i="2" s="1"/>
  <c r="Z44" i="2" s="1"/>
  <c r="AA44" i="2" s="1"/>
  <c r="AB44" i="2" s="1"/>
  <c r="AC44" i="2" s="1"/>
  <c r="AD44" i="2" s="1"/>
  <c r="AE44" i="2" s="1"/>
  <c r="AF44" i="2" s="1"/>
  <c r="AG44" i="2" s="1"/>
  <c r="AH44" i="2" s="1"/>
  <c r="AI44" i="2" s="1"/>
  <c r="AJ44" i="2" s="1"/>
  <c r="U45" i="2"/>
  <c r="G43" i="2"/>
  <c r="K43" i="2"/>
  <c r="Q43" i="2"/>
  <c r="I43" i="2"/>
  <c r="J43" i="2"/>
  <c r="L43" i="2"/>
  <c r="E43" i="2"/>
  <c r="H43" i="2"/>
  <c r="O43" i="2"/>
  <c r="C43" i="2"/>
  <c r="P43" i="2"/>
  <c r="F43" i="2"/>
  <c r="B43" i="2"/>
  <c r="D43" i="2"/>
  <c r="M43" i="2"/>
  <c r="N43" i="2"/>
  <c r="O49" i="1" l="1"/>
  <c r="U46" i="2"/>
  <c r="V45" i="2"/>
  <c r="W45" i="2" s="1"/>
  <c r="X45" i="2" s="1"/>
  <c r="Y45" i="2" s="1"/>
  <c r="Z45" i="2" s="1"/>
  <c r="AA45" i="2" s="1"/>
  <c r="AB45" i="2" s="1"/>
  <c r="AC45" i="2" s="1"/>
  <c r="AD45" i="2" s="1"/>
  <c r="AE45" i="2" s="1"/>
  <c r="AF45" i="2" s="1"/>
  <c r="AG45" i="2" s="1"/>
  <c r="AH45" i="2" s="1"/>
  <c r="AI45" i="2" s="1"/>
  <c r="AJ45" i="2" s="1"/>
  <c r="R45" i="2"/>
  <c r="S45" i="2" s="1"/>
  <c r="T44" i="2"/>
  <c r="O44" i="2"/>
  <c r="G44" i="2"/>
  <c r="P44" i="2"/>
  <c r="E44" i="2"/>
  <c r="J44" i="2"/>
  <c r="C44" i="2"/>
  <c r="D44" i="2"/>
  <c r="H44" i="2"/>
  <c r="L44" i="2"/>
  <c r="K44" i="2"/>
  <c r="F44" i="2"/>
  <c r="B44" i="2"/>
  <c r="Q44" i="2"/>
  <c r="I44" i="2"/>
  <c r="N44" i="2"/>
  <c r="M44" i="2"/>
  <c r="O50" i="1" l="1"/>
  <c r="T45" i="2"/>
  <c r="R46" i="2"/>
  <c r="S46" i="2" s="1"/>
  <c r="U47" i="2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V46" i="2"/>
  <c r="W46" i="2" s="1"/>
  <c r="X46" i="2" s="1"/>
  <c r="Y46" i="2" s="1"/>
  <c r="Z46" i="2" s="1"/>
  <c r="AA46" i="2" s="1"/>
  <c r="AB46" i="2" s="1"/>
  <c r="AC46" i="2" s="1"/>
  <c r="AD46" i="2" s="1"/>
  <c r="AE46" i="2" s="1"/>
  <c r="AF46" i="2" s="1"/>
  <c r="AG46" i="2" s="1"/>
  <c r="AH46" i="2" s="1"/>
  <c r="AI46" i="2" s="1"/>
  <c r="AJ46" i="2" s="1"/>
  <c r="E45" i="2"/>
  <c r="G45" i="2"/>
  <c r="D45" i="2"/>
  <c r="N45" i="2"/>
  <c r="F45" i="2"/>
  <c r="H45" i="2"/>
  <c r="C45" i="2"/>
  <c r="B45" i="2"/>
  <c r="I45" i="2"/>
  <c r="L45" i="2"/>
  <c r="M45" i="2"/>
  <c r="K45" i="2"/>
  <c r="Q45" i="2"/>
  <c r="P45" i="2"/>
  <c r="J45" i="2"/>
  <c r="O45" i="2"/>
  <c r="O51" i="1" l="1"/>
  <c r="R47" i="2"/>
  <c r="S47" i="2" s="1"/>
  <c r="T46" i="2"/>
  <c r="B46" i="2"/>
  <c r="K46" i="2"/>
  <c r="G46" i="2"/>
  <c r="L46" i="2"/>
  <c r="I46" i="2"/>
  <c r="P46" i="2"/>
  <c r="H46" i="2"/>
  <c r="F46" i="2"/>
  <c r="D46" i="2"/>
  <c r="E46" i="2"/>
  <c r="N46" i="2"/>
  <c r="J46" i="2"/>
  <c r="O46" i="2"/>
  <c r="C46" i="2"/>
  <c r="Q46" i="2"/>
  <c r="M46" i="2"/>
  <c r="T47" i="2" l="1"/>
  <c r="O52" i="1"/>
  <c r="F47" i="2"/>
  <c r="D47" i="2"/>
  <c r="C47" i="2"/>
  <c r="O47" i="2"/>
  <c r="I47" i="2"/>
  <c r="N47" i="2"/>
  <c r="K47" i="2"/>
  <c r="G47" i="2"/>
  <c r="J47" i="2"/>
  <c r="B47" i="2"/>
  <c r="Q47" i="2"/>
  <c r="H47" i="2"/>
  <c r="L47" i="2"/>
  <c r="M47" i="2"/>
  <c r="P47" i="2"/>
  <c r="E47" i="2"/>
  <c r="O53" i="1" l="1"/>
  <c r="C51" i="2"/>
  <c r="C65" i="2"/>
  <c r="C60" i="2"/>
  <c r="C64" i="2"/>
  <c r="C52" i="2"/>
  <c r="C56" i="2"/>
  <c r="C59" i="2"/>
  <c r="C63" i="2"/>
  <c r="C57" i="2"/>
  <c r="C55" i="2"/>
  <c r="C54" i="2"/>
  <c r="C61" i="2"/>
  <c r="C53" i="2"/>
  <c r="C58" i="2"/>
  <c r="C62" i="2"/>
  <c r="C50" i="2"/>
  <c r="O54" i="1" l="1"/>
  <c r="O55" i="1" l="1"/>
  <c r="O56" i="1" l="1"/>
  <c r="O57" i="1" l="1"/>
  <c r="O58" i="1" l="1"/>
  <c r="O59" i="1" l="1"/>
  <c r="O60" i="1" l="1"/>
  <c r="O61" i="1" l="1"/>
  <c r="O62" i="1" l="1"/>
  <c r="O63" i="1" l="1"/>
  <c r="O64" i="1" l="1"/>
  <c r="O65" i="1" l="1"/>
  <c r="O66" i="1" l="1"/>
  <c r="O67" i="1" l="1"/>
  <c r="O68" i="1" l="1"/>
  <c r="O69" i="1" l="1"/>
  <c r="O70" i="1" l="1"/>
  <c r="O71" i="1" l="1"/>
  <c r="O72" i="1" l="1"/>
  <c r="O73" i="1" l="1"/>
  <c r="O74" i="1" l="1"/>
  <c r="O75" i="1" l="1"/>
  <c r="O76" i="1" l="1"/>
  <c r="O77" i="1" l="1"/>
  <c r="O78" i="1" l="1"/>
  <c r="O79" i="1" l="1"/>
  <c r="O80" i="1" l="1"/>
  <c r="O81" i="1" l="1"/>
  <c r="O82" i="1" l="1"/>
  <c r="O83" i="1" l="1"/>
  <c r="O84" i="1" l="1"/>
  <c r="O85" i="1" l="1"/>
  <c r="O86" i="1" l="1"/>
  <c r="O87" i="1" l="1"/>
  <c r="O88" i="1" l="1"/>
  <c r="O89" i="1" l="1"/>
  <c r="O90" i="1" l="1"/>
  <c r="O91" i="1" l="1"/>
  <c r="O92" i="1" l="1"/>
  <c r="O93" i="1" l="1"/>
  <c r="O94" i="1" l="1"/>
  <c r="O95" i="1" l="1"/>
  <c r="O96" i="1" l="1"/>
  <c r="O97" i="1" l="1"/>
  <c r="O98" i="1" l="1"/>
  <c r="O99" i="1" l="1"/>
  <c r="O100" i="1" l="1"/>
  <c r="O101" i="1" l="1"/>
  <c r="O102" i="1" l="1"/>
  <c r="O103" i="1" l="1"/>
  <c r="O104" i="1" l="1"/>
  <c r="O105" i="1" l="1"/>
  <c r="O106" i="1" l="1"/>
  <c r="O107" i="1" l="1"/>
  <c r="O108" i="1" l="1"/>
  <c r="O109" i="1" l="1"/>
  <c r="O110" i="1" l="1"/>
  <c r="O111" i="1" l="1"/>
  <c r="O112" i="1" l="1"/>
  <c r="O113" i="1" l="1"/>
  <c r="O114" i="1" l="1"/>
  <c r="O115" i="1" l="1"/>
  <c r="O116" i="1" l="1"/>
  <c r="O117" i="1" l="1"/>
  <c r="O118" i="1" l="1"/>
  <c r="O119" i="1" l="1"/>
  <c r="O120" i="1" l="1"/>
  <c r="O121" i="1" l="1"/>
  <c r="O122" i="1" l="1"/>
  <c r="O123" i="1" l="1"/>
  <c r="O124" i="1" l="1"/>
  <c r="O125" i="1" l="1"/>
  <c r="O126" i="1" l="1"/>
  <c r="O127" i="1" l="1"/>
  <c r="O128" i="1" l="1"/>
  <c r="O129" i="1" l="1"/>
  <c r="O130" i="1" l="1"/>
  <c r="O131" i="1" l="1"/>
  <c r="O132" i="1" l="1"/>
  <c r="O133" i="1" l="1"/>
  <c r="O134" i="1" l="1"/>
  <c r="O135" i="1" l="1"/>
  <c r="O136" i="1" l="1"/>
  <c r="O137" i="1" l="1"/>
  <c r="O138" i="1" l="1"/>
  <c r="O139" i="1" l="1"/>
  <c r="O140" i="1" l="1"/>
  <c r="O141" i="1" l="1"/>
  <c r="O142" i="1" l="1"/>
  <c r="O143" i="1" l="1"/>
  <c r="O144" i="1" l="1"/>
  <c r="O145" i="1" l="1"/>
  <c r="O146" i="1" l="1"/>
  <c r="O147" i="1" l="1"/>
  <c r="O148" i="1" l="1"/>
  <c r="O149" i="1" l="1"/>
  <c r="O150" i="1" l="1"/>
  <c r="O151" i="1" l="1"/>
  <c r="O152" i="1" l="1"/>
  <c r="O153" i="1" l="1"/>
  <c r="O154" i="1" l="1"/>
  <c r="O155" i="1" l="1"/>
  <c r="O156" i="1" l="1"/>
  <c r="O157" i="1" l="1"/>
  <c r="O158" i="1" l="1"/>
  <c r="O159" i="1" l="1"/>
  <c r="O160" i="1" l="1"/>
  <c r="O161" i="1" l="1"/>
  <c r="O162" i="1" l="1"/>
  <c r="O163" i="1" l="1"/>
  <c r="O164" i="1" l="1"/>
  <c r="O165" i="1" l="1"/>
  <c r="O166" i="1" l="1"/>
  <c r="O167" i="1" l="1"/>
  <c r="O168" i="1" l="1"/>
  <c r="O169" i="1" l="1"/>
  <c r="O170" i="1" l="1"/>
  <c r="O171" i="1" l="1"/>
  <c r="O172" i="1" l="1"/>
  <c r="O173" i="1" l="1"/>
  <c r="O174" i="1" l="1"/>
  <c r="O175" i="1" l="1"/>
  <c r="O176" i="1" l="1"/>
  <c r="O177" i="1" l="1"/>
  <c r="O178" i="1" l="1"/>
  <c r="O179" i="1" l="1"/>
  <c r="O180" i="1" l="1"/>
  <c r="O181" i="1" l="1"/>
  <c r="O182" i="1" l="1"/>
  <c r="O183" i="1" l="1"/>
  <c r="O184" i="1" l="1"/>
  <c r="O185" i="1" l="1"/>
  <c r="O186" i="1" l="1"/>
  <c r="O187" i="1" l="1"/>
  <c r="O188" i="1" l="1"/>
  <c r="O189" i="1" l="1"/>
  <c r="U77" i="2"/>
  <c r="O75" i="2" s="1"/>
  <c r="U61" i="2"/>
  <c r="O59" i="2" s="1"/>
  <c r="U69" i="2"/>
  <c r="L74" i="2" s="1"/>
  <c r="O67" i="2"/>
  <c r="O68" i="2" s="1"/>
  <c r="O73" i="2" l="1"/>
  <c r="O79" i="2" s="1"/>
  <c r="O69" i="2"/>
  <c r="L70" i="2" s="1"/>
  <c r="O52" i="2"/>
  <c r="N82" i="2"/>
  <c r="N83" i="2" s="1"/>
  <c r="N84" i="2" s="1"/>
  <c r="N85" i="2" s="1"/>
  <c r="E71" i="2"/>
  <c r="L82" i="2"/>
  <c r="L67" i="2"/>
  <c r="O57" i="2"/>
  <c r="O60" i="2" s="1"/>
  <c r="O76" i="2" l="1"/>
  <c r="E73" i="2" s="1"/>
  <c r="L78" i="2"/>
  <c r="L71" i="2"/>
  <c r="G5" i="1"/>
  <c r="E72" i="2"/>
  <c r="R5" i="1" s="1"/>
  <c r="O61" i="2"/>
  <c r="L55" i="2" s="1"/>
  <c r="L56" i="2" s="1"/>
  <c r="F62" i="2" s="1"/>
  <c r="O50" i="2"/>
  <c r="O51" i="2" l="1"/>
  <c r="O77" i="2"/>
  <c r="U26" i="1"/>
  <c r="U18" i="1"/>
  <c r="U19" i="1"/>
  <c r="U10" i="1"/>
  <c r="V10" i="1" s="1"/>
  <c r="U28" i="1"/>
  <c r="U24" i="1"/>
  <c r="U20" i="1"/>
  <c r="U16" i="1"/>
  <c r="U13" i="1"/>
  <c r="U23" i="1"/>
  <c r="U15" i="1"/>
  <c r="U29" i="1"/>
  <c r="U21" i="1"/>
  <c r="U12" i="1"/>
  <c r="U11" i="1"/>
  <c r="U22" i="1"/>
  <c r="U25" i="1"/>
  <c r="U27" i="1"/>
  <c r="U17" i="1"/>
  <c r="U14" i="1"/>
  <c r="O53" i="2"/>
  <c r="J23" i="1"/>
  <c r="J21" i="1"/>
  <c r="J28" i="1"/>
  <c r="J24" i="1"/>
  <c r="J20" i="1"/>
  <c r="J16" i="1"/>
  <c r="J27" i="1"/>
  <c r="J10" i="1"/>
  <c r="K10" i="1" s="1"/>
  <c r="J19" i="1"/>
  <c r="J17" i="1"/>
  <c r="J29" i="1"/>
  <c r="J11" i="1"/>
  <c r="J12" i="1"/>
  <c r="J15" i="1"/>
  <c r="J13" i="1"/>
  <c r="J26" i="1"/>
  <c r="J22" i="1"/>
  <c r="J18" i="1"/>
  <c r="J14" i="1"/>
  <c r="J25" i="1"/>
  <c r="L87" i="2"/>
  <c r="L88" i="2" s="1"/>
  <c r="L79" i="2"/>
  <c r="K11" i="1" l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G31" i="1" s="1"/>
  <c r="V11" i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R31" i="1" s="1"/>
  <c r="F82" i="2"/>
  <c r="E84" i="2"/>
  <c r="D84" i="2" s="1"/>
  <c r="F50" i="2"/>
  <c r="F81" i="2"/>
  <c r="E79" i="2"/>
  <c r="D79" i="2" s="1"/>
  <c r="L75" i="2"/>
  <c r="L83" i="2"/>
  <c r="L68" i="2"/>
  <c r="F57" i="2" l="1"/>
  <c r="L84" i="2" s="1"/>
  <c r="I70" i="2" s="1"/>
  <c r="F60" i="2"/>
  <c r="F67" i="2" s="1"/>
  <c r="L76" i="2" l="1"/>
  <c r="I71" i="2" s="1"/>
  <c r="H82" i="2"/>
  <c r="H81" i="2"/>
  <c r="L69" i="2"/>
  <c r="I72" i="2" s="1"/>
  <c r="F68" i="2"/>
  <c r="F59" i="2"/>
  <c r="F84" i="2"/>
  <c r="E82" i="2"/>
  <c r="F79" i="2"/>
  <c r="E81" i="2"/>
  <c r="D81" i="2" s="1"/>
  <c r="F80" i="2"/>
  <c r="H80" i="2" s="1"/>
  <c r="L53" i="2"/>
  <c r="I73" i="2" s="1"/>
  <c r="E83" i="2"/>
  <c r="D83" i="2" s="1"/>
  <c r="F83" i="2"/>
  <c r="I52" i="2"/>
  <c r="G81" i="2" l="1"/>
  <c r="D82" i="2"/>
  <c r="G82" i="2"/>
  <c r="I68" i="2"/>
  <c r="I69" i="2" s="1"/>
  <c r="I67" i="2"/>
  <c r="H84" i="2"/>
  <c r="G84" i="2"/>
  <c r="G83" i="2"/>
  <c r="H83" i="2"/>
  <c r="G79" i="2"/>
  <c r="H7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tc={7D3156E4-6B02-487C-81F2-77D804A238A7}</author>
    <author>tc={048C882E-21D9-40A3-B60E-87E9A05B646C}</author>
    <author>tc={190A94DE-FD8A-489D-956E-39B88C99442E}</author>
  </authors>
  <commentList>
    <comment ref="R3" authorId="0" shapeId="0" xr:uid="{7D3156E4-6B02-487C-81F2-77D804A238A7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Fill in the number of surveyors you currently have bought.</t>
      </text>
    </comment>
    <comment ref="T3" authorId="1" shapeId="0" xr:uid="{048C882E-21D9-40A3-B60E-87E9A05B646C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Choose the unit for gold (m, B, T, Qa)</t>
      </text>
    </comment>
    <comment ref="U3" authorId="2" shapeId="0" xr:uid="{190A94DE-FD8A-489D-956E-39B88C99442E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Fill in the current tile cost denominated in the unit to the left</t>
      </text>
    </comment>
  </commentList>
</comments>
</file>

<file path=xl/sharedStrings.xml><?xml version="1.0" encoding="utf-8"?>
<sst xmlns="http://schemas.openxmlformats.org/spreadsheetml/2006/main" count="306" uniqueCount="201">
  <si>
    <t>cost for number of tiles to buy (m)</t>
  </si>
  <si>
    <t>Surveyors</t>
  </si>
  <si>
    <t>Individual tile cost (m)</t>
  </si>
  <si>
    <t>#</t>
  </si>
  <si>
    <t>tiles</t>
  </si>
  <si>
    <t>Current</t>
  </si>
  <si>
    <t>Rituals</t>
  </si>
  <si>
    <t>Ships</t>
  </si>
  <si>
    <t>Production</t>
  </si>
  <si>
    <t>Forest Camps</t>
  </si>
  <si>
    <t>Nature stuff</t>
  </si>
  <si>
    <t>quick abd calc</t>
  </si>
  <si>
    <t>prod</t>
  </si>
  <si>
    <t>m</t>
  </si>
  <si>
    <t>done</t>
  </si>
  <si>
    <t>WOOD</t>
  </si>
  <si>
    <t>Fairy dance</t>
  </si>
  <si>
    <t>Stone</t>
  </si>
  <si>
    <t>rituals</t>
  </si>
  <si>
    <t>ritual time</t>
  </si>
  <si>
    <t>s</t>
  </si>
  <si>
    <t>STONE</t>
  </si>
  <si>
    <t>loggers</t>
  </si>
  <si>
    <t>Ritual power</t>
  </si>
  <si>
    <t>Wood</t>
  </si>
  <si>
    <t>gold bonus</t>
  </si>
  <si>
    <t>1 ritual is</t>
  </si>
  <si>
    <t>m gold</t>
  </si>
  <si>
    <t>WHEAT</t>
  </si>
  <si>
    <t>total loggers</t>
  </si>
  <si>
    <t>Forest magic</t>
  </si>
  <si>
    <t>gold</t>
  </si>
  <si>
    <t>chickun</t>
  </si>
  <si>
    <t>rituals/h</t>
  </si>
  <si>
    <t>1 ship is</t>
  </si>
  <si>
    <t>TOTAL</t>
  </si>
  <si>
    <t>Pyramid</t>
  </si>
  <si>
    <t>ship cost</t>
  </si>
  <si>
    <t>B wood</t>
  </si>
  <si>
    <t>Frog</t>
  </si>
  <si>
    <t>piramids</t>
  </si>
  <si>
    <t>fame</t>
  </si>
  <si>
    <t>m wood</t>
  </si>
  <si>
    <t>Wood per logger</t>
  </si>
  <si>
    <t>Wood Bonus</t>
  </si>
  <si>
    <t>mysteries</t>
  </si>
  <si>
    <t>Fame</t>
  </si>
  <si>
    <t>ships/h</t>
  </si>
  <si>
    <t>camps raw</t>
  </si>
  <si>
    <t>base</t>
  </si>
  <si>
    <t>trial</t>
  </si>
  <si>
    <t>Worker</t>
  </si>
  <si>
    <t>abdicate</t>
  </si>
  <si>
    <t>Fame effect</t>
  </si>
  <si>
    <t>camps mod</t>
  </si>
  <si>
    <t>school bonus</t>
  </si>
  <si>
    <t>relic</t>
  </si>
  <si>
    <t>Logging</t>
  </si>
  <si>
    <t>shipyards raw</t>
  </si>
  <si>
    <t>pantheon</t>
  </si>
  <si>
    <t>global</t>
  </si>
  <si>
    <t>Nature</t>
  </si>
  <si>
    <t>Frog stuff</t>
  </si>
  <si>
    <t>One Hour</t>
  </si>
  <si>
    <t>Pyramids</t>
  </si>
  <si>
    <t>Schools</t>
  </si>
  <si>
    <t>shipyards mod</t>
  </si>
  <si>
    <t>amber</t>
  </si>
  <si>
    <t>Cromlechis</t>
  </si>
  <si>
    <t>Knowledge</t>
  </si>
  <si>
    <t>school effect</t>
  </si>
  <si>
    <t>instructors</t>
  </si>
  <si>
    <t>total instructs</t>
  </si>
  <si>
    <t>TOTAL WOOD</t>
  </si>
  <si>
    <t>ritual</t>
  </si>
  <si>
    <t>Chickun</t>
  </si>
  <si>
    <t>Glory</t>
  </si>
  <si>
    <t>fame effect</t>
  </si>
  <si>
    <t>bonus</t>
  </si>
  <si>
    <t>RITUAL WOOD</t>
  </si>
  <si>
    <t>total</t>
  </si>
  <si>
    <t>multiplier</t>
  </si>
  <si>
    <t>Guru</t>
  </si>
  <si>
    <t>Mysteries</t>
  </si>
  <si>
    <t>abd bonus</t>
  </si>
  <si>
    <t>instr cost</t>
  </si>
  <si>
    <t>B wheat</t>
  </si>
  <si>
    <t>ship bonus</t>
  </si>
  <si>
    <t>Wheat fields</t>
  </si>
  <si>
    <t>Wheat Bonus</t>
  </si>
  <si>
    <t>Wheat per worker</t>
  </si>
  <si>
    <t>logger bonus</t>
  </si>
  <si>
    <t>trials</t>
  </si>
  <si>
    <t>GOD</t>
  </si>
  <si>
    <t>gold/h</t>
  </si>
  <si>
    <t>wood/s</t>
  </si>
  <si>
    <t>workers/tile</t>
  </si>
  <si>
    <t>patheon</t>
  </si>
  <si>
    <t>PANTHEON</t>
  </si>
  <si>
    <t>wheat/s</t>
  </si>
  <si>
    <t>wheatfields raw</t>
  </si>
  <si>
    <t>total workers</t>
  </si>
  <si>
    <t>farmers</t>
  </si>
  <si>
    <t>ritual second</t>
  </si>
  <si>
    <t>wheatfields mod</t>
  </si>
  <si>
    <t>farm tiles</t>
  </si>
  <si>
    <t>HERITAGE</t>
  </si>
  <si>
    <t>gain</t>
  </si>
  <si>
    <t>ritual equals</t>
  </si>
  <si>
    <t>buys</t>
  </si>
  <si>
    <t>TOTAL WHEAT</t>
  </si>
  <si>
    <t>farmers/tile</t>
  </si>
  <si>
    <t>needed</t>
  </si>
  <si>
    <t>buys/s</t>
  </si>
  <si>
    <t>prod %</t>
  </si>
  <si>
    <t>RITUAL</t>
  </si>
  <si>
    <t>total farmers</t>
  </si>
  <si>
    <t>International Trade</t>
  </si>
  <si>
    <t>logger</t>
  </si>
  <si>
    <t>1 instr is</t>
  </si>
  <si>
    <t>1m gold</t>
  </si>
  <si>
    <t>worker</t>
  </si>
  <si>
    <t>m wheat/s</t>
  </si>
  <si>
    <t>Quarry</t>
  </si>
  <si>
    <t>Stone Bonus</t>
  </si>
  <si>
    <t>russian 2</t>
  </si>
  <si>
    <t>instructor</t>
  </si>
  <si>
    <t>instruc/h</t>
  </si>
  <si>
    <t>tile multiplier</t>
  </si>
  <si>
    <t>B stone</t>
  </si>
  <si>
    <t>ship</t>
  </si>
  <si>
    <t>mason bought</t>
  </si>
  <si>
    <t>masons raw</t>
  </si>
  <si>
    <t>cromlechis</t>
  </si>
  <si>
    <t>build</t>
  </si>
  <si>
    <t>multiplier/tile</t>
  </si>
  <si>
    <t>+1 abd</t>
  </si>
  <si>
    <t>+1 multiplier</t>
  </si>
  <si>
    <t>+1 tile multi</t>
  </si>
  <si>
    <t>masons mod</t>
  </si>
  <si>
    <t>masons</t>
  </si>
  <si>
    <t>wheatfields</t>
  </si>
  <si>
    <t>TOTAL STONE</t>
  </si>
  <si>
    <t>total masons</t>
  </si>
  <si>
    <t>pyramids</t>
  </si>
  <si>
    <t>RITUAL (no stone)</t>
  </si>
  <si>
    <t>1 worker is</t>
  </si>
  <si>
    <t>stone per mason</t>
  </si>
  <si>
    <t>shipyards</t>
  </si>
  <si>
    <t>worker cost</t>
  </si>
  <si>
    <t>Ship production</t>
  </si>
  <si>
    <t>schools</t>
  </si>
  <si>
    <t>quarries</t>
  </si>
  <si>
    <t>workers/h</t>
  </si>
  <si>
    <t>temple</t>
  </si>
  <si>
    <t>academy</t>
  </si>
  <si>
    <t>Logger</t>
  </si>
  <si>
    <t>1 logger is</t>
  </si>
  <si>
    <t>logger cost</t>
  </si>
  <si>
    <t>loggers/h</t>
  </si>
  <si>
    <t>School cost</t>
  </si>
  <si>
    <t>Level</t>
  </si>
  <si>
    <t>Build</t>
  </si>
  <si>
    <t>Greek2?</t>
  </si>
  <si>
    <t>Total</t>
  </si>
  <si>
    <t>B</t>
  </si>
  <si>
    <t>Wheat</t>
  </si>
  <si>
    <t>B Wheat</t>
  </si>
  <si>
    <t>Instructors</t>
  </si>
  <si>
    <t>1m gold gives</t>
  </si>
  <si>
    <t># schools</t>
  </si>
  <si>
    <t>to instructors</t>
  </si>
  <si>
    <t>cost (B)</t>
  </si>
  <si>
    <t>train</t>
  </si>
  <si>
    <t>Shipyard cost</t>
  </si>
  <si>
    <t>English2?</t>
  </si>
  <si>
    <t>Shipyards</t>
  </si>
  <si>
    <t>to ships</t>
  </si>
  <si>
    <t># shipyards</t>
  </si>
  <si>
    <t>100m gold gives</t>
  </si>
  <si>
    <t>T</t>
  </si>
  <si>
    <t>gold per ship</t>
  </si>
  <si>
    <t>American1</t>
  </si>
  <si>
    <t>gold x2, tile cost/2</t>
  </si>
  <si>
    <t>russian4</t>
  </si>
  <si>
    <t>English3</t>
  </si>
  <si>
    <t>Relic</t>
  </si>
  <si>
    <t>school levels</t>
  </si>
  <si>
    <t>wheat factor</t>
  </si>
  <si>
    <t>1 wheat vs all shipyards</t>
  </si>
  <si>
    <t>school tiles</t>
  </si>
  <si>
    <t>Oni</t>
  </si>
  <si>
    <t>+1 gold/ship</t>
  </si>
  <si>
    <t>minritual</t>
  </si>
  <si>
    <t>Qa</t>
  </si>
  <si>
    <t>effect/instr</t>
  </si>
  <si>
    <t>instr effect</t>
  </si>
  <si>
    <t>total ships</t>
  </si>
  <si>
    <t>ships</t>
  </si>
  <si>
    <t>+wood/logger</t>
  </si>
  <si>
    <t>American4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</si>
</sst>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"/>
    <numFmt numFmtId="165" formatCode="0.0%"/>
    <numFmt numFmtId="166" formatCode="#,##0.00_ ;\-#,##0.00\ "/>
    <numFmt numFmtId="167" formatCode="0.000"/>
    <numFmt numFmtId="168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5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B2B2B2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/>
      <diagonal/>
    </border>
    <border>
      <left style="thin">
        <color rgb="FFB2B2B2"/>
      </left>
      <right style="medium">
        <color auto="1"/>
      </right>
      <top style="medium">
        <color auto="1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medium">
        <color auto="1"/>
      </left>
      <right/>
      <top/>
      <bottom style="thin">
        <color rgb="FFB2B2B2"/>
      </bottom>
      <diagonal/>
    </border>
    <border>
      <left/>
      <right style="medium">
        <color auto="1"/>
      </right>
      <top/>
      <bottom style="thin">
        <color rgb="FFB2B2B2"/>
      </bottom>
      <diagonal/>
    </border>
    <border>
      <left style="thin">
        <color rgb="FF7F7F7F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indexed="64"/>
      </top>
      <bottom/>
      <diagonal/>
    </border>
    <border>
      <left style="thin">
        <color rgb="FFB2B2B2"/>
      </left>
      <right style="medium">
        <color indexed="64"/>
      </right>
      <top style="thin">
        <color indexed="64"/>
      </top>
      <bottom style="thin">
        <color rgb="FFB2B2B2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auto="1"/>
      </right>
      <top style="thin">
        <color rgb="FF7F7F7F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 style="thin">
        <color rgb="FFB2B2B2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203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2" fillId="2" borderId="12" xfId="3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3" fillId="0" borderId="0" xfId="0" applyFont="1" applyFill="1"/>
    <xf numFmtId="3" fontId="0" fillId="0" borderId="0" xfId="0" applyNumberFormat="1" applyFill="1" applyBorder="1" applyAlignment="1">
      <alignment horizontal="center"/>
    </xf>
    <xf numFmtId="0" fontId="3" fillId="0" borderId="0" xfId="0" applyFont="1"/>
    <xf numFmtId="0" fontId="0" fillId="0" borderId="15" xfId="0" applyBorder="1"/>
    <xf numFmtId="0" fontId="2" fillId="2" borderId="17" xfId="3" applyBorder="1"/>
    <xf numFmtId="0" fontId="0" fillId="0" borderId="18" xfId="0" applyBorder="1" applyAlignment="1">
      <alignment horizontal="center"/>
    </xf>
    <xf numFmtId="0" fontId="0" fillId="0" borderId="19" xfId="0" applyBorder="1"/>
    <xf numFmtId="3" fontId="0" fillId="0" borderId="19" xfId="0" applyNumberFormat="1" applyBorder="1"/>
    <xf numFmtId="0" fontId="2" fillId="2" borderId="20" xfId="3" applyBorder="1"/>
    <xf numFmtId="0" fontId="0" fillId="0" borderId="15" xfId="4" applyFont="1" applyFill="1" applyBorder="1"/>
    <xf numFmtId="0" fontId="0" fillId="3" borderId="2" xfId="4" applyFont="1" applyAlignment="1">
      <alignment horizontal="center"/>
    </xf>
    <xf numFmtId="0" fontId="0" fillId="0" borderId="21" xfId="0" applyBorder="1"/>
    <xf numFmtId="0" fontId="2" fillId="2" borderId="22" xfId="3" applyBorder="1"/>
    <xf numFmtId="9" fontId="2" fillId="3" borderId="23" xfId="4" applyNumberFormat="1" applyFont="1" applyBorder="1"/>
    <xf numFmtId="0" fontId="2" fillId="2" borderId="24" xfId="3" applyBorder="1"/>
    <xf numFmtId="3" fontId="0" fillId="0" borderId="25" xfId="0" applyNumberFormat="1" applyBorder="1"/>
    <xf numFmtId="0" fontId="0" fillId="0" borderId="21" xfId="4" applyFont="1" applyFill="1" applyBorder="1"/>
    <xf numFmtId="9" fontId="2" fillId="2" borderId="24" xfId="3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6" xfId="4" applyFont="1" applyFill="1" applyBorder="1"/>
    <xf numFmtId="3" fontId="0" fillId="0" borderId="27" xfId="0" applyNumberFormat="1" applyBorder="1"/>
    <xf numFmtId="9" fontId="0" fillId="3" borderId="23" xfId="4" applyNumberFormat="1" applyFont="1" applyBorder="1"/>
    <xf numFmtId="0" fontId="0" fillId="3" borderId="28" xfId="4" applyFont="1" applyBorder="1"/>
    <xf numFmtId="0" fontId="2" fillId="2" borderId="1" xfId="3"/>
    <xf numFmtId="164" fontId="0" fillId="0" borderId="0" xfId="0" applyNumberFormat="1" applyBorder="1"/>
    <xf numFmtId="0" fontId="0" fillId="0" borderId="21" xfId="0" applyFill="1" applyBorder="1"/>
    <xf numFmtId="9" fontId="0" fillId="3" borderId="30" xfId="2" applyFont="1" applyFill="1" applyBorder="1"/>
    <xf numFmtId="3" fontId="0" fillId="0" borderId="19" xfId="4" applyNumberFormat="1" applyFont="1" applyFill="1" applyBorder="1"/>
    <xf numFmtId="0" fontId="2" fillId="3" borderId="16" xfId="4" applyFont="1" applyBorder="1"/>
    <xf numFmtId="0" fontId="0" fillId="0" borderId="15" xfId="0" applyFill="1" applyBorder="1"/>
    <xf numFmtId="9" fontId="2" fillId="3" borderId="31" xfId="4" applyNumberFormat="1" applyFont="1" applyBorder="1"/>
    <xf numFmtId="164" fontId="0" fillId="3" borderId="29" xfId="4" applyNumberFormat="1" applyFont="1" applyBorder="1"/>
    <xf numFmtId="0" fontId="0" fillId="0" borderId="32" xfId="0" applyFont="1" applyBorder="1"/>
    <xf numFmtId="3" fontId="0" fillId="0" borderId="25" xfId="4" applyNumberFormat="1" applyFont="1" applyFill="1" applyBorder="1"/>
    <xf numFmtId="20" fontId="0" fillId="0" borderId="0" xfId="0" applyNumberFormat="1"/>
    <xf numFmtId="0" fontId="0" fillId="0" borderId="34" xfId="4" applyFont="1" applyFill="1" applyBorder="1"/>
    <xf numFmtId="3" fontId="0" fillId="0" borderId="35" xfId="0" applyNumberFormat="1" applyBorder="1"/>
    <xf numFmtId="9" fontId="2" fillId="2" borderId="36" xfId="3" applyNumberFormat="1" applyBorder="1"/>
    <xf numFmtId="0" fontId="2" fillId="2" borderId="17" xfId="3" applyBorder="1" applyAlignment="1">
      <alignment horizontal="center"/>
    </xf>
    <xf numFmtId="3" fontId="0" fillId="3" borderId="25" xfId="4" applyNumberFormat="1" applyFont="1" applyBorder="1"/>
    <xf numFmtId="0" fontId="0" fillId="0" borderId="37" xfId="0" applyFill="1" applyBorder="1"/>
    <xf numFmtId="0" fontId="0" fillId="0" borderId="38" xfId="0" applyBorder="1"/>
    <xf numFmtId="0" fontId="0" fillId="0" borderId="32" xfId="0" applyBorder="1"/>
    <xf numFmtId="9" fontId="2" fillId="2" borderId="39" xfId="3" applyNumberFormat="1" applyBorder="1"/>
    <xf numFmtId="0" fontId="2" fillId="2" borderId="24" xfId="3" applyBorder="1" applyAlignment="1">
      <alignment horizontal="center"/>
    </xf>
    <xf numFmtId="9" fontId="0" fillId="3" borderId="2" xfId="4" applyNumberFormat="1" applyFont="1" applyAlignment="1">
      <alignment horizontal="center"/>
    </xf>
    <xf numFmtId="165" fontId="0" fillId="0" borderId="25" xfId="0" applyNumberFormat="1" applyBorder="1"/>
    <xf numFmtId="0" fontId="0" fillId="0" borderId="25" xfId="0" applyBorder="1" applyAlignment="1">
      <alignment horizontal="center"/>
    </xf>
    <xf numFmtId="3" fontId="0" fillId="3" borderId="27" xfId="4" applyNumberFormat="1" applyFont="1" applyBorder="1"/>
    <xf numFmtId="0" fontId="0" fillId="3" borderId="29" xfId="4" applyFont="1" applyBorder="1"/>
    <xf numFmtId="165" fontId="0" fillId="0" borderId="25" xfId="2" applyNumberFormat="1" applyFont="1" applyBorder="1"/>
    <xf numFmtId="0" fontId="2" fillId="2" borderId="40" xfId="3" applyBorder="1" applyAlignment="1">
      <alignment horizontal="center"/>
    </xf>
    <xf numFmtId="9" fontId="0" fillId="0" borderId="25" xfId="2" applyFont="1" applyBorder="1"/>
    <xf numFmtId="0" fontId="2" fillId="2" borderId="41" xfId="3" applyBorder="1"/>
    <xf numFmtId="9" fontId="0" fillId="0" borderId="25" xfId="0" applyNumberFormat="1" applyBorder="1"/>
    <xf numFmtId="9" fontId="0" fillId="0" borderId="19" xfId="2" applyFont="1" applyBorder="1"/>
    <xf numFmtId="0" fontId="0" fillId="0" borderId="26" xfId="0" applyFill="1" applyBorder="1"/>
    <xf numFmtId="0" fontId="0" fillId="0" borderId="0" xfId="0" applyFill="1" applyBorder="1"/>
    <xf numFmtId="9" fontId="0" fillId="3" borderId="16" xfId="4" applyNumberFormat="1" applyFont="1" applyBorder="1"/>
    <xf numFmtId="0" fontId="0" fillId="0" borderId="43" xfId="0" applyBorder="1" applyAlignment="1">
      <alignment horizontal="center"/>
    </xf>
    <xf numFmtId="0" fontId="0" fillId="0" borderId="26" xfId="0" applyBorder="1" applyAlignment="1"/>
    <xf numFmtId="3" fontId="0" fillId="0" borderId="18" xfId="0" applyNumberFormat="1" applyBorder="1"/>
    <xf numFmtId="1" fontId="2" fillId="2" borderId="24" xfId="3" applyNumberFormat="1" applyBorder="1"/>
    <xf numFmtId="9" fontId="2" fillId="2" borderId="25" xfId="3" applyNumberFormat="1" applyBorder="1"/>
    <xf numFmtId="0" fontId="0" fillId="0" borderId="45" xfId="0" applyBorder="1"/>
    <xf numFmtId="164" fontId="0" fillId="0" borderId="0" xfId="0" applyNumberFormat="1"/>
    <xf numFmtId="0" fontId="0" fillId="0" borderId="34" xfId="0" applyBorder="1"/>
    <xf numFmtId="0" fontId="0" fillId="0" borderId="34" xfId="0" applyFill="1" applyBorder="1"/>
    <xf numFmtId="9" fontId="2" fillId="2" borderId="35" xfId="3" applyNumberFormat="1" applyBorder="1"/>
    <xf numFmtId="164" fontId="2" fillId="2" borderId="24" xfId="3" applyNumberFormat="1" applyBorder="1"/>
    <xf numFmtId="9" fontId="2" fillId="2" borderId="47" xfId="3" applyNumberFormat="1" applyBorder="1"/>
    <xf numFmtId="10" fontId="0" fillId="0" borderId="0" xfId="2" applyNumberFormat="1" applyFont="1" applyBorder="1"/>
    <xf numFmtId="0" fontId="0" fillId="0" borderId="15" xfId="0" applyBorder="1" applyAlignment="1"/>
    <xf numFmtId="0" fontId="0" fillId="0" borderId="18" xfId="0" applyBorder="1" applyAlignment="1"/>
    <xf numFmtId="0" fontId="0" fillId="0" borderId="19" xfId="0" applyBorder="1" applyAlignment="1"/>
    <xf numFmtId="164" fontId="0" fillId="0" borderId="21" xfId="0" applyNumberFormat="1" applyBorder="1"/>
    <xf numFmtId="0" fontId="0" fillId="0" borderId="0" xfId="0" applyBorder="1"/>
    <xf numFmtId="20" fontId="0" fillId="0" borderId="25" xfId="0" applyNumberFormat="1" applyBorder="1"/>
    <xf numFmtId="4" fontId="0" fillId="0" borderId="0" xfId="0" applyNumberFormat="1" applyBorder="1"/>
    <xf numFmtId="1" fontId="2" fillId="2" borderId="17" xfId="3" applyNumberFormat="1" applyBorder="1"/>
    <xf numFmtId="164" fontId="0" fillId="0" borderId="26" xfId="0" applyNumberFormat="1" applyBorder="1"/>
    <xf numFmtId="0" fontId="0" fillId="0" borderId="42" xfId="0" applyBorder="1"/>
    <xf numFmtId="20" fontId="0" fillId="0" borderId="27" xfId="0" applyNumberFormat="1" applyBorder="1"/>
    <xf numFmtId="9" fontId="2" fillId="2" borderId="22" xfId="3" applyNumberFormat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1" fontId="2" fillId="3" borderId="48" xfId="4" applyNumberFormat="1" applyFont="1" applyBorder="1"/>
    <xf numFmtId="2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2" applyNumberFormat="1" applyFont="1" applyAlignment="1">
      <alignment horizontal="center"/>
    </xf>
    <xf numFmtId="9" fontId="2" fillId="2" borderId="40" xfId="3" applyNumberFormat="1" applyBorder="1"/>
    <xf numFmtId="168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2" fillId="2" borderId="1" xfId="3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49" xfId="0" applyBorder="1"/>
    <xf numFmtId="0" fontId="0" fillId="0" borderId="1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3" xfId="0" applyBorder="1"/>
    <xf numFmtId="0" fontId="0" fillId="0" borderId="0" xfId="0" applyFill="1" applyBorder="1" applyAlignment="1">
      <alignment horizontal="right"/>
    </xf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5" fontId="2" fillId="3" borderId="2" xfId="4" applyNumberFormat="1" applyFont="1"/>
    <xf numFmtId="1" fontId="0" fillId="0" borderId="0" xfId="0" applyNumberFormat="1" applyFill="1" applyBorder="1" applyAlignment="1">
      <alignment horizontal="center"/>
    </xf>
    <xf numFmtId="4" fontId="1" fillId="3" borderId="33" xfId="4" applyNumberFormat="1" applyFont="1" applyBorder="1"/>
    <xf numFmtId="168" fontId="0" fillId="3" borderId="46" xfId="4" applyNumberFormat="1" applyFont="1" applyBorder="1"/>
    <xf numFmtId="9" fontId="0" fillId="0" borderId="35" xfId="2" applyFont="1" applyBorder="1"/>
    <xf numFmtId="168" fontId="0" fillId="0" borderId="0" xfId="1" applyNumberFormat="1" applyFont="1" applyAlignment="1">
      <alignment horizontal="center"/>
    </xf>
    <xf numFmtId="0" fontId="0" fillId="0" borderId="0" xfId="0" quotePrefix="1" applyFill="1" applyBorder="1"/>
    <xf numFmtId="9" fontId="0" fillId="3" borderId="29" xfId="4" applyNumberFormat="1" applyFont="1" applyBorder="1" applyAlignment="1">
      <alignment horizontal="center"/>
    </xf>
    <xf numFmtId="9" fontId="0" fillId="0" borderId="19" xfId="2" applyFont="1" applyBorder="1" applyAlignment="1">
      <alignment horizontal="center"/>
    </xf>
    <xf numFmtId="9" fontId="0" fillId="0" borderId="25" xfId="2" applyNumberFormat="1" applyFont="1" applyBorder="1" applyAlignment="1">
      <alignment horizontal="center"/>
    </xf>
    <xf numFmtId="164" fontId="0" fillId="3" borderId="29" xfId="4" applyNumberFormat="1" applyFont="1" applyBorder="1" applyAlignment="1">
      <alignment horizontal="center"/>
    </xf>
    <xf numFmtId="9" fontId="0" fillId="0" borderId="0" xfId="2" applyFont="1"/>
    <xf numFmtId="165" fontId="0" fillId="0" borderId="0" xfId="0" applyNumberFormat="1"/>
    <xf numFmtId="168" fontId="0" fillId="3" borderId="2" xfId="4" applyNumberFormat="1" applyFont="1"/>
    <xf numFmtId="164" fontId="0" fillId="0" borderId="0" xfId="0" applyNumberFormat="1" applyAlignment="1">
      <alignment horizontal="center"/>
    </xf>
    <xf numFmtId="168" fontId="0" fillId="0" borderId="54" xfId="0" applyNumberFormat="1" applyBorder="1"/>
    <xf numFmtId="164" fontId="0" fillId="0" borderId="0" xfId="0" applyNumberFormat="1" applyBorder="1" applyAlignment="1">
      <alignment horizontal="center"/>
    </xf>
    <xf numFmtId="10" fontId="0" fillId="0" borderId="25" xfId="2" applyNumberFormat="1" applyFont="1" applyBorder="1"/>
    <xf numFmtId="4" fontId="0" fillId="0" borderId="25" xfId="0" applyNumberFormat="1" applyBorder="1"/>
    <xf numFmtId="164" fontId="0" fillId="0" borderId="27" xfId="0" applyNumberFormat="1" applyBorder="1"/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1" xfId="0" applyBorder="1" applyAlignment="1">
      <alignment horizontal="left"/>
    </xf>
    <xf numFmtId="164" fontId="2" fillId="3" borderId="25" xfId="4" applyNumberFormat="1" applyFont="1" applyBorder="1"/>
    <xf numFmtId="164" fontId="0" fillId="0" borderId="25" xfId="0" applyNumberFormat="1" applyBorder="1"/>
    <xf numFmtId="0" fontId="2" fillId="2" borderId="25" xfId="3" applyBorder="1"/>
    <xf numFmtId="0" fontId="0" fillId="3" borderId="27" xfId="4" applyFont="1" applyBorder="1"/>
    <xf numFmtId="2" fontId="0" fillId="3" borderId="23" xfId="4" applyNumberFormat="1" applyFont="1" applyBorder="1"/>
    <xf numFmtId="164" fontId="0" fillId="3" borderId="55" xfId="4" applyNumberFormat="1" applyFont="1" applyBorder="1"/>
    <xf numFmtId="0" fontId="2" fillId="2" borderId="56" xfId="3" applyBorder="1"/>
    <xf numFmtId="0" fontId="2" fillId="2" borderId="19" xfId="3" applyBorder="1" applyAlignment="1">
      <alignment horizontal="right"/>
    </xf>
    <xf numFmtId="0" fontId="2" fillId="2" borderId="25" xfId="3" applyBorder="1" applyAlignment="1">
      <alignment horizontal="right"/>
    </xf>
    <xf numFmtId="0" fontId="0" fillId="3" borderId="25" xfId="4" applyFont="1" applyBorder="1" applyAlignment="1">
      <alignment horizontal="right"/>
    </xf>
    <xf numFmtId="0" fontId="0" fillId="0" borderId="25" xfId="0" applyBorder="1" applyAlignment="1">
      <alignment horizontal="right"/>
    </xf>
    <xf numFmtId="164" fontId="2" fillId="3" borderId="25" xfId="4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2" fillId="2" borderId="19" xfId="3" applyBorder="1" applyAlignment="1">
      <alignment horizontal="center"/>
    </xf>
    <xf numFmtId="0" fontId="2" fillId="2" borderId="25" xfId="3" applyBorder="1" applyAlignment="1">
      <alignment horizontal="center"/>
    </xf>
    <xf numFmtId="0" fontId="2" fillId="3" borderId="27" xfId="4" applyFont="1" applyBorder="1" applyAlignment="1">
      <alignment horizontal="center"/>
    </xf>
    <xf numFmtId="0" fontId="0" fillId="0" borderId="21" xfId="0" quotePrefix="1" applyBorder="1"/>
    <xf numFmtId="0" fontId="0" fillId="3" borderId="23" xfId="4" applyFont="1" applyBorder="1" applyAlignment="1">
      <alignment horizontal="center"/>
    </xf>
    <xf numFmtId="168" fontId="0" fillId="3" borderId="23" xfId="4" applyNumberFormat="1" applyFon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0" fontId="0" fillId="3" borderId="29" xfId="4" applyNumberFormat="1" applyFont="1" applyBorder="1" applyAlignment="1">
      <alignment horizontal="center"/>
    </xf>
    <xf numFmtId="1" fontId="0" fillId="0" borderId="0" xfId="0" applyNumberFormat="1" applyAlignment="1">
      <alignment horizontal="left"/>
    </xf>
    <xf numFmtId="168" fontId="0" fillId="0" borderId="4" xfId="0" applyNumberFormat="1" applyBorder="1" applyAlignment="1">
      <alignment horizontal="center"/>
    </xf>
    <xf numFmtId="168" fontId="0" fillId="0" borderId="44" xfId="0" applyNumberFormat="1" applyBorder="1" applyAlignment="1">
      <alignment horizontal="center"/>
    </xf>
    <xf numFmtId="10" fontId="0" fillId="0" borderId="0" xfId="2" applyNumberFormat="1" applyFont="1"/>
    <xf numFmtId="164" fontId="0" fillId="0" borderId="19" xfId="0" applyNumberFormat="1" applyBorder="1"/>
    <xf numFmtId="164" fontId="2" fillId="3" borderId="16" xfId="4" applyNumberFormat="1" applyFont="1" applyBorder="1"/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23" xfId="4" applyFont="1" applyFill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" fontId="0" fillId="3" borderId="25" xfId="4" applyNumberFormat="1" applyFont="1" applyBorder="1" applyAlignment="1">
      <alignment horizontal="right"/>
    </xf>
    <xf numFmtId="4" fontId="0" fillId="3" borderId="25" xfId="4" applyNumberFormat="1" applyFont="1" applyBorder="1"/>
    <xf numFmtId="4" fontId="0" fillId="3" borderId="2" xfId="4" applyNumberFormat="1" applyFont="1"/>
  </cellXfs>
  <cellStyles count="5">
    <cellStyle name="Invoer" xfId="3" builtinId="20"/>
    <cellStyle name="Komma" xfId="1" builtinId="3"/>
    <cellStyle name="Notitie" xfId="4" builtinId="10"/>
    <cellStyle name="Procent" xfId="2" builtinId="5"/>
    <cellStyle name="Standaard" xfId="0" builtinId="0"/>
  </cellStyles>
  <dxfs count="3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mer, Robbie" id="{4A6E399D-B20A-443B-B874-211D25BCCDE4}" userId="S::robbie.timmer@enexis.nl::b89f63d6-8fdc-4304-bd24-3c17be0e3614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3" dT="2019-12-28T13:17:13.27" personId="{4A6E399D-B20A-443B-B874-211D25BCCDE4}" id="{7D3156E4-6B02-487C-81F2-77D804A238A7}">
    <text>Fill in the number of surveyors you currently have bought.</text>
  </threadedComment>
  <threadedComment ref="T3" dT="2019-12-28T13:17:48.85" personId="{4A6E399D-B20A-443B-B874-211D25BCCDE4}" id="{048C882E-21D9-40A3-B60E-87E9A05B646C}">
    <text>Choose the unit for gold (m, B, T, Qa)</text>
  </threadedComment>
  <threadedComment ref="U3" dT="2019-12-28T13:18:30.10" personId="{4A6E399D-B20A-443B-B874-211D25BCCDE4}" id="{190A94DE-FD8A-489D-956E-39B88C99442E}">
    <text>Fill in the current tile cost denominated in the unit to the left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99AEB-E0A9-4CD0-8CA3-1D0F4C3CBA26}">
  <dimension ref="B1:AM90"/>
  <sheetViews>
    <sheetView tabSelected="1" zoomScale="85" zoomScaleNormal="85" workbookViewId="0">
      <pane ySplit="2" topLeftCell="A45" activePane="bottomLeft" state="frozen"/>
      <selection pane="bottomLeft" activeCell="C89" sqref="C89"/>
    </sheetView>
  </sheetViews>
  <sheetFormatPr defaultRowHeight="14.4" x14ac:dyDescent="0.3"/>
  <cols>
    <col min="1" max="1" width="2" customWidth="1"/>
    <col min="2" max="2" width="9.21875" customWidth="1"/>
    <col min="3" max="3" width="9.88671875" customWidth="1"/>
    <col min="4" max="4" width="9.6640625" customWidth="1"/>
    <col min="5" max="5" width="11.77734375" customWidth="1"/>
    <col min="6" max="6" width="11.44140625" customWidth="1"/>
    <col min="7" max="7" width="12" customWidth="1"/>
    <col min="8" max="8" width="13.21875" customWidth="1"/>
    <col min="9" max="9" width="12.88671875" bestFit="1" customWidth="1"/>
    <col min="10" max="10" width="11" customWidth="1"/>
    <col min="11" max="11" width="14.33203125" bestFit="1" customWidth="1"/>
    <col min="12" max="12" width="11.33203125" bestFit="1" customWidth="1"/>
    <col min="13" max="13" width="12.88671875" customWidth="1"/>
    <col min="14" max="14" width="13.5546875" customWidth="1"/>
    <col min="15" max="15" width="15.109375" bestFit="1" customWidth="1"/>
    <col min="16" max="16" width="5.5546875" bestFit="1" customWidth="1"/>
    <col min="17" max="17" width="15.109375" bestFit="1" customWidth="1"/>
    <col min="18" max="18" width="9" bestFit="1" customWidth="1"/>
    <col min="19" max="19" width="7.33203125" bestFit="1" customWidth="1"/>
    <col min="20" max="20" width="12.21875" bestFit="1" customWidth="1"/>
    <col min="21" max="21" width="8.109375" bestFit="1" customWidth="1"/>
    <col min="22" max="22" width="9" bestFit="1" customWidth="1"/>
    <col min="23" max="23" width="11.21875" customWidth="1"/>
    <col min="24" max="24" width="8.21875" bestFit="1" customWidth="1"/>
    <col min="25" max="25" width="10.21875" bestFit="1" customWidth="1"/>
    <col min="26" max="26" width="12.77734375" customWidth="1"/>
    <col min="27" max="27" width="11.33203125" bestFit="1" customWidth="1"/>
    <col min="28" max="28" width="12.44140625" bestFit="1" customWidth="1"/>
    <col min="29" max="29" width="13.5546875" bestFit="1" customWidth="1"/>
    <col min="30" max="31" width="14.6640625" bestFit="1" customWidth="1"/>
    <col min="32" max="32" width="15.6640625" bestFit="1" customWidth="1"/>
    <col min="33" max="36" width="15.33203125" customWidth="1"/>
  </cols>
  <sheetData>
    <row r="1" spans="2:39" x14ac:dyDescent="0.3">
      <c r="F1" s="191" t="s">
        <v>0</v>
      </c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3"/>
      <c r="R1" s="194" t="s">
        <v>1</v>
      </c>
      <c r="S1" s="195"/>
      <c r="T1" s="196"/>
      <c r="U1" s="194" t="s">
        <v>2</v>
      </c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6"/>
    </row>
    <row r="2" spans="2:39" x14ac:dyDescent="0.3">
      <c r="B2" s="1">
        <v>16</v>
      </c>
      <c r="C2" s="2">
        <v>15</v>
      </c>
      <c r="D2" s="2">
        <v>14</v>
      </c>
      <c r="E2" s="2">
        <v>13</v>
      </c>
      <c r="F2" s="1">
        <v>12</v>
      </c>
      <c r="G2" s="2">
        <v>11</v>
      </c>
      <c r="H2" s="2">
        <v>10</v>
      </c>
      <c r="I2" s="2">
        <v>9</v>
      </c>
      <c r="J2" s="2">
        <v>8</v>
      </c>
      <c r="K2" s="2">
        <v>7</v>
      </c>
      <c r="L2" s="2">
        <v>6</v>
      </c>
      <c r="M2" s="2">
        <v>5</v>
      </c>
      <c r="N2" s="2">
        <v>4</v>
      </c>
      <c r="O2" s="2">
        <v>3</v>
      </c>
      <c r="P2" s="2">
        <v>2</v>
      </c>
      <c r="Q2" s="3">
        <v>1</v>
      </c>
      <c r="R2" s="1" t="s">
        <v>3</v>
      </c>
      <c r="S2" s="2" t="str">
        <f>"cost ("&amp;T3&amp;")"</f>
        <v>cost (m)</v>
      </c>
      <c r="T2" s="3" t="str">
        <f>"_total ("&amp;T3&amp;")"</f>
        <v>_total (m)</v>
      </c>
      <c r="U2" s="4">
        <v>1</v>
      </c>
      <c r="V2" s="4">
        <v>2</v>
      </c>
      <c r="W2" s="4">
        <v>3</v>
      </c>
      <c r="X2" s="4">
        <v>4</v>
      </c>
      <c r="Y2" s="4">
        <v>5</v>
      </c>
      <c r="Z2" s="4">
        <v>6</v>
      </c>
      <c r="AA2" s="4">
        <v>7</v>
      </c>
      <c r="AB2" s="4">
        <v>8</v>
      </c>
      <c r="AC2" s="4">
        <v>9</v>
      </c>
      <c r="AD2" s="4">
        <v>10</v>
      </c>
      <c r="AE2" s="2">
        <v>11</v>
      </c>
      <c r="AF2" s="3">
        <v>12</v>
      </c>
      <c r="AG2" s="4">
        <v>13</v>
      </c>
      <c r="AH2" s="4">
        <v>14</v>
      </c>
      <c r="AI2" s="2">
        <v>15</v>
      </c>
      <c r="AJ2" s="3">
        <v>16</v>
      </c>
    </row>
    <row r="3" spans="2:39" x14ac:dyDescent="0.3">
      <c r="B3" s="5">
        <f t="shared" ref="B3:Q12" ca="1" si="0">SUM(INDIRECT(ADDRESS(ROW(),COLUMN($T:$T))&amp;":"&amp;ADDRESS(ROW(),COLUMN($T:$T)+B$2)))</f>
        <v>8106963326226800</v>
      </c>
      <c r="C3" s="6">
        <f t="shared" ca="1" si="0"/>
        <v>900773702914085</v>
      </c>
      <c r="D3" s="6">
        <f t="shared" ca="1" si="0"/>
        <v>100085966990450</v>
      </c>
      <c r="E3" s="6">
        <f t="shared" ca="1" si="0"/>
        <v>11120662998935</v>
      </c>
      <c r="F3" s="5">
        <f t="shared" ca="1" si="0"/>
        <v>1235629222100</v>
      </c>
      <c r="G3" s="6">
        <f t="shared" ca="1" si="0"/>
        <v>137292135785</v>
      </c>
      <c r="H3" s="6">
        <f t="shared" ca="1" si="0"/>
        <v>15254681750</v>
      </c>
      <c r="I3" s="6">
        <f t="shared" ca="1" si="0"/>
        <v>1694964635</v>
      </c>
      <c r="J3" s="6">
        <f t="shared" ca="1" si="0"/>
        <v>188329400</v>
      </c>
      <c r="K3" s="6">
        <f t="shared" ca="1" si="0"/>
        <v>20925485</v>
      </c>
      <c r="L3" s="6">
        <f t="shared" ca="1" si="0"/>
        <v>2325050</v>
      </c>
      <c r="M3" s="6">
        <f t="shared" ca="1" si="0"/>
        <v>258335</v>
      </c>
      <c r="N3" s="6">
        <f t="shared" ca="1" si="0"/>
        <v>28700</v>
      </c>
      <c r="O3" s="6">
        <f t="shared" ca="1" si="0"/>
        <v>3185</v>
      </c>
      <c r="P3" s="6">
        <f t="shared" ca="1" si="0"/>
        <v>350</v>
      </c>
      <c r="Q3" s="7">
        <f t="shared" ca="1" si="0"/>
        <v>35</v>
      </c>
      <c r="R3" s="8">
        <v>0</v>
      </c>
      <c r="S3" s="186"/>
      <c r="T3" s="118" t="s">
        <v>13</v>
      </c>
      <c r="U3" s="118">
        <v>35</v>
      </c>
      <c r="V3" s="10">
        <f>9*U3</f>
        <v>315</v>
      </c>
      <c r="W3" s="10">
        <f t="shared" ref="V3:AJ18" si="1">9*V3</f>
        <v>2835</v>
      </c>
      <c r="X3" s="10">
        <f t="shared" si="1"/>
        <v>25515</v>
      </c>
      <c r="Y3" s="10">
        <f t="shared" si="1"/>
        <v>229635</v>
      </c>
      <c r="Z3" s="10">
        <f t="shared" si="1"/>
        <v>2066715</v>
      </c>
      <c r="AA3" s="10">
        <f t="shared" si="1"/>
        <v>18600435</v>
      </c>
      <c r="AB3" s="10">
        <f t="shared" si="1"/>
        <v>167403915</v>
      </c>
      <c r="AC3" s="10">
        <f t="shared" si="1"/>
        <v>1506635235</v>
      </c>
      <c r="AD3" s="10">
        <f t="shared" si="1"/>
        <v>13559717115</v>
      </c>
      <c r="AE3" s="10">
        <f t="shared" si="1"/>
        <v>122037454035</v>
      </c>
      <c r="AF3" s="11">
        <f t="shared" si="1"/>
        <v>1098337086315</v>
      </c>
      <c r="AG3" s="10">
        <f t="shared" si="1"/>
        <v>9885033776835</v>
      </c>
      <c r="AH3" s="10">
        <f t="shared" si="1"/>
        <v>88965303991515</v>
      </c>
      <c r="AI3" s="10">
        <f t="shared" si="1"/>
        <v>800687735923635</v>
      </c>
      <c r="AJ3" s="11">
        <f t="shared" si="1"/>
        <v>7206189623312715</v>
      </c>
      <c r="AL3" s="105" t="s">
        <v>13</v>
      </c>
      <c r="AM3">
        <v>1</v>
      </c>
    </row>
    <row r="4" spans="2:39" x14ac:dyDescent="0.3">
      <c r="B4" s="12">
        <f t="shared" ca="1" si="0"/>
        <v>4053481663113401</v>
      </c>
      <c r="C4" s="13">
        <f t="shared" ca="1" si="0"/>
        <v>450386851457043.5</v>
      </c>
      <c r="D4" s="13">
        <f t="shared" ca="1" si="0"/>
        <v>50042983495226</v>
      </c>
      <c r="E4" s="13">
        <f t="shared" ca="1" si="0"/>
        <v>5560331499468.5</v>
      </c>
      <c r="F4" s="12">
        <f t="shared" ca="1" si="0"/>
        <v>617814611051</v>
      </c>
      <c r="G4" s="13">
        <f t="shared" ca="1" si="0"/>
        <v>68646067893.5</v>
      </c>
      <c r="H4" s="13">
        <f t="shared" ca="1" si="0"/>
        <v>7627340876</v>
      </c>
      <c r="I4" s="13">
        <f t="shared" ca="1" si="0"/>
        <v>847482318.5</v>
      </c>
      <c r="J4" s="13">
        <f t="shared" ca="1" si="0"/>
        <v>94164701</v>
      </c>
      <c r="K4" s="13">
        <f t="shared" ca="1" si="0"/>
        <v>10462743.5</v>
      </c>
      <c r="L4" s="13">
        <f t="shared" ca="1" si="0"/>
        <v>1162526</v>
      </c>
      <c r="M4" s="13">
        <f t="shared" ca="1" si="0"/>
        <v>129168.5</v>
      </c>
      <c r="N4" s="13">
        <f t="shared" ca="1" si="0"/>
        <v>14351</v>
      </c>
      <c r="O4" s="13">
        <f t="shared" ca="1" si="0"/>
        <v>1593.5</v>
      </c>
      <c r="P4" s="13">
        <f t="shared" ca="1" si="0"/>
        <v>176</v>
      </c>
      <c r="Q4" s="14">
        <f t="shared" ca="1" si="0"/>
        <v>18.5</v>
      </c>
      <c r="R4" s="15">
        <f>R3+1</f>
        <v>1</v>
      </c>
      <c r="S4" s="152">
        <f t="shared" ref="S4:S47" si="2">(R4*R4-2*R4+2)*2^ROUNDDOWN((R4-1)/10,0)/$AM$8*(1-20%*American4)</f>
        <v>1</v>
      </c>
      <c r="T4" s="134">
        <f>S4</f>
        <v>1</v>
      </c>
      <c r="U4" s="17">
        <f>U3/2</f>
        <v>17.5</v>
      </c>
      <c r="V4" s="17">
        <f t="shared" si="1"/>
        <v>157.5</v>
      </c>
      <c r="W4" s="17">
        <f t="shared" si="1"/>
        <v>1417.5</v>
      </c>
      <c r="X4" s="17">
        <f t="shared" si="1"/>
        <v>12757.5</v>
      </c>
      <c r="Y4" s="17">
        <f t="shared" si="1"/>
        <v>114817.5</v>
      </c>
      <c r="Z4" s="17">
        <f t="shared" si="1"/>
        <v>1033357.5</v>
      </c>
      <c r="AA4" s="17">
        <f t="shared" si="1"/>
        <v>9300217.5</v>
      </c>
      <c r="AB4" s="17">
        <f t="shared" si="1"/>
        <v>83701957.5</v>
      </c>
      <c r="AC4" s="17">
        <f t="shared" si="1"/>
        <v>753317617.5</v>
      </c>
      <c r="AD4" s="17">
        <f t="shared" si="1"/>
        <v>6779858557.5</v>
      </c>
      <c r="AE4" s="17">
        <f t="shared" si="1"/>
        <v>61018727017.5</v>
      </c>
      <c r="AF4" s="18">
        <f t="shared" si="1"/>
        <v>549168543157.5</v>
      </c>
      <c r="AG4" s="17">
        <f t="shared" si="1"/>
        <v>4942516888417.5</v>
      </c>
      <c r="AH4" s="17">
        <f t="shared" si="1"/>
        <v>44482651995757.5</v>
      </c>
      <c r="AI4" s="17">
        <f t="shared" si="1"/>
        <v>400343867961817.5</v>
      </c>
      <c r="AJ4" s="18">
        <f t="shared" si="1"/>
        <v>3603094811656357.5</v>
      </c>
      <c r="AL4" s="105" t="s">
        <v>165</v>
      </c>
      <c r="AM4">
        <v>1000</v>
      </c>
    </row>
    <row r="5" spans="2:39" x14ac:dyDescent="0.3">
      <c r="B5" s="12">
        <f t="shared" ca="1" si="0"/>
        <v>2026740831556703</v>
      </c>
      <c r="C5" s="13">
        <f t="shared" ca="1" si="0"/>
        <v>225193425728524.25</v>
      </c>
      <c r="D5" s="13">
        <f t="shared" ca="1" si="0"/>
        <v>25021491747615.5</v>
      </c>
      <c r="E5" s="13">
        <f t="shared" ca="1" si="0"/>
        <v>2780165749736.75</v>
      </c>
      <c r="F5" s="12">
        <f t="shared" ca="1" si="0"/>
        <v>308907305528</v>
      </c>
      <c r="G5" s="13">
        <f t="shared" ca="1" si="0"/>
        <v>34323033949.25</v>
      </c>
      <c r="H5" s="13">
        <f t="shared" ca="1" si="0"/>
        <v>3813670440.5</v>
      </c>
      <c r="I5" s="13">
        <f t="shared" ca="1" si="0"/>
        <v>423741161.75</v>
      </c>
      <c r="J5" s="13">
        <f t="shared" ca="1" si="0"/>
        <v>47082353</v>
      </c>
      <c r="K5" s="13">
        <f t="shared" ca="1" si="0"/>
        <v>5231374.25</v>
      </c>
      <c r="L5" s="13">
        <f t="shared" ca="1" si="0"/>
        <v>581265.5</v>
      </c>
      <c r="M5" s="13">
        <f t="shared" ca="1" si="0"/>
        <v>64586.75</v>
      </c>
      <c r="N5" s="13">
        <f t="shared" ca="1" si="0"/>
        <v>7178</v>
      </c>
      <c r="O5" s="13">
        <f t="shared" ca="1" si="0"/>
        <v>799.25</v>
      </c>
      <c r="P5" s="13">
        <f t="shared" ca="1" si="0"/>
        <v>90.5</v>
      </c>
      <c r="Q5" s="14">
        <f t="shared" ca="1" si="0"/>
        <v>11.75</v>
      </c>
      <c r="R5" s="15">
        <f t="shared" ref="R5:R47" si="3">R4+1</f>
        <v>2</v>
      </c>
      <c r="S5" s="152">
        <f t="shared" si="2"/>
        <v>2</v>
      </c>
      <c r="T5" s="134">
        <f t="shared" ref="T5:T47" si="4">S5+T4</f>
        <v>3</v>
      </c>
      <c r="U5" s="17">
        <f t="shared" ref="U5:U47" si="5">U4/2</f>
        <v>8.75</v>
      </c>
      <c r="V5" s="17">
        <f t="shared" si="1"/>
        <v>78.75</v>
      </c>
      <c r="W5" s="17">
        <f t="shared" si="1"/>
        <v>708.75</v>
      </c>
      <c r="X5" s="17">
        <f t="shared" si="1"/>
        <v>6378.75</v>
      </c>
      <c r="Y5" s="17">
        <f t="shared" si="1"/>
        <v>57408.75</v>
      </c>
      <c r="Z5" s="17">
        <f t="shared" si="1"/>
        <v>516678.75</v>
      </c>
      <c r="AA5" s="17">
        <f t="shared" si="1"/>
        <v>4650108.75</v>
      </c>
      <c r="AB5" s="17">
        <f t="shared" si="1"/>
        <v>41850978.75</v>
      </c>
      <c r="AC5" s="17">
        <f t="shared" si="1"/>
        <v>376658808.75</v>
      </c>
      <c r="AD5" s="17">
        <f t="shared" si="1"/>
        <v>3389929278.75</v>
      </c>
      <c r="AE5" s="17">
        <f t="shared" si="1"/>
        <v>30509363508.75</v>
      </c>
      <c r="AF5" s="18">
        <f t="shared" si="1"/>
        <v>274584271578.75</v>
      </c>
      <c r="AG5" s="17">
        <f t="shared" si="1"/>
        <v>2471258444208.75</v>
      </c>
      <c r="AH5" s="17">
        <f t="shared" si="1"/>
        <v>22241325997878.75</v>
      </c>
      <c r="AI5" s="17">
        <f t="shared" si="1"/>
        <v>200171933980908.75</v>
      </c>
      <c r="AJ5" s="18">
        <f t="shared" si="1"/>
        <v>1801547405828178.8</v>
      </c>
      <c r="AL5" s="105" t="s">
        <v>180</v>
      </c>
      <c r="AM5">
        <f>AM4*1000</f>
        <v>1000000</v>
      </c>
    </row>
    <row r="6" spans="2:39" x14ac:dyDescent="0.3">
      <c r="B6" s="12">
        <f t="shared" ca="1" si="0"/>
        <v>1013370415778358</v>
      </c>
      <c r="C6" s="13">
        <f t="shared" ca="1" si="0"/>
        <v>112596712864268.63</v>
      </c>
      <c r="D6" s="13">
        <f t="shared" ca="1" si="0"/>
        <v>12510745873814.25</v>
      </c>
      <c r="E6" s="13">
        <f t="shared" ca="1" si="0"/>
        <v>1390082874874.875</v>
      </c>
      <c r="F6" s="12">
        <f t="shared" ca="1" si="0"/>
        <v>154453652770.5</v>
      </c>
      <c r="G6" s="13">
        <f t="shared" ca="1" si="0"/>
        <v>17161516981.125</v>
      </c>
      <c r="H6" s="13">
        <f t="shared" ca="1" si="0"/>
        <v>1906835226.75</v>
      </c>
      <c r="I6" s="13">
        <f t="shared" ca="1" si="0"/>
        <v>211870587.375</v>
      </c>
      <c r="J6" s="13">
        <f t="shared" ca="1" si="0"/>
        <v>23541183</v>
      </c>
      <c r="K6" s="13">
        <f t="shared" ca="1" si="0"/>
        <v>2615693.625</v>
      </c>
      <c r="L6" s="13">
        <f t="shared" ca="1" si="0"/>
        <v>290639.25</v>
      </c>
      <c r="M6" s="13">
        <f t="shared" ca="1" si="0"/>
        <v>32299.875</v>
      </c>
      <c r="N6" s="13">
        <f t="shared" ca="1" si="0"/>
        <v>3595.5</v>
      </c>
      <c r="O6" s="13">
        <f t="shared" ca="1" si="0"/>
        <v>406.125</v>
      </c>
      <c r="P6" s="13">
        <f t="shared" ca="1" si="0"/>
        <v>51.75</v>
      </c>
      <c r="Q6" s="14">
        <f t="shared" ca="1" si="0"/>
        <v>12.375</v>
      </c>
      <c r="R6" s="15">
        <f t="shared" si="3"/>
        <v>3</v>
      </c>
      <c r="S6" s="152">
        <f t="shared" si="2"/>
        <v>5</v>
      </c>
      <c r="T6" s="134">
        <f t="shared" si="4"/>
        <v>8</v>
      </c>
      <c r="U6" s="17">
        <f t="shared" si="5"/>
        <v>4.375</v>
      </c>
      <c r="V6" s="17">
        <f t="shared" si="1"/>
        <v>39.375</v>
      </c>
      <c r="W6" s="17">
        <f t="shared" si="1"/>
        <v>354.375</v>
      </c>
      <c r="X6" s="17">
        <f t="shared" si="1"/>
        <v>3189.375</v>
      </c>
      <c r="Y6" s="17">
        <f t="shared" si="1"/>
        <v>28704.375</v>
      </c>
      <c r="Z6" s="17">
        <f t="shared" si="1"/>
        <v>258339.375</v>
      </c>
      <c r="AA6" s="17">
        <f t="shared" si="1"/>
        <v>2325054.375</v>
      </c>
      <c r="AB6" s="17">
        <f t="shared" si="1"/>
        <v>20925489.375</v>
      </c>
      <c r="AC6" s="17">
        <f t="shared" si="1"/>
        <v>188329404.375</v>
      </c>
      <c r="AD6" s="17">
        <f t="shared" si="1"/>
        <v>1694964639.375</v>
      </c>
      <c r="AE6" s="17">
        <f t="shared" si="1"/>
        <v>15254681754.375</v>
      </c>
      <c r="AF6" s="18">
        <f t="shared" si="1"/>
        <v>137292135789.375</v>
      </c>
      <c r="AG6" s="17">
        <f t="shared" si="1"/>
        <v>1235629222104.375</v>
      </c>
      <c r="AH6" s="17">
        <f t="shared" si="1"/>
        <v>11120662998939.375</v>
      </c>
      <c r="AI6" s="17">
        <f t="shared" si="1"/>
        <v>100085966990454.38</v>
      </c>
      <c r="AJ6" s="18">
        <f t="shared" si="1"/>
        <v>900773702914089.38</v>
      </c>
      <c r="AL6" s="105" t="s">
        <v>194</v>
      </c>
      <c r="AM6">
        <f>AM5*1000</f>
        <v>1000000000</v>
      </c>
    </row>
    <row r="7" spans="2:39" x14ac:dyDescent="0.3">
      <c r="B7" s="12">
        <f t="shared" ca="1" si="0"/>
        <v>506685207889193</v>
      </c>
      <c r="C7" s="13">
        <f t="shared" ca="1" si="0"/>
        <v>56298356432148.313</v>
      </c>
      <c r="D7" s="13">
        <f t="shared" ca="1" si="0"/>
        <v>6255372936921.125</v>
      </c>
      <c r="E7" s="13">
        <f t="shared" ca="1" si="0"/>
        <v>695041437451.4375</v>
      </c>
      <c r="F7" s="12">
        <f t="shared" ca="1" si="0"/>
        <v>77226826399.25</v>
      </c>
      <c r="G7" s="13">
        <f t="shared" ca="1" si="0"/>
        <v>8580758504.5625</v>
      </c>
      <c r="H7" s="13">
        <f t="shared" ca="1" si="0"/>
        <v>953417627.375</v>
      </c>
      <c r="I7" s="13">
        <f t="shared" ca="1" si="0"/>
        <v>105935307.6875</v>
      </c>
      <c r="J7" s="13">
        <f t="shared" ca="1" si="0"/>
        <v>11770605.5</v>
      </c>
      <c r="K7" s="13">
        <f t="shared" ca="1" si="0"/>
        <v>1307860.8125</v>
      </c>
      <c r="L7" s="13">
        <f t="shared" ca="1" si="0"/>
        <v>145333.625</v>
      </c>
      <c r="M7" s="13">
        <f t="shared" ca="1" si="0"/>
        <v>16163.9375</v>
      </c>
      <c r="N7" s="13">
        <f t="shared" ca="1" si="0"/>
        <v>1811.75</v>
      </c>
      <c r="O7" s="13">
        <f t="shared" ca="1" si="0"/>
        <v>217.0625</v>
      </c>
      <c r="P7" s="13">
        <f t="shared" ca="1" si="0"/>
        <v>39.875</v>
      </c>
      <c r="Q7" s="14">
        <f t="shared" ca="1" si="0"/>
        <v>20.1875</v>
      </c>
      <c r="R7" s="15">
        <f t="shared" si="3"/>
        <v>4</v>
      </c>
      <c r="S7" s="152">
        <f t="shared" si="2"/>
        <v>10</v>
      </c>
      <c r="T7" s="134">
        <f t="shared" si="4"/>
        <v>18</v>
      </c>
      <c r="U7" s="17">
        <f t="shared" si="5"/>
        <v>2.1875</v>
      </c>
      <c r="V7" s="17">
        <f t="shared" si="1"/>
        <v>19.6875</v>
      </c>
      <c r="W7" s="17">
        <f t="shared" si="1"/>
        <v>177.1875</v>
      </c>
      <c r="X7" s="17">
        <f t="shared" si="1"/>
        <v>1594.6875</v>
      </c>
      <c r="Y7" s="17">
        <f t="shared" si="1"/>
        <v>14352.1875</v>
      </c>
      <c r="Z7" s="17">
        <f t="shared" si="1"/>
        <v>129169.6875</v>
      </c>
      <c r="AA7" s="17">
        <f t="shared" si="1"/>
        <v>1162527.1875</v>
      </c>
      <c r="AB7" s="17">
        <f t="shared" si="1"/>
        <v>10462744.6875</v>
      </c>
      <c r="AC7" s="17">
        <f t="shared" si="1"/>
        <v>94164702.1875</v>
      </c>
      <c r="AD7" s="17">
        <f t="shared" si="1"/>
        <v>847482319.6875</v>
      </c>
      <c r="AE7" s="17">
        <f t="shared" si="1"/>
        <v>7627340877.1875</v>
      </c>
      <c r="AF7" s="18">
        <f t="shared" si="1"/>
        <v>68646067894.6875</v>
      </c>
      <c r="AG7" s="17">
        <f t="shared" si="1"/>
        <v>617814611052.1875</v>
      </c>
      <c r="AH7" s="17">
        <f t="shared" si="1"/>
        <v>5560331499469.6875</v>
      </c>
      <c r="AI7" s="17">
        <f t="shared" si="1"/>
        <v>50042983495227.188</v>
      </c>
      <c r="AJ7" s="18">
        <f t="shared" si="1"/>
        <v>450386851457044.69</v>
      </c>
    </row>
    <row r="8" spans="2:39" x14ac:dyDescent="0.3">
      <c r="B8" s="12">
        <f t="shared" ca="1" si="0"/>
        <v>253342603944622.5</v>
      </c>
      <c r="C8" s="13">
        <f t="shared" ca="1" si="0"/>
        <v>28149178216100.156</v>
      </c>
      <c r="D8" s="13">
        <f t="shared" ca="1" si="0"/>
        <v>3127686468486.5625</v>
      </c>
      <c r="E8" s="13">
        <f t="shared" ca="1" si="0"/>
        <v>347520718751.71875</v>
      </c>
      <c r="F8" s="12">
        <f t="shared" ca="1" si="0"/>
        <v>38613413225.625</v>
      </c>
      <c r="G8" s="13">
        <f t="shared" ca="1" si="0"/>
        <v>4290379278.28125</v>
      </c>
      <c r="H8" s="13">
        <f t="shared" ca="1" si="0"/>
        <v>476708839.6875</v>
      </c>
      <c r="I8" s="13">
        <f t="shared" ca="1" si="0"/>
        <v>52967679.84375</v>
      </c>
      <c r="J8" s="13">
        <f t="shared" ca="1" si="0"/>
        <v>5885328.75</v>
      </c>
      <c r="K8" s="13">
        <f t="shared" ca="1" si="0"/>
        <v>653956.40625</v>
      </c>
      <c r="L8" s="13">
        <f t="shared" ca="1" si="0"/>
        <v>72692.8125</v>
      </c>
      <c r="M8" s="13">
        <f t="shared" ca="1" si="0"/>
        <v>8107.96875</v>
      </c>
      <c r="N8" s="13">
        <f t="shared" ca="1" si="0"/>
        <v>931.875</v>
      </c>
      <c r="O8" s="13">
        <f t="shared" ca="1" si="0"/>
        <v>134.53125</v>
      </c>
      <c r="P8" s="13">
        <f t="shared" ca="1" si="0"/>
        <v>45.9375</v>
      </c>
      <c r="Q8" s="14">
        <f t="shared" ca="1" si="0"/>
        <v>36.09375</v>
      </c>
      <c r="R8" s="15">
        <f t="shared" si="3"/>
        <v>5</v>
      </c>
      <c r="S8" s="152">
        <f t="shared" si="2"/>
        <v>17</v>
      </c>
      <c r="T8" s="134">
        <f t="shared" si="4"/>
        <v>35</v>
      </c>
      <c r="U8" s="17">
        <f t="shared" si="5"/>
        <v>1.09375</v>
      </c>
      <c r="V8" s="17">
        <f t="shared" si="1"/>
        <v>9.84375</v>
      </c>
      <c r="W8" s="17">
        <f t="shared" si="1"/>
        <v>88.59375</v>
      </c>
      <c r="X8" s="17">
        <f t="shared" si="1"/>
        <v>797.34375</v>
      </c>
      <c r="Y8" s="17">
        <f t="shared" si="1"/>
        <v>7176.09375</v>
      </c>
      <c r="Z8" s="17">
        <f t="shared" si="1"/>
        <v>64584.84375</v>
      </c>
      <c r="AA8" s="17">
        <f t="shared" si="1"/>
        <v>581263.59375</v>
      </c>
      <c r="AB8" s="17">
        <f t="shared" si="1"/>
        <v>5231372.34375</v>
      </c>
      <c r="AC8" s="17">
        <f t="shared" si="1"/>
        <v>47082351.09375</v>
      </c>
      <c r="AD8" s="17">
        <f t="shared" si="1"/>
        <v>423741159.84375</v>
      </c>
      <c r="AE8" s="17">
        <f t="shared" si="1"/>
        <v>3813670438.59375</v>
      </c>
      <c r="AF8" s="18">
        <f t="shared" si="1"/>
        <v>34323033947.34375</v>
      </c>
      <c r="AG8" s="17">
        <f t="shared" si="1"/>
        <v>308907305526.09375</v>
      </c>
      <c r="AH8" s="17">
        <f t="shared" si="1"/>
        <v>2780165749734.8438</v>
      </c>
      <c r="AI8" s="17">
        <f t="shared" si="1"/>
        <v>25021491747613.594</v>
      </c>
      <c r="AJ8" s="18">
        <f t="shared" si="1"/>
        <v>225193425728522.34</v>
      </c>
      <c r="AL8" s="137" t="str">
        <f>T3</f>
        <v>m</v>
      </c>
      <c r="AM8">
        <f>VLOOKUP(AL8,AL3:AM6,2,FALSE)</f>
        <v>1</v>
      </c>
    </row>
    <row r="9" spans="2:39" x14ac:dyDescent="0.3">
      <c r="B9" s="12">
        <f t="shared" ca="1" si="0"/>
        <v>126671301972354.75</v>
      </c>
      <c r="C9" s="13">
        <f t="shared" ca="1" si="0"/>
        <v>14074589108093.578</v>
      </c>
      <c r="D9" s="13">
        <f t="shared" ca="1" si="0"/>
        <v>1563843234286.7813</v>
      </c>
      <c r="E9" s="13">
        <f t="shared" ca="1" si="0"/>
        <v>173760359419.35938</v>
      </c>
      <c r="F9" s="12">
        <f t="shared" ca="1" si="0"/>
        <v>19306706656.3125</v>
      </c>
      <c r="G9" s="13">
        <f t="shared" ca="1" si="0"/>
        <v>2145189682.640625</v>
      </c>
      <c r="H9" s="13">
        <f t="shared" ca="1" si="0"/>
        <v>238354463.34375</v>
      </c>
      <c r="I9" s="13">
        <f t="shared" ca="1" si="0"/>
        <v>26483883.421875</v>
      </c>
      <c r="J9" s="13">
        <f t="shared" ca="1" si="0"/>
        <v>2942707.875</v>
      </c>
      <c r="K9" s="13">
        <f t="shared" ca="1" si="0"/>
        <v>327021.703125</v>
      </c>
      <c r="L9" s="13">
        <f t="shared" ca="1" si="0"/>
        <v>36389.90625</v>
      </c>
      <c r="M9" s="13">
        <f t="shared" ca="1" si="0"/>
        <v>4097.484375</v>
      </c>
      <c r="N9" s="13">
        <f t="shared" ca="1" si="0"/>
        <v>509.4375</v>
      </c>
      <c r="O9" s="13">
        <f t="shared" ca="1" si="0"/>
        <v>110.765625</v>
      </c>
      <c r="P9" s="13">
        <f t="shared" ca="1" si="0"/>
        <v>66.46875</v>
      </c>
      <c r="Q9" s="14">
        <f t="shared" ca="1" si="0"/>
        <v>61.546875</v>
      </c>
      <c r="R9" s="15">
        <f t="shared" si="3"/>
        <v>6</v>
      </c>
      <c r="S9" s="152">
        <f t="shared" si="2"/>
        <v>26</v>
      </c>
      <c r="T9" s="134">
        <f t="shared" si="4"/>
        <v>61</v>
      </c>
      <c r="U9" s="17">
        <f t="shared" si="5"/>
        <v>0.546875</v>
      </c>
      <c r="V9" s="17">
        <f t="shared" si="1"/>
        <v>4.921875</v>
      </c>
      <c r="W9" s="17">
        <f t="shared" si="1"/>
        <v>44.296875</v>
      </c>
      <c r="X9" s="17">
        <f t="shared" si="1"/>
        <v>398.671875</v>
      </c>
      <c r="Y9" s="17">
        <f t="shared" si="1"/>
        <v>3588.046875</v>
      </c>
      <c r="Z9" s="17">
        <f t="shared" si="1"/>
        <v>32292.421875</v>
      </c>
      <c r="AA9" s="17">
        <f t="shared" si="1"/>
        <v>290631.796875</v>
      </c>
      <c r="AB9" s="17">
        <f t="shared" si="1"/>
        <v>2615686.171875</v>
      </c>
      <c r="AC9" s="17">
        <f t="shared" si="1"/>
        <v>23541175.546875</v>
      </c>
      <c r="AD9" s="17">
        <f t="shared" si="1"/>
        <v>211870579.921875</v>
      </c>
      <c r="AE9" s="17">
        <f t="shared" si="1"/>
        <v>1906835219.296875</v>
      </c>
      <c r="AF9" s="18">
        <f t="shared" si="1"/>
        <v>17161516973.671875</v>
      </c>
      <c r="AG9" s="17">
        <f t="shared" si="1"/>
        <v>154453652763.04688</v>
      </c>
      <c r="AH9" s="17">
        <f t="shared" si="1"/>
        <v>1390082874867.4219</v>
      </c>
      <c r="AI9" s="17">
        <f t="shared" si="1"/>
        <v>12510745873806.797</v>
      </c>
      <c r="AJ9" s="18">
        <f t="shared" si="1"/>
        <v>112596712864261.17</v>
      </c>
    </row>
    <row r="10" spans="2:39" x14ac:dyDescent="0.3">
      <c r="B10" s="12">
        <f t="shared" ca="1" si="0"/>
        <v>63335650986244.875</v>
      </c>
      <c r="C10" s="13">
        <f t="shared" ca="1" si="0"/>
        <v>7037294554114.2891</v>
      </c>
      <c r="D10" s="13">
        <f t="shared" ca="1" si="0"/>
        <v>781921617210.89063</v>
      </c>
      <c r="E10" s="13">
        <f t="shared" ca="1" si="0"/>
        <v>86880179777.179688</v>
      </c>
      <c r="F10" s="12">
        <f t="shared" ca="1" si="0"/>
        <v>9653353395.65625</v>
      </c>
      <c r="G10" s="13">
        <f t="shared" ca="1" si="0"/>
        <v>1072594908.8203125</v>
      </c>
      <c r="H10" s="13">
        <f t="shared" ca="1" si="0"/>
        <v>119177299.171875</v>
      </c>
      <c r="I10" s="13">
        <f t="shared" ca="1" si="0"/>
        <v>13242009.2109375</v>
      </c>
      <c r="J10" s="13">
        <f t="shared" ca="1" si="0"/>
        <v>1471421.4375</v>
      </c>
      <c r="K10" s="13">
        <f t="shared" ca="1" si="0"/>
        <v>163578.3515625</v>
      </c>
      <c r="L10" s="13">
        <f t="shared" ca="1" si="0"/>
        <v>18262.453125</v>
      </c>
      <c r="M10" s="13">
        <f t="shared" ca="1" si="0"/>
        <v>2116.2421875</v>
      </c>
      <c r="N10" s="13">
        <f t="shared" ca="1" si="0"/>
        <v>322.21875</v>
      </c>
      <c r="O10" s="13">
        <f t="shared" ca="1" si="0"/>
        <v>122.8828125</v>
      </c>
      <c r="P10" s="13">
        <f t="shared" ca="1" si="0"/>
        <v>100.734375</v>
      </c>
      <c r="Q10" s="14">
        <f t="shared" ca="1" si="0"/>
        <v>98.2734375</v>
      </c>
      <c r="R10" s="15">
        <f t="shared" si="3"/>
        <v>7</v>
      </c>
      <c r="S10" s="152">
        <f t="shared" si="2"/>
        <v>37</v>
      </c>
      <c r="T10" s="134">
        <f t="shared" si="4"/>
        <v>98</v>
      </c>
      <c r="U10" s="17">
        <f t="shared" si="5"/>
        <v>0.2734375</v>
      </c>
      <c r="V10" s="17">
        <f t="shared" si="1"/>
        <v>2.4609375</v>
      </c>
      <c r="W10" s="17">
        <f t="shared" si="1"/>
        <v>22.1484375</v>
      </c>
      <c r="X10" s="17">
        <f t="shared" si="1"/>
        <v>199.3359375</v>
      </c>
      <c r="Y10" s="17">
        <f t="shared" si="1"/>
        <v>1794.0234375</v>
      </c>
      <c r="Z10" s="17">
        <f t="shared" si="1"/>
        <v>16146.2109375</v>
      </c>
      <c r="AA10" s="17">
        <f t="shared" si="1"/>
        <v>145315.8984375</v>
      </c>
      <c r="AB10" s="17">
        <f t="shared" si="1"/>
        <v>1307843.0859375</v>
      </c>
      <c r="AC10" s="17">
        <f t="shared" si="1"/>
        <v>11770587.7734375</v>
      </c>
      <c r="AD10" s="17">
        <f t="shared" si="1"/>
        <v>105935289.9609375</v>
      </c>
      <c r="AE10" s="17">
        <f t="shared" si="1"/>
        <v>953417609.6484375</v>
      </c>
      <c r="AF10" s="18">
        <f t="shared" si="1"/>
        <v>8580758486.8359375</v>
      </c>
      <c r="AG10" s="17">
        <f t="shared" si="1"/>
        <v>77226826381.523438</v>
      </c>
      <c r="AH10" s="17">
        <f t="shared" si="1"/>
        <v>695041437433.71094</v>
      </c>
      <c r="AI10" s="17">
        <f t="shared" si="1"/>
        <v>6255372936903.3984</v>
      </c>
      <c r="AJ10" s="18">
        <f t="shared" si="1"/>
        <v>56298356432130.586</v>
      </c>
    </row>
    <row r="11" spans="2:39" x14ac:dyDescent="0.3">
      <c r="B11" s="12">
        <f t="shared" ca="1" si="0"/>
        <v>31667825493221.438</v>
      </c>
      <c r="C11" s="13">
        <f t="shared" ca="1" si="0"/>
        <v>3518647277156.1445</v>
      </c>
      <c r="D11" s="13">
        <f t="shared" ca="1" si="0"/>
        <v>390960808704.44531</v>
      </c>
      <c r="E11" s="13">
        <f t="shared" ca="1" si="0"/>
        <v>43440089987.589844</v>
      </c>
      <c r="F11" s="12">
        <f t="shared" ca="1" si="0"/>
        <v>4826676796.828125</v>
      </c>
      <c r="G11" s="13">
        <f t="shared" ca="1" si="0"/>
        <v>536297553.41015625</v>
      </c>
      <c r="H11" s="13">
        <f t="shared" ca="1" si="0"/>
        <v>59588748.5859375</v>
      </c>
      <c r="I11" s="13">
        <f t="shared" ca="1" si="0"/>
        <v>6621103.60546875</v>
      </c>
      <c r="J11" s="13">
        <f t="shared" ca="1" si="0"/>
        <v>735809.71875</v>
      </c>
      <c r="K11" s="13">
        <f t="shared" ca="1" si="0"/>
        <v>81888.17578125</v>
      </c>
      <c r="L11" s="13">
        <f t="shared" ca="1" si="0"/>
        <v>9230.2265625</v>
      </c>
      <c r="M11" s="13">
        <f t="shared" ca="1" si="0"/>
        <v>1157.12109375</v>
      </c>
      <c r="N11" s="13">
        <f t="shared" ca="1" si="0"/>
        <v>260.109375</v>
      </c>
      <c r="O11" s="13">
        <f t="shared" ca="1" si="0"/>
        <v>160.44140625</v>
      </c>
      <c r="P11" s="13">
        <f t="shared" ca="1" si="0"/>
        <v>149.3671875</v>
      </c>
      <c r="Q11" s="14">
        <f t="shared" ca="1" si="0"/>
        <v>148.13671875</v>
      </c>
      <c r="R11" s="15">
        <f t="shared" si="3"/>
        <v>8</v>
      </c>
      <c r="S11" s="152">
        <f t="shared" si="2"/>
        <v>50</v>
      </c>
      <c r="T11" s="134">
        <f t="shared" si="4"/>
        <v>148</v>
      </c>
      <c r="U11" s="17">
        <f t="shared" si="5"/>
        <v>0.13671875</v>
      </c>
      <c r="V11" s="17">
        <f t="shared" si="1"/>
        <v>1.23046875</v>
      </c>
      <c r="W11" s="17">
        <f t="shared" si="1"/>
        <v>11.07421875</v>
      </c>
      <c r="X11" s="17">
        <f t="shared" si="1"/>
        <v>99.66796875</v>
      </c>
      <c r="Y11" s="17">
        <f t="shared" si="1"/>
        <v>897.01171875</v>
      </c>
      <c r="Z11" s="17">
        <f t="shared" si="1"/>
        <v>8073.10546875</v>
      </c>
      <c r="AA11" s="17">
        <f t="shared" si="1"/>
        <v>72657.94921875</v>
      </c>
      <c r="AB11" s="17">
        <f t="shared" si="1"/>
        <v>653921.54296875</v>
      </c>
      <c r="AC11" s="17">
        <f t="shared" si="1"/>
        <v>5885293.88671875</v>
      </c>
      <c r="AD11" s="17">
        <f t="shared" si="1"/>
        <v>52967644.98046875</v>
      </c>
      <c r="AE11" s="17">
        <f t="shared" si="1"/>
        <v>476708804.82421875</v>
      </c>
      <c r="AF11" s="18">
        <f t="shared" si="1"/>
        <v>4290379243.4179688</v>
      </c>
      <c r="AG11" s="17">
        <f t="shared" si="1"/>
        <v>38613413190.761719</v>
      </c>
      <c r="AH11" s="17">
        <f t="shared" si="1"/>
        <v>347520718716.85547</v>
      </c>
      <c r="AI11" s="17">
        <f t="shared" si="1"/>
        <v>3127686468451.6992</v>
      </c>
      <c r="AJ11" s="18">
        <f t="shared" si="1"/>
        <v>28149178216065.293</v>
      </c>
    </row>
    <row r="12" spans="2:39" x14ac:dyDescent="0.3">
      <c r="B12" s="12">
        <f t="shared" ca="1" si="0"/>
        <v>15833912746749.719</v>
      </c>
      <c r="C12" s="13">
        <f t="shared" ca="1" si="0"/>
        <v>1759323638717.0723</v>
      </c>
      <c r="D12" s="13">
        <f t="shared" ca="1" si="0"/>
        <v>195480404491.22266</v>
      </c>
      <c r="E12" s="13">
        <f t="shared" ca="1" si="0"/>
        <v>21720045132.794922</v>
      </c>
      <c r="F12" s="12">
        <f t="shared" ca="1" si="0"/>
        <v>2413338537.4140625</v>
      </c>
      <c r="G12" s="13">
        <f t="shared" ca="1" si="0"/>
        <v>268148915.70507813</v>
      </c>
      <c r="H12" s="13">
        <f t="shared" ca="1" si="0"/>
        <v>29794513.29296875</v>
      </c>
      <c r="I12" s="13">
        <f t="shared" ca="1" si="0"/>
        <v>3310690.802734375</v>
      </c>
      <c r="J12" s="13">
        <f t="shared" ca="1" si="0"/>
        <v>368043.859375</v>
      </c>
      <c r="K12" s="13">
        <f t="shared" ca="1" si="0"/>
        <v>41083.087890625</v>
      </c>
      <c r="L12" s="13">
        <f t="shared" ca="1" si="0"/>
        <v>4754.11328125</v>
      </c>
      <c r="M12" s="13">
        <f t="shared" ca="1" si="0"/>
        <v>717.560546875</v>
      </c>
      <c r="N12" s="13">
        <f t="shared" ca="1" si="0"/>
        <v>269.0546875</v>
      </c>
      <c r="O12" s="13">
        <f t="shared" ca="1" si="0"/>
        <v>219.220703125</v>
      </c>
      <c r="P12" s="13">
        <f t="shared" ca="1" si="0"/>
        <v>213.68359375</v>
      </c>
      <c r="Q12" s="14">
        <f t="shared" ca="1" si="0"/>
        <v>213.068359375</v>
      </c>
      <c r="R12" s="15">
        <f t="shared" si="3"/>
        <v>9</v>
      </c>
      <c r="S12" s="152">
        <f t="shared" si="2"/>
        <v>65</v>
      </c>
      <c r="T12" s="134">
        <f t="shared" si="4"/>
        <v>213</v>
      </c>
      <c r="U12" s="17">
        <f t="shared" si="5"/>
        <v>6.8359375E-2</v>
      </c>
      <c r="V12" s="17">
        <f t="shared" si="1"/>
        <v>0.615234375</v>
      </c>
      <c r="W12" s="17">
        <f t="shared" si="1"/>
        <v>5.537109375</v>
      </c>
      <c r="X12" s="17">
        <f t="shared" si="1"/>
        <v>49.833984375</v>
      </c>
      <c r="Y12" s="17">
        <f t="shared" si="1"/>
        <v>448.505859375</v>
      </c>
      <c r="Z12" s="17">
        <f t="shared" si="1"/>
        <v>4036.552734375</v>
      </c>
      <c r="AA12" s="17">
        <f t="shared" si="1"/>
        <v>36328.974609375</v>
      </c>
      <c r="AB12" s="17">
        <f t="shared" si="1"/>
        <v>326960.771484375</v>
      </c>
      <c r="AC12" s="17">
        <f t="shared" si="1"/>
        <v>2942646.943359375</v>
      </c>
      <c r="AD12" s="17">
        <f t="shared" si="1"/>
        <v>26483822.490234375</v>
      </c>
      <c r="AE12" s="17">
        <f t="shared" si="1"/>
        <v>238354402.41210938</v>
      </c>
      <c r="AF12" s="18">
        <f t="shared" si="1"/>
        <v>2145189621.7089844</v>
      </c>
      <c r="AG12" s="17">
        <f t="shared" si="1"/>
        <v>19306706595.380859</v>
      </c>
      <c r="AH12" s="17">
        <f t="shared" si="1"/>
        <v>173760359358.42773</v>
      </c>
      <c r="AI12" s="17">
        <f t="shared" si="1"/>
        <v>1563843234225.8496</v>
      </c>
      <c r="AJ12" s="18">
        <f t="shared" si="1"/>
        <v>14074589108032.646</v>
      </c>
    </row>
    <row r="13" spans="2:39" x14ac:dyDescent="0.3">
      <c r="B13" s="12">
        <f t="shared" ref="B13:Q28" ca="1" si="6">SUM(INDIRECT(ADDRESS(ROW(),COLUMN($T:$T))&amp;":"&amp;ADDRESS(ROW(),COLUMN($T:$T)+B$2)))</f>
        <v>7916956373563.3594</v>
      </c>
      <c r="C13" s="13">
        <f t="shared" ca="1" si="6"/>
        <v>879661819547.03613</v>
      </c>
      <c r="D13" s="13">
        <f t="shared" ca="1" si="6"/>
        <v>97740202434.111328</v>
      </c>
      <c r="E13" s="13">
        <f t="shared" ca="1" si="6"/>
        <v>10860022754.897461</v>
      </c>
      <c r="F13" s="12">
        <f t="shared" ca="1" si="6"/>
        <v>1206669457.2070313</v>
      </c>
      <c r="G13" s="13">
        <f t="shared" ca="1" si="6"/>
        <v>134074646.35253906</v>
      </c>
      <c r="H13" s="13">
        <f t="shared" ca="1" si="6"/>
        <v>14897445.146484375</v>
      </c>
      <c r="I13" s="13">
        <f t="shared" ca="1" si="6"/>
        <v>1655533.9013671875</v>
      </c>
      <c r="J13" s="13">
        <f t="shared" ca="1" si="6"/>
        <v>184210.4296875</v>
      </c>
      <c r="K13" s="13">
        <f t="shared" ca="1" si="6"/>
        <v>20730.0439453125</v>
      </c>
      <c r="L13" s="13">
        <f t="shared" ca="1" si="6"/>
        <v>2565.556640625</v>
      </c>
      <c r="M13" s="13">
        <f t="shared" ca="1" si="6"/>
        <v>547.2802734375</v>
      </c>
      <c r="N13" s="13">
        <f t="shared" ca="1" si="6"/>
        <v>323.02734375</v>
      </c>
      <c r="O13" s="13">
        <f t="shared" ca="1" si="6"/>
        <v>298.1103515625</v>
      </c>
      <c r="P13" s="13">
        <f t="shared" ca="1" si="6"/>
        <v>295.341796875</v>
      </c>
      <c r="Q13" s="14">
        <f t="shared" ca="1" si="6"/>
        <v>295.0341796875</v>
      </c>
      <c r="R13" s="15">
        <f t="shared" si="3"/>
        <v>10</v>
      </c>
      <c r="S13" s="152">
        <f t="shared" si="2"/>
        <v>82</v>
      </c>
      <c r="T13" s="134">
        <f t="shared" si="4"/>
        <v>295</v>
      </c>
      <c r="U13" s="17">
        <f t="shared" si="5"/>
        <v>3.41796875E-2</v>
      </c>
      <c r="V13" s="17">
        <f t="shared" si="1"/>
        <v>0.3076171875</v>
      </c>
      <c r="W13" s="17">
        <f t="shared" si="1"/>
        <v>2.7685546875</v>
      </c>
      <c r="X13" s="17">
        <f t="shared" si="1"/>
        <v>24.9169921875</v>
      </c>
      <c r="Y13" s="17">
        <f t="shared" si="1"/>
        <v>224.2529296875</v>
      </c>
      <c r="Z13" s="17">
        <f t="shared" si="1"/>
        <v>2018.2763671875</v>
      </c>
      <c r="AA13" s="17">
        <f t="shared" si="1"/>
        <v>18164.4873046875</v>
      </c>
      <c r="AB13" s="17">
        <f t="shared" si="1"/>
        <v>163480.3857421875</v>
      </c>
      <c r="AC13" s="17">
        <f t="shared" si="1"/>
        <v>1471323.4716796875</v>
      </c>
      <c r="AD13" s="17">
        <f t="shared" si="1"/>
        <v>13241911.245117188</v>
      </c>
      <c r="AE13" s="17">
        <f t="shared" si="1"/>
        <v>119177201.20605469</v>
      </c>
      <c r="AF13" s="18">
        <f t="shared" si="1"/>
        <v>1072594810.8544922</v>
      </c>
      <c r="AG13" s="17">
        <f t="shared" si="1"/>
        <v>9653353297.6904297</v>
      </c>
      <c r="AH13" s="17">
        <f t="shared" si="1"/>
        <v>86880179679.213867</v>
      </c>
      <c r="AI13" s="17">
        <f t="shared" si="1"/>
        <v>781921617112.9248</v>
      </c>
      <c r="AJ13" s="18">
        <f t="shared" si="1"/>
        <v>7037294554016.3232</v>
      </c>
    </row>
    <row r="14" spans="2:39" x14ac:dyDescent="0.3">
      <c r="B14" s="12">
        <f t="shared" ca="1" si="6"/>
        <v>3958478187131.1797</v>
      </c>
      <c r="C14" s="13">
        <f t="shared" ca="1" si="6"/>
        <v>439830910123.01807</v>
      </c>
      <c r="D14" s="13">
        <f t="shared" ca="1" si="6"/>
        <v>48870101566.555664</v>
      </c>
      <c r="E14" s="13">
        <f t="shared" ca="1" si="6"/>
        <v>5430011726.9487305</v>
      </c>
      <c r="F14" s="12">
        <f t="shared" ca="1" si="6"/>
        <v>603335078.10351563</v>
      </c>
      <c r="G14" s="13">
        <f t="shared" ca="1" si="6"/>
        <v>67037672.676269531</v>
      </c>
      <c r="H14" s="13">
        <f t="shared" ca="1" si="6"/>
        <v>7449072.0732421875</v>
      </c>
      <c r="I14" s="13">
        <f t="shared" ca="1" si="6"/>
        <v>828116.45068359375</v>
      </c>
      <c r="J14" s="13">
        <f t="shared" ca="1" si="6"/>
        <v>92454.71484375</v>
      </c>
      <c r="K14" s="13">
        <f t="shared" ca="1" si="6"/>
        <v>10714.52197265625</v>
      </c>
      <c r="L14" s="13">
        <f t="shared" ca="1" si="6"/>
        <v>1632.2783203125</v>
      </c>
      <c r="M14" s="13">
        <f t="shared" ca="1" si="6"/>
        <v>623.14013671875</v>
      </c>
      <c r="N14" s="13">
        <f t="shared" ca="1" si="6"/>
        <v>511.013671875</v>
      </c>
      <c r="O14" s="13">
        <f t="shared" ca="1" si="6"/>
        <v>498.55517578125</v>
      </c>
      <c r="P14" s="13">
        <f t="shared" ca="1" si="6"/>
        <v>497.1708984375</v>
      </c>
      <c r="Q14" s="14">
        <f t="shared" ca="1" si="6"/>
        <v>497.01708984375</v>
      </c>
      <c r="R14" s="15">
        <f t="shared" si="3"/>
        <v>11</v>
      </c>
      <c r="S14" s="152">
        <f t="shared" si="2"/>
        <v>202</v>
      </c>
      <c r="T14" s="134">
        <f t="shared" si="4"/>
        <v>497</v>
      </c>
      <c r="U14" s="17">
        <f t="shared" si="5"/>
        <v>1.708984375E-2</v>
      </c>
      <c r="V14" s="17">
        <f t="shared" si="1"/>
        <v>0.15380859375</v>
      </c>
      <c r="W14" s="17">
        <f t="shared" si="1"/>
        <v>1.38427734375</v>
      </c>
      <c r="X14" s="17">
        <f t="shared" si="1"/>
        <v>12.45849609375</v>
      </c>
      <c r="Y14" s="17">
        <f t="shared" si="1"/>
        <v>112.12646484375</v>
      </c>
      <c r="Z14" s="17">
        <f t="shared" si="1"/>
        <v>1009.13818359375</v>
      </c>
      <c r="AA14" s="17">
        <f t="shared" si="1"/>
        <v>9082.24365234375</v>
      </c>
      <c r="AB14" s="17">
        <f t="shared" si="1"/>
        <v>81740.19287109375</v>
      </c>
      <c r="AC14" s="17">
        <f t="shared" si="1"/>
        <v>735661.73583984375</v>
      </c>
      <c r="AD14" s="17">
        <f t="shared" si="1"/>
        <v>6620955.6225585938</v>
      </c>
      <c r="AE14" s="17">
        <f t="shared" si="1"/>
        <v>59588600.603027344</v>
      </c>
      <c r="AF14" s="18">
        <f t="shared" si="1"/>
        <v>536297405.42724609</v>
      </c>
      <c r="AG14" s="17">
        <f t="shared" si="1"/>
        <v>4826676648.8452148</v>
      </c>
      <c r="AH14" s="17">
        <f t="shared" si="1"/>
        <v>43440089839.606934</v>
      </c>
      <c r="AI14" s="17">
        <f t="shared" si="1"/>
        <v>390960808556.4624</v>
      </c>
      <c r="AJ14" s="18">
        <f t="shared" si="1"/>
        <v>3518647277008.1616</v>
      </c>
    </row>
    <row r="15" spans="2:39" x14ac:dyDescent="0.3">
      <c r="B15" s="12">
        <f t="shared" ca="1" si="6"/>
        <v>1979239094058.0898</v>
      </c>
      <c r="C15" s="13">
        <f t="shared" ca="1" si="6"/>
        <v>219915455554.00903</v>
      </c>
      <c r="D15" s="13">
        <f t="shared" ca="1" si="6"/>
        <v>24435051275.777832</v>
      </c>
      <c r="E15" s="13">
        <f t="shared" ca="1" si="6"/>
        <v>2715006355.9743652</v>
      </c>
      <c r="F15" s="12">
        <f t="shared" ca="1" si="6"/>
        <v>301668031.55175781</v>
      </c>
      <c r="G15" s="13">
        <f t="shared" ca="1" si="6"/>
        <v>33519328.838134766</v>
      </c>
      <c r="H15" s="13">
        <f t="shared" ca="1" si="6"/>
        <v>3725028.5366210938</v>
      </c>
      <c r="I15" s="13">
        <f t="shared" ca="1" si="6"/>
        <v>414550.72534179688</v>
      </c>
      <c r="J15" s="13">
        <f t="shared" ca="1" si="6"/>
        <v>46719.857421875</v>
      </c>
      <c r="K15" s="13">
        <f t="shared" ca="1" si="6"/>
        <v>5849.760986328125</v>
      </c>
      <c r="L15" s="13">
        <f t="shared" ca="1" si="6"/>
        <v>1308.63916015625</v>
      </c>
      <c r="M15" s="13">
        <f t="shared" ca="1" si="6"/>
        <v>804.070068359375</v>
      </c>
      <c r="N15" s="13">
        <f t="shared" ca="1" si="6"/>
        <v>748.0068359375</v>
      </c>
      <c r="O15" s="13">
        <f t="shared" ca="1" si="6"/>
        <v>741.777587890625</v>
      </c>
      <c r="P15" s="13">
        <f t="shared" ca="1" si="6"/>
        <v>741.08544921875</v>
      </c>
      <c r="Q15" s="14">
        <f t="shared" ca="1" si="6"/>
        <v>741.008544921875</v>
      </c>
      <c r="R15" s="15">
        <f t="shared" si="3"/>
        <v>12</v>
      </c>
      <c r="S15" s="152">
        <f t="shared" si="2"/>
        <v>244</v>
      </c>
      <c r="T15" s="134">
        <f t="shared" si="4"/>
        <v>741</v>
      </c>
      <c r="U15" s="17">
        <f t="shared" si="5"/>
        <v>8.544921875E-3</v>
      </c>
      <c r="V15" s="17">
        <f t="shared" si="1"/>
        <v>7.6904296875E-2</v>
      </c>
      <c r="W15" s="17">
        <f t="shared" si="1"/>
        <v>0.692138671875</v>
      </c>
      <c r="X15" s="17">
        <f t="shared" si="1"/>
        <v>6.229248046875</v>
      </c>
      <c r="Y15" s="17">
        <f t="shared" si="1"/>
        <v>56.063232421875</v>
      </c>
      <c r="Z15" s="17">
        <f t="shared" si="1"/>
        <v>504.569091796875</v>
      </c>
      <c r="AA15" s="17">
        <f t="shared" si="1"/>
        <v>4541.121826171875</v>
      </c>
      <c r="AB15" s="17">
        <f t="shared" si="1"/>
        <v>40870.096435546875</v>
      </c>
      <c r="AC15" s="17">
        <f t="shared" si="1"/>
        <v>367830.86791992188</v>
      </c>
      <c r="AD15" s="17">
        <f t="shared" si="1"/>
        <v>3310477.8112792969</v>
      </c>
      <c r="AE15" s="17">
        <f t="shared" si="1"/>
        <v>29794300.301513672</v>
      </c>
      <c r="AF15" s="18">
        <f t="shared" si="1"/>
        <v>268148702.71362305</v>
      </c>
      <c r="AG15" s="17">
        <f t="shared" si="1"/>
        <v>2413338324.4226074</v>
      </c>
      <c r="AH15" s="17">
        <f t="shared" si="1"/>
        <v>21720044919.803467</v>
      </c>
      <c r="AI15" s="17">
        <f t="shared" si="1"/>
        <v>195480404278.2312</v>
      </c>
      <c r="AJ15" s="18">
        <f t="shared" si="1"/>
        <v>1759323638504.0808</v>
      </c>
    </row>
    <row r="16" spans="2:39" x14ac:dyDescent="0.3">
      <c r="B16" s="12">
        <f t="shared" ca="1" si="6"/>
        <v>989619547689.54492</v>
      </c>
      <c r="C16" s="13">
        <f t="shared" ca="1" si="6"/>
        <v>109957728437.50452</v>
      </c>
      <c r="D16" s="13">
        <f t="shared" ca="1" si="6"/>
        <v>12217526298.388916</v>
      </c>
      <c r="E16" s="13">
        <f t="shared" ca="1" si="6"/>
        <v>1357503838.4871826</v>
      </c>
      <c r="F16" s="12">
        <f t="shared" ca="1" si="6"/>
        <v>150834676.27587891</v>
      </c>
      <c r="G16" s="13">
        <f t="shared" ca="1" si="6"/>
        <v>16760324.919067383</v>
      </c>
      <c r="H16" s="13">
        <f t="shared" ca="1" si="6"/>
        <v>1863174.7683105469</v>
      </c>
      <c r="I16" s="13">
        <f t="shared" ca="1" si="6"/>
        <v>207935.86267089844</v>
      </c>
      <c r="J16" s="13">
        <f t="shared" ca="1" si="6"/>
        <v>24020.4287109375</v>
      </c>
      <c r="K16" s="13">
        <f t="shared" ca="1" si="6"/>
        <v>3585.3804931640625</v>
      </c>
      <c r="L16" s="13">
        <f t="shared" ca="1" si="6"/>
        <v>1314.819580078125</v>
      </c>
      <c r="M16" s="13">
        <f t="shared" ca="1" si="6"/>
        <v>1062.5350341796875</v>
      </c>
      <c r="N16" s="13">
        <f t="shared" ca="1" si="6"/>
        <v>1034.50341796875</v>
      </c>
      <c r="O16" s="13">
        <f t="shared" ca="1" si="6"/>
        <v>1031.3887939453125</v>
      </c>
      <c r="P16" s="13">
        <f t="shared" ca="1" si="6"/>
        <v>1031.042724609375</v>
      </c>
      <c r="Q16" s="14">
        <f t="shared" ca="1" si="6"/>
        <v>1031.0042724609375</v>
      </c>
      <c r="R16" s="15">
        <f t="shared" si="3"/>
        <v>13</v>
      </c>
      <c r="S16" s="152">
        <f t="shared" si="2"/>
        <v>290</v>
      </c>
      <c r="T16" s="134">
        <f t="shared" si="4"/>
        <v>1031</v>
      </c>
      <c r="U16" s="17">
        <f t="shared" si="5"/>
        <v>4.2724609375E-3</v>
      </c>
      <c r="V16" s="17">
        <f t="shared" si="1"/>
        <v>3.84521484375E-2</v>
      </c>
      <c r="W16" s="17">
        <f t="shared" si="1"/>
        <v>0.3460693359375</v>
      </c>
      <c r="X16" s="17">
        <f t="shared" si="1"/>
        <v>3.1146240234375</v>
      </c>
      <c r="Y16" s="17">
        <f t="shared" si="1"/>
        <v>28.0316162109375</v>
      </c>
      <c r="Z16" s="17">
        <f t="shared" si="1"/>
        <v>252.2845458984375</v>
      </c>
      <c r="AA16" s="17">
        <f t="shared" si="1"/>
        <v>2270.5609130859375</v>
      </c>
      <c r="AB16" s="17">
        <f t="shared" si="1"/>
        <v>20435.048217773438</v>
      </c>
      <c r="AC16" s="17">
        <f t="shared" si="1"/>
        <v>183915.43395996094</v>
      </c>
      <c r="AD16" s="17">
        <f t="shared" si="1"/>
        <v>1655238.9056396484</v>
      </c>
      <c r="AE16" s="17">
        <f t="shared" si="1"/>
        <v>14897150.150756836</v>
      </c>
      <c r="AF16" s="18">
        <f t="shared" si="1"/>
        <v>134074351.35681152</v>
      </c>
      <c r="AG16" s="17">
        <f t="shared" si="1"/>
        <v>1206669162.2113037</v>
      </c>
      <c r="AH16" s="17">
        <f t="shared" si="1"/>
        <v>10860022459.901733</v>
      </c>
      <c r="AI16" s="17">
        <f t="shared" si="1"/>
        <v>97740202139.115601</v>
      </c>
      <c r="AJ16" s="18">
        <f t="shared" si="1"/>
        <v>879661819252.04041</v>
      </c>
    </row>
    <row r="17" spans="2:36" x14ac:dyDescent="0.3">
      <c r="B17" s="12">
        <f t="shared" ca="1" si="6"/>
        <v>494809774700.27246</v>
      </c>
      <c r="C17" s="13">
        <f t="shared" ca="1" si="6"/>
        <v>54978865074.252258</v>
      </c>
      <c r="D17" s="13">
        <f t="shared" ca="1" si="6"/>
        <v>6108764004.694458</v>
      </c>
      <c r="E17" s="13">
        <f t="shared" ca="1" si="6"/>
        <v>678752774.74359131</v>
      </c>
      <c r="F17" s="12">
        <f t="shared" ca="1" si="6"/>
        <v>75418193.637939453</v>
      </c>
      <c r="G17" s="13">
        <f t="shared" ca="1" si="6"/>
        <v>8381017.9595336914</v>
      </c>
      <c r="H17" s="13">
        <f t="shared" ca="1" si="6"/>
        <v>932442.88415527344</v>
      </c>
      <c r="I17" s="13">
        <f t="shared" ca="1" si="6"/>
        <v>104823.43133544922</v>
      </c>
      <c r="J17" s="13">
        <f t="shared" ca="1" si="6"/>
        <v>12865.71435546875</v>
      </c>
      <c r="K17" s="13">
        <f t="shared" ca="1" si="6"/>
        <v>2648.1902465820313</v>
      </c>
      <c r="L17" s="13">
        <f t="shared" ca="1" si="6"/>
        <v>1512.9097900390625</v>
      </c>
      <c r="M17" s="13">
        <f t="shared" ca="1" si="6"/>
        <v>1386.7675170898438</v>
      </c>
      <c r="N17" s="13">
        <f t="shared" ca="1" si="6"/>
        <v>1372.751708984375</v>
      </c>
      <c r="O17" s="13">
        <f t="shared" ca="1" si="6"/>
        <v>1371.1943969726563</v>
      </c>
      <c r="P17" s="13">
        <f t="shared" ca="1" si="6"/>
        <v>1371.0213623046875</v>
      </c>
      <c r="Q17" s="14">
        <f t="shared" ca="1" si="6"/>
        <v>1371.0021362304688</v>
      </c>
      <c r="R17" s="15">
        <f t="shared" si="3"/>
        <v>14</v>
      </c>
      <c r="S17" s="152">
        <f t="shared" si="2"/>
        <v>340</v>
      </c>
      <c r="T17" s="134">
        <f t="shared" si="4"/>
        <v>1371</v>
      </c>
      <c r="U17" s="17">
        <f t="shared" si="5"/>
        <v>2.13623046875E-3</v>
      </c>
      <c r="V17" s="17">
        <f t="shared" si="1"/>
        <v>1.922607421875E-2</v>
      </c>
      <c r="W17" s="17">
        <f t="shared" si="1"/>
        <v>0.17303466796875</v>
      </c>
      <c r="X17" s="17">
        <f t="shared" si="1"/>
        <v>1.55731201171875</v>
      </c>
      <c r="Y17" s="17">
        <f t="shared" si="1"/>
        <v>14.01580810546875</v>
      </c>
      <c r="Z17" s="17">
        <f t="shared" si="1"/>
        <v>126.14227294921875</v>
      </c>
      <c r="AA17" s="17">
        <f t="shared" si="1"/>
        <v>1135.2804565429688</v>
      </c>
      <c r="AB17" s="17">
        <f t="shared" si="1"/>
        <v>10217.524108886719</v>
      </c>
      <c r="AC17" s="17">
        <f t="shared" si="1"/>
        <v>91957.716979980469</v>
      </c>
      <c r="AD17" s="17">
        <f t="shared" si="1"/>
        <v>827619.45281982422</v>
      </c>
      <c r="AE17" s="17">
        <f t="shared" si="1"/>
        <v>7448575.075378418</v>
      </c>
      <c r="AF17" s="18">
        <f t="shared" si="1"/>
        <v>67037175.678405762</v>
      </c>
      <c r="AG17" s="17">
        <f t="shared" si="1"/>
        <v>603334581.10565186</v>
      </c>
      <c r="AH17" s="17">
        <f t="shared" si="1"/>
        <v>5430011229.9508667</v>
      </c>
      <c r="AI17" s="17">
        <f t="shared" si="1"/>
        <v>48870101069.5578</v>
      </c>
      <c r="AJ17" s="18">
        <f t="shared" si="1"/>
        <v>439830909626.0202</v>
      </c>
    </row>
    <row r="18" spans="2:36" x14ac:dyDescent="0.3">
      <c r="B18" s="12">
        <f t="shared" ca="1" si="6"/>
        <v>247404888429.63623</v>
      </c>
      <c r="C18" s="13">
        <f t="shared" ca="1" si="6"/>
        <v>27489433616.626129</v>
      </c>
      <c r="D18" s="13">
        <f t="shared" ca="1" si="6"/>
        <v>3054383081.847229</v>
      </c>
      <c r="E18" s="13">
        <f t="shared" ca="1" si="6"/>
        <v>339377466.87179565</v>
      </c>
      <c r="F18" s="12">
        <f t="shared" ca="1" si="6"/>
        <v>37710176.318969727</v>
      </c>
      <c r="G18" s="13">
        <f t="shared" ca="1" si="6"/>
        <v>4191588.4797668457</v>
      </c>
      <c r="H18" s="13">
        <f t="shared" ca="1" si="6"/>
        <v>467300.94207763672</v>
      </c>
      <c r="I18" s="13">
        <f t="shared" ca="1" si="6"/>
        <v>53491.215667724609</v>
      </c>
      <c r="J18" s="13">
        <f t="shared" ca="1" si="6"/>
        <v>7512.357177734375</v>
      </c>
      <c r="K18" s="13">
        <f t="shared" ca="1" si="6"/>
        <v>2403.5951232910156</v>
      </c>
      <c r="L18" s="13">
        <f t="shared" ca="1" si="6"/>
        <v>1835.9548950195313</v>
      </c>
      <c r="M18" s="13">
        <f t="shared" ca="1" si="6"/>
        <v>1772.8837585449219</v>
      </c>
      <c r="N18" s="13">
        <f t="shared" ca="1" si="6"/>
        <v>1765.8758544921875</v>
      </c>
      <c r="O18" s="13">
        <f t="shared" ca="1" si="6"/>
        <v>1765.0971984863281</v>
      </c>
      <c r="P18" s="13">
        <f t="shared" ca="1" si="6"/>
        <v>1765.0106811523438</v>
      </c>
      <c r="Q18" s="14">
        <f t="shared" ca="1" si="6"/>
        <v>1765.0010681152344</v>
      </c>
      <c r="R18" s="15">
        <f t="shared" si="3"/>
        <v>15</v>
      </c>
      <c r="S18" s="152">
        <f t="shared" si="2"/>
        <v>394</v>
      </c>
      <c r="T18" s="134">
        <f t="shared" si="4"/>
        <v>1765</v>
      </c>
      <c r="U18" s="17">
        <f t="shared" si="5"/>
        <v>1.068115234375E-3</v>
      </c>
      <c r="V18" s="17">
        <f t="shared" si="1"/>
        <v>9.613037109375E-3</v>
      </c>
      <c r="W18" s="17">
        <f t="shared" si="1"/>
        <v>8.6517333984375E-2</v>
      </c>
      <c r="X18" s="17">
        <f t="shared" si="1"/>
        <v>0.778656005859375</v>
      </c>
      <c r="Y18" s="17">
        <f t="shared" si="1"/>
        <v>7.007904052734375</v>
      </c>
      <c r="Z18" s="17">
        <f t="shared" si="1"/>
        <v>63.071136474609375</v>
      </c>
      <c r="AA18" s="17">
        <f t="shared" si="1"/>
        <v>567.64022827148438</v>
      </c>
      <c r="AB18" s="17">
        <f t="shared" si="1"/>
        <v>5108.7620544433594</v>
      </c>
      <c r="AC18" s="17">
        <f t="shared" si="1"/>
        <v>45978.858489990234</v>
      </c>
      <c r="AD18" s="17">
        <f t="shared" si="1"/>
        <v>413809.72640991211</v>
      </c>
      <c r="AE18" s="17">
        <f t="shared" si="1"/>
        <v>3724287.537689209</v>
      </c>
      <c r="AF18" s="18">
        <f t="shared" si="1"/>
        <v>33518587.839202881</v>
      </c>
      <c r="AG18" s="17">
        <f t="shared" si="1"/>
        <v>301667290.55282593</v>
      </c>
      <c r="AH18" s="17">
        <f t="shared" si="1"/>
        <v>2715005614.9754333</v>
      </c>
      <c r="AI18" s="17">
        <f t="shared" si="1"/>
        <v>24435050534.7789</v>
      </c>
      <c r="AJ18" s="18">
        <f t="shared" si="1"/>
        <v>219915454813.0101</v>
      </c>
    </row>
    <row r="19" spans="2:36" x14ac:dyDescent="0.3">
      <c r="B19" s="12">
        <f t="shared" ca="1" si="6"/>
        <v>123702445549.31812</v>
      </c>
      <c r="C19" s="13">
        <f t="shared" ca="1" si="6"/>
        <v>13744718142.813065</v>
      </c>
      <c r="D19" s="13">
        <f t="shared" ca="1" si="6"/>
        <v>1527192875.4236145</v>
      </c>
      <c r="E19" s="13">
        <f t="shared" ca="1" si="6"/>
        <v>169690067.93589783</v>
      </c>
      <c r="F19" s="12">
        <f t="shared" ca="1" si="6"/>
        <v>18856422.659484863</v>
      </c>
      <c r="G19" s="13">
        <f t="shared" ca="1" si="6"/>
        <v>2097128.7398834229</v>
      </c>
      <c r="H19" s="13">
        <f t="shared" ca="1" si="6"/>
        <v>234984.97103881836</v>
      </c>
      <c r="I19" s="13">
        <f t="shared" ca="1" si="6"/>
        <v>28080.107833862305</v>
      </c>
      <c r="J19" s="13">
        <f t="shared" ca="1" si="6"/>
        <v>5090.6785888671875</v>
      </c>
      <c r="K19" s="13">
        <f t="shared" ca="1" si="6"/>
        <v>2536.2975616455078</v>
      </c>
      <c r="L19" s="13">
        <f t="shared" ca="1" si="6"/>
        <v>2252.4774475097656</v>
      </c>
      <c r="M19" s="13">
        <f t="shared" ca="1" si="6"/>
        <v>2220.9418792724609</v>
      </c>
      <c r="N19" s="13">
        <f t="shared" ca="1" si="6"/>
        <v>2217.4379272460938</v>
      </c>
      <c r="O19" s="13">
        <f t="shared" ca="1" si="6"/>
        <v>2217.0485992431641</v>
      </c>
      <c r="P19" s="13">
        <f t="shared" ca="1" si="6"/>
        <v>2217.0053405761719</v>
      </c>
      <c r="Q19" s="14">
        <f t="shared" ca="1" si="6"/>
        <v>2217.0005340576172</v>
      </c>
      <c r="R19" s="15">
        <f t="shared" si="3"/>
        <v>16</v>
      </c>
      <c r="S19" s="152">
        <f t="shared" si="2"/>
        <v>452</v>
      </c>
      <c r="T19" s="134">
        <f t="shared" si="4"/>
        <v>2217</v>
      </c>
      <c r="U19" s="17">
        <f t="shared" si="5"/>
        <v>5.340576171875E-4</v>
      </c>
      <c r="V19" s="17">
        <f t="shared" ref="V19:AJ35" si="7">9*U19</f>
        <v>4.8065185546875E-3</v>
      </c>
      <c r="W19" s="17">
        <f t="shared" si="7"/>
        <v>4.32586669921875E-2</v>
      </c>
      <c r="X19" s="17">
        <f t="shared" si="7"/>
        <v>0.3893280029296875</v>
      </c>
      <c r="Y19" s="17">
        <f t="shared" si="7"/>
        <v>3.5039520263671875</v>
      </c>
      <c r="Z19" s="17">
        <f t="shared" si="7"/>
        <v>31.535568237304688</v>
      </c>
      <c r="AA19" s="17">
        <f t="shared" si="7"/>
        <v>283.82011413574219</v>
      </c>
      <c r="AB19" s="17">
        <f t="shared" si="7"/>
        <v>2554.3810272216797</v>
      </c>
      <c r="AC19" s="17">
        <f t="shared" si="7"/>
        <v>22989.429244995117</v>
      </c>
      <c r="AD19" s="17">
        <f t="shared" si="7"/>
        <v>206904.86320495605</v>
      </c>
      <c r="AE19" s="17">
        <f t="shared" si="7"/>
        <v>1862143.7688446045</v>
      </c>
      <c r="AF19" s="18">
        <f t="shared" si="7"/>
        <v>16759293.91960144</v>
      </c>
      <c r="AG19" s="17">
        <f t="shared" si="7"/>
        <v>150833645.27641296</v>
      </c>
      <c r="AH19" s="17">
        <f t="shared" si="7"/>
        <v>1357502807.4877167</v>
      </c>
      <c r="AI19" s="17">
        <f t="shared" si="7"/>
        <v>12217525267.38945</v>
      </c>
      <c r="AJ19" s="18">
        <f t="shared" si="7"/>
        <v>109957727406.50505</v>
      </c>
    </row>
    <row r="20" spans="2:36" x14ac:dyDescent="0.3">
      <c r="B20" s="12">
        <f t="shared" ca="1" si="6"/>
        <v>61851224397.159058</v>
      </c>
      <c r="C20" s="13">
        <f t="shared" ca="1" si="6"/>
        <v>6872360693.9065323</v>
      </c>
      <c r="D20" s="13">
        <f t="shared" ca="1" si="6"/>
        <v>763598060.21180725</v>
      </c>
      <c r="E20" s="13">
        <f t="shared" ca="1" si="6"/>
        <v>84846656.467948914</v>
      </c>
      <c r="F20" s="12">
        <f t="shared" ca="1" si="6"/>
        <v>9429833.8297424316</v>
      </c>
      <c r="G20" s="13">
        <f t="shared" ca="1" si="6"/>
        <v>1050186.8699417114</v>
      </c>
      <c r="H20" s="13">
        <f t="shared" ca="1" si="6"/>
        <v>119114.98551940918</v>
      </c>
      <c r="I20" s="13">
        <f t="shared" ca="1" si="6"/>
        <v>15662.553916931152</v>
      </c>
      <c r="J20" s="13">
        <f t="shared" ca="1" si="6"/>
        <v>4167.8392944335938</v>
      </c>
      <c r="K20" s="13">
        <f t="shared" ca="1" si="6"/>
        <v>2890.6487808227539</v>
      </c>
      <c r="L20" s="13">
        <f t="shared" ca="1" si="6"/>
        <v>2748.7387237548828</v>
      </c>
      <c r="M20" s="13">
        <f t="shared" ca="1" si="6"/>
        <v>2732.9709396362305</v>
      </c>
      <c r="N20" s="13">
        <f t="shared" ca="1" si="6"/>
        <v>2731.2189636230469</v>
      </c>
      <c r="O20" s="13">
        <f t="shared" ca="1" si="6"/>
        <v>2731.024299621582</v>
      </c>
      <c r="P20" s="13">
        <f t="shared" ca="1" si="6"/>
        <v>2731.0026702880859</v>
      </c>
      <c r="Q20" s="14">
        <f t="shared" ca="1" si="6"/>
        <v>2731.0002670288086</v>
      </c>
      <c r="R20" s="15">
        <f t="shared" si="3"/>
        <v>17</v>
      </c>
      <c r="S20" s="152">
        <f t="shared" si="2"/>
        <v>514</v>
      </c>
      <c r="T20" s="134">
        <f t="shared" si="4"/>
        <v>2731</v>
      </c>
      <c r="U20" s="17">
        <f t="shared" si="5"/>
        <v>2.6702880859375E-4</v>
      </c>
      <c r="V20" s="17">
        <f t="shared" si="7"/>
        <v>2.40325927734375E-3</v>
      </c>
      <c r="W20" s="17">
        <f t="shared" si="7"/>
        <v>2.162933349609375E-2</v>
      </c>
      <c r="X20" s="17">
        <f t="shared" si="7"/>
        <v>0.19466400146484375</v>
      </c>
      <c r="Y20" s="17">
        <f t="shared" si="7"/>
        <v>1.7519760131835938</v>
      </c>
      <c r="Z20" s="17">
        <f t="shared" si="7"/>
        <v>15.767784118652344</v>
      </c>
      <c r="AA20" s="17">
        <f t="shared" si="7"/>
        <v>141.91005706787109</v>
      </c>
      <c r="AB20" s="17">
        <f t="shared" si="7"/>
        <v>1277.1905136108398</v>
      </c>
      <c r="AC20" s="17">
        <f t="shared" si="7"/>
        <v>11494.714622497559</v>
      </c>
      <c r="AD20" s="17">
        <f t="shared" si="7"/>
        <v>103452.43160247803</v>
      </c>
      <c r="AE20" s="17">
        <f t="shared" si="7"/>
        <v>931071.88442230225</v>
      </c>
      <c r="AF20" s="18">
        <f t="shared" si="7"/>
        <v>8379646.9598007202</v>
      </c>
      <c r="AG20" s="17">
        <f t="shared" si="7"/>
        <v>75416822.638206482</v>
      </c>
      <c r="AH20" s="17">
        <f t="shared" si="7"/>
        <v>678751403.74385834</v>
      </c>
      <c r="AI20" s="17">
        <f t="shared" si="7"/>
        <v>6108762633.694725</v>
      </c>
      <c r="AJ20" s="18">
        <f t="shared" si="7"/>
        <v>54978863703.252525</v>
      </c>
    </row>
    <row r="21" spans="2:36" x14ac:dyDescent="0.3">
      <c r="B21" s="12">
        <f t="shared" ca="1" si="6"/>
        <v>30925614144.079529</v>
      </c>
      <c r="C21" s="13">
        <f t="shared" ca="1" si="6"/>
        <v>3436182292.4532661</v>
      </c>
      <c r="D21" s="13">
        <f t="shared" ca="1" si="6"/>
        <v>381800975.60590363</v>
      </c>
      <c r="E21" s="13">
        <f t="shared" ca="1" si="6"/>
        <v>42425273.733974457</v>
      </c>
      <c r="F21" s="12">
        <f t="shared" ca="1" si="6"/>
        <v>4716862.4148712158</v>
      </c>
      <c r="G21" s="13">
        <f t="shared" ca="1" si="6"/>
        <v>527038.93497085571</v>
      </c>
      <c r="H21" s="13">
        <f t="shared" ca="1" si="6"/>
        <v>61502.99275970459</v>
      </c>
      <c r="I21" s="13">
        <f t="shared" ca="1" si="6"/>
        <v>9776.7769584655762</v>
      </c>
      <c r="J21" s="13">
        <f t="shared" ca="1" si="6"/>
        <v>4029.4196472167969</v>
      </c>
      <c r="K21" s="13">
        <f t="shared" ca="1" si="6"/>
        <v>3390.824390411377</v>
      </c>
      <c r="L21" s="13">
        <f t="shared" ca="1" si="6"/>
        <v>3319.8693618774414</v>
      </c>
      <c r="M21" s="13">
        <f t="shared" ca="1" si="6"/>
        <v>3311.9854698181152</v>
      </c>
      <c r="N21" s="13">
        <f t="shared" ca="1" si="6"/>
        <v>3311.1094818115234</v>
      </c>
      <c r="O21" s="13">
        <f t="shared" ca="1" si="6"/>
        <v>3311.012149810791</v>
      </c>
      <c r="P21" s="13">
        <f t="shared" ca="1" si="6"/>
        <v>3311.001335144043</v>
      </c>
      <c r="Q21" s="14">
        <f t="shared" ca="1" si="6"/>
        <v>3311.0001335144043</v>
      </c>
      <c r="R21" s="15">
        <f t="shared" si="3"/>
        <v>18</v>
      </c>
      <c r="S21" s="152">
        <f t="shared" si="2"/>
        <v>580</v>
      </c>
      <c r="T21" s="134">
        <f t="shared" si="4"/>
        <v>3311</v>
      </c>
      <c r="U21" s="17">
        <f t="shared" si="5"/>
        <v>1.33514404296875E-4</v>
      </c>
      <c r="V21" s="17">
        <f t="shared" si="7"/>
        <v>1.201629638671875E-3</v>
      </c>
      <c r="W21" s="17">
        <f t="shared" si="7"/>
        <v>1.0814666748046875E-2</v>
      </c>
      <c r="X21" s="17">
        <f t="shared" si="7"/>
        <v>9.7332000732421875E-2</v>
      </c>
      <c r="Y21" s="17">
        <f t="shared" si="7"/>
        <v>0.87598800659179688</v>
      </c>
      <c r="Z21" s="17">
        <f t="shared" si="7"/>
        <v>7.8838920593261719</v>
      </c>
      <c r="AA21" s="17">
        <f t="shared" si="7"/>
        <v>70.955028533935547</v>
      </c>
      <c r="AB21" s="17">
        <f t="shared" si="7"/>
        <v>638.59525680541992</v>
      </c>
      <c r="AC21" s="17">
        <f t="shared" si="7"/>
        <v>5747.3573112487793</v>
      </c>
      <c r="AD21" s="17">
        <f t="shared" si="7"/>
        <v>51726.215801239014</v>
      </c>
      <c r="AE21" s="17">
        <f t="shared" si="7"/>
        <v>465535.94221115112</v>
      </c>
      <c r="AF21" s="18">
        <f t="shared" si="7"/>
        <v>4189823.4799003601</v>
      </c>
      <c r="AG21" s="17">
        <f t="shared" si="7"/>
        <v>37708411.319103241</v>
      </c>
      <c r="AH21" s="17">
        <f t="shared" si="7"/>
        <v>339375701.87192917</v>
      </c>
      <c r="AI21" s="17">
        <f t="shared" si="7"/>
        <v>3054381316.8473625</v>
      </c>
      <c r="AJ21" s="18">
        <f t="shared" si="7"/>
        <v>27489431851.626263</v>
      </c>
    </row>
    <row r="22" spans="2:36" x14ac:dyDescent="0.3">
      <c r="B22" s="12">
        <f t="shared" ca="1" si="6"/>
        <v>15462809377.539764</v>
      </c>
      <c r="C22" s="13">
        <f t="shared" ca="1" si="6"/>
        <v>1718093451.7266331</v>
      </c>
      <c r="D22" s="13">
        <f t="shared" ca="1" si="6"/>
        <v>190902793.30295181</v>
      </c>
      <c r="E22" s="13">
        <f t="shared" ca="1" si="6"/>
        <v>21214942.366987228</v>
      </c>
      <c r="F22" s="12">
        <f t="shared" ca="1" si="6"/>
        <v>2360736.7074356079</v>
      </c>
      <c r="G22" s="13">
        <f t="shared" ca="1" si="6"/>
        <v>265824.96748542786</v>
      </c>
      <c r="H22" s="13">
        <f t="shared" ca="1" si="6"/>
        <v>33056.996379852295</v>
      </c>
      <c r="I22" s="13">
        <f t="shared" ca="1" si="6"/>
        <v>7193.8884792327881</v>
      </c>
      <c r="J22" s="13">
        <f t="shared" ca="1" si="6"/>
        <v>4320.2098236083984</v>
      </c>
      <c r="K22" s="13">
        <f t="shared" ca="1" si="6"/>
        <v>4000.9121952056885</v>
      </c>
      <c r="L22" s="13">
        <f t="shared" ca="1" si="6"/>
        <v>3965.4346809387207</v>
      </c>
      <c r="M22" s="13">
        <f t="shared" ca="1" si="6"/>
        <v>3961.4927349090576</v>
      </c>
      <c r="N22" s="13">
        <f t="shared" ca="1" si="6"/>
        <v>3961.0547409057617</v>
      </c>
      <c r="O22" s="13">
        <f t="shared" ca="1" si="6"/>
        <v>3961.0060749053955</v>
      </c>
      <c r="P22" s="13">
        <f t="shared" ca="1" si="6"/>
        <v>3961.0006675720215</v>
      </c>
      <c r="Q22" s="14">
        <f t="shared" ca="1" si="6"/>
        <v>3961.0000667572021</v>
      </c>
      <c r="R22" s="15">
        <f t="shared" si="3"/>
        <v>19</v>
      </c>
      <c r="S22" s="152">
        <f t="shared" si="2"/>
        <v>650</v>
      </c>
      <c r="T22" s="134">
        <f t="shared" si="4"/>
        <v>3961</v>
      </c>
      <c r="U22" s="17">
        <f t="shared" si="5"/>
        <v>6.67572021484375E-5</v>
      </c>
      <c r="V22" s="17">
        <f t="shared" si="7"/>
        <v>6.008148193359375E-4</v>
      </c>
      <c r="W22" s="17">
        <f t="shared" si="7"/>
        <v>5.4073333740234375E-3</v>
      </c>
      <c r="X22" s="17">
        <f t="shared" si="7"/>
        <v>4.8666000366210938E-2</v>
      </c>
      <c r="Y22" s="17">
        <f t="shared" si="7"/>
        <v>0.43799400329589844</v>
      </c>
      <c r="Z22" s="17">
        <f t="shared" si="7"/>
        <v>3.9419460296630859</v>
      </c>
      <c r="AA22" s="17">
        <f t="shared" si="7"/>
        <v>35.477514266967773</v>
      </c>
      <c r="AB22" s="17">
        <f t="shared" si="7"/>
        <v>319.29762840270996</v>
      </c>
      <c r="AC22" s="17">
        <f t="shared" si="7"/>
        <v>2873.6786556243896</v>
      </c>
      <c r="AD22" s="17">
        <f t="shared" si="7"/>
        <v>25863.107900619507</v>
      </c>
      <c r="AE22" s="17">
        <f t="shared" si="7"/>
        <v>232767.97110557556</v>
      </c>
      <c r="AF22" s="18">
        <f t="shared" si="7"/>
        <v>2094911.7399501801</v>
      </c>
      <c r="AG22" s="17">
        <f t="shared" si="7"/>
        <v>18854205.65955162</v>
      </c>
      <c r="AH22" s="17">
        <f t="shared" si="7"/>
        <v>169687850.93596458</v>
      </c>
      <c r="AI22" s="17">
        <f t="shared" si="7"/>
        <v>1527190658.4236813</v>
      </c>
      <c r="AJ22" s="18">
        <f t="shared" si="7"/>
        <v>13744715925.813131</v>
      </c>
    </row>
    <row r="23" spans="2:36" x14ac:dyDescent="0.3">
      <c r="B23" s="12">
        <f t="shared" ca="1" si="6"/>
        <v>7731407393.2698822</v>
      </c>
      <c r="C23" s="13">
        <f t="shared" ca="1" si="6"/>
        <v>859049430.36331654</v>
      </c>
      <c r="D23" s="13">
        <f t="shared" ca="1" si="6"/>
        <v>95454101.151475906</v>
      </c>
      <c r="E23" s="13">
        <f t="shared" ca="1" si="6"/>
        <v>10610175.683493614</v>
      </c>
      <c r="F23" s="12">
        <f t="shared" ca="1" si="6"/>
        <v>1183072.853717804</v>
      </c>
      <c r="G23" s="13">
        <f t="shared" ca="1" si="6"/>
        <v>135616.98374271393</v>
      </c>
      <c r="H23" s="13">
        <f t="shared" ca="1" si="6"/>
        <v>19232.998189926147</v>
      </c>
      <c r="I23" s="13">
        <f t="shared" ca="1" si="6"/>
        <v>6301.444239616394</v>
      </c>
      <c r="J23" s="13">
        <f t="shared" ca="1" si="6"/>
        <v>4864.6049118041992</v>
      </c>
      <c r="K23" s="13">
        <f t="shared" ca="1" si="6"/>
        <v>4704.9560976028442</v>
      </c>
      <c r="L23" s="13">
        <f t="shared" ca="1" si="6"/>
        <v>4687.2173404693604</v>
      </c>
      <c r="M23" s="13">
        <f t="shared" ca="1" si="6"/>
        <v>4685.2463674545288</v>
      </c>
      <c r="N23" s="13">
        <f t="shared" ca="1" si="6"/>
        <v>4685.0273704528809</v>
      </c>
      <c r="O23" s="13">
        <f t="shared" ca="1" si="6"/>
        <v>4685.0030374526978</v>
      </c>
      <c r="P23" s="13">
        <f t="shared" ca="1" si="6"/>
        <v>4685.0003337860107</v>
      </c>
      <c r="Q23" s="14">
        <f t="shared" ca="1" si="6"/>
        <v>4685.0000333786011</v>
      </c>
      <c r="R23" s="15">
        <f t="shared" si="3"/>
        <v>20</v>
      </c>
      <c r="S23" s="152">
        <f t="shared" si="2"/>
        <v>724</v>
      </c>
      <c r="T23" s="134">
        <f t="shared" si="4"/>
        <v>4685</v>
      </c>
      <c r="U23" s="17">
        <f t="shared" si="5"/>
        <v>3.337860107421875E-5</v>
      </c>
      <c r="V23" s="17">
        <f t="shared" si="7"/>
        <v>3.0040740966796875E-4</v>
      </c>
      <c r="W23" s="17">
        <f t="shared" si="7"/>
        <v>2.7036666870117188E-3</v>
      </c>
      <c r="X23" s="17">
        <f t="shared" si="7"/>
        <v>2.4333000183105469E-2</v>
      </c>
      <c r="Y23" s="17">
        <f t="shared" si="7"/>
        <v>0.21899700164794922</v>
      </c>
      <c r="Z23" s="17">
        <f t="shared" si="7"/>
        <v>1.970973014831543</v>
      </c>
      <c r="AA23" s="17">
        <f t="shared" si="7"/>
        <v>17.738757133483887</v>
      </c>
      <c r="AB23" s="17">
        <f t="shared" si="7"/>
        <v>159.64881420135498</v>
      </c>
      <c r="AC23" s="17">
        <f t="shared" si="7"/>
        <v>1436.8393278121948</v>
      </c>
      <c r="AD23" s="17">
        <f t="shared" si="7"/>
        <v>12931.553950309753</v>
      </c>
      <c r="AE23" s="17">
        <f t="shared" si="7"/>
        <v>116383.98555278778</v>
      </c>
      <c r="AF23" s="18">
        <f t="shared" si="7"/>
        <v>1047455.86997509</v>
      </c>
      <c r="AG23" s="17">
        <f t="shared" si="7"/>
        <v>9427102.8297758102</v>
      </c>
      <c r="AH23" s="17">
        <f t="shared" si="7"/>
        <v>84843925.467982292</v>
      </c>
      <c r="AI23" s="17">
        <f t="shared" si="7"/>
        <v>763595329.21184063</v>
      </c>
      <c r="AJ23" s="18">
        <f t="shared" si="7"/>
        <v>6872357962.9065657</v>
      </c>
    </row>
    <row r="24" spans="2:36" x14ac:dyDescent="0.3">
      <c r="B24" s="12">
        <f t="shared" ca="1" si="6"/>
        <v>3865707643.1349411</v>
      </c>
      <c r="C24" s="13">
        <f t="shared" ca="1" si="6"/>
        <v>429528661.68165827</v>
      </c>
      <c r="D24" s="13">
        <f t="shared" ca="1" si="6"/>
        <v>47730997.075737953</v>
      </c>
      <c r="E24" s="13">
        <f t="shared" ca="1" si="6"/>
        <v>5309034.3417468071</v>
      </c>
      <c r="F24" s="12">
        <f t="shared" ca="1" si="6"/>
        <v>595482.92685890198</v>
      </c>
      <c r="G24" s="13">
        <f t="shared" ca="1" si="6"/>
        <v>71754.991871356964</v>
      </c>
      <c r="H24" s="13">
        <f t="shared" ca="1" si="6"/>
        <v>13562.999094963074</v>
      </c>
      <c r="I24" s="13">
        <f t="shared" ca="1" si="6"/>
        <v>7097.222119808197</v>
      </c>
      <c r="J24" s="13">
        <f t="shared" ca="1" si="6"/>
        <v>6378.8024559020996</v>
      </c>
      <c r="K24" s="13">
        <f t="shared" ca="1" si="6"/>
        <v>6298.9780488014221</v>
      </c>
      <c r="L24" s="13">
        <f t="shared" ca="1" si="6"/>
        <v>6290.1086702346802</v>
      </c>
      <c r="M24" s="13">
        <f t="shared" ca="1" si="6"/>
        <v>6289.1231837272644</v>
      </c>
      <c r="N24" s="13">
        <f t="shared" ca="1" si="6"/>
        <v>6289.0136852264404</v>
      </c>
      <c r="O24" s="13">
        <f t="shared" ca="1" si="6"/>
        <v>6289.0015187263489</v>
      </c>
      <c r="P24" s="13">
        <f t="shared" ca="1" si="6"/>
        <v>6289.0001668930054</v>
      </c>
      <c r="Q24" s="14">
        <f t="shared" ca="1" si="6"/>
        <v>6289.0000166893005</v>
      </c>
      <c r="R24" s="15">
        <f t="shared" si="3"/>
        <v>21</v>
      </c>
      <c r="S24" s="152">
        <f t="shared" si="2"/>
        <v>1604</v>
      </c>
      <c r="T24" s="134">
        <f t="shared" si="4"/>
        <v>6289</v>
      </c>
      <c r="U24" s="17">
        <f t="shared" si="5"/>
        <v>1.6689300537109375E-5</v>
      </c>
      <c r="V24" s="17">
        <f t="shared" si="7"/>
        <v>1.5020370483398438E-4</v>
      </c>
      <c r="W24" s="17">
        <f t="shared" si="7"/>
        <v>1.3518333435058594E-3</v>
      </c>
      <c r="X24" s="17">
        <f t="shared" si="7"/>
        <v>1.2166500091552734E-2</v>
      </c>
      <c r="Y24" s="17">
        <f t="shared" si="7"/>
        <v>0.10949850082397461</v>
      </c>
      <c r="Z24" s="17">
        <f t="shared" si="7"/>
        <v>0.98548650741577148</v>
      </c>
      <c r="AA24" s="17">
        <f t="shared" si="7"/>
        <v>8.8693785667419434</v>
      </c>
      <c r="AB24" s="17">
        <f t="shared" si="7"/>
        <v>79.82440710067749</v>
      </c>
      <c r="AC24" s="17">
        <f t="shared" si="7"/>
        <v>718.41966390609741</v>
      </c>
      <c r="AD24" s="17">
        <f t="shared" si="7"/>
        <v>6465.7769751548767</v>
      </c>
      <c r="AE24" s="17">
        <f t="shared" si="7"/>
        <v>58191.99277639389</v>
      </c>
      <c r="AF24" s="18">
        <f t="shared" si="7"/>
        <v>523727.93498754501</v>
      </c>
      <c r="AG24" s="17">
        <f t="shared" si="7"/>
        <v>4713551.4148879051</v>
      </c>
      <c r="AH24" s="17">
        <f t="shared" si="7"/>
        <v>42421962.733991146</v>
      </c>
      <c r="AI24" s="17">
        <f t="shared" si="7"/>
        <v>381797664.60592031</v>
      </c>
      <c r="AJ24" s="18">
        <f t="shared" si="7"/>
        <v>3436178981.4532828</v>
      </c>
    </row>
    <row r="25" spans="2:36" x14ac:dyDescent="0.3">
      <c r="B25" s="12">
        <f t="shared" ca="1" si="6"/>
        <v>1932858734.0674706</v>
      </c>
      <c r="C25" s="13">
        <f t="shared" ca="1" si="6"/>
        <v>214769243.34082913</v>
      </c>
      <c r="D25" s="13">
        <f t="shared" ca="1" si="6"/>
        <v>23870411.037868977</v>
      </c>
      <c r="E25" s="13">
        <f t="shared" ca="1" si="6"/>
        <v>2659429.6708734035</v>
      </c>
      <c r="F25" s="12">
        <f t="shared" ca="1" si="6"/>
        <v>302653.96342945099</v>
      </c>
      <c r="G25" s="13">
        <f t="shared" ca="1" si="6"/>
        <v>40789.995935678482</v>
      </c>
      <c r="H25" s="13">
        <f t="shared" ca="1" si="6"/>
        <v>11693.999547481537</v>
      </c>
      <c r="I25" s="13">
        <f t="shared" ca="1" si="6"/>
        <v>8461.1110599040985</v>
      </c>
      <c r="J25" s="13">
        <f t="shared" ca="1" si="6"/>
        <v>8101.9012279510498</v>
      </c>
      <c r="K25" s="13">
        <f t="shared" ca="1" si="6"/>
        <v>8061.9890244007111</v>
      </c>
      <c r="L25" s="13">
        <f t="shared" ca="1" si="6"/>
        <v>8057.5543351173401</v>
      </c>
      <c r="M25" s="13">
        <f t="shared" ca="1" si="6"/>
        <v>8057.0615918636322</v>
      </c>
      <c r="N25" s="13">
        <f t="shared" ca="1" si="6"/>
        <v>8057.0068426132202</v>
      </c>
      <c r="O25" s="13">
        <f t="shared" ca="1" si="6"/>
        <v>8057.0007593631744</v>
      </c>
      <c r="P25" s="13">
        <f t="shared" ca="1" si="6"/>
        <v>8057.0000834465027</v>
      </c>
      <c r="Q25" s="14">
        <f t="shared" ca="1" si="6"/>
        <v>8057.0000083446503</v>
      </c>
      <c r="R25" s="15">
        <f t="shared" si="3"/>
        <v>22</v>
      </c>
      <c r="S25" s="152">
        <f t="shared" si="2"/>
        <v>1768</v>
      </c>
      <c r="T25" s="134">
        <f t="shared" si="4"/>
        <v>8057</v>
      </c>
      <c r="U25" s="17">
        <f t="shared" si="5"/>
        <v>8.3446502685546875E-6</v>
      </c>
      <c r="V25" s="17">
        <f t="shared" si="7"/>
        <v>7.5101852416992188E-5</v>
      </c>
      <c r="W25" s="17">
        <f t="shared" si="7"/>
        <v>6.7591667175292969E-4</v>
      </c>
      <c r="X25" s="17">
        <f t="shared" si="7"/>
        <v>6.0832500457763672E-3</v>
      </c>
      <c r="Y25" s="17">
        <f t="shared" si="7"/>
        <v>5.4749250411987305E-2</v>
      </c>
      <c r="Z25" s="17">
        <f t="shared" si="7"/>
        <v>0.49274325370788574</v>
      </c>
      <c r="AA25" s="17">
        <f t="shared" si="7"/>
        <v>4.4346892833709717</v>
      </c>
      <c r="AB25" s="17">
        <f t="shared" si="7"/>
        <v>39.912203550338745</v>
      </c>
      <c r="AC25" s="17">
        <f t="shared" si="7"/>
        <v>359.20983195304871</v>
      </c>
      <c r="AD25" s="17">
        <f t="shared" si="7"/>
        <v>3232.8884875774384</v>
      </c>
      <c r="AE25" s="17">
        <f t="shared" si="7"/>
        <v>29095.996388196945</v>
      </c>
      <c r="AF25" s="18">
        <f t="shared" si="7"/>
        <v>261863.96749377251</v>
      </c>
      <c r="AG25" s="17">
        <f t="shared" si="7"/>
        <v>2356775.7074439526</v>
      </c>
      <c r="AH25" s="17">
        <f t="shared" si="7"/>
        <v>21210981.366995573</v>
      </c>
      <c r="AI25" s="17">
        <f t="shared" si="7"/>
        <v>190898832.30296016</v>
      </c>
      <c r="AJ25" s="18">
        <f t="shared" si="7"/>
        <v>1718089490.7266414</v>
      </c>
    </row>
    <row r="26" spans="2:36" x14ac:dyDescent="0.3">
      <c r="B26" s="12">
        <f t="shared" ca="1" si="6"/>
        <v>966435335.53373528</v>
      </c>
      <c r="C26" s="13">
        <f t="shared" ca="1" si="6"/>
        <v>107390590.17041457</v>
      </c>
      <c r="D26" s="13">
        <f t="shared" ca="1" si="6"/>
        <v>11941174.018934488</v>
      </c>
      <c r="E26" s="13">
        <f t="shared" ca="1" si="6"/>
        <v>1335683.3354367018</v>
      </c>
      <c r="F26" s="12">
        <f t="shared" ca="1" si="6"/>
        <v>157295.48171472549</v>
      </c>
      <c r="G26" s="13">
        <f t="shared" ca="1" si="6"/>
        <v>26363.497967839241</v>
      </c>
      <c r="H26" s="13">
        <f t="shared" ca="1" si="6"/>
        <v>11815.499773740768</v>
      </c>
      <c r="I26" s="13">
        <f t="shared" ca="1" si="6"/>
        <v>10199.055529952049</v>
      </c>
      <c r="J26" s="13">
        <f t="shared" ca="1" si="6"/>
        <v>10019.450613975525</v>
      </c>
      <c r="K26" s="13">
        <f t="shared" ca="1" si="6"/>
        <v>9999.4945122003555</v>
      </c>
      <c r="L26" s="13">
        <f t="shared" ca="1" si="6"/>
        <v>9997.27716755867</v>
      </c>
      <c r="M26" s="13">
        <f t="shared" ca="1" si="6"/>
        <v>9997.0307959318161</v>
      </c>
      <c r="N26" s="13">
        <f t="shared" ca="1" si="6"/>
        <v>9997.0034213066101</v>
      </c>
      <c r="O26" s="13">
        <f t="shared" ca="1" si="6"/>
        <v>9997.0003796815872</v>
      </c>
      <c r="P26" s="13">
        <f t="shared" ca="1" si="6"/>
        <v>9997.0000417232513</v>
      </c>
      <c r="Q26" s="14">
        <f t="shared" ca="1" si="6"/>
        <v>9997.0000041723251</v>
      </c>
      <c r="R26" s="15">
        <f t="shared" si="3"/>
        <v>23</v>
      </c>
      <c r="S26" s="152">
        <f t="shared" si="2"/>
        <v>1940</v>
      </c>
      <c r="T26" s="134">
        <f t="shared" si="4"/>
        <v>9997</v>
      </c>
      <c r="U26" s="17">
        <f t="shared" si="5"/>
        <v>4.1723251342773438E-6</v>
      </c>
      <c r="V26" s="17">
        <f t="shared" si="7"/>
        <v>3.7550926208496094E-5</v>
      </c>
      <c r="W26" s="17">
        <f t="shared" si="7"/>
        <v>3.3795833587646484E-4</v>
      </c>
      <c r="X26" s="17">
        <f t="shared" si="7"/>
        <v>3.0416250228881836E-3</v>
      </c>
      <c r="Y26" s="17">
        <f t="shared" si="7"/>
        <v>2.7374625205993652E-2</v>
      </c>
      <c r="Z26" s="17">
        <f t="shared" si="7"/>
        <v>0.24637162685394287</v>
      </c>
      <c r="AA26" s="17">
        <f t="shared" si="7"/>
        <v>2.2173446416854858</v>
      </c>
      <c r="AB26" s="17">
        <f t="shared" si="7"/>
        <v>19.956101775169373</v>
      </c>
      <c r="AC26" s="17">
        <f t="shared" si="7"/>
        <v>179.60491597652435</v>
      </c>
      <c r="AD26" s="17">
        <f t="shared" si="7"/>
        <v>1616.4442437887192</v>
      </c>
      <c r="AE26" s="17">
        <f t="shared" si="7"/>
        <v>14547.998194098473</v>
      </c>
      <c r="AF26" s="18">
        <f t="shared" si="7"/>
        <v>130931.98374688625</v>
      </c>
      <c r="AG26" s="17">
        <f t="shared" si="7"/>
        <v>1178387.8537219763</v>
      </c>
      <c r="AH26" s="17">
        <f t="shared" si="7"/>
        <v>10605490.683497787</v>
      </c>
      <c r="AI26" s="17">
        <f t="shared" si="7"/>
        <v>95449416.151480079</v>
      </c>
      <c r="AJ26" s="18">
        <f t="shared" si="7"/>
        <v>859044745.36332071</v>
      </c>
    </row>
    <row r="27" spans="2:36" x14ac:dyDescent="0.3">
      <c r="B27" s="12">
        <f t="shared" ca="1" si="6"/>
        <v>483224786.26686764</v>
      </c>
      <c r="C27" s="13">
        <f t="shared" ca="1" si="6"/>
        <v>53702413.585207283</v>
      </c>
      <c r="D27" s="13">
        <f t="shared" ca="1" si="6"/>
        <v>5977705.5094672441</v>
      </c>
      <c r="E27" s="13">
        <f t="shared" ca="1" si="6"/>
        <v>674960.16771835089</v>
      </c>
      <c r="F27" s="12">
        <f t="shared" ca="1" si="6"/>
        <v>85766.240857362747</v>
      </c>
      <c r="G27" s="13">
        <f t="shared" ca="1" si="6"/>
        <v>20300.248983919621</v>
      </c>
      <c r="H27" s="13">
        <f t="shared" ca="1" si="6"/>
        <v>13026.249886870384</v>
      </c>
      <c r="I27" s="13">
        <f t="shared" ca="1" si="6"/>
        <v>12218.027764976025</v>
      </c>
      <c r="J27" s="13">
        <f t="shared" ca="1" si="6"/>
        <v>12128.225306987762</v>
      </c>
      <c r="K27" s="13">
        <f t="shared" ca="1" si="6"/>
        <v>12118.247256100178</v>
      </c>
      <c r="L27" s="13">
        <f t="shared" ca="1" si="6"/>
        <v>12117.138583779335</v>
      </c>
      <c r="M27" s="13">
        <f t="shared" ca="1" si="6"/>
        <v>12117.015397965908</v>
      </c>
      <c r="N27" s="13">
        <f t="shared" ca="1" si="6"/>
        <v>12117.001710653305</v>
      </c>
      <c r="O27" s="13">
        <f t="shared" ca="1" si="6"/>
        <v>12117.000189840794</v>
      </c>
      <c r="P27" s="13">
        <f t="shared" ca="1" si="6"/>
        <v>12117.000020861626</v>
      </c>
      <c r="Q27" s="14">
        <f t="shared" ca="1" si="6"/>
        <v>12117.000002086163</v>
      </c>
      <c r="R27" s="15">
        <f t="shared" si="3"/>
        <v>24</v>
      </c>
      <c r="S27" s="152">
        <f t="shared" si="2"/>
        <v>2120</v>
      </c>
      <c r="T27" s="134">
        <f t="shared" si="4"/>
        <v>12117</v>
      </c>
      <c r="U27" s="17">
        <f t="shared" si="5"/>
        <v>2.0861625671386719E-6</v>
      </c>
      <c r="V27" s="17">
        <f t="shared" si="7"/>
        <v>1.8775463104248047E-5</v>
      </c>
      <c r="W27" s="17">
        <f t="shared" si="7"/>
        <v>1.6897916793823242E-4</v>
      </c>
      <c r="X27" s="17">
        <f t="shared" si="7"/>
        <v>1.5208125114440918E-3</v>
      </c>
      <c r="Y27" s="17">
        <f t="shared" si="7"/>
        <v>1.3687312602996826E-2</v>
      </c>
      <c r="Z27" s="17">
        <f t="shared" si="7"/>
        <v>0.12318581342697144</v>
      </c>
      <c r="AA27" s="17">
        <f t="shared" si="7"/>
        <v>1.1086723208427429</v>
      </c>
      <c r="AB27" s="17">
        <f t="shared" si="7"/>
        <v>9.9780508875846863</v>
      </c>
      <c r="AC27" s="17">
        <f t="shared" si="7"/>
        <v>89.802457988262177</v>
      </c>
      <c r="AD27" s="17">
        <f t="shared" si="7"/>
        <v>808.22212189435959</v>
      </c>
      <c r="AE27" s="17">
        <f t="shared" si="7"/>
        <v>7273.9990970492363</v>
      </c>
      <c r="AF27" s="18">
        <f t="shared" si="7"/>
        <v>65465.991873443127</v>
      </c>
      <c r="AG27" s="17">
        <f t="shared" si="7"/>
        <v>589193.92686098814</v>
      </c>
      <c r="AH27" s="17">
        <f t="shared" si="7"/>
        <v>5302745.3417488933</v>
      </c>
      <c r="AI27" s="17">
        <f t="shared" si="7"/>
        <v>47724708.075740039</v>
      </c>
      <c r="AJ27" s="18">
        <f t="shared" si="7"/>
        <v>429522372.68166035</v>
      </c>
    </row>
    <row r="28" spans="2:36" x14ac:dyDescent="0.3">
      <c r="B28" s="12">
        <f t="shared" ca="1" si="6"/>
        <v>241620759.63343382</v>
      </c>
      <c r="C28" s="13">
        <f t="shared" ca="1" si="6"/>
        <v>26859573.292603642</v>
      </c>
      <c r="D28" s="13">
        <f t="shared" ca="1" si="6"/>
        <v>2997219.2547336221</v>
      </c>
      <c r="E28" s="13">
        <f t="shared" ca="1" si="6"/>
        <v>345846.58385917544</v>
      </c>
      <c r="F28" s="12">
        <f t="shared" ca="1" si="6"/>
        <v>51249.620428681374</v>
      </c>
      <c r="G28" s="13">
        <f t="shared" ca="1" si="6"/>
        <v>18516.62449195981</v>
      </c>
      <c r="H28" s="13">
        <f t="shared" ca="1" si="6"/>
        <v>14879.624943435192</v>
      </c>
      <c r="I28" s="13">
        <f t="shared" ca="1" si="6"/>
        <v>14475.513882488012</v>
      </c>
      <c r="J28" s="13">
        <f t="shared" ca="1" si="6"/>
        <v>14430.612653493881</v>
      </c>
      <c r="K28" s="13">
        <f t="shared" ca="1" si="6"/>
        <v>14425.623628050089</v>
      </c>
      <c r="L28" s="13">
        <f t="shared" ca="1" si="6"/>
        <v>14425.069291889668</v>
      </c>
      <c r="M28" s="13">
        <f t="shared" ca="1" si="6"/>
        <v>14425.007698982954</v>
      </c>
      <c r="N28" s="13">
        <f t="shared" ca="1" si="6"/>
        <v>14425.000855326653</v>
      </c>
      <c r="O28" s="13">
        <f t="shared" ca="1" si="6"/>
        <v>14425.000094920397</v>
      </c>
      <c r="P28" s="13">
        <f t="shared" ca="1" si="6"/>
        <v>14425.000010430813</v>
      </c>
      <c r="Q28" s="14">
        <f t="shared" ref="Q28" ca="1" si="8">SUM(INDIRECT(ADDRESS(ROW(),COLUMN($T:$T))&amp;":"&amp;ADDRESS(ROW(),COLUMN($T:$T)+Q$2)))</f>
        <v>14425.000001043081</v>
      </c>
      <c r="R28" s="15">
        <f t="shared" si="3"/>
        <v>25</v>
      </c>
      <c r="S28" s="152">
        <f t="shared" si="2"/>
        <v>2308</v>
      </c>
      <c r="T28" s="134">
        <f t="shared" si="4"/>
        <v>14425</v>
      </c>
      <c r="U28" s="17">
        <f t="shared" si="5"/>
        <v>1.0430812835693359E-6</v>
      </c>
      <c r="V28" s="17">
        <f t="shared" si="7"/>
        <v>9.3877315521240234E-6</v>
      </c>
      <c r="W28" s="17">
        <f t="shared" si="7"/>
        <v>8.4489583969116211E-5</v>
      </c>
      <c r="X28" s="17">
        <f t="shared" si="7"/>
        <v>7.604062557220459E-4</v>
      </c>
      <c r="Y28" s="17">
        <f t="shared" si="7"/>
        <v>6.8436563014984131E-3</v>
      </c>
      <c r="Z28" s="17">
        <f t="shared" si="7"/>
        <v>6.1592906713485718E-2</v>
      </c>
      <c r="AA28" s="17">
        <f t="shared" si="7"/>
        <v>0.55433616042137146</v>
      </c>
      <c r="AB28" s="17">
        <f t="shared" si="7"/>
        <v>4.9890254437923431</v>
      </c>
      <c r="AC28" s="17">
        <f t="shared" si="7"/>
        <v>44.901228994131088</v>
      </c>
      <c r="AD28" s="17">
        <f t="shared" si="7"/>
        <v>404.11106094717979</v>
      </c>
      <c r="AE28" s="17">
        <f t="shared" si="7"/>
        <v>3636.9995485246181</v>
      </c>
      <c r="AF28" s="18">
        <f t="shared" si="7"/>
        <v>32732.995936721563</v>
      </c>
      <c r="AG28" s="17">
        <f t="shared" si="7"/>
        <v>294596.96343049407</v>
      </c>
      <c r="AH28" s="17">
        <f t="shared" si="7"/>
        <v>2651372.6708744466</v>
      </c>
      <c r="AI28" s="17">
        <f t="shared" si="7"/>
        <v>23862354.03787002</v>
      </c>
      <c r="AJ28" s="18">
        <f t="shared" si="7"/>
        <v>214761186.34083018</v>
      </c>
    </row>
    <row r="29" spans="2:36" x14ac:dyDescent="0.3">
      <c r="B29" s="12">
        <f t="shared" ref="B29:Q44" ca="1" si="9">SUM(INDIRECT(ADDRESS(ROW(),COLUMN($T:$T))&amp;":"&amp;ADDRESS(ROW(),COLUMN($T:$T)+B$2)))</f>
        <v>120820096.31671691</v>
      </c>
      <c r="C29" s="13">
        <f t="shared" ca="1" si="9"/>
        <v>13439503.146301821</v>
      </c>
      <c r="D29" s="13">
        <f t="shared" ca="1" si="9"/>
        <v>1508326.127366811</v>
      </c>
      <c r="E29" s="13">
        <f t="shared" ca="1" si="9"/>
        <v>182639.79192958772</v>
      </c>
      <c r="F29" s="12">
        <f t="shared" ca="1" si="9"/>
        <v>35341.310214340687</v>
      </c>
      <c r="G29" s="13">
        <f t="shared" ca="1" si="9"/>
        <v>18974.812245979905</v>
      </c>
      <c r="H29" s="13">
        <f t="shared" ca="1" si="9"/>
        <v>17156.312471717596</v>
      </c>
      <c r="I29" s="13">
        <f t="shared" ca="1" si="9"/>
        <v>16954.256941244006</v>
      </c>
      <c r="J29" s="13">
        <f t="shared" ca="1" si="9"/>
        <v>16931.806326746941</v>
      </c>
      <c r="K29" s="13">
        <f t="shared" ca="1" si="9"/>
        <v>16929.311814025044</v>
      </c>
      <c r="L29" s="13">
        <f t="shared" ca="1" si="9"/>
        <v>16929.034645944834</v>
      </c>
      <c r="M29" s="13">
        <f t="shared" ca="1" si="9"/>
        <v>16929.003849491477</v>
      </c>
      <c r="N29" s="13">
        <f t="shared" ca="1" si="9"/>
        <v>16929.000427663326</v>
      </c>
      <c r="O29" s="13">
        <f t="shared" ca="1" si="9"/>
        <v>16929.000047460198</v>
      </c>
      <c r="P29" s="13">
        <f t="shared" ca="1" si="9"/>
        <v>16929.000005215406</v>
      </c>
      <c r="Q29" s="14">
        <f t="shared" ca="1" si="9"/>
        <v>16929.000000521541</v>
      </c>
      <c r="R29" s="15">
        <f t="shared" si="3"/>
        <v>26</v>
      </c>
      <c r="S29" s="152">
        <f t="shared" si="2"/>
        <v>2504</v>
      </c>
      <c r="T29" s="134">
        <f t="shared" si="4"/>
        <v>16929</v>
      </c>
      <c r="U29" s="17">
        <f t="shared" si="5"/>
        <v>5.2154064178466797E-7</v>
      </c>
      <c r="V29" s="17">
        <f t="shared" si="7"/>
        <v>4.6938657760620117E-6</v>
      </c>
      <c r="W29" s="17">
        <f t="shared" si="7"/>
        <v>4.2244791984558105E-5</v>
      </c>
      <c r="X29" s="17">
        <f t="shared" si="7"/>
        <v>3.8020312786102295E-4</v>
      </c>
      <c r="Y29" s="17">
        <f t="shared" si="7"/>
        <v>3.4218281507492065E-3</v>
      </c>
      <c r="Z29" s="17">
        <f t="shared" si="7"/>
        <v>3.0796453356742859E-2</v>
      </c>
      <c r="AA29" s="17">
        <f t="shared" si="7"/>
        <v>0.27716808021068573</v>
      </c>
      <c r="AB29" s="17">
        <f t="shared" si="7"/>
        <v>2.4945127218961716</v>
      </c>
      <c r="AC29" s="17">
        <f t="shared" si="7"/>
        <v>22.450614497065544</v>
      </c>
      <c r="AD29" s="17">
        <f t="shared" si="7"/>
        <v>202.0555304735899</v>
      </c>
      <c r="AE29" s="17">
        <f t="shared" si="7"/>
        <v>1818.4997742623091</v>
      </c>
      <c r="AF29" s="18">
        <f t="shared" si="7"/>
        <v>16366.497968360782</v>
      </c>
      <c r="AG29" s="17">
        <f t="shared" si="7"/>
        <v>147298.48171524704</v>
      </c>
      <c r="AH29" s="17">
        <f t="shared" si="7"/>
        <v>1325686.3354372233</v>
      </c>
      <c r="AI29" s="17">
        <f t="shared" si="7"/>
        <v>11931177.01893501</v>
      </c>
      <c r="AJ29" s="18">
        <f t="shared" si="7"/>
        <v>107380593.17041509</v>
      </c>
    </row>
    <row r="30" spans="2:36" x14ac:dyDescent="0.3">
      <c r="B30" s="12">
        <f t="shared" ca="1" si="9"/>
        <v>60421220.658358455</v>
      </c>
      <c r="C30" s="13">
        <f t="shared" ca="1" si="9"/>
        <v>6730924.0731509104</v>
      </c>
      <c r="D30" s="13">
        <f t="shared" ca="1" si="9"/>
        <v>765335.56368340552</v>
      </c>
      <c r="E30" s="13">
        <f t="shared" ca="1" si="9"/>
        <v>102492.39596479386</v>
      </c>
      <c r="F30" s="12">
        <f t="shared" ca="1" si="9"/>
        <v>28843.155107170343</v>
      </c>
      <c r="G30" s="13">
        <f t="shared" ca="1" si="9"/>
        <v>20659.906122989953</v>
      </c>
      <c r="H30" s="13">
        <f t="shared" ca="1" si="9"/>
        <v>19750.656235858798</v>
      </c>
      <c r="I30" s="13">
        <f t="shared" ca="1" si="9"/>
        <v>19649.628470622003</v>
      </c>
      <c r="J30" s="13">
        <f t="shared" ca="1" si="9"/>
        <v>19638.40316337347</v>
      </c>
      <c r="K30" s="13">
        <f t="shared" ca="1" si="9"/>
        <v>19637.155907012522</v>
      </c>
      <c r="L30" s="13">
        <f t="shared" ca="1" si="9"/>
        <v>19637.017322972417</v>
      </c>
      <c r="M30" s="13">
        <f t="shared" ca="1" si="9"/>
        <v>19637.001924745739</v>
      </c>
      <c r="N30" s="13">
        <f t="shared" ca="1" si="9"/>
        <v>19637.000213831663</v>
      </c>
      <c r="O30" s="13">
        <f t="shared" ca="1" si="9"/>
        <v>19637.000023730099</v>
      </c>
      <c r="P30" s="13">
        <f t="shared" ca="1" si="9"/>
        <v>19637.000002607703</v>
      </c>
      <c r="Q30" s="14">
        <f t="shared" ca="1" si="9"/>
        <v>19637.00000026077</v>
      </c>
      <c r="R30" s="15">
        <f t="shared" si="3"/>
        <v>27</v>
      </c>
      <c r="S30" s="152">
        <f t="shared" si="2"/>
        <v>2708</v>
      </c>
      <c r="T30" s="134">
        <f t="shared" si="4"/>
        <v>19637</v>
      </c>
      <c r="U30" s="17">
        <f t="shared" si="5"/>
        <v>2.6077032089233398E-7</v>
      </c>
      <c r="V30" s="17">
        <f t="shared" si="7"/>
        <v>2.3469328880310059E-6</v>
      </c>
      <c r="W30" s="17">
        <f t="shared" si="7"/>
        <v>2.1122395992279053E-5</v>
      </c>
      <c r="X30" s="17">
        <f t="shared" si="7"/>
        <v>1.9010156393051147E-4</v>
      </c>
      <c r="Y30" s="17">
        <f t="shared" si="7"/>
        <v>1.7109140753746033E-3</v>
      </c>
      <c r="Z30" s="17">
        <f t="shared" si="7"/>
        <v>1.5398226678371429E-2</v>
      </c>
      <c r="AA30" s="17">
        <f t="shared" si="7"/>
        <v>0.13858404010534286</v>
      </c>
      <c r="AB30" s="17">
        <f t="shared" si="7"/>
        <v>1.2472563609480858</v>
      </c>
      <c r="AC30" s="17">
        <f t="shared" si="7"/>
        <v>11.225307248532772</v>
      </c>
      <c r="AD30" s="17">
        <f t="shared" si="7"/>
        <v>101.02776523679495</v>
      </c>
      <c r="AE30" s="17">
        <f t="shared" si="7"/>
        <v>909.24988713115454</v>
      </c>
      <c r="AF30" s="18">
        <f t="shared" si="7"/>
        <v>8183.2489841803908</v>
      </c>
      <c r="AG30" s="17">
        <f t="shared" si="7"/>
        <v>73649.240857623518</v>
      </c>
      <c r="AH30" s="17">
        <f t="shared" si="7"/>
        <v>662843.16771861166</v>
      </c>
      <c r="AI30" s="17">
        <f t="shared" si="7"/>
        <v>5965588.5094675049</v>
      </c>
      <c r="AJ30" s="18">
        <f t="shared" si="7"/>
        <v>53690296.585207544</v>
      </c>
    </row>
    <row r="31" spans="2:36" x14ac:dyDescent="0.3">
      <c r="B31" s="12">
        <f t="shared" ca="1" si="9"/>
        <v>30223348.829179227</v>
      </c>
      <c r="C31" s="13">
        <f t="shared" ca="1" si="9"/>
        <v>3378200.5365754552</v>
      </c>
      <c r="D31" s="13">
        <f t="shared" ca="1" si="9"/>
        <v>395406.28184170276</v>
      </c>
      <c r="E31" s="13">
        <f t="shared" ca="1" si="9"/>
        <v>63984.69798239693</v>
      </c>
      <c r="F31" s="12">
        <f t="shared" ca="1" si="9"/>
        <v>27160.077553585172</v>
      </c>
      <c r="G31" s="13">
        <f t="shared" ca="1" si="9"/>
        <v>23068.453061494976</v>
      </c>
      <c r="H31" s="13">
        <f t="shared" ca="1" si="9"/>
        <v>22613.828117929399</v>
      </c>
      <c r="I31" s="13">
        <f t="shared" ca="1" si="9"/>
        <v>22563.314235311002</v>
      </c>
      <c r="J31" s="13">
        <f t="shared" ca="1" si="9"/>
        <v>22557.701581686735</v>
      </c>
      <c r="K31" s="13">
        <f t="shared" ca="1" si="9"/>
        <v>22557.077953506261</v>
      </c>
      <c r="L31" s="13">
        <f t="shared" ca="1" si="9"/>
        <v>22557.008661486208</v>
      </c>
      <c r="M31" s="13">
        <f t="shared" ca="1" si="9"/>
        <v>22557.000962372869</v>
      </c>
      <c r="N31" s="13">
        <f t="shared" ca="1" si="9"/>
        <v>22557.000106915832</v>
      </c>
      <c r="O31" s="13">
        <f t="shared" ca="1" si="9"/>
        <v>22557.00001186505</v>
      </c>
      <c r="P31" s="13">
        <f t="shared" ca="1" si="9"/>
        <v>22557.000001303852</v>
      </c>
      <c r="Q31" s="14">
        <f t="shared" ca="1" si="9"/>
        <v>22557.000000130385</v>
      </c>
      <c r="R31" s="15">
        <f t="shared" si="3"/>
        <v>28</v>
      </c>
      <c r="S31" s="152">
        <f t="shared" si="2"/>
        <v>2920</v>
      </c>
      <c r="T31" s="134">
        <f t="shared" si="4"/>
        <v>22557</v>
      </c>
      <c r="U31" s="17">
        <f t="shared" si="5"/>
        <v>1.3038516044616699E-7</v>
      </c>
      <c r="V31" s="17">
        <f t="shared" si="7"/>
        <v>1.1734664440155029E-6</v>
      </c>
      <c r="W31" s="17">
        <f t="shared" si="7"/>
        <v>1.0561197996139526E-5</v>
      </c>
      <c r="X31" s="17">
        <f t="shared" si="7"/>
        <v>9.5050781965255737E-5</v>
      </c>
      <c r="Y31" s="17">
        <f t="shared" si="7"/>
        <v>8.5545703768730164E-4</v>
      </c>
      <c r="Z31" s="17">
        <f t="shared" si="7"/>
        <v>7.6991133391857147E-3</v>
      </c>
      <c r="AA31" s="17">
        <f t="shared" si="7"/>
        <v>6.9292020052671432E-2</v>
      </c>
      <c r="AB31" s="17">
        <f t="shared" si="7"/>
        <v>0.62362818047404289</v>
      </c>
      <c r="AC31" s="17">
        <f t="shared" si="7"/>
        <v>5.612653624266386</v>
      </c>
      <c r="AD31" s="17">
        <f t="shared" si="7"/>
        <v>50.513882618397474</v>
      </c>
      <c r="AE31" s="17">
        <f t="shared" si="7"/>
        <v>454.62494356557727</v>
      </c>
      <c r="AF31" s="18">
        <f t="shared" si="7"/>
        <v>4091.6244920901954</v>
      </c>
      <c r="AG31" s="17">
        <f t="shared" si="7"/>
        <v>36824.620428811759</v>
      </c>
      <c r="AH31" s="17">
        <f t="shared" si="7"/>
        <v>331421.58385930583</v>
      </c>
      <c r="AI31" s="17">
        <f t="shared" si="7"/>
        <v>2982794.2547337525</v>
      </c>
      <c r="AJ31" s="18">
        <f t="shared" si="7"/>
        <v>26845148.292603772</v>
      </c>
    </row>
    <row r="32" spans="2:36" x14ac:dyDescent="0.3">
      <c r="B32" s="12">
        <f t="shared" ca="1" si="9"/>
        <v>15126092.914589614</v>
      </c>
      <c r="C32" s="13">
        <f t="shared" ca="1" si="9"/>
        <v>1703518.7682877276</v>
      </c>
      <c r="D32" s="13">
        <f t="shared" ca="1" si="9"/>
        <v>212121.64092085138</v>
      </c>
      <c r="E32" s="13">
        <f t="shared" ca="1" si="9"/>
        <v>46410.848991198465</v>
      </c>
      <c r="F32" s="12">
        <f t="shared" ca="1" si="9"/>
        <v>27998.538776792586</v>
      </c>
      <c r="G32" s="13">
        <f t="shared" ca="1" si="9"/>
        <v>25952.726530747488</v>
      </c>
      <c r="H32" s="13">
        <f t="shared" ca="1" si="9"/>
        <v>25725.4140589647</v>
      </c>
      <c r="I32" s="13">
        <f t="shared" ca="1" si="9"/>
        <v>25700.157117655501</v>
      </c>
      <c r="J32" s="13">
        <f t="shared" ca="1" si="9"/>
        <v>25697.350790843368</v>
      </c>
      <c r="K32" s="13">
        <f t="shared" ca="1" si="9"/>
        <v>25697.038976753131</v>
      </c>
      <c r="L32" s="13">
        <f t="shared" ca="1" si="9"/>
        <v>25697.004330743104</v>
      </c>
      <c r="M32" s="13">
        <f t="shared" ca="1" si="9"/>
        <v>25697.000481186435</v>
      </c>
      <c r="N32" s="13">
        <f t="shared" ca="1" si="9"/>
        <v>25697.000053457916</v>
      </c>
      <c r="O32" s="13">
        <f t="shared" ca="1" si="9"/>
        <v>25697.000005932525</v>
      </c>
      <c r="P32" s="13">
        <f t="shared" ca="1" si="9"/>
        <v>25697.000000651926</v>
      </c>
      <c r="Q32" s="14">
        <f t="shared" ca="1" si="9"/>
        <v>25697.000000065193</v>
      </c>
      <c r="R32" s="15">
        <f t="shared" si="3"/>
        <v>29</v>
      </c>
      <c r="S32" s="152">
        <f t="shared" si="2"/>
        <v>3140</v>
      </c>
      <c r="T32" s="134">
        <f t="shared" si="4"/>
        <v>25697</v>
      </c>
      <c r="U32" s="17">
        <f t="shared" si="5"/>
        <v>6.5192580223083496E-8</v>
      </c>
      <c r="V32" s="17">
        <f t="shared" si="7"/>
        <v>5.8673322200775146E-7</v>
      </c>
      <c r="W32" s="17">
        <f t="shared" si="7"/>
        <v>5.2805989980697632E-6</v>
      </c>
      <c r="X32" s="17">
        <f t="shared" si="7"/>
        <v>4.7525390982627869E-5</v>
      </c>
      <c r="Y32" s="17">
        <f t="shared" si="7"/>
        <v>4.2772851884365082E-4</v>
      </c>
      <c r="Z32" s="17">
        <f t="shared" si="7"/>
        <v>3.8495566695928574E-3</v>
      </c>
      <c r="AA32" s="17">
        <f t="shared" si="7"/>
        <v>3.4646010026335716E-2</v>
      </c>
      <c r="AB32" s="17">
        <f t="shared" si="7"/>
        <v>0.31181409023702145</v>
      </c>
      <c r="AC32" s="17">
        <f t="shared" si="7"/>
        <v>2.806326812133193</v>
      </c>
      <c r="AD32" s="17">
        <f t="shared" si="7"/>
        <v>25.256941309198737</v>
      </c>
      <c r="AE32" s="17">
        <f t="shared" si="7"/>
        <v>227.31247178278863</v>
      </c>
      <c r="AF32" s="18">
        <f t="shared" si="7"/>
        <v>2045.8122460450977</v>
      </c>
      <c r="AG32" s="17">
        <f t="shared" si="7"/>
        <v>18412.310214405879</v>
      </c>
      <c r="AH32" s="17">
        <f t="shared" si="7"/>
        <v>165710.79192965291</v>
      </c>
      <c r="AI32" s="17">
        <f t="shared" si="7"/>
        <v>1491397.1273668762</v>
      </c>
      <c r="AJ32" s="18">
        <f t="shared" si="7"/>
        <v>13422574.146301886</v>
      </c>
    </row>
    <row r="33" spans="2:36" x14ac:dyDescent="0.3">
      <c r="B33" s="12">
        <f t="shared" ca="1" si="9"/>
        <v>7579262.9572948068</v>
      </c>
      <c r="C33" s="13">
        <f t="shared" ca="1" si="9"/>
        <v>867975.8841438638</v>
      </c>
      <c r="D33" s="13">
        <f t="shared" ca="1" si="9"/>
        <v>122277.32046042569</v>
      </c>
      <c r="E33" s="13">
        <f t="shared" ca="1" si="9"/>
        <v>39421.924495599233</v>
      </c>
      <c r="F33" s="12">
        <f t="shared" ca="1" si="9"/>
        <v>30215.769388396293</v>
      </c>
      <c r="G33" s="13">
        <f t="shared" ca="1" si="9"/>
        <v>29192.863265373744</v>
      </c>
      <c r="H33" s="13">
        <f t="shared" ca="1" si="9"/>
        <v>29079.20702948235</v>
      </c>
      <c r="I33" s="13">
        <f t="shared" ca="1" si="9"/>
        <v>29066.57855882775</v>
      </c>
      <c r="J33" s="13">
        <f t="shared" ca="1" si="9"/>
        <v>29065.175395421684</v>
      </c>
      <c r="K33" s="13">
        <f t="shared" ca="1" si="9"/>
        <v>29065.019488376565</v>
      </c>
      <c r="L33" s="13">
        <f t="shared" ca="1" si="9"/>
        <v>29065.002165371552</v>
      </c>
      <c r="M33" s="13">
        <f t="shared" ca="1" si="9"/>
        <v>29065.000240593217</v>
      </c>
      <c r="N33" s="13">
        <f t="shared" ca="1" si="9"/>
        <v>29065.000026728958</v>
      </c>
      <c r="O33" s="13">
        <f t="shared" ca="1" si="9"/>
        <v>29065.000002966262</v>
      </c>
      <c r="P33" s="13">
        <f t="shared" ca="1" si="9"/>
        <v>29065.000000325963</v>
      </c>
      <c r="Q33" s="14">
        <f t="shared" ca="1" si="9"/>
        <v>29065.000000032596</v>
      </c>
      <c r="R33" s="15">
        <f t="shared" si="3"/>
        <v>30</v>
      </c>
      <c r="S33" s="152">
        <f t="shared" si="2"/>
        <v>3368</v>
      </c>
      <c r="T33" s="134">
        <f t="shared" si="4"/>
        <v>29065</v>
      </c>
      <c r="U33" s="17">
        <f t="shared" si="5"/>
        <v>3.2596290111541748E-8</v>
      </c>
      <c r="V33" s="17">
        <f t="shared" si="7"/>
        <v>2.9336661100387573E-7</v>
      </c>
      <c r="W33" s="17">
        <f t="shared" si="7"/>
        <v>2.6402994990348816E-6</v>
      </c>
      <c r="X33" s="17">
        <f t="shared" si="7"/>
        <v>2.3762695491313934E-5</v>
      </c>
      <c r="Y33" s="17">
        <f t="shared" si="7"/>
        <v>2.1386425942182541E-4</v>
      </c>
      <c r="Z33" s="17">
        <f t="shared" si="7"/>
        <v>1.9247783347964287E-3</v>
      </c>
      <c r="AA33" s="17">
        <f t="shared" si="7"/>
        <v>1.7323005013167858E-2</v>
      </c>
      <c r="AB33" s="17">
        <f t="shared" si="7"/>
        <v>0.15590704511851072</v>
      </c>
      <c r="AC33" s="17">
        <f t="shared" si="7"/>
        <v>1.4031634060665965</v>
      </c>
      <c r="AD33" s="17">
        <f t="shared" si="7"/>
        <v>12.628470654599369</v>
      </c>
      <c r="AE33" s="17">
        <f t="shared" si="7"/>
        <v>113.65623589139432</v>
      </c>
      <c r="AF33" s="18">
        <f t="shared" si="7"/>
        <v>1022.9061230225489</v>
      </c>
      <c r="AG33" s="17">
        <f t="shared" si="7"/>
        <v>9206.1551072029397</v>
      </c>
      <c r="AH33" s="17">
        <f t="shared" si="7"/>
        <v>82855.395964826457</v>
      </c>
      <c r="AI33" s="17">
        <f t="shared" si="7"/>
        <v>745698.56368343811</v>
      </c>
      <c r="AJ33" s="18">
        <f t="shared" si="7"/>
        <v>6711287.073150943</v>
      </c>
    </row>
    <row r="34" spans="2:36" x14ac:dyDescent="0.3">
      <c r="B34" s="12">
        <f t="shared" ca="1" si="9"/>
        <v>3811371.9786474034</v>
      </c>
      <c r="C34" s="13">
        <f t="shared" ca="1" si="9"/>
        <v>455728.4420719319</v>
      </c>
      <c r="D34" s="13">
        <f t="shared" ca="1" si="9"/>
        <v>82879.160230212845</v>
      </c>
      <c r="E34" s="13">
        <f t="shared" ca="1" si="9"/>
        <v>41451.462247799616</v>
      </c>
      <c r="F34" s="12">
        <f t="shared" ca="1" si="9"/>
        <v>36848.384694198146</v>
      </c>
      <c r="G34" s="13">
        <f t="shared" ca="1" si="9"/>
        <v>36336.931632686872</v>
      </c>
      <c r="H34" s="13">
        <f t="shared" ca="1" si="9"/>
        <v>36280.103514741175</v>
      </c>
      <c r="I34" s="13">
        <f t="shared" ca="1" si="9"/>
        <v>36273.789279413875</v>
      </c>
      <c r="J34" s="13">
        <f t="shared" ca="1" si="9"/>
        <v>36273.087697710842</v>
      </c>
      <c r="K34" s="13">
        <f t="shared" ca="1" si="9"/>
        <v>36273.009744188283</v>
      </c>
      <c r="L34" s="13">
        <f t="shared" ca="1" si="9"/>
        <v>36273.001082685776</v>
      </c>
      <c r="M34" s="13">
        <f t="shared" ca="1" si="9"/>
        <v>36273.000120296609</v>
      </c>
      <c r="N34" s="13">
        <f t="shared" ca="1" si="9"/>
        <v>36273.000013364479</v>
      </c>
      <c r="O34" s="13">
        <f t="shared" ca="1" si="9"/>
        <v>36273.000001483131</v>
      </c>
      <c r="P34" s="13">
        <f t="shared" ca="1" si="9"/>
        <v>36273.000000162981</v>
      </c>
      <c r="Q34" s="14">
        <f t="shared" ca="1" si="9"/>
        <v>36273.000000016298</v>
      </c>
      <c r="R34" s="15">
        <f t="shared" si="3"/>
        <v>31</v>
      </c>
      <c r="S34" s="152">
        <f t="shared" si="2"/>
        <v>7208</v>
      </c>
      <c r="T34" s="134">
        <f t="shared" si="4"/>
        <v>36273</v>
      </c>
      <c r="U34" s="17">
        <f t="shared" si="5"/>
        <v>1.6298145055770874E-8</v>
      </c>
      <c r="V34" s="17">
        <f t="shared" si="7"/>
        <v>1.4668330550193787E-7</v>
      </c>
      <c r="W34" s="17">
        <f t="shared" si="7"/>
        <v>1.3201497495174408E-6</v>
      </c>
      <c r="X34" s="17">
        <f t="shared" si="7"/>
        <v>1.1881347745656967E-5</v>
      </c>
      <c r="Y34" s="17">
        <f t="shared" si="7"/>
        <v>1.069321297109127E-4</v>
      </c>
      <c r="Z34" s="17">
        <f t="shared" si="7"/>
        <v>9.6238916739821434E-4</v>
      </c>
      <c r="AA34" s="17">
        <f t="shared" si="7"/>
        <v>8.6615025065839291E-3</v>
      </c>
      <c r="AB34" s="17">
        <f t="shared" si="7"/>
        <v>7.7953522559255362E-2</v>
      </c>
      <c r="AC34" s="17">
        <f t="shared" si="7"/>
        <v>0.70158170303329825</v>
      </c>
      <c r="AD34" s="17">
        <f t="shared" si="7"/>
        <v>6.3142353272996843</v>
      </c>
      <c r="AE34" s="17">
        <f t="shared" si="7"/>
        <v>56.828117945697159</v>
      </c>
      <c r="AF34" s="18">
        <f t="shared" si="7"/>
        <v>511.45306151127443</v>
      </c>
      <c r="AG34" s="17">
        <f t="shared" si="7"/>
        <v>4603.0775536014698</v>
      </c>
      <c r="AH34" s="17">
        <f t="shared" si="7"/>
        <v>41427.697982413229</v>
      </c>
      <c r="AI34" s="17">
        <f t="shared" si="7"/>
        <v>372849.28184171906</v>
      </c>
      <c r="AJ34" s="18">
        <f t="shared" si="7"/>
        <v>3355643.5365754715</v>
      </c>
    </row>
    <row r="35" spans="2:36" x14ac:dyDescent="0.3">
      <c r="B35" s="12">
        <f t="shared" ca="1" si="9"/>
        <v>1931518.4893237017</v>
      </c>
      <c r="C35" s="13">
        <f t="shared" ca="1" si="9"/>
        <v>253696.72103596595</v>
      </c>
      <c r="D35" s="13">
        <f t="shared" ca="1" si="9"/>
        <v>67272.080115106422</v>
      </c>
      <c r="E35" s="13">
        <f t="shared" ca="1" si="9"/>
        <v>46558.231123899808</v>
      </c>
      <c r="F35" s="12">
        <f t="shared" ca="1" si="9"/>
        <v>44256.692347099073</v>
      </c>
      <c r="G35" s="13">
        <f t="shared" ca="1" si="9"/>
        <v>44000.965816343436</v>
      </c>
      <c r="H35" s="13">
        <f t="shared" ca="1" si="9"/>
        <v>43972.551757370587</v>
      </c>
      <c r="I35" s="13">
        <f t="shared" ca="1" si="9"/>
        <v>43969.394639706938</v>
      </c>
      <c r="J35" s="13">
        <f t="shared" ca="1" si="9"/>
        <v>43969.043848855421</v>
      </c>
      <c r="K35" s="13">
        <f t="shared" ca="1" si="9"/>
        <v>43969.004872094141</v>
      </c>
      <c r="L35" s="13">
        <f t="shared" ca="1" si="9"/>
        <v>43969.000541342888</v>
      </c>
      <c r="M35" s="13">
        <f t="shared" ca="1" si="9"/>
        <v>43969.000060148304</v>
      </c>
      <c r="N35" s="13">
        <f t="shared" ca="1" si="9"/>
        <v>43969.000006682239</v>
      </c>
      <c r="O35" s="13">
        <f t="shared" ca="1" si="9"/>
        <v>43969.000000741566</v>
      </c>
      <c r="P35" s="13">
        <f t="shared" ca="1" si="9"/>
        <v>43969.000000081491</v>
      </c>
      <c r="Q35" s="14">
        <f t="shared" ca="1" si="9"/>
        <v>43969.000000008149</v>
      </c>
      <c r="R35" s="15">
        <f t="shared" si="3"/>
        <v>32</v>
      </c>
      <c r="S35" s="152">
        <f t="shared" si="2"/>
        <v>7696</v>
      </c>
      <c r="T35" s="134">
        <f t="shared" si="4"/>
        <v>43969</v>
      </c>
      <c r="U35" s="17">
        <f t="shared" si="5"/>
        <v>8.149072527885437E-9</v>
      </c>
      <c r="V35" s="17">
        <f t="shared" si="7"/>
        <v>7.3341652750968933E-8</v>
      </c>
      <c r="W35" s="17">
        <f t="shared" si="7"/>
        <v>6.600748747587204E-7</v>
      </c>
      <c r="X35" s="17">
        <f t="shared" si="7"/>
        <v>5.9406738728284836E-6</v>
      </c>
      <c r="Y35" s="17">
        <f t="shared" si="7"/>
        <v>5.3466064855456352E-5</v>
      </c>
      <c r="Z35" s="17">
        <f t="shared" si="7"/>
        <v>4.8119458369910717E-4</v>
      </c>
      <c r="AA35" s="17">
        <f t="shared" si="7"/>
        <v>4.3307512532919645E-3</v>
      </c>
      <c r="AB35" s="17">
        <f t="shared" si="7"/>
        <v>3.8976761279627681E-2</v>
      </c>
      <c r="AC35" s="17">
        <f t="shared" si="7"/>
        <v>0.35079085151664913</v>
      </c>
      <c r="AD35" s="17">
        <f t="shared" si="7"/>
        <v>3.1571176636498421</v>
      </c>
      <c r="AE35" s="17">
        <f t="shared" si="7"/>
        <v>28.414058972848579</v>
      </c>
      <c r="AF35" s="18">
        <f t="shared" si="7"/>
        <v>255.72653075563721</v>
      </c>
      <c r="AG35" s="17">
        <f t="shared" si="7"/>
        <v>2301.5387768007349</v>
      </c>
      <c r="AH35" s="17">
        <f t="shared" si="7"/>
        <v>20713.848991206614</v>
      </c>
      <c r="AI35" s="17">
        <f t="shared" si="7"/>
        <v>186424.64092085953</v>
      </c>
      <c r="AJ35" s="18">
        <f t="shared" si="7"/>
        <v>1677821.7682877358</v>
      </c>
    </row>
    <row r="36" spans="2:36" x14ac:dyDescent="0.3">
      <c r="B36" s="12">
        <f t="shared" ca="1" si="9"/>
        <v>995943.74466185085</v>
      </c>
      <c r="C36" s="13">
        <f t="shared" ca="1" si="9"/>
        <v>157032.86051798298</v>
      </c>
      <c r="D36" s="13">
        <f t="shared" ca="1" si="9"/>
        <v>63820.540057553211</v>
      </c>
      <c r="E36" s="13">
        <f t="shared" ca="1" si="9"/>
        <v>53463.615561949904</v>
      </c>
      <c r="F36" s="12">
        <f t="shared" ca="1" si="9"/>
        <v>52312.846173549537</v>
      </c>
      <c r="G36" s="13">
        <f t="shared" ca="1" si="9"/>
        <v>52184.982908171718</v>
      </c>
      <c r="H36" s="13">
        <f t="shared" ca="1" si="9"/>
        <v>52170.775878685294</v>
      </c>
      <c r="I36" s="13">
        <f t="shared" ca="1" si="9"/>
        <v>52169.197319853469</v>
      </c>
      <c r="J36" s="13">
        <f t="shared" ca="1" si="9"/>
        <v>52169.02192442771</v>
      </c>
      <c r="K36" s="13">
        <f t="shared" ca="1" si="9"/>
        <v>52169.002436047071</v>
      </c>
      <c r="L36" s="13">
        <f t="shared" ca="1" si="9"/>
        <v>52169.000270671444</v>
      </c>
      <c r="M36" s="13">
        <f t="shared" ca="1" si="9"/>
        <v>52169.000030074152</v>
      </c>
      <c r="N36" s="13">
        <f t="shared" ca="1" si="9"/>
        <v>52169.00000334112</v>
      </c>
      <c r="O36" s="13">
        <f t="shared" ca="1" si="9"/>
        <v>52169.000000370783</v>
      </c>
      <c r="P36" s="13">
        <f t="shared" ca="1" si="9"/>
        <v>52169.000000040745</v>
      </c>
      <c r="Q36" s="14">
        <f t="shared" ca="1" si="9"/>
        <v>52169.000000004075</v>
      </c>
      <c r="R36" s="15">
        <f t="shared" si="3"/>
        <v>33</v>
      </c>
      <c r="S36" s="152">
        <f t="shared" si="2"/>
        <v>8200</v>
      </c>
      <c r="T36" s="134">
        <f t="shared" si="4"/>
        <v>52169</v>
      </c>
      <c r="U36" s="17">
        <f t="shared" si="5"/>
        <v>4.0745362639427185E-9</v>
      </c>
      <c r="V36" s="17">
        <f t="shared" ref="V36:AJ47" si="10">9*U36</f>
        <v>3.6670826375484467E-8</v>
      </c>
      <c r="W36" s="17">
        <f t="shared" si="10"/>
        <v>3.300374373793602E-7</v>
      </c>
      <c r="X36" s="17">
        <f t="shared" si="10"/>
        <v>2.9703369364142418E-6</v>
      </c>
      <c r="Y36" s="17">
        <f t="shared" si="10"/>
        <v>2.6733032427728176E-5</v>
      </c>
      <c r="Z36" s="17">
        <f t="shared" si="10"/>
        <v>2.4059729184955359E-4</v>
      </c>
      <c r="AA36" s="17">
        <f t="shared" si="10"/>
        <v>2.1653756266459823E-3</v>
      </c>
      <c r="AB36" s="17">
        <f t="shared" si="10"/>
        <v>1.948838063981384E-2</v>
      </c>
      <c r="AC36" s="17">
        <f t="shared" si="10"/>
        <v>0.17539542575832456</v>
      </c>
      <c r="AD36" s="17">
        <f t="shared" si="10"/>
        <v>1.5785588318249211</v>
      </c>
      <c r="AE36" s="17">
        <f t="shared" si="10"/>
        <v>14.20702948642429</v>
      </c>
      <c r="AF36" s="18">
        <f t="shared" si="10"/>
        <v>127.86326537781861</v>
      </c>
      <c r="AG36" s="17">
        <f t="shared" si="10"/>
        <v>1150.7693884003675</v>
      </c>
      <c r="AH36" s="17">
        <f t="shared" si="10"/>
        <v>10356.924495603307</v>
      </c>
      <c r="AI36" s="17">
        <f t="shared" si="10"/>
        <v>93212.320460429764</v>
      </c>
      <c r="AJ36" s="18">
        <f t="shared" si="10"/>
        <v>838910.88414386788</v>
      </c>
    </row>
    <row r="37" spans="2:36" x14ac:dyDescent="0.3">
      <c r="B37" s="12">
        <f t="shared" ca="1" si="9"/>
        <v>532776.37233092543</v>
      </c>
      <c r="C37" s="13">
        <f t="shared" ca="1" si="9"/>
        <v>113320.93025899149</v>
      </c>
      <c r="D37" s="13">
        <f t="shared" ca="1" si="9"/>
        <v>66714.770028776606</v>
      </c>
      <c r="E37" s="13">
        <f t="shared" ca="1" si="9"/>
        <v>61536.307780974952</v>
      </c>
      <c r="F37" s="12">
        <f t="shared" ca="1" si="9"/>
        <v>60960.923086774768</v>
      </c>
      <c r="G37" s="13">
        <f t="shared" ca="1" si="9"/>
        <v>60896.991454085859</v>
      </c>
      <c r="H37" s="13">
        <f t="shared" ca="1" si="9"/>
        <v>60889.887939342647</v>
      </c>
      <c r="I37" s="13">
        <f t="shared" ca="1" si="9"/>
        <v>60889.098659926734</v>
      </c>
      <c r="J37" s="13">
        <f t="shared" ca="1" si="9"/>
        <v>60889.010962213855</v>
      </c>
      <c r="K37" s="13">
        <f t="shared" ca="1" si="9"/>
        <v>60889.001218023535</v>
      </c>
      <c r="L37" s="13">
        <f t="shared" ca="1" si="9"/>
        <v>60889.000135335722</v>
      </c>
      <c r="M37" s="13">
        <f t="shared" ca="1" si="9"/>
        <v>60889.000015037076</v>
      </c>
      <c r="N37" s="13">
        <f t="shared" ca="1" si="9"/>
        <v>60889.00000167056</v>
      </c>
      <c r="O37" s="13">
        <f t="shared" ca="1" si="9"/>
        <v>60889.000000185391</v>
      </c>
      <c r="P37" s="13">
        <f t="shared" ca="1" si="9"/>
        <v>60889.000000020373</v>
      </c>
      <c r="Q37" s="14">
        <f t="shared" ca="1" si="9"/>
        <v>60889.000000002037</v>
      </c>
      <c r="R37" s="15">
        <f t="shared" si="3"/>
        <v>34</v>
      </c>
      <c r="S37" s="152">
        <f t="shared" si="2"/>
        <v>8720</v>
      </c>
      <c r="T37" s="134">
        <f t="shared" si="4"/>
        <v>60889</v>
      </c>
      <c r="U37" s="17">
        <f t="shared" si="5"/>
        <v>2.0372681319713593E-9</v>
      </c>
      <c r="V37" s="17">
        <f t="shared" si="10"/>
        <v>1.8335413187742233E-8</v>
      </c>
      <c r="W37" s="17">
        <f t="shared" si="10"/>
        <v>1.650187186896801E-7</v>
      </c>
      <c r="X37" s="17">
        <f t="shared" si="10"/>
        <v>1.4851684682071209E-6</v>
      </c>
      <c r="Y37" s="17">
        <f t="shared" si="10"/>
        <v>1.3366516213864088E-5</v>
      </c>
      <c r="Z37" s="17">
        <f t="shared" si="10"/>
        <v>1.2029864592477679E-4</v>
      </c>
      <c r="AA37" s="17">
        <f t="shared" si="10"/>
        <v>1.0826878133229911E-3</v>
      </c>
      <c r="AB37" s="17">
        <f t="shared" si="10"/>
        <v>9.7441903199069202E-3</v>
      </c>
      <c r="AC37" s="17">
        <f t="shared" si="10"/>
        <v>8.7697712879162282E-2</v>
      </c>
      <c r="AD37" s="17">
        <f t="shared" si="10"/>
        <v>0.78927941591246054</v>
      </c>
      <c r="AE37" s="17">
        <f t="shared" si="10"/>
        <v>7.1035147432121448</v>
      </c>
      <c r="AF37" s="18">
        <f t="shared" si="10"/>
        <v>63.931632688909303</v>
      </c>
      <c r="AG37" s="17">
        <f t="shared" si="10"/>
        <v>575.38469420018373</v>
      </c>
      <c r="AH37" s="17">
        <f t="shared" si="10"/>
        <v>5178.4622478016536</v>
      </c>
      <c r="AI37" s="17">
        <f t="shared" si="10"/>
        <v>46606.160230214882</v>
      </c>
      <c r="AJ37" s="18">
        <f t="shared" si="10"/>
        <v>419455.44207193394</v>
      </c>
    </row>
    <row r="38" spans="2:36" x14ac:dyDescent="0.3">
      <c r="B38" s="12">
        <f t="shared" ca="1" si="9"/>
        <v>306088.68616546271</v>
      </c>
      <c r="C38" s="13">
        <f t="shared" ca="1" si="9"/>
        <v>96360.965129495744</v>
      </c>
      <c r="D38" s="13">
        <f t="shared" ca="1" si="9"/>
        <v>73057.885014388303</v>
      </c>
      <c r="E38" s="13">
        <f t="shared" ca="1" si="9"/>
        <v>70468.653890487476</v>
      </c>
      <c r="F38" s="12">
        <f t="shared" ca="1" si="9"/>
        <v>70180.961543387384</v>
      </c>
      <c r="G38" s="13">
        <f t="shared" ca="1" si="9"/>
        <v>70148.99572704293</v>
      </c>
      <c r="H38" s="13">
        <f t="shared" ca="1" si="9"/>
        <v>70145.443969671323</v>
      </c>
      <c r="I38" s="13">
        <f t="shared" ca="1" si="9"/>
        <v>70145.049329963367</v>
      </c>
      <c r="J38" s="13">
        <f t="shared" ca="1" si="9"/>
        <v>70145.005481106928</v>
      </c>
      <c r="K38" s="13">
        <f t="shared" ca="1" si="9"/>
        <v>70145.000609011768</v>
      </c>
      <c r="L38" s="13">
        <f t="shared" ca="1" si="9"/>
        <v>70145.000067667861</v>
      </c>
      <c r="M38" s="13">
        <f t="shared" ca="1" si="9"/>
        <v>70145.000007518538</v>
      </c>
      <c r="N38" s="13">
        <f t="shared" ca="1" si="9"/>
        <v>70145.00000083528</v>
      </c>
      <c r="O38" s="13">
        <f t="shared" ca="1" si="9"/>
        <v>70145.000000092696</v>
      </c>
      <c r="P38" s="13">
        <f t="shared" ca="1" si="9"/>
        <v>70145.000000010186</v>
      </c>
      <c r="Q38" s="14">
        <f t="shared" ca="1" si="9"/>
        <v>70145.000000001019</v>
      </c>
      <c r="R38" s="15">
        <f t="shared" si="3"/>
        <v>35</v>
      </c>
      <c r="S38" s="152">
        <f t="shared" si="2"/>
        <v>9256</v>
      </c>
      <c r="T38" s="134">
        <f t="shared" si="4"/>
        <v>70145</v>
      </c>
      <c r="U38" s="17">
        <f t="shared" si="5"/>
        <v>1.0186340659856796E-9</v>
      </c>
      <c r="V38" s="17">
        <f t="shared" si="10"/>
        <v>9.1677065938711166E-9</v>
      </c>
      <c r="W38" s="17">
        <f t="shared" si="10"/>
        <v>8.250935934484005E-8</v>
      </c>
      <c r="X38" s="17">
        <f t="shared" si="10"/>
        <v>7.4258423410356045E-7</v>
      </c>
      <c r="Y38" s="17">
        <f t="shared" si="10"/>
        <v>6.683258106932044E-6</v>
      </c>
      <c r="Z38" s="17">
        <f t="shared" si="10"/>
        <v>6.0149322962388396E-5</v>
      </c>
      <c r="AA38" s="17">
        <f t="shared" si="10"/>
        <v>5.4134390666149557E-4</v>
      </c>
      <c r="AB38" s="17">
        <f t="shared" si="10"/>
        <v>4.8720951599534601E-3</v>
      </c>
      <c r="AC38" s="17">
        <f t="shared" si="10"/>
        <v>4.3848856439581141E-2</v>
      </c>
      <c r="AD38" s="17">
        <f t="shared" si="10"/>
        <v>0.39463970795623027</v>
      </c>
      <c r="AE38" s="17">
        <f t="shared" si="10"/>
        <v>3.5517573716060724</v>
      </c>
      <c r="AF38" s="18">
        <f t="shared" si="10"/>
        <v>31.965816344454652</v>
      </c>
      <c r="AG38" s="17">
        <f t="shared" si="10"/>
        <v>287.69234710009187</v>
      </c>
      <c r="AH38" s="17">
        <f t="shared" si="10"/>
        <v>2589.2311239008268</v>
      </c>
      <c r="AI38" s="17">
        <f t="shared" si="10"/>
        <v>23303.080115107441</v>
      </c>
      <c r="AJ38" s="18">
        <f t="shared" si="10"/>
        <v>209727.72103596697</v>
      </c>
    </row>
    <row r="39" spans="2:36" x14ac:dyDescent="0.3">
      <c r="B39" s="12">
        <f t="shared" ca="1" si="9"/>
        <v>197924.84308273136</v>
      </c>
      <c r="C39" s="13">
        <f t="shared" ca="1" si="9"/>
        <v>93060.982564747872</v>
      </c>
      <c r="D39" s="13">
        <f t="shared" ca="1" si="9"/>
        <v>81409.442507194151</v>
      </c>
      <c r="E39" s="13">
        <f t="shared" ca="1" si="9"/>
        <v>80114.826945243738</v>
      </c>
      <c r="F39" s="12">
        <f t="shared" ca="1" si="9"/>
        <v>79970.980771693692</v>
      </c>
      <c r="G39" s="13">
        <f t="shared" ca="1" si="9"/>
        <v>79954.997863521465</v>
      </c>
      <c r="H39" s="13">
        <f t="shared" ca="1" si="9"/>
        <v>79953.221984835662</v>
      </c>
      <c r="I39" s="13">
        <f t="shared" ca="1" si="9"/>
        <v>79953.024664981684</v>
      </c>
      <c r="J39" s="13">
        <f t="shared" ca="1" si="9"/>
        <v>79953.002740553464</v>
      </c>
      <c r="K39" s="13">
        <f t="shared" ca="1" si="9"/>
        <v>79953.000304505884</v>
      </c>
      <c r="L39" s="13">
        <f t="shared" ca="1" si="9"/>
        <v>79953.000033833931</v>
      </c>
      <c r="M39" s="13">
        <f t="shared" ca="1" si="9"/>
        <v>79953.000003759269</v>
      </c>
      <c r="N39" s="13">
        <f t="shared" ca="1" si="9"/>
        <v>79953.00000041764</v>
      </c>
      <c r="O39" s="13">
        <f t="shared" ca="1" si="9"/>
        <v>79953.000000046348</v>
      </c>
      <c r="P39" s="13">
        <f t="shared" ca="1" si="9"/>
        <v>79953.000000005093</v>
      </c>
      <c r="Q39" s="14">
        <f t="shared" ca="1" si="9"/>
        <v>79953.000000000509</v>
      </c>
      <c r="R39" s="15">
        <f t="shared" si="3"/>
        <v>36</v>
      </c>
      <c r="S39" s="152">
        <f t="shared" si="2"/>
        <v>9808</v>
      </c>
      <c r="T39" s="134">
        <f t="shared" si="4"/>
        <v>79953</v>
      </c>
      <c r="U39" s="17">
        <f t="shared" si="5"/>
        <v>5.0931703299283981E-10</v>
      </c>
      <c r="V39" s="17">
        <f t="shared" si="10"/>
        <v>4.5838532969355583E-9</v>
      </c>
      <c r="W39" s="17">
        <f t="shared" si="10"/>
        <v>4.1254679672420025E-8</v>
      </c>
      <c r="X39" s="17">
        <f t="shared" si="10"/>
        <v>3.7129211705178022E-7</v>
      </c>
      <c r="Y39" s="17">
        <f t="shared" si="10"/>
        <v>3.341629053466022E-6</v>
      </c>
      <c r="Z39" s="17">
        <f t="shared" si="10"/>
        <v>3.0074661481194198E-5</v>
      </c>
      <c r="AA39" s="17">
        <f t="shared" si="10"/>
        <v>2.7067195333074778E-4</v>
      </c>
      <c r="AB39" s="17">
        <f t="shared" si="10"/>
        <v>2.43604757997673E-3</v>
      </c>
      <c r="AC39" s="17">
        <f t="shared" si="10"/>
        <v>2.192442821979057E-2</v>
      </c>
      <c r="AD39" s="17">
        <f t="shared" si="10"/>
        <v>0.19731985397811513</v>
      </c>
      <c r="AE39" s="17">
        <f t="shared" si="10"/>
        <v>1.7758786858030362</v>
      </c>
      <c r="AF39" s="18">
        <f t="shared" si="10"/>
        <v>15.982908172227326</v>
      </c>
      <c r="AG39" s="17">
        <f t="shared" si="10"/>
        <v>143.84617355004593</v>
      </c>
      <c r="AH39" s="17">
        <f t="shared" si="10"/>
        <v>1294.6155619504134</v>
      </c>
      <c r="AI39" s="17">
        <f t="shared" si="10"/>
        <v>11651.540057553721</v>
      </c>
      <c r="AJ39" s="18">
        <f t="shared" si="10"/>
        <v>104863.86051798348</v>
      </c>
    </row>
    <row r="40" spans="2:36" x14ac:dyDescent="0.3">
      <c r="B40" s="12">
        <f t="shared" ca="1" si="9"/>
        <v>149314.92154136579</v>
      </c>
      <c r="C40" s="13">
        <f t="shared" ca="1" si="9"/>
        <v>96882.991282374045</v>
      </c>
      <c r="D40" s="13">
        <f t="shared" ca="1" si="9"/>
        <v>91057.221253597178</v>
      </c>
      <c r="E40" s="13">
        <f t="shared" ca="1" si="9"/>
        <v>90409.913472621964</v>
      </c>
      <c r="F40" s="12">
        <f t="shared" ca="1" si="9"/>
        <v>90337.990385846933</v>
      </c>
      <c r="G40" s="13">
        <f t="shared" ca="1" si="9"/>
        <v>90329.998931760812</v>
      </c>
      <c r="H40" s="13">
        <f t="shared" ca="1" si="9"/>
        <v>90329.110992417904</v>
      </c>
      <c r="I40" s="13">
        <f t="shared" ca="1" si="9"/>
        <v>90329.012332490907</v>
      </c>
      <c r="J40" s="13">
        <f t="shared" ca="1" si="9"/>
        <v>90329.00137027679</v>
      </c>
      <c r="K40" s="13">
        <f t="shared" ca="1" si="9"/>
        <v>90329.000152252993</v>
      </c>
      <c r="L40" s="13">
        <f t="shared" ca="1" si="9"/>
        <v>90329.000016917009</v>
      </c>
      <c r="M40" s="13">
        <f t="shared" ca="1" si="9"/>
        <v>90329.000001879671</v>
      </c>
      <c r="N40" s="13">
        <f t="shared" ca="1" si="9"/>
        <v>90329.000000208849</v>
      </c>
      <c r="O40" s="13">
        <f t="shared" ca="1" si="9"/>
        <v>90329.000000023196</v>
      </c>
      <c r="P40" s="13">
        <f t="shared" ca="1" si="9"/>
        <v>90329.000000002561</v>
      </c>
      <c r="Q40" s="14">
        <f t="shared" ca="1" si="9"/>
        <v>90329.000000000262</v>
      </c>
      <c r="R40" s="15">
        <f t="shared" si="3"/>
        <v>37</v>
      </c>
      <c r="S40" s="152">
        <f t="shared" si="2"/>
        <v>10376</v>
      </c>
      <c r="T40" s="134">
        <f t="shared" si="4"/>
        <v>90329</v>
      </c>
      <c r="U40" s="17">
        <f t="shared" si="5"/>
        <v>2.5465851649641991E-10</v>
      </c>
      <c r="V40" s="17">
        <f t="shared" si="10"/>
        <v>2.2919266484677792E-9</v>
      </c>
      <c r="W40" s="17">
        <f t="shared" si="10"/>
        <v>2.0627339836210012E-8</v>
      </c>
      <c r="X40" s="17">
        <f t="shared" si="10"/>
        <v>1.8564605852589011E-7</v>
      </c>
      <c r="Y40" s="17">
        <f t="shared" si="10"/>
        <v>1.670814526733011E-6</v>
      </c>
      <c r="Z40" s="17">
        <f t="shared" si="10"/>
        <v>1.5037330740597099E-5</v>
      </c>
      <c r="AA40" s="17">
        <f t="shared" si="10"/>
        <v>1.3533597666537389E-4</v>
      </c>
      <c r="AB40" s="17">
        <f t="shared" si="10"/>
        <v>1.218023789988365E-3</v>
      </c>
      <c r="AC40" s="17">
        <f t="shared" si="10"/>
        <v>1.0962214109895285E-2</v>
      </c>
      <c r="AD40" s="17">
        <f t="shared" si="10"/>
        <v>9.8659926989057567E-2</v>
      </c>
      <c r="AE40" s="17">
        <f t="shared" si="10"/>
        <v>0.8879393429015181</v>
      </c>
      <c r="AF40" s="18">
        <f t="shared" si="10"/>
        <v>7.9914540861136629</v>
      </c>
      <c r="AG40" s="17">
        <f t="shared" si="10"/>
        <v>71.923086775022966</v>
      </c>
      <c r="AH40" s="17">
        <f t="shared" si="10"/>
        <v>647.3077809752067</v>
      </c>
      <c r="AI40" s="17">
        <f t="shared" si="10"/>
        <v>5825.7700287768603</v>
      </c>
      <c r="AJ40" s="18">
        <f t="shared" si="10"/>
        <v>52431.930258991742</v>
      </c>
    </row>
    <row r="41" spans="2:36" x14ac:dyDescent="0.3">
      <c r="B41" s="12">
        <f t="shared" ca="1" si="9"/>
        <v>130781.9607706829</v>
      </c>
      <c r="C41" s="13">
        <f t="shared" ca="1" si="9"/>
        <v>104565.99564118702</v>
      </c>
      <c r="D41" s="13">
        <f t="shared" ca="1" si="9"/>
        <v>101653.11062679859</v>
      </c>
      <c r="E41" s="13">
        <f t="shared" ca="1" si="9"/>
        <v>101329.45673631098</v>
      </c>
      <c r="F41" s="12">
        <f t="shared" ca="1" si="9"/>
        <v>101293.49519292347</v>
      </c>
      <c r="G41" s="13">
        <f t="shared" ca="1" si="9"/>
        <v>101289.49946588041</v>
      </c>
      <c r="H41" s="13">
        <f t="shared" ca="1" si="9"/>
        <v>101289.05549620895</v>
      </c>
      <c r="I41" s="13">
        <f t="shared" ca="1" si="9"/>
        <v>101289.00616624545</v>
      </c>
      <c r="J41" s="13">
        <f t="shared" ca="1" si="9"/>
        <v>101289.0006851384</v>
      </c>
      <c r="K41" s="13">
        <f t="shared" ca="1" si="9"/>
        <v>101289.0000761265</v>
      </c>
      <c r="L41" s="13">
        <f t="shared" ca="1" si="9"/>
        <v>101289.0000084585</v>
      </c>
      <c r="M41" s="13">
        <f t="shared" ca="1" si="9"/>
        <v>101289.00000093984</v>
      </c>
      <c r="N41" s="13">
        <f t="shared" ca="1" si="9"/>
        <v>101289.00000010442</v>
      </c>
      <c r="O41" s="13">
        <f t="shared" ca="1" si="9"/>
        <v>101289.0000000116</v>
      </c>
      <c r="P41" s="13">
        <f t="shared" ca="1" si="9"/>
        <v>101289.00000000128</v>
      </c>
      <c r="Q41" s="14">
        <f t="shared" ca="1" si="9"/>
        <v>101289.00000000013</v>
      </c>
      <c r="R41" s="15">
        <f t="shared" si="3"/>
        <v>38</v>
      </c>
      <c r="S41" s="152">
        <f t="shared" si="2"/>
        <v>10960</v>
      </c>
      <c r="T41" s="134">
        <f t="shared" si="4"/>
        <v>101289</v>
      </c>
      <c r="U41" s="17">
        <f t="shared" si="5"/>
        <v>1.2732925824820995E-10</v>
      </c>
      <c r="V41" s="17">
        <f t="shared" si="10"/>
        <v>1.1459633242338896E-9</v>
      </c>
      <c r="W41" s="17">
        <f t="shared" si="10"/>
        <v>1.0313669918105006E-8</v>
      </c>
      <c r="X41" s="17">
        <f t="shared" si="10"/>
        <v>9.2823029262945056E-8</v>
      </c>
      <c r="Y41" s="17">
        <f t="shared" si="10"/>
        <v>8.354072633665055E-7</v>
      </c>
      <c r="Z41" s="17">
        <f t="shared" si="10"/>
        <v>7.5186653702985495E-6</v>
      </c>
      <c r="AA41" s="17">
        <f t="shared" si="10"/>
        <v>6.7667988332686946E-5</v>
      </c>
      <c r="AB41" s="17">
        <f t="shared" si="10"/>
        <v>6.0901189499418251E-4</v>
      </c>
      <c r="AC41" s="17">
        <f t="shared" si="10"/>
        <v>5.4811070549476426E-3</v>
      </c>
      <c r="AD41" s="17">
        <f t="shared" si="10"/>
        <v>4.9329963494528783E-2</v>
      </c>
      <c r="AE41" s="17">
        <f t="shared" si="10"/>
        <v>0.44396967145075905</v>
      </c>
      <c r="AF41" s="18">
        <f t="shared" si="10"/>
        <v>3.9957270430568315</v>
      </c>
      <c r="AG41" s="17">
        <f t="shared" si="10"/>
        <v>35.961543387511483</v>
      </c>
      <c r="AH41" s="17">
        <f t="shared" si="10"/>
        <v>323.65389048760335</v>
      </c>
      <c r="AI41" s="17">
        <f t="shared" si="10"/>
        <v>2912.8850143884301</v>
      </c>
      <c r="AJ41" s="18">
        <f t="shared" si="10"/>
        <v>26215.965129495871</v>
      </c>
    </row>
    <row r="42" spans="2:36" x14ac:dyDescent="0.3">
      <c r="B42" s="12">
        <f t="shared" ca="1" si="9"/>
        <v>127595.48038534133</v>
      </c>
      <c r="C42" s="13">
        <f t="shared" ca="1" si="9"/>
        <v>114487.4978205934</v>
      </c>
      <c r="D42" s="13">
        <f t="shared" ca="1" si="9"/>
        <v>113031.05531339919</v>
      </c>
      <c r="E42" s="13">
        <f t="shared" ca="1" si="9"/>
        <v>112869.2283681554</v>
      </c>
      <c r="F42" s="12">
        <f t="shared" ca="1" si="9"/>
        <v>112851.24759646165</v>
      </c>
      <c r="G42" s="13">
        <f t="shared" ca="1" si="9"/>
        <v>112849.24973294012</v>
      </c>
      <c r="H42" s="13">
        <f t="shared" ca="1" si="9"/>
        <v>112849.0277481044</v>
      </c>
      <c r="I42" s="13">
        <f t="shared" ca="1" si="9"/>
        <v>112849.00308312266</v>
      </c>
      <c r="J42" s="13">
        <f t="shared" ca="1" si="9"/>
        <v>112849.00034256914</v>
      </c>
      <c r="K42" s="13">
        <f t="shared" ca="1" si="9"/>
        <v>112849.0000380632</v>
      </c>
      <c r="L42" s="13">
        <f t="shared" ca="1" si="9"/>
        <v>112849.00000422921</v>
      </c>
      <c r="M42" s="13">
        <f t="shared" ca="1" si="9"/>
        <v>112849.00000046988</v>
      </c>
      <c r="N42" s="13">
        <f t="shared" ca="1" si="9"/>
        <v>112849.00000005218</v>
      </c>
      <c r="O42" s="13">
        <f t="shared" ca="1" si="9"/>
        <v>112849.00000000578</v>
      </c>
      <c r="P42" s="13">
        <f t="shared" ca="1" si="9"/>
        <v>112849.00000000063</v>
      </c>
      <c r="Q42" s="14">
        <f t="shared" ca="1" si="9"/>
        <v>112849.00000000006</v>
      </c>
      <c r="R42" s="15">
        <f t="shared" si="3"/>
        <v>39</v>
      </c>
      <c r="S42" s="152">
        <f t="shared" si="2"/>
        <v>11560</v>
      </c>
      <c r="T42" s="134">
        <f t="shared" si="4"/>
        <v>112849</v>
      </c>
      <c r="U42" s="17">
        <f t="shared" si="5"/>
        <v>6.3664629124104977E-11</v>
      </c>
      <c r="V42" s="17">
        <f t="shared" si="10"/>
        <v>5.7298166211694479E-10</v>
      </c>
      <c r="W42" s="17">
        <f t="shared" si="10"/>
        <v>5.1568349590525031E-9</v>
      </c>
      <c r="X42" s="17">
        <f t="shared" si="10"/>
        <v>4.6411514631472528E-8</v>
      </c>
      <c r="Y42" s="17">
        <f t="shared" si="10"/>
        <v>4.1770363168325275E-7</v>
      </c>
      <c r="Z42" s="17">
        <f t="shared" si="10"/>
        <v>3.7593326851492748E-6</v>
      </c>
      <c r="AA42" s="17">
        <f t="shared" si="10"/>
        <v>3.3833994166343473E-5</v>
      </c>
      <c r="AB42" s="17">
        <f t="shared" si="10"/>
        <v>3.0450594749709126E-4</v>
      </c>
      <c r="AC42" s="17">
        <f t="shared" si="10"/>
        <v>2.7405535274738213E-3</v>
      </c>
      <c r="AD42" s="17">
        <f t="shared" si="10"/>
        <v>2.4664981747264392E-2</v>
      </c>
      <c r="AE42" s="17">
        <f t="shared" si="10"/>
        <v>0.22198483572537953</v>
      </c>
      <c r="AF42" s="18">
        <f t="shared" si="10"/>
        <v>1.9978635215284157</v>
      </c>
      <c r="AG42" s="17">
        <f t="shared" si="10"/>
        <v>17.980771693755742</v>
      </c>
      <c r="AH42" s="17">
        <f t="shared" si="10"/>
        <v>161.82694524380167</v>
      </c>
      <c r="AI42" s="17">
        <f t="shared" si="10"/>
        <v>1456.4425071942151</v>
      </c>
      <c r="AJ42" s="18">
        <f t="shared" si="10"/>
        <v>13107.982564747936</v>
      </c>
    </row>
    <row r="43" spans="2:36" x14ac:dyDescent="0.3">
      <c r="B43" s="12">
        <f t="shared" ca="1" si="9"/>
        <v>132398.24019267072</v>
      </c>
      <c r="C43" s="13">
        <f t="shared" ca="1" si="9"/>
        <v>125844.24891029675</v>
      </c>
      <c r="D43" s="13">
        <f t="shared" ca="1" si="9"/>
        <v>125116.02765669965</v>
      </c>
      <c r="E43" s="13">
        <f t="shared" ca="1" si="9"/>
        <v>125035.11418407774</v>
      </c>
      <c r="F43" s="12">
        <f t="shared" ca="1" si="9"/>
        <v>125026.12379823087</v>
      </c>
      <c r="G43" s="13">
        <f t="shared" ca="1" si="9"/>
        <v>125025.1248664701</v>
      </c>
      <c r="H43" s="13">
        <f t="shared" ca="1" si="9"/>
        <v>125025.01387405224</v>
      </c>
      <c r="I43" s="13">
        <f t="shared" ca="1" si="9"/>
        <v>125025.00154156136</v>
      </c>
      <c r="J43" s="13">
        <f t="shared" ca="1" si="9"/>
        <v>125025.0001712846</v>
      </c>
      <c r="K43" s="13">
        <f t="shared" ca="1" si="9"/>
        <v>125025.00001903162</v>
      </c>
      <c r="L43" s="13">
        <f t="shared" ca="1" si="9"/>
        <v>125025.00000211463</v>
      </c>
      <c r="M43" s="13">
        <f t="shared" ca="1" si="9"/>
        <v>125025.00000023496</v>
      </c>
      <c r="N43" s="13">
        <f t="shared" ca="1" si="9"/>
        <v>125025.00000002611</v>
      </c>
      <c r="O43" s="13">
        <f t="shared" ca="1" si="9"/>
        <v>125025.0000000029</v>
      </c>
      <c r="P43" s="13">
        <f t="shared" ca="1" si="9"/>
        <v>125025.00000000032</v>
      </c>
      <c r="Q43" s="14">
        <f t="shared" ca="1" si="9"/>
        <v>125025.00000000003</v>
      </c>
      <c r="R43" s="15">
        <f t="shared" si="3"/>
        <v>40</v>
      </c>
      <c r="S43" s="152">
        <f t="shared" si="2"/>
        <v>12176</v>
      </c>
      <c r="T43" s="134">
        <f t="shared" si="4"/>
        <v>125025</v>
      </c>
      <c r="U43" s="17">
        <f t="shared" si="5"/>
        <v>3.1832314562052488E-11</v>
      </c>
      <c r="V43" s="17">
        <f t="shared" si="10"/>
        <v>2.8649083105847239E-10</v>
      </c>
      <c r="W43" s="17">
        <f t="shared" si="10"/>
        <v>2.5784174795262516E-9</v>
      </c>
      <c r="X43" s="17">
        <f t="shared" si="10"/>
        <v>2.3205757315736264E-8</v>
      </c>
      <c r="Y43" s="17">
        <f t="shared" si="10"/>
        <v>2.0885181584162638E-7</v>
      </c>
      <c r="Z43" s="17">
        <f t="shared" si="10"/>
        <v>1.8796663425746374E-6</v>
      </c>
      <c r="AA43" s="17">
        <f t="shared" si="10"/>
        <v>1.6916997083171736E-5</v>
      </c>
      <c r="AB43" s="17">
        <f t="shared" si="10"/>
        <v>1.5225297374854563E-4</v>
      </c>
      <c r="AC43" s="17">
        <f t="shared" si="10"/>
        <v>1.3702767637369107E-3</v>
      </c>
      <c r="AD43" s="17">
        <f t="shared" si="10"/>
        <v>1.2332490873632196E-2</v>
      </c>
      <c r="AE43" s="17">
        <f t="shared" si="10"/>
        <v>0.11099241786268976</v>
      </c>
      <c r="AF43" s="18">
        <f t="shared" si="10"/>
        <v>0.99893176076420787</v>
      </c>
      <c r="AG43" s="17">
        <f t="shared" si="10"/>
        <v>8.9903858468778708</v>
      </c>
      <c r="AH43" s="17">
        <f t="shared" si="10"/>
        <v>80.913472621900837</v>
      </c>
      <c r="AI43" s="17">
        <f t="shared" si="10"/>
        <v>728.22125359710753</v>
      </c>
      <c r="AJ43" s="18">
        <f t="shared" si="10"/>
        <v>6553.9912823739678</v>
      </c>
    </row>
    <row r="44" spans="2:36" x14ac:dyDescent="0.3">
      <c r="B44" s="12">
        <f t="shared" ca="1" si="9"/>
        <v>154327.62009633536</v>
      </c>
      <c r="C44" s="13">
        <f t="shared" ca="1" si="9"/>
        <v>151050.62445514838</v>
      </c>
      <c r="D44" s="13">
        <f t="shared" ca="1" si="9"/>
        <v>150686.51382834982</v>
      </c>
      <c r="E44" s="13">
        <f t="shared" ca="1" si="9"/>
        <v>150646.05709203889</v>
      </c>
      <c r="F44" s="12">
        <f t="shared" ca="1" si="9"/>
        <v>150641.56189911545</v>
      </c>
      <c r="G44" s="13">
        <f t="shared" ca="1" si="9"/>
        <v>150641.06243323506</v>
      </c>
      <c r="H44" s="13">
        <f t="shared" ca="1" si="9"/>
        <v>150641.00693702613</v>
      </c>
      <c r="I44" s="13">
        <f t="shared" ca="1" si="9"/>
        <v>150641.00077078069</v>
      </c>
      <c r="J44" s="13">
        <f t="shared" ca="1" si="9"/>
        <v>150641.0000856423</v>
      </c>
      <c r="K44" s="13">
        <f t="shared" ca="1" si="9"/>
        <v>150641.00000951582</v>
      </c>
      <c r="L44" s="13">
        <f t="shared" ca="1" si="9"/>
        <v>150641.00000105731</v>
      </c>
      <c r="M44" s="13">
        <f t="shared" ca="1" si="9"/>
        <v>150641.00000011749</v>
      </c>
      <c r="N44" s="13">
        <f t="shared" ca="1" si="9"/>
        <v>150641.00000001307</v>
      </c>
      <c r="O44" s="13">
        <f t="shared" ca="1" si="9"/>
        <v>150641.00000000146</v>
      </c>
      <c r="P44" s="13">
        <f t="shared" ca="1" si="9"/>
        <v>150641.00000000017</v>
      </c>
      <c r="Q44" s="14">
        <f t="shared" ref="Q44" ca="1" si="11">SUM(INDIRECT(ADDRESS(ROW(),COLUMN($T:$T))&amp;":"&amp;ADDRESS(ROW(),COLUMN($T:$T)+Q$2)))</f>
        <v>150641.00000000003</v>
      </c>
      <c r="R44" s="15">
        <f t="shared" si="3"/>
        <v>41</v>
      </c>
      <c r="S44" s="152">
        <f t="shared" si="2"/>
        <v>25616</v>
      </c>
      <c r="T44" s="134">
        <f t="shared" si="4"/>
        <v>150641</v>
      </c>
      <c r="U44" s="17">
        <f t="shared" si="5"/>
        <v>1.5916157281026244E-11</v>
      </c>
      <c r="V44" s="17">
        <f t="shared" si="10"/>
        <v>1.432454155292362E-10</v>
      </c>
      <c r="W44" s="17">
        <f t="shared" si="10"/>
        <v>1.2892087397631258E-9</v>
      </c>
      <c r="X44" s="17">
        <f t="shared" si="10"/>
        <v>1.1602878657868132E-8</v>
      </c>
      <c r="Y44" s="17">
        <f t="shared" si="10"/>
        <v>1.0442590792081319E-7</v>
      </c>
      <c r="Z44" s="17">
        <f t="shared" si="10"/>
        <v>9.3983317128731869E-7</v>
      </c>
      <c r="AA44" s="17">
        <f t="shared" si="10"/>
        <v>8.4584985415858682E-6</v>
      </c>
      <c r="AB44" s="17">
        <f t="shared" si="10"/>
        <v>7.6126486874272814E-5</v>
      </c>
      <c r="AC44" s="17">
        <f t="shared" si="10"/>
        <v>6.8513838186845533E-4</v>
      </c>
      <c r="AD44" s="17">
        <f t="shared" si="10"/>
        <v>6.1662454368160979E-3</v>
      </c>
      <c r="AE44" s="17">
        <f t="shared" si="10"/>
        <v>5.5496208931344881E-2</v>
      </c>
      <c r="AF44" s="18">
        <f t="shared" si="10"/>
        <v>0.49946588038210393</v>
      </c>
      <c r="AG44" s="17">
        <f t="shared" si="10"/>
        <v>4.4951929234389354</v>
      </c>
      <c r="AH44" s="17">
        <f t="shared" si="10"/>
        <v>40.456736310950419</v>
      </c>
      <c r="AI44" s="17">
        <f t="shared" si="10"/>
        <v>364.11062679855377</v>
      </c>
      <c r="AJ44" s="18">
        <f t="shared" si="10"/>
        <v>3276.9956411869839</v>
      </c>
    </row>
    <row r="45" spans="2:36" x14ac:dyDescent="0.3">
      <c r="B45" s="12">
        <f t="shared" ref="B45:Q47" ca="1" si="12">SUM(INDIRECT(ADDRESS(ROW(),COLUMN($T:$T))&amp;":"&amp;ADDRESS(ROW(),COLUMN($T:$T)+B$2)))</f>
        <v>179396.31004816768</v>
      </c>
      <c r="C45" s="13">
        <f t="shared" ca="1" si="12"/>
        <v>177757.81222757418</v>
      </c>
      <c r="D45" s="13">
        <f t="shared" ca="1" si="12"/>
        <v>177575.75691417491</v>
      </c>
      <c r="E45" s="13">
        <f t="shared" ca="1" si="12"/>
        <v>177555.52854601943</v>
      </c>
      <c r="F45" s="12">
        <f t="shared" ca="1" si="12"/>
        <v>177553.28094955769</v>
      </c>
      <c r="G45" s="13">
        <f t="shared" ca="1" si="12"/>
        <v>177553.0312166175</v>
      </c>
      <c r="H45" s="13">
        <f t="shared" ca="1" si="12"/>
        <v>177553.00346851302</v>
      </c>
      <c r="I45" s="13">
        <f t="shared" ca="1" si="12"/>
        <v>177553.0003853903</v>
      </c>
      <c r="J45" s="13">
        <f t="shared" ca="1" si="12"/>
        <v>177553.00004282111</v>
      </c>
      <c r="K45" s="13">
        <f t="shared" ca="1" si="12"/>
        <v>177553.00000475787</v>
      </c>
      <c r="L45" s="13">
        <f t="shared" ca="1" si="12"/>
        <v>177553.00000052861</v>
      </c>
      <c r="M45" s="13">
        <f t="shared" ca="1" si="12"/>
        <v>177553.0000000587</v>
      </c>
      <c r="N45" s="13">
        <f t="shared" ca="1" si="12"/>
        <v>177553.00000000649</v>
      </c>
      <c r="O45" s="13">
        <f t="shared" ca="1" si="12"/>
        <v>177553.0000000007</v>
      </c>
      <c r="P45" s="13">
        <f t="shared" ca="1" si="12"/>
        <v>177553.00000000006</v>
      </c>
      <c r="Q45" s="14">
        <f t="shared" ca="1" si="12"/>
        <v>177553</v>
      </c>
      <c r="R45" s="15">
        <f t="shared" si="3"/>
        <v>42</v>
      </c>
      <c r="S45" s="152">
        <f t="shared" si="2"/>
        <v>26912</v>
      </c>
      <c r="T45" s="134">
        <f t="shared" si="4"/>
        <v>177553</v>
      </c>
      <c r="U45" s="17">
        <f t="shared" si="5"/>
        <v>7.9580786405131221E-12</v>
      </c>
      <c r="V45" s="17">
        <f t="shared" si="10"/>
        <v>7.1622707764618099E-11</v>
      </c>
      <c r="W45" s="17">
        <f t="shared" si="10"/>
        <v>6.4460436988156289E-10</v>
      </c>
      <c r="X45" s="17">
        <f t="shared" si="10"/>
        <v>5.801439328934066E-9</v>
      </c>
      <c r="Y45" s="17">
        <f t="shared" si="10"/>
        <v>5.2212953960406594E-8</v>
      </c>
      <c r="Z45" s="17">
        <f t="shared" si="10"/>
        <v>4.6991658564365935E-7</v>
      </c>
      <c r="AA45" s="17">
        <f t="shared" si="10"/>
        <v>4.2292492707929341E-6</v>
      </c>
      <c r="AB45" s="17">
        <f t="shared" si="10"/>
        <v>3.8063243437136407E-5</v>
      </c>
      <c r="AC45" s="17">
        <f t="shared" si="10"/>
        <v>3.4256919093422766E-4</v>
      </c>
      <c r="AD45" s="17">
        <f t="shared" si="10"/>
        <v>3.083122718408049E-3</v>
      </c>
      <c r="AE45" s="17">
        <f t="shared" si="10"/>
        <v>2.7748104465672441E-2</v>
      </c>
      <c r="AF45" s="18">
        <f t="shared" si="10"/>
        <v>0.24973294019105197</v>
      </c>
      <c r="AG45" s="17">
        <f t="shared" si="10"/>
        <v>2.2475964617194677</v>
      </c>
      <c r="AH45" s="17">
        <f t="shared" si="10"/>
        <v>20.228368155475209</v>
      </c>
      <c r="AI45" s="17">
        <f t="shared" si="10"/>
        <v>182.05531339927688</v>
      </c>
      <c r="AJ45" s="18">
        <f t="shared" si="10"/>
        <v>1638.497820593492</v>
      </c>
    </row>
    <row r="46" spans="2:36" x14ac:dyDescent="0.3">
      <c r="B46" s="12">
        <f t="shared" ca="1" si="12"/>
        <v>206714.65502408386</v>
      </c>
      <c r="C46" s="13">
        <f t="shared" ca="1" si="12"/>
        <v>205895.40611378712</v>
      </c>
      <c r="D46" s="13">
        <f t="shared" ca="1" si="12"/>
        <v>205804.37845708747</v>
      </c>
      <c r="E46" s="13">
        <f t="shared" ca="1" si="12"/>
        <v>205794.26427300973</v>
      </c>
      <c r="F46" s="12">
        <f t="shared" ca="1" si="12"/>
        <v>205793.14047477886</v>
      </c>
      <c r="G46" s="13">
        <f t="shared" ca="1" si="12"/>
        <v>205793.01560830878</v>
      </c>
      <c r="H46" s="13">
        <f t="shared" ca="1" si="12"/>
        <v>205793.00173425654</v>
      </c>
      <c r="I46" s="13">
        <f t="shared" ca="1" si="12"/>
        <v>205793.00019269518</v>
      </c>
      <c r="J46" s="13">
        <f t="shared" ca="1" si="12"/>
        <v>205793.00002141058</v>
      </c>
      <c r="K46" s="13">
        <f t="shared" ca="1" si="12"/>
        <v>205793.00000237895</v>
      </c>
      <c r="L46" s="13">
        <f t="shared" ca="1" si="12"/>
        <v>205793.00000026432</v>
      </c>
      <c r="M46" s="13">
        <f t="shared" ca="1" si="12"/>
        <v>205793.00000002937</v>
      </c>
      <c r="N46" s="13">
        <f t="shared" ca="1" si="12"/>
        <v>205793.00000000326</v>
      </c>
      <c r="O46" s="13">
        <f t="shared" ca="1" si="12"/>
        <v>205793.00000000035</v>
      </c>
      <c r="P46" s="13">
        <f t="shared" ca="1" si="12"/>
        <v>205793.00000000003</v>
      </c>
      <c r="Q46" s="14">
        <f t="shared" ca="1" si="12"/>
        <v>205793</v>
      </c>
      <c r="R46" s="15">
        <f t="shared" si="3"/>
        <v>43</v>
      </c>
      <c r="S46" s="152">
        <f t="shared" si="2"/>
        <v>28240</v>
      </c>
      <c r="T46" s="134">
        <f t="shared" si="4"/>
        <v>205793</v>
      </c>
      <c r="U46" s="17">
        <f t="shared" si="5"/>
        <v>3.979039320256561E-12</v>
      </c>
      <c r="V46" s="17">
        <f t="shared" si="10"/>
        <v>3.5811353882309049E-11</v>
      </c>
      <c r="W46" s="17">
        <f t="shared" si="10"/>
        <v>3.2230218494078144E-10</v>
      </c>
      <c r="X46" s="17">
        <f t="shared" si="10"/>
        <v>2.900719664467033E-9</v>
      </c>
      <c r="Y46" s="17">
        <f t="shared" si="10"/>
        <v>2.6106476980203297E-8</v>
      </c>
      <c r="Z46" s="17">
        <f t="shared" si="10"/>
        <v>2.3495829282182967E-7</v>
      </c>
      <c r="AA46" s="17">
        <f t="shared" si="10"/>
        <v>2.1146246353964671E-6</v>
      </c>
      <c r="AB46" s="17">
        <f t="shared" si="10"/>
        <v>1.9031621718568204E-5</v>
      </c>
      <c r="AC46" s="17">
        <f t="shared" si="10"/>
        <v>1.7128459546711383E-4</v>
      </c>
      <c r="AD46" s="17">
        <f t="shared" si="10"/>
        <v>1.5415613592040245E-3</v>
      </c>
      <c r="AE46" s="17">
        <f t="shared" si="10"/>
        <v>1.387405223283622E-2</v>
      </c>
      <c r="AF46" s="18">
        <f t="shared" si="10"/>
        <v>0.12486647009552598</v>
      </c>
      <c r="AG46" s="17">
        <f t="shared" si="10"/>
        <v>1.1237982308597338</v>
      </c>
      <c r="AH46" s="17">
        <f t="shared" si="10"/>
        <v>10.114184077737605</v>
      </c>
      <c r="AI46" s="17">
        <f t="shared" si="10"/>
        <v>91.027656699638442</v>
      </c>
      <c r="AJ46" s="18">
        <f t="shared" si="10"/>
        <v>819.24891029674598</v>
      </c>
    </row>
    <row r="47" spans="2:36" x14ac:dyDescent="0.3">
      <c r="B47" s="12">
        <f t="shared" ca="1" si="12"/>
        <v>235853.82751204196</v>
      </c>
      <c r="C47" s="13">
        <f t="shared" ca="1" si="12"/>
        <v>235444.20305689357</v>
      </c>
      <c r="D47" s="13">
        <f t="shared" ca="1" si="12"/>
        <v>235398.68922854375</v>
      </c>
      <c r="E47" s="13">
        <f t="shared" ca="1" si="12"/>
        <v>235393.63213650489</v>
      </c>
      <c r="F47" s="12">
        <f t="shared" ca="1" si="12"/>
        <v>235393.07023738947</v>
      </c>
      <c r="G47" s="13">
        <f t="shared" ca="1" si="12"/>
        <v>235393.00780415442</v>
      </c>
      <c r="H47" s="13">
        <f t="shared" ca="1" si="12"/>
        <v>235393.00086712831</v>
      </c>
      <c r="I47" s="13">
        <f t="shared" ca="1" si="12"/>
        <v>235393.00009634765</v>
      </c>
      <c r="J47" s="13">
        <f t="shared" ca="1" si="12"/>
        <v>235393.00001070535</v>
      </c>
      <c r="K47" s="13">
        <f t="shared" ca="1" si="12"/>
        <v>235393.00000118953</v>
      </c>
      <c r="L47" s="13">
        <f t="shared" ca="1" si="12"/>
        <v>235393.00000013222</v>
      </c>
      <c r="M47" s="13">
        <f t="shared" ca="1" si="12"/>
        <v>235393.00000001473</v>
      </c>
      <c r="N47" s="13">
        <f t="shared" ca="1" si="12"/>
        <v>235393.00000000166</v>
      </c>
      <c r="O47" s="13">
        <f t="shared" ca="1" si="12"/>
        <v>235393.0000000002</v>
      </c>
      <c r="P47" s="13">
        <f t="shared" ca="1" si="12"/>
        <v>235393.00000000003</v>
      </c>
      <c r="Q47" s="14">
        <f t="shared" ca="1" si="12"/>
        <v>235393</v>
      </c>
      <c r="R47" s="15">
        <f t="shared" si="3"/>
        <v>44</v>
      </c>
      <c r="S47" s="152">
        <f t="shared" si="2"/>
        <v>29600</v>
      </c>
      <c r="T47" s="134">
        <f t="shared" si="4"/>
        <v>235393</v>
      </c>
      <c r="U47" s="17">
        <f t="shared" si="5"/>
        <v>1.9895196601282805E-12</v>
      </c>
      <c r="V47" s="17">
        <f t="shared" si="10"/>
        <v>1.7905676941154525E-11</v>
      </c>
      <c r="W47" s="17">
        <f t="shared" si="10"/>
        <v>1.6115109247039072E-10</v>
      </c>
      <c r="X47" s="17">
        <f t="shared" si="10"/>
        <v>1.4503598322335165E-9</v>
      </c>
      <c r="Y47" s="17">
        <f t="shared" si="10"/>
        <v>1.3053238490101648E-8</v>
      </c>
      <c r="Z47" s="17">
        <f t="shared" si="10"/>
        <v>1.1747914641091484E-7</v>
      </c>
      <c r="AA47" s="17">
        <f t="shared" si="10"/>
        <v>1.0573123176982335E-6</v>
      </c>
      <c r="AB47" s="17">
        <f t="shared" si="10"/>
        <v>9.5158108592841018E-6</v>
      </c>
      <c r="AC47" s="17">
        <f t="shared" si="10"/>
        <v>8.5642297733556916E-5</v>
      </c>
      <c r="AD47" s="17">
        <f t="shared" si="10"/>
        <v>7.7078067960201224E-4</v>
      </c>
      <c r="AE47" s="17">
        <f t="shared" si="10"/>
        <v>6.9370261164181102E-3</v>
      </c>
      <c r="AF47" s="18">
        <f t="shared" si="10"/>
        <v>6.2433235047762992E-2</v>
      </c>
      <c r="AG47" s="17">
        <f t="shared" si="10"/>
        <v>0.56189911542986692</v>
      </c>
      <c r="AH47" s="17">
        <f t="shared" si="10"/>
        <v>5.0570920388688023</v>
      </c>
      <c r="AI47" s="17">
        <f t="shared" si="10"/>
        <v>45.513828349819221</v>
      </c>
      <c r="AJ47" s="18">
        <f t="shared" si="10"/>
        <v>409.62445514837299</v>
      </c>
    </row>
    <row r="48" spans="2:36" ht="15" thickBot="1" x14ac:dyDescent="0.35"/>
    <row r="49" spans="2:29" ht="15" thickBot="1" x14ac:dyDescent="0.35">
      <c r="B49" s="1" t="s">
        <v>4</v>
      </c>
      <c r="C49" s="3" t="str">
        <f>"cost ("&amp;T3&amp;" gold)"</f>
        <v>cost (m gold)</v>
      </c>
      <c r="D49" s="105" t="str">
        <f>"diff ("&amp;T3&amp;")"</f>
        <v>diff (m)</v>
      </c>
      <c r="E49" s="19" t="s">
        <v>5</v>
      </c>
      <c r="H49" t="s">
        <v>6</v>
      </c>
      <c r="I49" s="20"/>
      <c r="K49" t="s">
        <v>176</v>
      </c>
      <c r="N49" s="21" t="s">
        <v>8</v>
      </c>
      <c r="Q49" t="s">
        <v>9</v>
      </c>
      <c r="T49" t="s">
        <v>10</v>
      </c>
      <c r="AA49" s="197" t="s">
        <v>11</v>
      </c>
      <c r="AB49" s="198"/>
    </row>
    <row r="50" spans="2:29" x14ac:dyDescent="0.3">
      <c r="B50" s="15">
        <v>1</v>
      </c>
      <c r="C50" s="181">
        <f ca="1">MIN(INDIRECT(ADDRESS(3,COLUMN(R:R)-B50)&amp;":"&amp;ADDRESS(47,COLUMN(R:R)-B50)))</f>
        <v>11.75</v>
      </c>
      <c r="E50" s="22" t="s">
        <v>12</v>
      </c>
      <c r="F50" s="185">
        <f>total_production/1000/1000</f>
        <v>1.4520000000000003E-4</v>
      </c>
      <c r="G50" t="s">
        <v>13</v>
      </c>
      <c r="H50" s="22" t="s">
        <v>14</v>
      </c>
      <c r="I50" s="59">
        <v>0</v>
      </c>
      <c r="K50" s="156" t="s">
        <v>4</v>
      </c>
      <c r="L50" s="166">
        <v>0</v>
      </c>
      <c r="M50" s="97"/>
      <c r="N50" s="22" t="s">
        <v>15</v>
      </c>
      <c r="O50" s="26">
        <f>O60</f>
        <v>0</v>
      </c>
      <c r="Q50" s="22" t="s">
        <v>4</v>
      </c>
      <c r="R50" s="27">
        <v>0</v>
      </c>
      <c r="T50" s="28" t="s">
        <v>30</v>
      </c>
      <c r="U50" s="172">
        <v>0</v>
      </c>
      <c r="W50" t="s">
        <v>17</v>
      </c>
      <c r="X50" s="29">
        <f>($C$72=W50)*1</f>
        <v>0</v>
      </c>
      <c r="AA50" s="30" t="s">
        <v>12</v>
      </c>
      <c r="AB50" s="31">
        <v>1.5</v>
      </c>
      <c r="AC50" t="s">
        <v>13</v>
      </c>
    </row>
    <row r="51" spans="2:29" x14ac:dyDescent="0.3">
      <c r="B51" s="15">
        <f>B50+1</f>
        <v>2</v>
      </c>
      <c r="C51" s="181">
        <f t="shared" ref="C51:C65" ca="1" si="13">MIN(INDIRECT(ADDRESS(3,COLUMN(R:R)-B51)&amp;":"&amp;ADDRESS(47,COLUMN(R:R)-B51)))</f>
        <v>39.875</v>
      </c>
      <c r="D51" s="150"/>
      <c r="E51" s="30" t="s">
        <v>18</v>
      </c>
      <c r="F51" s="32">
        <f>MAX(I50*10%,IF(C71&gt;0,C71*20%+100%,0))</f>
        <v>0</v>
      </c>
      <c r="H51" s="30" t="s">
        <v>19</v>
      </c>
      <c r="I51" s="65">
        <v>35</v>
      </c>
      <c r="J51" t="s">
        <v>20</v>
      </c>
      <c r="K51" s="158" t="s">
        <v>198</v>
      </c>
      <c r="L51" s="167">
        <v>60</v>
      </c>
      <c r="M51" s="97"/>
      <c r="N51" s="30" t="s">
        <v>21</v>
      </c>
      <c r="O51" s="34">
        <f>O76</f>
        <v>0</v>
      </c>
      <c r="Q51" s="30" t="s">
        <v>22</v>
      </c>
      <c r="R51" s="31">
        <v>60</v>
      </c>
      <c r="T51" s="175" t="s">
        <v>199</v>
      </c>
      <c r="U51" s="176">
        <f>U50*10*nature_god?</f>
        <v>0</v>
      </c>
      <c r="W51" t="s">
        <v>61</v>
      </c>
      <c r="X51" s="29">
        <f>($C$72=W51)*1</f>
        <v>1</v>
      </c>
      <c r="AA51" s="30" t="s">
        <v>18</v>
      </c>
      <c r="AB51" s="36">
        <v>4.4000000000000004</v>
      </c>
    </row>
    <row r="52" spans="2:29" ht="15" thickBot="1" x14ac:dyDescent="0.35">
      <c r="B52" s="15">
        <f t="shared" ref="B52:B65" si="14">B51+1</f>
        <v>3</v>
      </c>
      <c r="C52" s="181">
        <f t="shared" ca="1" si="13"/>
        <v>110.765625</v>
      </c>
      <c r="D52" s="150"/>
      <c r="E52" s="30" t="s">
        <v>25</v>
      </c>
      <c r="F52" s="32">
        <f>ship_gold_bonus+logger_gold_bonus*russian2</f>
        <v>0</v>
      </c>
      <c r="H52" s="30" t="s">
        <v>26</v>
      </c>
      <c r="I52" s="177">
        <f>abdicate/total_production*(total_production+quarries*3*cromlechis?*stone_per_mason*stone_multiplier)/(1+ritual_bonus)*(1+ritual_bonus+10%)-abdicate</f>
        <v>1.7424000000000022E-6</v>
      </c>
      <c r="J52" t="str">
        <f>T3&amp;" gold"</f>
        <v>m gold</v>
      </c>
      <c r="K52" s="158" t="s">
        <v>197</v>
      </c>
      <c r="L52" s="168">
        <f>shipyards*ship_workers</f>
        <v>0</v>
      </c>
      <c r="M52" s="97"/>
      <c r="N52" s="30" t="s">
        <v>28</v>
      </c>
      <c r="O52" s="34">
        <f>O68</f>
        <v>145.20000000000002</v>
      </c>
      <c r="Q52" s="38" t="s">
        <v>29</v>
      </c>
      <c r="R52" s="39">
        <f>R50*loggers</f>
        <v>0</v>
      </c>
      <c r="T52" s="35" t="s">
        <v>16</v>
      </c>
      <c r="U52" s="173">
        <v>0</v>
      </c>
      <c r="W52" t="s">
        <v>75</v>
      </c>
      <c r="X52" s="29">
        <f>($C$72=W52)*1</f>
        <v>0</v>
      </c>
      <c r="AA52" s="30" t="s">
        <v>31</v>
      </c>
      <c r="AB52" s="36">
        <v>0</v>
      </c>
    </row>
    <row r="53" spans="2:29" ht="15" thickBot="1" x14ac:dyDescent="0.35">
      <c r="B53" s="15">
        <f t="shared" si="14"/>
        <v>4</v>
      </c>
      <c r="C53" s="181">
        <f t="shared" ca="1" si="13"/>
        <v>260.109375</v>
      </c>
      <c r="D53" s="150"/>
      <c r="E53" s="30" t="s">
        <v>36</v>
      </c>
      <c r="F53" s="42">
        <f>I59</f>
        <v>0</v>
      </c>
      <c r="H53" s="38" t="s">
        <v>33</v>
      </c>
      <c r="I53" s="178">
        <f>3600/I51</f>
        <v>102.85714285714286</v>
      </c>
      <c r="K53" s="30" t="s">
        <v>34</v>
      </c>
      <c r="L53" s="200">
        <f>abdicate/(1+gold_bonus)*gold_per_ship/100</f>
        <v>1.7424000000000006E-7</v>
      </c>
      <c r="M53" s="97" t="str">
        <f>T3&amp;" gold"</f>
        <v>m gold</v>
      </c>
      <c r="N53" s="38" t="s">
        <v>35</v>
      </c>
      <c r="O53" s="41">
        <f>SUM(O50:O52)</f>
        <v>145.20000000000002</v>
      </c>
      <c r="Q53" s="78" t="s">
        <v>125</v>
      </c>
      <c r="R53" s="44" t="b">
        <v>0</v>
      </c>
      <c r="T53" s="40" t="s">
        <v>23</v>
      </c>
      <c r="U53" s="174">
        <f>5+U52*nature_god?</f>
        <v>5</v>
      </c>
      <c r="W53" t="s">
        <v>191</v>
      </c>
      <c r="X53" s="29">
        <f>($C$72=W53)*1</f>
        <v>0</v>
      </c>
      <c r="AA53" s="30" t="s">
        <v>32</v>
      </c>
      <c r="AB53" s="36">
        <v>0.2</v>
      </c>
    </row>
    <row r="54" spans="2:29" ht="15" thickBot="1" x14ac:dyDescent="0.35">
      <c r="B54" s="15">
        <f t="shared" si="14"/>
        <v>5</v>
      </c>
      <c r="C54" s="181">
        <f t="shared" ca="1" si="13"/>
        <v>547.2802734375</v>
      </c>
      <c r="D54" s="150"/>
      <c r="E54" s="30" t="s">
        <v>32</v>
      </c>
      <c r="F54" s="36">
        <v>0.2</v>
      </c>
      <c r="I54" s="171"/>
      <c r="K54" s="30" t="s">
        <v>37</v>
      </c>
      <c r="L54" s="159">
        <f>VLOOKUP(ROUNDDOWN(ship_workers+1,0),cost!M3:N189,2,FALSE)/1000/1000/1000</f>
        <v>0.17535994982629607</v>
      </c>
      <c r="M54" s="97" t="s">
        <v>38</v>
      </c>
      <c r="W54" t="s">
        <v>39</v>
      </c>
      <c r="X54" s="29">
        <f>($C$72=W54)*1</f>
        <v>0</v>
      </c>
      <c r="AA54" s="30" t="s">
        <v>40</v>
      </c>
      <c r="AB54" s="36">
        <v>0.5</v>
      </c>
    </row>
    <row r="55" spans="2:29" ht="15" thickBot="1" x14ac:dyDescent="0.35">
      <c r="B55" s="15">
        <f t="shared" si="14"/>
        <v>6</v>
      </c>
      <c r="C55" s="181">
        <f t="shared" ca="1" si="13"/>
        <v>1308.63916015625</v>
      </c>
      <c r="D55" s="150"/>
      <c r="E55" s="30" t="s">
        <v>41</v>
      </c>
      <c r="F55" s="32">
        <f>I55*I56</f>
        <v>0</v>
      </c>
      <c r="H55" s="22" t="s">
        <v>46</v>
      </c>
      <c r="I55" s="59">
        <v>0</v>
      </c>
      <c r="K55" s="30" t="s">
        <v>12</v>
      </c>
      <c r="L55" s="160">
        <f>O61/1000/1000</f>
        <v>0</v>
      </c>
      <c r="M55" s="97" t="s">
        <v>42</v>
      </c>
      <c r="N55" t="s">
        <v>15</v>
      </c>
      <c r="Q55" t="s">
        <v>43</v>
      </c>
      <c r="T55" t="s">
        <v>44</v>
      </c>
      <c r="AA55" s="30" t="s">
        <v>41</v>
      </c>
      <c r="AB55" s="36">
        <v>3.54</v>
      </c>
    </row>
    <row r="56" spans="2:29" ht="15" thickBot="1" x14ac:dyDescent="0.35">
      <c r="B56" s="15">
        <f t="shared" si="14"/>
        <v>7</v>
      </c>
      <c r="C56" s="181">
        <f t="shared" ca="1" si="13"/>
        <v>2403.5951232910156</v>
      </c>
      <c r="D56" s="150"/>
      <c r="E56" s="46" t="s">
        <v>45</v>
      </c>
      <c r="F56" s="47">
        <f>X75</f>
        <v>0</v>
      </c>
      <c r="H56" s="38" t="s">
        <v>53</v>
      </c>
      <c r="I56" s="179">
        <f>3%+frog?*C69*1%</f>
        <v>0.03</v>
      </c>
      <c r="K56" s="30" t="s">
        <v>47</v>
      </c>
      <c r="L56" s="160">
        <f>3.6*L55/L54</f>
        <v>0</v>
      </c>
      <c r="M56" s="97"/>
      <c r="N56" s="28" t="s">
        <v>48</v>
      </c>
      <c r="O56" s="48">
        <f>total_loggers*R61</f>
        <v>0</v>
      </c>
      <c r="Q56" s="22" t="s">
        <v>49</v>
      </c>
      <c r="R56" s="49">
        <f>1+logging?</f>
        <v>1</v>
      </c>
      <c r="T56" s="50" t="s">
        <v>50</v>
      </c>
      <c r="U56" s="51">
        <f>20%*nature_god?</f>
        <v>0.2</v>
      </c>
      <c r="W56" t="s">
        <v>51</v>
      </c>
      <c r="X56" s="29">
        <f t="shared" ref="X56:X61" si="15">OR($C$73=W56,$C$74=W56,$C$75=W56,$C$76=W56)*1</f>
        <v>0</v>
      </c>
      <c r="AA56" s="38" t="s">
        <v>52</v>
      </c>
      <c r="AB56" s="52">
        <f>AB50/10*(1+AB51)*(1+AB52)*(1+AB53)*(1+AB54)*(1+AB55)</f>
        <v>6.6193200000000001</v>
      </c>
      <c r="AC56" t="s">
        <v>13</v>
      </c>
    </row>
    <row r="57" spans="2:29" ht="15" thickBot="1" x14ac:dyDescent="0.35">
      <c r="B57" s="15">
        <f t="shared" si="14"/>
        <v>8</v>
      </c>
      <c r="C57" s="181">
        <f t="shared" ca="1" si="13"/>
        <v>4029.4196472167969</v>
      </c>
      <c r="D57" s="150"/>
      <c r="E57" s="53" t="s">
        <v>52</v>
      </c>
      <c r="F57" s="138">
        <f>(1+F55)*(1+F54)*(1+F52)*(1+F51)*(1+F53)*(1+F56)*F50/10/AM8</f>
        <v>1.7424000000000005E-5</v>
      </c>
      <c r="G57" t="str">
        <f>T3</f>
        <v>m</v>
      </c>
      <c r="K57" s="46" t="s">
        <v>185</v>
      </c>
      <c r="L57" s="161" t="b">
        <v>0</v>
      </c>
      <c r="M57" s="142" t="s">
        <v>192</v>
      </c>
      <c r="N57" s="35" t="s">
        <v>54</v>
      </c>
      <c r="O57" s="54">
        <f>forest_camp_production_raw*wood_multiplier</f>
        <v>0</v>
      </c>
      <c r="Q57" s="30" t="s">
        <v>55</v>
      </c>
      <c r="R57" s="37">
        <f>total_instructs*school_effect</f>
        <v>0</v>
      </c>
      <c r="T57" s="30" t="s">
        <v>56</v>
      </c>
      <c r="U57" s="32">
        <f>10%*R59</f>
        <v>0.1</v>
      </c>
      <c r="W57" t="s">
        <v>57</v>
      </c>
      <c r="X57" s="29">
        <f t="shared" si="15"/>
        <v>0</v>
      </c>
    </row>
    <row r="58" spans="2:29" ht="15" thickBot="1" x14ac:dyDescent="0.35">
      <c r="B58" s="15">
        <f t="shared" si="14"/>
        <v>9</v>
      </c>
      <c r="C58" s="181">
        <f t="shared" ca="1" si="13"/>
        <v>6301.444239616394</v>
      </c>
      <c r="D58" s="150"/>
      <c r="H58" s="22" t="s">
        <v>64</v>
      </c>
      <c r="I58" s="59">
        <v>0</v>
      </c>
      <c r="K58" s="77" t="s">
        <v>181</v>
      </c>
      <c r="L58" s="162">
        <f>(1+english3)*(1+american1)</f>
        <v>1</v>
      </c>
      <c r="M58" s="97"/>
      <c r="N58" s="35" t="s">
        <v>58</v>
      </c>
      <c r="O58" s="34">
        <f>100*L51*L50</f>
        <v>0</v>
      </c>
      <c r="Q58" s="30" t="s">
        <v>59</v>
      </c>
      <c r="R58" s="37">
        <f>C85*3*nature_pantheon?</f>
        <v>3</v>
      </c>
      <c r="T58" s="30" t="s">
        <v>60</v>
      </c>
      <c r="U58" s="36">
        <v>0.1</v>
      </c>
      <c r="W58" t="s">
        <v>61</v>
      </c>
      <c r="X58" s="29">
        <f t="shared" si="15"/>
        <v>1</v>
      </c>
    </row>
    <row r="59" spans="2:29" ht="15" thickBot="1" x14ac:dyDescent="0.35">
      <c r="B59" s="15">
        <f t="shared" si="14"/>
        <v>10</v>
      </c>
      <c r="C59" s="181">
        <f t="shared" ca="1" si="13"/>
        <v>11693.999547481537</v>
      </c>
      <c r="D59" s="150"/>
      <c r="E59" s="19" t="s">
        <v>63</v>
      </c>
      <c r="F59" s="136">
        <f>F67/abdicate</f>
        <v>11.366471346594743</v>
      </c>
      <c r="G59" s="55"/>
      <c r="H59" s="38" t="s">
        <v>78</v>
      </c>
      <c r="I59" s="143">
        <f>I58*50%</f>
        <v>0</v>
      </c>
      <c r="J59" t="s">
        <v>31</v>
      </c>
      <c r="N59" s="56" t="s">
        <v>66</v>
      </c>
      <c r="O59" s="57">
        <f>O58*wood_multiplier</f>
        <v>0</v>
      </c>
      <c r="Q59" s="30" t="s">
        <v>56</v>
      </c>
      <c r="R59" s="33">
        <v>1</v>
      </c>
      <c r="T59" s="30" t="s">
        <v>67</v>
      </c>
      <c r="U59" s="58">
        <v>0</v>
      </c>
      <c r="W59" t="s">
        <v>68</v>
      </c>
      <c r="X59" s="29">
        <f t="shared" si="15"/>
        <v>0</v>
      </c>
    </row>
    <row r="60" spans="2:29" ht="15" thickBot="1" x14ac:dyDescent="0.35">
      <c r="B60" s="15">
        <f t="shared" si="14"/>
        <v>11</v>
      </c>
      <c r="C60" s="181">
        <f t="shared" ca="1" si="13"/>
        <v>18516.62449195981</v>
      </c>
      <c r="D60" s="150"/>
      <c r="E60" s="22" t="s">
        <v>12</v>
      </c>
      <c r="F60" s="184">
        <f>F50*(1+L68*L71+L75*L79)+L88*L83+I53*3*R72*R82*U77/1000/1000*cromlechis?</f>
        <v>1.462390060339101E-4</v>
      </c>
      <c r="G60" t="s">
        <v>13</v>
      </c>
      <c r="J60" s="78" t="s">
        <v>31</v>
      </c>
      <c r="K60" s="157" t="s">
        <v>65</v>
      </c>
      <c r="L60" s="97"/>
      <c r="M60" s="97"/>
      <c r="N60" s="35" t="s">
        <v>73</v>
      </c>
      <c r="O60" s="60">
        <f>O59+forest_camp_production</f>
        <v>0</v>
      </c>
      <c r="Q60" s="61" t="s">
        <v>30</v>
      </c>
      <c r="R60" s="62">
        <f>U51</f>
        <v>0</v>
      </c>
      <c r="T60" s="63" t="s">
        <v>74</v>
      </c>
      <c r="U60" s="64">
        <v>0.2</v>
      </c>
      <c r="W60" t="s">
        <v>75</v>
      </c>
      <c r="X60" s="29">
        <f t="shared" si="15"/>
        <v>0</v>
      </c>
    </row>
    <row r="61" spans="2:29" ht="15" thickBot="1" x14ac:dyDescent="0.35">
      <c r="B61" s="15">
        <f t="shared" si="14"/>
        <v>12</v>
      </c>
      <c r="C61" s="181">
        <f t="shared" ca="1" si="13"/>
        <v>27160.077553585172</v>
      </c>
      <c r="D61" s="150"/>
      <c r="E61" s="30" t="s">
        <v>18</v>
      </c>
      <c r="F61" s="67">
        <f>(I50+I53)/10</f>
        <v>10.285714285714286</v>
      </c>
      <c r="H61" s="22" t="s">
        <v>87</v>
      </c>
      <c r="I61" s="144">
        <f>L52*L58/100</f>
        <v>0</v>
      </c>
      <c r="J61" t="s">
        <v>13</v>
      </c>
      <c r="K61" s="156" t="s">
        <v>4</v>
      </c>
      <c r="L61" s="166">
        <v>0</v>
      </c>
      <c r="M61" s="97"/>
      <c r="N61" s="40" t="s">
        <v>79</v>
      </c>
      <c r="O61" s="69">
        <f>O60*U53*(1+U60)</f>
        <v>0</v>
      </c>
      <c r="Q61" s="43" t="s">
        <v>80</v>
      </c>
      <c r="R61" s="70">
        <f>SUM(R56:R60)</f>
        <v>5</v>
      </c>
      <c r="T61" s="46" t="s">
        <v>81</v>
      </c>
      <c r="U61" s="71">
        <f>(1+U56)*(1+U57)*(1+U58)*(1+U59)*russian4</f>
        <v>1.4520000000000002</v>
      </c>
      <c r="W61" t="s">
        <v>82</v>
      </c>
      <c r="X61" s="29">
        <f t="shared" si="15"/>
        <v>1</v>
      </c>
    </row>
    <row r="62" spans="2:29" x14ac:dyDescent="0.3">
      <c r="B62" s="15">
        <f t="shared" si="14"/>
        <v>13</v>
      </c>
      <c r="C62" s="181">
        <f t="shared" ca="1" si="13"/>
        <v>39421.924495599233</v>
      </c>
      <c r="D62" s="150"/>
      <c r="E62" s="30" t="s">
        <v>31</v>
      </c>
      <c r="F62" s="73">
        <f>ship_gold_bonus+logger_gold_bonus+ships_per_hour*2%</f>
        <v>0</v>
      </c>
      <c r="H62" s="30" t="s">
        <v>91</v>
      </c>
      <c r="I62" s="145">
        <f>ROUNDDOWN(loggers/20,0)*forest_camps*2*0.01*russian2</f>
        <v>0</v>
      </c>
      <c r="K62" s="158" t="s">
        <v>71</v>
      </c>
      <c r="L62" s="167">
        <v>60</v>
      </c>
      <c r="M62" s="97"/>
    </row>
    <row r="63" spans="2:29" ht="15" thickBot="1" x14ac:dyDescent="0.35">
      <c r="B63" s="15">
        <f t="shared" si="14"/>
        <v>14</v>
      </c>
      <c r="C63" s="181">
        <f t="shared" ca="1" si="13"/>
        <v>63820.540057553211</v>
      </c>
      <c r="D63" s="150"/>
      <c r="E63" s="30" t="s">
        <v>32</v>
      </c>
      <c r="F63" s="75">
        <v>0.2</v>
      </c>
      <c r="H63" s="81" t="s">
        <v>94</v>
      </c>
      <c r="I63" s="146">
        <f>(ships*2+total_loggers/10*russian2)*3600/1000/1000</f>
        <v>0</v>
      </c>
      <c r="K63" s="30" t="s">
        <v>72</v>
      </c>
      <c r="L63" s="169">
        <f>L61*L62</f>
        <v>0</v>
      </c>
      <c r="M63" s="97"/>
      <c r="N63" t="s">
        <v>28</v>
      </c>
      <c r="Q63" t="s">
        <v>88</v>
      </c>
      <c r="T63" t="s">
        <v>89</v>
      </c>
      <c r="W63" t="s">
        <v>90</v>
      </c>
    </row>
    <row r="64" spans="2:29" x14ac:dyDescent="0.3">
      <c r="B64" s="15">
        <f t="shared" si="14"/>
        <v>15</v>
      </c>
      <c r="C64" s="181">
        <f t="shared" ca="1" si="13"/>
        <v>93060.982564747872</v>
      </c>
      <c r="D64" s="150"/>
      <c r="E64" s="30" t="s">
        <v>36</v>
      </c>
      <c r="F64" s="75">
        <f>I59</f>
        <v>0</v>
      </c>
      <c r="K64" s="30" t="s">
        <v>85</v>
      </c>
      <c r="L64" s="170">
        <f>VLOOKUP(ROUNDDOWN(instructors+1,0),cost!B3:C189,2,FALSE)/1000/1000/1000</f>
        <v>0.43839987456574037</v>
      </c>
      <c r="M64" s="97" t="s">
        <v>86</v>
      </c>
      <c r="N64" s="22" t="s">
        <v>58</v>
      </c>
      <c r="O64" s="26">
        <f>1000*L51*L50</f>
        <v>0</v>
      </c>
      <c r="Q64" s="22" t="s">
        <v>4</v>
      </c>
      <c r="R64" s="23">
        <v>1</v>
      </c>
      <c r="T64" s="22" t="s">
        <v>92</v>
      </c>
      <c r="U64" s="79">
        <f>20%*chickun_god?</f>
        <v>0</v>
      </c>
      <c r="W64" s="22" t="s">
        <v>49</v>
      </c>
      <c r="X64" s="25">
        <f>1+worker?</f>
        <v>1</v>
      </c>
    </row>
    <row r="65" spans="2:24" x14ac:dyDescent="0.3">
      <c r="B65" s="80">
        <f t="shared" si="14"/>
        <v>16</v>
      </c>
      <c r="C65" s="182">
        <f t="shared" ca="1" si="13"/>
        <v>127595.48038534133</v>
      </c>
      <c r="D65" s="150"/>
      <c r="E65" s="30" t="s">
        <v>41</v>
      </c>
      <c r="F65" s="75">
        <f>F55</f>
        <v>0</v>
      </c>
      <c r="K65" s="46" t="s">
        <v>195</v>
      </c>
      <c r="L65" s="68">
        <f>(1+guru?)*(1 + 0.2*frog?*C68)</f>
        <v>2</v>
      </c>
      <c r="M65" s="97"/>
      <c r="N65" s="30" t="s">
        <v>66</v>
      </c>
      <c r="O65" s="34">
        <f>O64*(1+U65)*(1+U66)*(1+U64)*(1+U67)</f>
        <v>0</v>
      </c>
      <c r="Q65" s="30" t="s">
        <v>96</v>
      </c>
      <c r="R65" s="83">
        <v>60</v>
      </c>
      <c r="T65" s="30" t="s">
        <v>67</v>
      </c>
      <c r="U65" s="84">
        <v>0</v>
      </c>
      <c r="W65" s="30" t="s">
        <v>97</v>
      </c>
      <c r="X65" s="37">
        <f>OR(C73=W56,C74=W56,C75=W56,C76=W56)*1</f>
        <v>0</v>
      </c>
    </row>
    <row r="66" spans="2:24" x14ac:dyDescent="0.3">
      <c r="E66" s="46" t="s">
        <v>45</v>
      </c>
      <c r="F66" s="140">
        <f>F56</f>
        <v>0</v>
      </c>
      <c r="K66" s="46" t="s">
        <v>196</v>
      </c>
      <c r="L66" s="68">
        <f>school_effect*instructors</f>
        <v>120</v>
      </c>
      <c r="M66" s="97"/>
      <c r="N66" s="30" t="s">
        <v>100</v>
      </c>
      <c r="O66" s="34">
        <f>total_wheat_workers*wheat_per_worker</f>
        <v>120</v>
      </c>
      <c r="Q66" s="30" t="s">
        <v>101</v>
      </c>
      <c r="R66" s="190">
        <f>wheat_fields*wheat_workers</f>
        <v>60</v>
      </c>
      <c r="T66" s="30" t="s">
        <v>56</v>
      </c>
      <c r="U66" s="32">
        <f>X68*10%</f>
        <v>0.1</v>
      </c>
      <c r="W66" s="30" t="s">
        <v>102</v>
      </c>
      <c r="X66" s="37">
        <f>R69*(1+chickun?)</f>
        <v>0</v>
      </c>
    </row>
    <row r="67" spans="2:24" ht="15" thickBot="1" x14ac:dyDescent="0.35">
      <c r="B67" t="s">
        <v>62</v>
      </c>
      <c r="E67" s="85" t="s">
        <v>52</v>
      </c>
      <c r="F67" s="139">
        <f>(1+F65)*(1+F63)*(1+F62)*(1+F61)*(1+F64)*(1+F66)*F60/10/AM8</f>
        <v>1.9804939674306684E-4</v>
      </c>
      <c r="G67" t="str">
        <f>T3</f>
        <v>m</v>
      </c>
      <c r="H67" t="s">
        <v>103</v>
      </c>
      <c r="I67" s="86">
        <f>I52/I51</f>
        <v>4.9782857142857203E-8</v>
      </c>
      <c r="J67" t="str">
        <f>T3&amp;" gold"</f>
        <v>m gold</v>
      </c>
      <c r="K67" s="46" t="s">
        <v>12</v>
      </c>
      <c r="L67" s="34">
        <f>total_loggers*school_effect*wood_multiplier+total_masons*school_effect*(stone_multiplier)+total_workers*school_effect*(wheat_multiplier)</f>
        <v>145.20000000000002</v>
      </c>
      <c r="M67" s="97"/>
      <c r="N67" s="87" t="s">
        <v>104</v>
      </c>
      <c r="O67" s="57">
        <f>O66*wheat_multiplier</f>
        <v>145.20000000000002</v>
      </c>
      <c r="Q67" s="30" t="s">
        <v>105</v>
      </c>
      <c r="R67" s="33">
        <v>0</v>
      </c>
      <c r="T67" s="88" t="s">
        <v>60</v>
      </c>
      <c r="U67" s="89">
        <v>0.1</v>
      </c>
      <c r="W67" s="30" t="s">
        <v>55</v>
      </c>
      <c r="X67" s="37">
        <f>total_instructs*school_effect</f>
        <v>0</v>
      </c>
    </row>
    <row r="68" spans="2:24" ht="15" thickBot="1" x14ac:dyDescent="0.35">
      <c r="B68" s="22" t="s">
        <v>69</v>
      </c>
      <c r="C68" s="59">
        <v>0</v>
      </c>
      <c r="E68" s="38" t="s">
        <v>107</v>
      </c>
      <c r="F68" s="151">
        <f>F67-F57</f>
        <v>1.8062539674306682E-4</v>
      </c>
      <c r="G68" t="str">
        <f>T3</f>
        <v>m</v>
      </c>
      <c r="H68" t="s">
        <v>108</v>
      </c>
      <c r="I68" s="86">
        <f>I52/MAX(I70:I73)*AM8</f>
        <v>231404958.67768613</v>
      </c>
      <c r="J68" t="s">
        <v>109</v>
      </c>
      <c r="K68" s="30" t="s">
        <v>114</v>
      </c>
      <c r="L68" s="153">
        <f>IF(ISERROR(L67),0,L67/total_production)</f>
        <v>1</v>
      </c>
      <c r="M68" s="97"/>
      <c r="N68" s="30" t="s">
        <v>110</v>
      </c>
      <c r="O68" s="34">
        <f>O67+O65</f>
        <v>145.20000000000002</v>
      </c>
      <c r="Q68" s="30" t="s">
        <v>111</v>
      </c>
      <c r="R68" s="90">
        <v>0</v>
      </c>
      <c r="T68" s="63" t="s">
        <v>74</v>
      </c>
      <c r="U68" s="91">
        <v>0.2</v>
      </c>
      <c r="W68" s="30" t="s">
        <v>56</v>
      </c>
      <c r="X68" s="33">
        <v>1</v>
      </c>
    </row>
    <row r="69" spans="2:24" ht="15" thickBot="1" x14ac:dyDescent="0.35">
      <c r="B69" s="30" t="s">
        <v>76</v>
      </c>
      <c r="C69" s="65">
        <v>0</v>
      </c>
      <c r="D69" s="183"/>
      <c r="G69" s="55"/>
      <c r="H69" t="s">
        <v>112</v>
      </c>
      <c r="I69" s="86">
        <f>I68/I51</f>
        <v>6611570.2479338897</v>
      </c>
      <c r="J69" t="s">
        <v>113</v>
      </c>
      <c r="K69" s="30" t="s">
        <v>119</v>
      </c>
      <c r="L69" s="201">
        <f>IF(ISERROR(L68),0,F57*L68)</f>
        <v>1.7424000000000005E-5</v>
      </c>
      <c r="M69" s="97" t="str">
        <f>T3&amp;" gold"</f>
        <v>m gold</v>
      </c>
      <c r="N69" s="38" t="s">
        <v>115</v>
      </c>
      <c r="O69" s="41">
        <f>O68*U53*(1+U68)</f>
        <v>871.20000000000016</v>
      </c>
      <c r="Q69" s="38" t="s">
        <v>116</v>
      </c>
      <c r="R69" s="70">
        <f>farms*farmers_tile</f>
        <v>0</v>
      </c>
      <c r="T69" s="30" t="s">
        <v>81</v>
      </c>
      <c r="U69" s="71">
        <f>(1+U64)*(1+U65)*(1+U66)*(1+U67)*russian4</f>
        <v>1.2100000000000002</v>
      </c>
      <c r="W69" s="43" t="s">
        <v>80</v>
      </c>
      <c r="X69" s="70">
        <f>SUM(X64:X68)</f>
        <v>2</v>
      </c>
    </row>
    <row r="70" spans="2:24" ht="15" thickBot="1" x14ac:dyDescent="0.35">
      <c r="B70" s="38" t="s">
        <v>83</v>
      </c>
      <c r="C70" s="72">
        <v>0</v>
      </c>
      <c r="D70" s="183"/>
      <c r="E70" s="93" t="s">
        <v>117</v>
      </c>
      <c r="F70" s="94"/>
      <c r="G70" s="95"/>
      <c r="H70" t="s">
        <v>118</v>
      </c>
      <c r="I70" s="149">
        <f>E71/L86*L84</f>
        <v>3.9163541795665642E-15</v>
      </c>
      <c r="J70" t="s">
        <v>27</v>
      </c>
      <c r="K70" s="30" t="s">
        <v>12</v>
      </c>
      <c r="L70" s="154">
        <f>O69/1000/1000</f>
        <v>8.7120000000000014E-4</v>
      </c>
      <c r="M70" s="97" t="s">
        <v>122</v>
      </c>
    </row>
    <row r="71" spans="2:24" ht="15" thickBot="1" x14ac:dyDescent="0.35">
      <c r="B71" s="78" t="s">
        <v>186</v>
      </c>
      <c r="C71" s="118">
        <v>0</v>
      </c>
      <c r="D71" s="180"/>
      <c r="E71" s="96">
        <f>20*O68/1000/1000</f>
        <v>2.9040000000000003E-3</v>
      </c>
      <c r="F71" s="97" t="s">
        <v>86</v>
      </c>
      <c r="G71" s="98" t="s">
        <v>120</v>
      </c>
      <c r="H71" t="s">
        <v>121</v>
      </c>
      <c r="I71" s="149">
        <f>IF(L77&gt;0,E71/L77*L76,0)</f>
        <v>7.529657142857146E-15</v>
      </c>
      <c r="J71" t="s">
        <v>27</v>
      </c>
      <c r="K71" s="38" t="s">
        <v>127</v>
      </c>
      <c r="L71" s="155">
        <f>3.6*L70/L64</f>
        <v>7.1540166454351775E-3</v>
      </c>
      <c r="M71" s="97"/>
      <c r="N71" t="s">
        <v>21</v>
      </c>
      <c r="Q71" t="s">
        <v>123</v>
      </c>
      <c r="T71" t="s">
        <v>124</v>
      </c>
    </row>
    <row r="72" spans="2:24" x14ac:dyDescent="0.3">
      <c r="B72" t="s">
        <v>93</v>
      </c>
      <c r="C72" s="44" t="s">
        <v>61</v>
      </c>
      <c r="E72" s="96">
        <f>20*O60/1000/1000</f>
        <v>0</v>
      </c>
      <c r="F72" s="97" t="s">
        <v>38</v>
      </c>
      <c r="G72" s="98" t="s">
        <v>120</v>
      </c>
      <c r="H72" t="s">
        <v>126</v>
      </c>
      <c r="I72" s="202">
        <f>cost!G31*territory!L69/100</f>
        <v>0</v>
      </c>
      <c r="J72" t="str">
        <f>T3&amp;" gold"</f>
        <v>m gold</v>
      </c>
      <c r="N72" s="22" t="s">
        <v>58</v>
      </c>
      <c r="O72" s="26">
        <f>shipyards*ships*10</f>
        <v>0</v>
      </c>
      <c r="Q72" s="22" t="s">
        <v>4</v>
      </c>
      <c r="R72" s="100">
        <v>0</v>
      </c>
      <c r="T72" s="22" t="s">
        <v>50</v>
      </c>
      <c r="U72" s="79">
        <f>20%*stone_god?</f>
        <v>0</v>
      </c>
    </row>
    <row r="73" spans="2:24" ht="15" thickBot="1" x14ac:dyDescent="0.35">
      <c r="B73" t="s">
        <v>98</v>
      </c>
      <c r="C73" s="44" t="s">
        <v>82</v>
      </c>
      <c r="E73" s="101">
        <f>20*O76/1000/1000</f>
        <v>0</v>
      </c>
      <c r="F73" s="102" t="s">
        <v>129</v>
      </c>
      <c r="G73" s="103" t="s">
        <v>120</v>
      </c>
      <c r="H73" t="s">
        <v>130</v>
      </c>
      <c r="I73" s="202">
        <f>cost!R31*territory!L53/100</f>
        <v>0</v>
      </c>
      <c r="J73" t="str">
        <f>T3&amp;" gold"</f>
        <v>m gold</v>
      </c>
      <c r="K73" t="s">
        <v>88</v>
      </c>
      <c r="N73" s="30" t="s">
        <v>66</v>
      </c>
      <c r="O73" s="34">
        <f>stone_multiplier*O72</f>
        <v>0</v>
      </c>
      <c r="Q73" s="46" t="s">
        <v>131</v>
      </c>
      <c r="R73" s="33">
        <v>10</v>
      </c>
      <c r="T73" s="30" t="s">
        <v>67</v>
      </c>
      <c r="U73" s="104">
        <v>0</v>
      </c>
      <c r="W73" t="s">
        <v>70</v>
      </c>
      <c r="X73" s="29">
        <f>school_effect</f>
        <v>2</v>
      </c>
    </row>
    <row r="74" spans="2:24" x14ac:dyDescent="0.3">
      <c r="B74" t="s">
        <v>98</v>
      </c>
      <c r="C74" s="44" t="s">
        <v>61</v>
      </c>
      <c r="H74" s="55"/>
      <c r="K74" s="22" t="s">
        <v>99</v>
      </c>
      <c r="L74" s="26">
        <f>food_multiplier*wheat_per_worker</f>
        <v>2.4200000000000004</v>
      </c>
      <c r="M74" s="30"/>
      <c r="N74" s="46" t="s">
        <v>132</v>
      </c>
      <c r="O74" s="34">
        <f>total_masons*R82</f>
        <v>0</v>
      </c>
      <c r="Q74" s="46" t="s">
        <v>133</v>
      </c>
      <c r="R74" s="37">
        <f>I50*3*X59</f>
        <v>0</v>
      </c>
      <c r="T74" s="30" t="s">
        <v>56</v>
      </c>
      <c r="U74" s="32">
        <f>R80*10%</f>
        <v>0.1</v>
      </c>
      <c r="W74" t="s">
        <v>77</v>
      </c>
      <c r="X74" s="66">
        <f>3%+C69*1%*frog?</f>
        <v>0.03</v>
      </c>
    </row>
    <row r="75" spans="2:24" x14ac:dyDescent="0.3">
      <c r="B75" t="s">
        <v>106</v>
      </c>
      <c r="C75" s="44"/>
      <c r="E75" t="s">
        <v>200</v>
      </c>
      <c r="F75" s="44" t="b">
        <v>0</v>
      </c>
      <c r="K75" s="30" t="s">
        <v>114</v>
      </c>
      <c r="L75" s="153">
        <f>L74/O53</f>
        <v>1.6666666666666666E-2</v>
      </c>
      <c r="M75" s="30"/>
      <c r="N75" s="88" t="s">
        <v>139</v>
      </c>
      <c r="O75" s="57">
        <f>stone_multiplier*O74</f>
        <v>0</v>
      </c>
      <c r="Q75" s="30" t="s">
        <v>140</v>
      </c>
      <c r="R75" s="108">
        <f>R73+R74</f>
        <v>10</v>
      </c>
      <c r="T75" s="30" t="s">
        <v>60</v>
      </c>
      <c r="U75" s="36">
        <v>0.1</v>
      </c>
      <c r="W75" t="s">
        <v>84</v>
      </c>
      <c r="X75" s="66">
        <f>C70*10%*frog?</f>
        <v>0</v>
      </c>
    </row>
    <row r="76" spans="2:24" ht="15" thickBot="1" x14ac:dyDescent="0.35">
      <c r="B76" t="s">
        <v>106</v>
      </c>
      <c r="C76" s="44"/>
      <c r="K76" s="30" t="s">
        <v>146</v>
      </c>
      <c r="L76" s="163">
        <f>IF(wheat_fields&gt;0,L75*F57,0)</f>
        <v>2.9040000000000006E-7</v>
      </c>
      <c r="M76" s="30" t="str">
        <f>T3&amp;" gold"</f>
        <v>m gold</v>
      </c>
      <c r="N76" s="30" t="s">
        <v>142</v>
      </c>
      <c r="O76" s="34">
        <f>O73+O75</f>
        <v>0</v>
      </c>
      <c r="Q76" s="38" t="s">
        <v>143</v>
      </c>
      <c r="R76" s="70">
        <f>R75*R72</f>
        <v>0</v>
      </c>
      <c r="T76" s="38" t="s">
        <v>74</v>
      </c>
      <c r="U76" s="114">
        <v>0.2</v>
      </c>
      <c r="W76" t="s">
        <v>193</v>
      </c>
      <c r="X76" s="66">
        <f>100%+C71*20%</f>
        <v>1</v>
      </c>
    </row>
    <row r="77" spans="2:24" ht="15" thickBot="1" x14ac:dyDescent="0.35">
      <c r="K77" s="30" t="s">
        <v>149</v>
      </c>
      <c r="L77" s="33">
        <v>112000</v>
      </c>
      <c r="M77" s="30" t="s">
        <v>86</v>
      </c>
      <c r="N77" s="38" t="s">
        <v>145</v>
      </c>
      <c r="O77" s="41">
        <f>O76*(1+U76)</f>
        <v>0</v>
      </c>
      <c r="T77" s="22" t="s">
        <v>81</v>
      </c>
      <c r="U77" s="76">
        <f>(1+U73)*(1+U74)*(1+U75)*(1+U72)*russian4</f>
        <v>1.2100000000000002</v>
      </c>
    </row>
    <row r="78" spans="2:24" ht="15" thickBot="1" x14ac:dyDescent="0.35">
      <c r="B78" t="s">
        <v>134</v>
      </c>
      <c r="C78" s="105" t="s">
        <v>4</v>
      </c>
      <c r="D78" s="105" t="s">
        <v>135</v>
      </c>
      <c r="E78" s="105" t="s">
        <v>81</v>
      </c>
      <c r="F78" s="106" t="s">
        <v>136</v>
      </c>
      <c r="G78" s="107" t="s">
        <v>137</v>
      </c>
      <c r="H78" s="106" t="s">
        <v>138</v>
      </c>
      <c r="K78" s="30" t="s">
        <v>12</v>
      </c>
      <c r="L78" s="154">
        <f>L70</f>
        <v>8.7120000000000014E-4</v>
      </c>
      <c r="M78" s="30" t="s">
        <v>122</v>
      </c>
      <c r="Q78" t="s">
        <v>147</v>
      </c>
    </row>
    <row r="79" spans="2:24" x14ac:dyDescent="0.3">
      <c r="B79" t="s">
        <v>141</v>
      </c>
      <c r="C79" s="105">
        <f>wheat_fields</f>
        <v>1</v>
      </c>
      <c r="D79" s="109" t="e">
        <f t="shared" ref="D79:D84" si="16">POWER(E79,1/C79)</f>
        <v>#DIV/0!</v>
      </c>
      <c r="E79" s="110" t="e">
        <f>total_production/(total_production-O67)</f>
        <v>#DIV/0!</v>
      </c>
      <c r="F79" s="111">
        <f>abdicate/total_production*(total_production+O67/wheat_fields)</f>
        <v>3.4848000000000009E-5</v>
      </c>
      <c r="G79" s="112" t="e">
        <f>F79/(abdicate/E79)</f>
        <v>#DIV/0!</v>
      </c>
      <c r="H79" s="113">
        <f t="shared" ref="H79:H84" si="17">F79/abdicate</f>
        <v>2</v>
      </c>
      <c r="K79" s="30" t="s">
        <v>153</v>
      </c>
      <c r="L79" s="160">
        <f>IF(L77&gt;0,3.6*L78/L77,0)</f>
        <v>2.8002857142857149E-8</v>
      </c>
      <c r="M79" s="30"/>
      <c r="N79" t="s">
        <v>150</v>
      </c>
      <c r="O79" s="116">
        <f>O73+O65+O59</f>
        <v>0</v>
      </c>
      <c r="Q79" s="22" t="s">
        <v>49</v>
      </c>
      <c r="R79" s="25">
        <v>1</v>
      </c>
    </row>
    <row r="80" spans="2:24" x14ac:dyDescent="0.3">
      <c r="B80" t="s">
        <v>144</v>
      </c>
      <c r="C80" s="105">
        <f>I58</f>
        <v>0</v>
      </c>
      <c r="D80" s="109" t="e">
        <f t="shared" si="16"/>
        <v>#DIV/0!</v>
      </c>
      <c r="E80" s="109">
        <f>(C80*50%)+1</f>
        <v>1</v>
      </c>
      <c r="F80" s="141">
        <f>abdicate/E80*G80</f>
        <v>2.6136000000000009E-5</v>
      </c>
      <c r="G80" s="110">
        <f>E80+50%</f>
        <v>1.5</v>
      </c>
      <c r="H80" s="113">
        <f t="shared" si="17"/>
        <v>1.5</v>
      </c>
      <c r="Q80" s="30" t="s">
        <v>56</v>
      </c>
      <c r="R80" s="33">
        <v>1</v>
      </c>
    </row>
    <row r="81" spans="2:18" ht="15" thickBot="1" x14ac:dyDescent="0.35">
      <c r="B81" t="s">
        <v>22</v>
      </c>
      <c r="C81" s="105">
        <f>forest_camps</f>
        <v>0</v>
      </c>
      <c r="D81" s="109" t="e">
        <f t="shared" si="16"/>
        <v>#DIV/0!</v>
      </c>
      <c r="E81" s="115">
        <f>abdicate/((total_production-forest_camp_production)*(1+ritual_bonus)*(1+ship_gold_bonus)*(1+chickun_bonus)*(1+pyramid_bonus)*(1+fame_bonus)/1000/1000/10)*AM8</f>
        <v>1.0000000000000002</v>
      </c>
      <c r="F81" s="141" t="e">
        <f>(total_production+forest_camp_production/forest_camps)*(1+ritual_bonus)*(1+gold_bonus+logger_gold_bonus/forest_camps)*(1+chickun_bonus)*(1+pyramid_bonus)*(1+fame_bonus)*(1+mystery_bonus)/1000/1000/10/AM8</f>
        <v>#DIV/0!</v>
      </c>
      <c r="G81" s="112" t="e">
        <f>F81/(abdicate/E81)</f>
        <v>#DIV/0!</v>
      </c>
      <c r="H81" s="113" t="e">
        <f t="shared" si="17"/>
        <v>#DIV/0!</v>
      </c>
      <c r="K81" t="s">
        <v>156</v>
      </c>
      <c r="N81" s="199" t="s">
        <v>189</v>
      </c>
      <c r="O81" s="199"/>
      <c r="Q81" s="30" t="s">
        <v>55</v>
      </c>
      <c r="R81" s="37">
        <f>total_instructs*school_effect</f>
        <v>0</v>
      </c>
    </row>
    <row r="82" spans="2:18" ht="15" thickBot="1" x14ac:dyDescent="0.35">
      <c r="B82" t="s">
        <v>148</v>
      </c>
      <c r="C82" s="105">
        <f>shipyards</f>
        <v>0</v>
      </c>
      <c r="D82" s="109" t="e">
        <f t="shared" si="16"/>
        <v>#DIV/0!</v>
      </c>
      <c r="E82" s="109">
        <f>abdicate/(abdicate/(1+gold_bonus)*(1+logger_gold_bonus)/total_production*(total_production-ship_production))</f>
        <v>1</v>
      </c>
      <c r="F82" s="141" t="e">
        <f>(total_production+ship_production/shipyards)*(1+ritual_bonus)*(1+gold_bonus+ship_workers*gold_per_ship/100)*(1+chickun_bonus)*(1+pyramid_bonus)*(1+fame_bonus)*(1+mystery_bonus)/1000/1000/10/AM8</f>
        <v>#DIV/0!</v>
      </c>
      <c r="G82" s="112" t="e">
        <f>F82/(abdicate/E82)</f>
        <v>#DIV/0!</v>
      </c>
      <c r="H82" s="113" t="e">
        <f t="shared" si="17"/>
        <v>#DIV/0!</v>
      </c>
      <c r="K82" s="22" t="s">
        <v>95</v>
      </c>
      <c r="L82" s="82">
        <f>wood_multiplier*R61</f>
        <v>7.2600000000000007</v>
      </c>
      <c r="M82" s="30"/>
      <c r="N82" s="86" t="e">
        <f>O68/O65</f>
        <v>#DIV/0!</v>
      </c>
      <c r="O82" t="s">
        <v>188</v>
      </c>
      <c r="Q82" s="43" t="s">
        <v>80</v>
      </c>
      <c r="R82" s="70">
        <f>SUM(R79:R81)</f>
        <v>2</v>
      </c>
    </row>
    <row r="83" spans="2:18" x14ac:dyDescent="0.3">
      <c r="B83" t="s">
        <v>151</v>
      </c>
      <c r="C83" s="105">
        <f>L61</f>
        <v>0</v>
      </c>
      <c r="D83" s="109" t="e">
        <f t="shared" si="16"/>
        <v>#DIV/0!</v>
      </c>
      <c r="E83" s="115">
        <f>abdicate/(abdicate/total_production*(total_production-total_instructs*school_effect*(total_loggers*wood_multiplier+total_workers*food_multiplier+total_masons*stone_multiplier)))</f>
        <v>1</v>
      </c>
      <c r="F83" s="141">
        <f>abdicate/total_production*(total_production+instructors*school_effect*(total_loggers*wood_multiplier+total_wheat_workers*food_multiplier+total_masons*stone_multiplier))</f>
        <v>1.0628640000000004E-3</v>
      </c>
      <c r="G83" s="112">
        <f>F83/(abdicate/E83)</f>
        <v>61.000000000000007</v>
      </c>
      <c r="H83" s="113">
        <f t="shared" si="17"/>
        <v>61.000000000000007</v>
      </c>
      <c r="K83" s="30" t="s">
        <v>114</v>
      </c>
      <c r="L83" s="92">
        <f>L82/O53</f>
        <v>4.9999999999999996E-2</v>
      </c>
      <c r="M83" s="30"/>
      <c r="N83" s="86" t="e">
        <f>LOG(N82)/LOG(1.15)</f>
        <v>#DIV/0!</v>
      </c>
      <c r="O83" t="s">
        <v>187</v>
      </c>
    </row>
    <row r="84" spans="2:18" x14ac:dyDescent="0.3">
      <c r="B84" t="s">
        <v>152</v>
      </c>
      <c r="C84" s="117">
        <f>R72</f>
        <v>0</v>
      </c>
      <c r="D84" s="109" t="e">
        <f t="shared" si="16"/>
        <v>#DIV/0!</v>
      </c>
      <c r="E84" s="115">
        <f>total_production/(total_production-quarry_production)</f>
        <v>1</v>
      </c>
      <c r="F84" s="115" t="e">
        <f>abdicate/total_production*(total_production+mason_production/quarries)</f>
        <v>#DIV/0!</v>
      </c>
      <c r="G84" s="112" t="e">
        <f>F84/(abdicate/E84)</f>
        <v>#DIV/0!</v>
      </c>
      <c r="H84" s="113" t="e">
        <f t="shared" si="17"/>
        <v>#DIV/0!</v>
      </c>
      <c r="K84" s="30" t="s">
        <v>157</v>
      </c>
      <c r="L84" s="164">
        <f>L83*F57*AM8</f>
        <v>8.7120000000000012E-7</v>
      </c>
      <c r="M84" s="30" t="s">
        <v>27</v>
      </c>
      <c r="N84" s="86" t="e">
        <f>N83*schools</f>
        <v>#DIV/0!</v>
      </c>
      <c r="O84" t="s">
        <v>71</v>
      </c>
    </row>
    <row r="85" spans="2:18" x14ac:dyDescent="0.3">
      <c r="B85" t="s">
        <v>154</v>
      </c>
      <c r="C85" s="118">
        <v>1</v>
      </c>
      <c r="K85" s="30"/>
      <c r="L85" s="97"/>
      <c r="M85" s="30"/>
      <c r="N85" s="86" t="e">
        <f>N84/(instructors-N83)</f>
        <v>#DIV/0!</v>
      </c>
      <c r="O85" t="s">
        <v>190</v>
      </c>
    </row>
    <row r="86" spans="2:18" x14ac:dyDescent="0.3">
      <c r="B86" t="s">
        <v>155</v>
      </c>
      <c r="C86" s="118">
        <v>0</v>
      </c>
      <c r="K86" s="30" t="s">
        <v>158</v>
      </c>
      <c r="L86" s="165">
        <v>646000</v>
      </c>
      <c r="M86" s="30" t="s">
        <v>86</v>
      </c>
    </row>
    <row r="87" spans="2:18" x14ac:dyDescent="0.3">
      <c r="B87" t="s">
        <v>80</v>
      </c>
      <c r="C87" s="105">
        <f>SUM(C79:C86)</f>
        <v>2</v>
      </c>
      <c r="K87" s="30" t="s">
        <v>12</v>
      </c>
      <c r="L87" s="99">
        <f>L78</f>
        <v>8.7120000000000014E-4</v>
      </c>
      <c r="M87" s="30" t="s">
        <v>122</v>
      </c>
    </row>
    <row r="88" spans="2:18" x14ac:dyDescent="0.3">
      <c r="K88" s="30" t="s">
        <v>159</v>
      </c>
      <c r="L88" s="45">
        <f>3.6*L87/L86</f>
        <v>4.8549845201238397E-9</v>
      </c>
      <c r="M88" s="30"/>
    </row>
    <row r="89" spans="2:18" x14ac:dyDescent="0.3">
      <c r="B89" t="s">
        <v>182</v>
      </c>
      <c r="C89" s="44" t="b">
        <v>0</v>
      </c>
      <c r="D89" t="s">
        <v>183</v>
      </c>
      <c r="H89" s="55"/>
    </row>
    <row r="90" spans="2:18" x14ac:dyDescent="0.3">
      <c r="B90" t="s">
        <v>184</v>
      </c>
      <c r="C90" s="44" t="b">
        <v>0</v>
      </c>
      <c r="D90" t="s">
        <v>128</v>
      </c>
      <c r="E90" s="29">
        <f>(C87/100*C90+1)</f>
        <v>1</v>
      </c>
    </row>
  </sheetData>
  <mergeCells count="5">
    <mergeCell ref="F1:Q1"/>
    <mergeCell ref="R1:T1"/>
    <mergeCell ref="U1:AF1"/>
    <mergeCell ref="AA49:AB49"/>
    <mergeCell ref="N81:O81"/>
  </mergeCells>
  <conditionalFormatting sqref="B3:Q47 I49">
    <cfRule type="expression" dxfId="2" priority="1">
      <formula>B3=MIN(B$3:B$47)</formula>
    </cfRule>
  </conditionalFormatting>
  <conditionalFormatting sqref="C50:C65">
    <cfRule type="expression" dxfId="1" priority="2">
      <formula>$C50&lt;$F$57</formula>
    </cfRule>
    <cfRule type="expression" dxfId="0" priority="3">
      <formula>$C50&lt;$F$67</formula>
    </cfRule>
  </conditionalFormatting>
  <dataValidations disablePrompts="1" count="3">
    <dataValidation type="list" allowBlank="1" showInputMessage="1" showErrorMessage="1" sqref="C73:C76" xr:uid="{9B11ECFC-A975-450B-9599-D5292CF725ED}">
      <formula1>$W$56:$W$61</formula1>
    </dataValidation>
    <dataValidation type="list" allowBlank="1" showInputMessage="1" showErrorMessage="1" sqref="C72" xr:uid="{5B8FE756-4D0E-4C88-8BDB-BD8AA3CF73F8}">
      <formula1>W50:W54</formula1>
    </dataValidation>
    <dataValidation type="list" allowBlank="1" showInputMessage="1" showErrorMessage="1" sqref="T3" xr:uid="{2B87627D-80FB-4C9E-9987-512A2C2C536B}">
      <formula1>$AL$3:$AL$6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5A9D-0607-4F08-9070-2BFEAA99D49C}">
  <dimension ref="B1:Y189"/>
  <sheetViews>
    <sheetView workbookViewId="0">
      <selection activeCell="P1" sqref="P1"/>
    </sheetView>
  </sheetViews>
  <sheetFormatPr defaultRowHeight="14.4" x14ac:dyDescent="0.3"/>
  <cols>
    <col min="1" max="1" width="1.44140625" customWidth="1"/>
    <col min="7" max="7" width="12" bestFit="1" customWidth="1"/>
    <col min="9" max="9" width="14.44140625" bestFit="1" customWidth="1"/>
    <col min="12" max="12" width="12" bestFit="1" customWidth="1"/>
    <col min="17" max="17" width="11.88671875" bestFit="1" customWidth="1"/>
    <col min="25" max="25" width="11" bestFit="1" customWidth="1"/>
  </cols>
  <sheetData>
    <row r="1" spans="2:25" ht="15" thickBot="1" x14ac:dyDescent="0.35">
      <c r="B1" t="s">
        <v>160</v>
      </c>
      <c r="D1" t="s">
        <v>163</v>
      </c>
      <c r="E1" s="74" t="b">
        <v>0</v>
      </c>
      <c r="M1" t="s">
        <v>174</v>
      </c>
      <c r="O1" t="s">
        <v>175</v>
      </c>
      <c r="P1" s="74" t="b">
        <v>0</v>
      </c>
    </row>
    <row r="2" spans="2:25" ht="15" thickBot="1" x14ac:dyDescent="0.35">
      <c r="B2" s="121"/>
      <c r="C2" s="24" t="s">
        <v>166</v>
      </c>
      <c r="D2" s="24" t="s">
        <v>24</v>
      </c>
      <c r="E2" s="122" t="s">
        <v>17</v>
      </c>
      <c r="M2" s="121"/>
      <c r="N2" s="24" t="s">
        <v>166</v>
      </c>
      <c r="O2" s="24" t="s">
        <v>24</v>
      </c>
      <c r="P2" s="122" t="s">
        <v>17</v>
      </c>
    </row>
    <row r="3" spans="2:25" ht="15" thickBot="1" x14ac:dyDescent="0.35">
      <c r="B3" s="120" t="s">
        <v>162</v>
      </c>
      <c r="C3" s="123">
        <v>100000</v>
      </c>
      <c r="D3" s="123">
        <v>100000</v>
      </c>
      <c r="E3" s="124">
        <v>100000</v>
      </c>
      <c r="M3" s="120" t="s">
        <v>162</v>
      </c>
      <c r="N3" s="123">
        <v>0</v>
      </c>
      <c r="O3" s="123">
        <v>600000</v>
      </c>
      <c r="P3" s="124">
        <v>0</v>
      </c>
    </row>
    <row r="4" spans="2:25" ht="15" thickBot="1" x14ac:dyDescent="0.35"/>
    <row r="5" spans="2:25" ht="15" thickBot="1" x14ac:dyDescent="0.35">
      <c r="B5" s="127" t="s">
        <v>161</v>
      </c>
      <c r="C5" s="128" t="s">
        <v>166</v>
      </c>
      <c r="D5" s="128" t="s">
        <v>164</v>
      </c>
      <c r="F5" s="130" t="s">
        <v>179</v>
      </c>
      <c r="G5">
        <f>territory!E71*100</f>
        <v>0.29040000000000005</v>
      </c>
      <c r="H5" t="s">
        <v>167</v>
      </c>
      <c r="M5" s="127" t="s">
        <v>161</v>
      </c>
      <c r="N5" s="128" t="s">
        <v>24</v>
      </c>
      <c r="O5" s="128" t="s">
        <v>164</v>
      </c>
      <c r="Q5" s="130" t="s">
        <v>179</v>
      </c>
      <c r="R5">
        <f>territory!E72*100</f>
        <v>0</v>
      </c>
      <c r="S5" t="str">
        <f>territory!F72</f>
        <v>B wood</v>
      </c>
      <c r="Y5" s="147"/>
    </row>
    <row r="6" spans="2:25" x14ac:dyDescent="0.3">
      <c r="B6" s="125">
        <v>1</v>
      </c>
      <c r="C6" s="129">
        <f>100000*(1+E1*(-0.9))*(1-20%*American4)</f>
        <v>100000</v>
      </c>
      <c r="D6" s="119">
        <f>C6</f>
        <v>100000</v>
      </c>
      <c r="G6">
        <f>territory!L61</f>
        <v>0</v>
      </c>
      <c r="H6" t="s">
        <v>65</v>
      </c>
      <c r="M6" s="125">
        <v>1</v>
      </c>
      <c r="N6" s="129">
        <f>40000*(1+P1*-0.2)*(1-20%*American4)</f>
        <v>40000</v>
      </c>
      <c r="O6" s="119">
        <f>N6</f>
        <v>40000</v>
      </c>
      <c r="R6">
        <f>shipyards</f>
        <v>0</v>
      </c>
      <c r="S6" t="s">
        <v>176</v>
      </c>
      <c r="Y6" s="148"/>
    </row>
    <row r="7" spans="2:25" x14ac:dyDescent="0.3">
      <c r="B7" s="125">
        <f>B6+1</f>
        <v>2</v>
      </c>
      <c r="C7" s="129">
        <f>C6*1.15</f>
        <v>114999.99999999999</v>
      </c>
      <c r="D7" s="129">
        <f>C7+D6</f>
        <v>215000</v>
      </c>
      <c r="G7">
        <f>instructors</f>
        <v>60</v>
      </c>
      <c r="H7" t="s">
        <v>168</v>
      </c>
      <c r="M7" s="125">
        <f>M6+1</f>
        <v>2</v>
      </c>
      <c r="N7" s="129">
        <f>1.15*N6</f>
        <v>46000</v>
      </c>
      <c r="O7" s="129">
        <f>N7+O6</f>
        <v>86000</v>
      </c>
      <c r="R7">
        <f>ship_workers</f>
        <v>60</v>
      </c>
      <c r="S7" t="s">
        <v>7</v>
      </c>
      <c r="Y7" s="148"/>
    </row>
    <row r="8" spans="2:25" x14ac:dyDescent="0.3">
      <c r="B8" s="125">
        <f>B7+1</f>
        <v>3</v>
      </c>
      <c r="C8" s="129">
        <f>C7*1.15</f>
        <v>132249.99999999997</v>
      </c>
      <c r="D8" s="129">
        <f t="shared" ref="D8:D71" si="0">C8+D7</f>
        <v>347250</v>
      </c>
      <c r="M8" s="125">
        <f t="shared" ref="M8:M71" si="1">M7+1</f>
        <v>3</v>
      </c>
      <c r="N8" s="129">
        <f t="shared" ref="N8:N71" si="2">1.15*N7</f>
        <v>52899.999999999993</v>
      </c>
      <c r="O8" s="129">
        <f t="shared" ref="O8:O71" si="3">N8+O7</f>
        <v>138900</v>
      </c>
      <c r="Y8" s="148"/>
    </row>
    <row r="9" spans="2:25" x14ac:dyDescent="0.3">
      <c r="B9" s="125">
        <f t="shared" ref="B9:B14" si="4">B8+1</f>
        <v>4</v>
      </c>
      <c r="C9" s="129">
        <f t="shared" ref="C9:C14" si="5">C8*1.15</f>
        <v>152087.49999999994</v>
      </c>
      <c r="D9" s="129">
        <f t="shared" si="0"/>
        <v>499337.49999999994</v>
      </c>
      <c r="F9" t="s">
        <v>170</v>
      </c>
      <c r="G9" t="s">
        <v>171</v>
      </c>
      <c r="H9" s="105" t="s">
        <v>172</v>
      </c>
      <c r="I9" s="105" t="s">
        <v>80</v>
      </c>
      <c r="J9" s="105" t="s">
        <v>173</v>
      </c>
      <c r="K9" s="105" t="s">
        <v>80</v>
      </c>
      <c r="M9" s="125">
        <f t="shared" si="1"/>
        <v>4</v>
      </c>
      <c r="N9" s="129">
        <f t="shared" si="2"/>
        <v>60834.999999999985</v>
      </c>
      <c r="O9" s="129">
        <f t="shared" si="3"/>
        <v>199735</v>
      </c>
      <c r="Q9" t="s">
        <v>178</v>
      </c>
      <c r="R9" t="s">
        <v>177</v>
      </c>
      <c r="S9" s="105" t="s">
        <v>172</v>
      </c>
      <c r="T9" s="105" t="s">
        <v>80</v>
      </c>
      <c r="U9" s="105" t="s">
        <v>173</v>
      </c>
      <c r="V9" s="105" t="s">
        <v>80</v>
      </c>
      <c r="Y9" s="148"/>
    </row>
    <row r="10" spans="2:25" x14ac:dyDescent="0.3">
      <c r="B10" s="125">
        <f t="shared" si="4"/>
        <v>5</v>
      </c>
      <c r="C10" s="129">
        <f t="shared" si="5"/>
        <v>174900.62499999991</v>
      </c>
      <c r="D10" s="129">
        <f t="shared" si="0"/>
        <v>674238.12499999988</v>
      </c>
      <c r="F10" s="135">
        <f>(G10-G7)*G6</f>
        <v>0</v>
      </c>
      <c r="G10" s="9">
        <f>ROUNDDOWN(G7,0)+1</f>
        <v>61</v>
      </c>
      <c r="H10" s="131">
        <f t="shared" ref="H10:H17" si="6">VLOOKUP(G10,$B$6:$D$189,2,FALSE)/1000/1000/1000*F10</f>
        <v>0</v>
      </c>
      <c r="I10" s="132">
        <f>H10</f>
        <v>0</v>
      </c>
      <c r="J10" s="131">
        <f>IF(I10&gt;$G$5,$G$5/H10*F10,F10)</f>
        <v>0</v>
      </c>
      <c r="K10" s="132">
        <f>J10</f>
        <v>0</v>
      </c>
      <c r="M10" s="125">
        <f t="shared" si="1"/>
        <v>5</v>
      </c>
      <c r="N10" s="129">
        <f t="shared" si="2"/>
        <v>69960.249999999971</v>
      </c>
      <c r="O10" s="129">
        <f t="shared" si="3"/>
        <v>269695.25</v>
      </c>
      <c r="Q10" s="135">
        <f>(R10-R7)*R6</f>
        <v>0</v>
      </c>
      <c r="R10" s="9">
        <f>ROUNDDOWN(R7,0)+1</f>
        <v>61</v>
      </c>
      <c r="S10" s="131">
        <f>VLOOKUP(R10,$M$6:$O$189,2,FALSE)/1000/1000/1000*Q10</f>
        <v>0</v>
      </c>
      <c r="T10" s="132">
        <f>S10</f>
        <v>0</v>
      </c>
      <c r="U10" s="131">
        <f>IF(T10&gt;$R$5,$R$5/S10*Q10,Q10)</f>
        <v>0</v>
      </c>
      <c r="V10" s="132">
        <f>U10</f>
        <v>0</v>
      </c>
      <c r="Y10" s="148"/>
    </row>
    <row r="11" spans="2:25" x14ac:dyDescent="0.3">
      <c r="B11" s="125">
        <f t="shared" si="4"/>
        <v>6</v>
      </c>
      <c r="C11" s="129">
        <f t="shared" si="5"/>
        <v>201135.71874999988</v>
      </c>
      <c r="D11" s="129">
        <f t="shared" si="0"/>
        <v>875373.84374999977</v>
      </c>
      <c r="F11" s="15">
        <f>G6</f>
        <v>0</v>
      </c>
      <c r="G11" s="16">
        <f>G10+1</f>
        <v>62</v>
      </c>
      <c r="H11" s="133">
        <f t="shared" si="6"/>
        <v>0</v>
      </c>
      <c r="I11" s="134">
        <f t="shared" ref="I11:I17" si="7">H11+I10</f>
        <v>0</v>
      </c>
      <c r="J11" s="133">
        <f t="shared" ref="J11:J27" si="8">IF(I11&gt;$G$5,IF(I10&gt;$G$5,0,($G$5-I10)/H11),1)*F11</f>
        <v>0</v>
      </c>
      <c r="K11" s="134">
        <f>J11+K10</f>
        <v>0</v>
      </c>
      <c r="M11" s="125">
        <f t="shared" si="1"/>
        <v>6</v>
      </c>
      <c r="N11" s="129">
        <f t="shared" si="2"/>
        <v>80454.287499999962</v>
      </c>
      <c r="O11" s="129">
        <f t="shared" si="3"/>
        <v>350149.53749999998</v>
      </c>
      <c r="Q11" s="15">
        <f>R6</f>
        <v>0</v>
      </c>
      <c r="R11" s="16">
        <f>R10+1</f>
        <v>62</v>
      </c>
      <c r="S11" s="133">
        <f t="shared" ref="S11:S17" si="9">VLOOKUP(R11,$M$6:$O$189,2,FALSE)/1000/1000/1000*Q11</f>
        <v>0</v>
      </c>
      <c r="T11" s="134">
        <f t="shared" ref="T11:T17" si="10">S11+T10</f>
        <v>0</v>
      </c>
      <c r="U11" s="133">
        <f>IF(T11&gt;$R$5,IF(T10&gt;$R$5,0,($R$5-T10)/S11),1)*Q11</f>
        <v>0</v>
      </c>
      <c r="V11" s="134">
        <f>U11+V10</f>
        <v>0</v>
      </c>
      <c r="Y11" s="148"/>
    </row>
    <row r="12" spans="2:25" x14ac:dyDescent="0.3">
      <c r="B12" s="125">
        <f t="shared" si="4"/>
        <v>7</v>
      </c>
      <c r="C12" s="129">
        <f t="shared" si="5"/>
        <v>231306.07656249986</v>
      </c>
      <c r="D12" s="129">
        <f t="shared" si="0"/>
        <v>1106679.9203124996</v>
      </c>
      <c r="F12" s="15">
        <f>F11</f>
        <v>0</v>
      </c>
      <c r="G12" s="16">
        <f>G11+1</f>
        <v>63</v>
      </c>
      <c r="H12" s="133">
        <f t="shared" si="6"/>
        <v>0</v>
      </c>
      <c r="I12" s="134">
        <f t="shared" si="7"/>
        <v>0</v>
      </c>
      <c r="J12" s="133">
        <f t="shared" si="8"/>
        <v>0</v>
      </c>
      <c r="K12" s="134">
        <f t="shared" ref="K12:K17" si="11">J12+K11</f>
        <v>0</v>
      </c>
      <c r="M12" s="125">
        <f t="shared" si="1"/>
        <v>7</v>
      </c>
      <c r="N12" s="129">
        <f t="shared" si="2"/>
        <v>92522.43062499995</v>
      </c>
      <c r="O12" s="129">
        <f t="shared" si="3"/>
        <v>442671.9681249999</v>
      </c>
      <c r="Q12" s="15">
        <f>Q11</f>
        <v>0</v>
      </c>
      <c r="R12" s="16">
        <f>R11+1</f>
        <v>63</v>
      </c>
      <c r="S12" s="133">
        <f t="shared" si="9"/>
        <v>0</v>
      </c>
      <c r="T12" s="134">
        <f t="shared" si="10"/>
        <v>0</v>
      </c>
      <c r="U12" s="133">
        <f t="shared" ref="U12:U17" si="12">IF(T12&gt;$R$5,IF(T11&gt;$R$5,0,($R$5-T11)/S12),1)*Q12</f>
        <v>0</v>
      </c>
      <c r="V12" s="134">
        <f t="shared" ref="V12:V17" si="13">U12+V11</f>
        <v>0</v>
      </c>
      <c r="Y12" s="148"/>
    </row>
    <row r="13" spans="2:25" x14ac:dyDescent="0.3">
      <c r="B13" s="125">
        <f t="shared" si="4"/>
        <v>8</v>
      </c>
      <c r="C13" s="129">
        <f t="shared" si="5"/>
        <v>266001.98804687482</v>
      </c>
      <c r="D13" s="129">
        <f t="shared" si="0"/>
        <v>1372681.9083593744</v>
      </c>
      <c r="F13" s="15">
        <f t="shared" ref="F13:F29" si="14">F12</f>
        <v>0</v>
      </c>
      <c r="G13" s="16">
        <f t="shared" ref="G13:G29" si="15">G12+1</f>
        <v>64</v>
      </c>
      <c r="H13" s="133">
        <f t="shared" si="6"/>
        <v>0</v>
      </c>
      <c r="I13" s="134">
        <f t="shared" si="7"/>
        <v>0</v>
      </c>
      <c r="J13" s="133">
        <f t="shared" si="8"/>
        <v>0</v>
      </c>
      <c r="K13" s="134">
        <f t="shared" si="11"/>
        <v>0</v>
      </c>
      <c r="M13" s="125">
        <f t="shared" si="1"/>
        <v>8</v>
      </c>
      <c r="N13" s="129">
        <f t="shared" si="2"/>
        <v>106400.79521874993</v>
      </c>
      <c r="O13" s="129">
        <f t="shared" si="3"/>
        <v>549072.7633437498</v>
      </c>
      <c r="Q13" s="15">
        <f t="shared" ref="Q13:Q29" si="16">Q12</f>
        <v>0</v>
      </c>
      <c r="R13" s="16">
        <f t="shared" ref="R13:R29" si="17">R12+1</f>
        <v>64</v>
      </c>
      <c r="S13" s="133">
        <f t="shared" si="9"/>
        <v>0</v>
      </c>
      <c r="T13" s="134">
        <f t="shared" si="10"/>
        <v>0</v>
      </c>
      <c r="U13" s="133">
        <f t="shared" si="12"/>
        <v>0</v>
      </c>
      <c r="V13" s="134">
        <f t="shared" si="13"/>
        <v>0</v>
      </c>
      <c r="Y13" s="148"/>
    </row>
    <row r="14" spans="2:25" x14ac:dyDescent="0.3">
      <c r="B14" s="125">
        <f t="shared" si="4"/>
        <v>9</v>
      </c>
      <c r="C14" s="129">
        <f t="shared" si="5"/>
        <v>305902.28625390603</v>
      </c>
      <c r="D14" s="129">
        <f t="shared" si="0"/>
        <v>1678584.1946132805</v>
      </c>
      <c r="F14" s="15">
        <f t="shared" si="14"/>
        <v>0</v>
      </c>
      <c r="G14" s="16">
        <f t="shared" si="15"/>
        <v>65</v>
      </c>
      <c r="H14" s="133">
        <f t="shared" si="6"/>
        <v>0</v>
      </c>
      <c r="I14" s="134">
        <f t="shared" si="7"/>
        <v>0</v>
      </c>
      <c r="J14" s="133">
        <f t="shared" si="8"/>
        <v>0</v>
      </c>
      <c r="K14" s="134">
        <f t="shared" si="11"/>
        <v>0</v>
      </c>
      <c r="M14" s="125">
        <f t="shared" si="1"/>
        <v>9</v>
      </c>
      <c r="N14" s="129">
        <f t="shared" si="2"/>
        <v>122360.91450156241</v>
      </c>
      <c r="O14" s="129">
        <f t="shared" si="3"/>
        <v>671433.67784531217</v>
      </c>
      <c r="Q14" s="15">
        <f t="shared" si="16"/>
        <v>0</v>
      </c>
      <c r="R14" s="16">
        <f t="shared" si="17"/>
        <v>65</v>
      </c>
      <c r="S14" s="133">
        <f t="shared" si="9"/>
        <v>0</v>
      </c>
      <c r="T14" s="134">
        <f t="shared" si="10"/>
        <v>0</v>
      </c>
      <c r="U14" s="133">
        <f t="shared" si="12"/>
        <v>0</v>
      </c>
      <c r="V14" s="134">
        <f t="shared" si="13"/>
        <v>0</v>
      </c>
      <c r="Y14" s="148"/>
    </row>
    <row r="15" spans="2:25" x14ac:dyDescent="0.3">
      <c r="B15" s="125">
        <f t="shared" ref="B15:B78" si="18">B14+1</f>
        <v>10</v>
      </c>
      <c r="C15" s="129">
        <f t="shared" ref="C15:C78" si="19">C14*1.15</f>
        <v>351787.62919199193</v>
      </c>
      <c r="D15" s="129">
        <f t="shared" si="0"/>
        <v>2030371.8238052723</v>
      </c>
      <c r="F15" s="15">
        <f t="shared" si="14"/>
        <v>0</v>
      </c>
      <c r="G15" s="16">
        <f t="shared" si="15"/>
        <v>66</v>
      </c>
      <c r="H15" s="133">
        <f t="shared" si="6"/>
        <v>0</v>
      </c>
      <c r="I15" s="134">
        <f t="shared" si="7"/>
        <v>0</v>
      </c>
      <c r="J15" s="133">
        <f t="shared" si="8"/>
        <v>0</v>
      </c>
      <c r="K15" s="134">
        <f t="shared" si="11"/>
        <v>0</v>
      </c>
      <c r="M15" s="125">
        <f t="shared" si="1"/>
        <v>10</v>
      </c>
      <c r="N15" s="129">
        <f t="shared" si="2"/>
        <v>140715.05167679675</v>
      </c>
      <c r="O15" s="129">
        <f t="shared" si="3"/>
        <v>812148.72952210892</v>
      </c>
      <c r="Q15" s="15">
        <f t="shared" si="16"/>
        <v>0</v>
      </c>
      <c r="R15" s="16">
        <f t="shared" si="17"/>
        <v>66</v>
      </c>
      <c r="S15" s="133">
        <f t="shared" si="9"/>
        <v>0</v>
      </c>
      <c r="T15" s="134">
        <f t="shared" si="10"/>
        <v>0</v>
      </c>
      <c r="U15" s="133">
        <f t="shared" si="12"/>
        <v>0</v>
      </c>
      <c r="V15" s="134">
        <f t="shared" si="13"/>
        <v>0</v>
      </c>
      <c r="Y15" s="148"/>
    </row>
    <row r="16" spans="2:25" x14ac:dyDescent="0.3">
      <c r="B16" s="125">
        <f t="shared" si="18"/>
        <v>11</v>
      </c>
      <c r="C16" s="129">
        <f t="shared" si="19"/>
        <v>404555.77357079071</v>
      </c>
      <c r="D16" s="129">
        <f t="shared" si="0"/>
        <v>2434927.597376063</v>
      </c>
      <c r="F16" s="15">
        <f t="shared" si="14"/>
        <v>0</v>
      </c>
      <c r="G16" s="16">
        <f t="shared" si="15"/>
        <v>67</v>
      </c>
      <c r="H16" s="133">
        <f t="shared" si="6"/>
        <v>0</v>
      </c>
      <c r="I16" s="134">
        <f t="shared" si="7"/>
        <v>0</v>
      </c>
      <c r="J16" s="133">
        <f t="shared" si="8"/>
        <v>0</v>
      </c>
      <c r="K16" s="134">
        <f t="shared" si="11"/>
        <v>0</v>
      </c>
      <c r="M16" s="125">
        <f t="shared" si="1"/>
        <v>11</v>
      </c>
      <c r="N16" s="129">
        <f t="shared" si="2"/>
        <v>161822.30942831625</v>
      </c>
      <c r="O16" s="129">
        <f t="shared" si="3"/>
        <v>973971.03895042511</v>
      </c>
      <c r="Q16" s="15">
        <f t="shared" si="16"/>
        <v>0</v>
      </c>
      <c r="R16" s="16">
        <f t="shared" si="17"/>
        <v>67</v>
      </c>
      <c r="S16" s="133">
        <f t="shared" si="9"/>
        <v>0</v>
      </c>
      <c r="T16" s="134">
        <f t="shared" si="10"/>
        <v>0</v>
      </c>
      <c r="U16" s="133">
        <f t="shared" si="12"/>
        <v>0</v>
      </c>
      <c r="V16" s="134">
        <f t="shared" si="13"/>
        <v>0</v>
      </c>
      <c r="Y16" s="148"/>
    </row>
    <row r="17" spans="2:25" x14ac:dyDescent="0.3">
      <c r="B17" s="125">
        <f t="shared" si="18"/>
        <v>12</v>
      </c>
      <c r="C17" s="129">
        <f t="shared" si="19"/>
        <v>465239.1396064093</v>
      </c>
      <c r="D17" s="129">
        <f t="shared" si="0"/>
        <v>2900166.7369824722</v>
      </c>
      <c r="F17" s="15">
        <f t="shared" si="14"/>
        <v>0</v>
      </c>
      <c r="G17" s="16">
        <f t="shared" si="15"/>
        <v>68</v>
      </c>
      <c r="H17" s="133">
        <f t="shared" si="6"/>
        <v>0</v>
      </c>
      <c r="I17" s="134">
        <f t="shared" si="7"/>
        <v>0</v>
      </c>
      <c r="J17" s="133">
        <f t="shared" si="8"/>
        <v>0</v>
      </c>
      <c r="K17" s="134">
        <f t="shared" si="11"/>
        <v>0</v>
      </c>
      <c r="M17" s="125">
        <f t="shared" si="1"/>
        <v>12</v>
      </c>
      <c r="N17" s="129">
        <f t="shared" si="2"/>
        <v>186095.65584256366</v>
      </c>
      <c r="O17" s="129">
        <f t="shared" si="3"/>
        <v>1160066.6947929887</v>
      </c>
      <c r="Q17" s="15">
        <f t="shared" si="16"/>
        <v>0</v>
      </c>
      <c r="R17" s="16">
        <f t="shared" si="17"/>
        <v>68</v>
      </c>
      <c r="S17" s="133">
        <f t="shared" si="9"/>
        <v>0</v>
      </c>
      <c r="T17" s="134">
        <f t="shared" si="10"/>
        <v>0</v>
      </c>
      <c r="U17" s="133">
        <f t="shared" si="12"/>
        <v>0</v>
      </c>
      <c r="V17" s="134">
        <f t="shared" si="13"/>
        <v>0</v>
      </c>
      <c r="Y17" s="148"/>
    </row>
    <row r="18" spans="2:25" x14ac:dyDescent="0.3">
      <c r="B18" s="125">
        <f t="shared" si="18"/>
        <v>13</v>
      </c>
      <c r="C18" s="129">
        <f t="shared" si="19"/>
        <v>535025.01054737065</v>
      </c>
      <c r="D18" s="129">
        <f t="shared" si="0"/>
        <v>3435191.7475298429</v>
      </c>
      <c r="F18" s="15">
        <f t="shared" si="14"/>
        <v>0</v>
      </c>
      <c r="G18" s="16">
        <f t="shared" si="15"/>
        <v>69</v>
      </c>
      <c r="H18" s="133">
        <f t="shared" ref="H18:H29" si="20">VLOOKUP(G18,$B$6:$D$189,2,FALSE)/1000/1000/1000*F18</f>
        <v>0</v>
      </c>
      <c r="I18" s="134">
        <f t="shared" ref="I18:I29" si="21">H18+I17</f>
        <v>0</v>
      </c>
      <c r="J18" s="133">
        <f t="shared" si="8"/>
        <v>0</v>
      </c>
      <c r="K18" s="134">
        <f t="shared" ref="K18:K29" si="22">J18+K17</f>
        <v>0</v>
      </c>
      <c r="M18" s="125">
        <f t="shared" si="1"/>
        <v>13</v>
      </c>
      <c r="N18" s="129">
        <f t="shared" si="2"/>
        <v>214010.00421894819</v>
      </c>
      <c r="O18" s="129">
        <f t="shared" si="3"/>
        <v>1374076.6990119368</v>
      </c>
      <c r="Q18" s="15">
        <f t="shared" si="16"/>
        <v>0</v>
      </c>
      <c r="R18" s="16">
        <f t="shared" si="17"/>
        <v>69</v>
      </c>
      <c r="S18" s="133">
        <f t="shared" ref="S18:S29" si="23">VLOOKUP(R18,$M$6:$O$189,2,FALSE)/1000/1000/1000*Q18</f>
        <v>0</v>
      </c>
      <c r="T18" s="134">
        <f t="shared" ref="T18:T29" si="24">S18+T17</f>
        <v>0</v>
      </c>
      <c r="U18" s="133">
        <f t="shared" ref="U18:U29" si="25">IF(T18&gt;$R$5,IF(T17&gt;$R$5,0,($R$5-T17)/S18),1)*Q18</f>
        <v>0</v>
      </c>
      <c r="V18" s="134">
        <f t="shared" ref="V18:V29" si="26">U18+V17</f>
        <v>0</v>
      </c>
      <c r="Y18" s="148"/>
    </row>
    <row r="19" spans="2:25" x14ac:dyDescent="0.3">
      <c r="B19" s="125">
        <f t="shared" si="18"/>
        <v>14</v>
      </c>
      <c r="C19" s="129">
        <f t="shared" si="19"/>
        <v>615278.76212947618</v>
      </c>
      <c r="D19" s="129">
        <f t="shared" si="0"/>
        <v>4050470.5096593192</v>
      </c>
      <c r="F19" s="15">
        <f t="shared" si="14"/>
        <v>0</v>
      </c>
      <c r="G19" s="16">
        <f t="shared" si="15"/>
        <v>70</v>
      </c>
      <c r="H19" s="133">
        <f t="shared" si="20"/>
        <v>0</v>
      </c>
      <c r="I19" s="134">
        <f t="shared" si="21"/>
        <v>0</v>
      </c>
      <c r="J19" s="133">
        <f t="shared" si="8"/>
        <v>0</v>
      </c>
      <c r="K19" s="134">
        <f t="shared" si="22"/>
        <v>0</v>
      </c>
      <c r="M19" s="125">
        <f t="shared" si="1"/>
        <v>14</v>
      </c>
      <c r="N19" s="129">
        <f t="shared" si="2"/>
        <v>246111.50485179041</v>
      </c>
      <c r="O19" s="129">
        <f t="shared" si="3"/>
        <v>1620188.2038637272</v>
      </c>
      <c r="Q19" s="15">
        <f t="shared" si="16"/>
        <v>0</v>
      </c>
      <c r="R19" s="16">
        <f t="shared" si="17"/>
        <v>70</v>
      </c>
      <c r="S19" s="133">
        <f t="shared" si="23"/>
        <v>0</v>
      </c>
      <c r="T19" s="134">
        <f t="shared" si="24"/>
        <v>0</v>
      </c>
      <c r="U19" s="133">
        <f t="shared" si="25"/>
        <v>0</v>
      </c>
      <c r="V19" s="134">
        <f t="shared" si="26"/>
        <v>0</v>
      </c>
      <c r="Y19" s="148"/>
    </row>
    <row r="20" spans="2:25" x14ac:dyDescent="0.3">
      <c r="B20" s="125">
        <f t="shared" si="18"/>
        <v>15</v>
      </c>
      <c r="C20" s="129">
        <f t="shared" si="19"/>
        <v>707570.5764488976</v>
      </c>
      <c r="D20" s="129">
        <f t="shared" si="0"/>
        <v>4758041.086108217</v>
      </c>
      <c r="F20" s="15">
        <f t="shared" si="14"/>
        <v>0</v>
      </c>
      <c r="G20" s="16">
        <f t="shared" si="15"/>
        <v>71</v>
      </c>
      <c r="H20" s="133">
        <f t="shared" si="20"/>
        <v>0</v>
      </c>
      <c r="I20" s="134">
        <f t="shared" si="21"/>
        <v>0</v>
      </c>
      <c r="J20" s="133">
        <f t="shared" si="8"/>
        <v>0</v>
      </c>
      <c r="K20" s="134">
        <f t="shared" si="22"/>
        <v>0</v>
      </c>
      <c r="M20" s="125">
        <f t="shared" si="1"/>
        <v>15</v>
      </c>
      <c r="N20" s="129">
        <f t="shared" si="2"/>
        <v>283028.23057955893</v>
      </c>
      <c r="O20" s="129">
        <f t="shared" si="3"/>
        <v>1903216.4344432862</v>
      </c>
      <c r="Q20" s="15">
        <f t="shared" si="16"/>
        <v>0</v>
      </c>
      <c r="R20" s="16">
        <f t="shared" si="17"/>
        <v>71</v>
      </c>
      <c r="S20" s="133">
        <f t="shared" si="23"/>
        <v>0</v>
      </c>
      <c r="T20" s="134">
        <f t="shared" si="24"/>
        <v>0</v>
      </c>
      <c r="U20" s="133">
        <f t="shared" si="25"/>
        <v>0</v>
      </c>
      <c r="V20" s="134">
        <f t="shared" si="26"/>
        <v>0</v>
      </c>
      <c r="Y20" s="148"/>
    </row>
    <row r="21" spans="2:25" x14ac:dyDescent="0.3">
      <c r="B21" s="125">
        <f t="shared" si="18"/>
        <v>16</v>
      </c>
      <c r="C21" s="129">
        <f t="shared" si="19"/>
        <v>813706.16291623213</v>
      </c>
      <c r="D21" s="129">
        <f t="shared" si="0"/>
        <v>5571747.2490244489</v>
      </c>
      <c r="F21" s="15">
        <f t="shared" si="14"/>
        <v>0</v>
      </c>
      <c r="G21" s="16">
        <f t="shared" si="15"/>
        <v>72</v>
      </c>
      <c r="H21" s="133">
        <f t="shared" si="20"/>
        <v>0</v>
      </c>
      <c r="I21" s="134">
        <f t="shared" si="21"/>
        <v>0</v>
      </c>
      <c r="J21" s="133">
        <f t="shared" si="8"/>
        <v>0</v>
      </c>
      <c r="K21" s="134">
        <f t="shared" si="22"/>
        <v>0</v>
      </c>
      <c r="M21" s="125">
        <f t="shared" si="1"/>
        <v>16</v>
      </c>
      <c r="N21" s="129">
        <f t="shared" si="2"/>
        <v>325482.46516649274</v>
      </c>
      <c r="O21" s="129">
        <f t="shared" si="3"/>
        <v>2228698.899609779</v>
      </c>
      <c r="Q21" s="15">
        <f t="shared" si="16"/>
        <v>0</v>
      </c>
      <c r="R21" s="16">
        <f t="shared" si="17"/>
        <v>72</v>
      </c>
      <c r="S21" s="133">
        <f t="shared" si="23"/>
        <v>0</v>
      </c>
      <c r="T21" s="134">
        <f t="shared" si="24"/>
        <v>0</v>
      </c>
      <c r="U21" s="133">
        <f t="shared" si="25"/>
        <v>0</v>
      </c>
      <c r="V21" s="134">
        <f t="shared" si="26"/>
        <v>0</v>
      </c>
    </row>
    <row r="22" spans="2:25" x14ac:dyDescent="0.3">
      <c r="B22" s="125">
        <f t="shared" si="18"/>
        <v>17</v>
      </c>
      <c r="C22" s="129">
        <f t="shared" si="19"/>
        <v>935762.0873536669</v>
      </c>
      <c r="D22" s="129">
        <f t="shared" si="0"/>
        <v>6507509.3363781162</v>
      </c>
      <c r="F22" s="15">
        <f t="shared" si="14"/>
        <v>0</v>
      </c>
      <c r="G22" s="16">
        <f t="shared" si="15"/>
        <v>73</v>
      </c>
      <c r="H22" s="133">
        <f t="shared" si="20"/>
        <v>0</v>
      </c>
      <c r="I22" s="134">
        <f t="shared" si="21"/>
        <v>0</v>
      </c>
      <c r="J22" s="133">
        <f t="shared" si="8"/>
        <v>0</v>
      </c>
      <c r="K22" s="134">
        <f t="shared" si="22"/>
        <v>0</v>
      </c>
      <c r="M22" s="125">
        <f t="shared" si="1"/>
        <v>17</v>
      </c>
      <c r="N22" s="129">
        <f t="shared" si="2"/>
        <v>374304.83494146663</v>
      </c>
      <c r="O22" s="129">
        <f t="shared" si="3"/>
        <v>2603003.7345512458</v>
      </c>
      <c r="Q22" s="15">
        <f t="shared" si="16"/>
        <v>0</v>
      </c>
      <c r="R22" s="16">
        <f t="shared" si="17"/>
        <v>73</v>
      </c>
      <c r="S22" s="133">
        <f t="shared" si="23"/>
        <v>0</v>
      </c>
      <c r="T22" s="134">
        <f t="shared" si="24"/>
        <v>0</v>
      </c>
      <c r="U22" s="133">
        <f t="shared" si="25"/>
        <v>0</v>
      </c>
      <c r="V22" s="134">
        <f t="shared" si="26"/>
        <v>0</v>
      </c>
    </row>
    <row r="23" spans="2:25" x14ac:dyDescent="0.3">
      <c r="B23" s="125">
        <f t="shared" si="18"/>
        <v>18</v>
      </c>
      <c r="C23" s="129">
        <f t="shared" si="19"/>
        <v>1076126.4004567168</v>
      </c>
      <c r="D23" s="129">
        <f t="shared" si="0"/>
        <v>7583635.7368348334</v>
      </c>
      <c r="F23" s="15">
        <f t="shared" si="14"/>
        <v>0</v>
      </c>
      <c r="G23" s="16">
        <f t="shared" si="15"/>
        <v>74</v>
      </c>
      <c r="H23" s="133">
        <f t="shared" si="20"/>
        <v>0</v>
      </c>
      <c r="I23" s="134">
        <f t="shared" si="21"/>
        <v>0</v>
      </c>
      <c r="J23" s="133">
        <f t="shared" si="8"/>
        <v>0</v>
      </c>
      <c r="K23" s="134">
        <f t="shared" si="22"/>
        <v>0</v>
      </c>
      <c r="M23" s="125">
        <f t="shared" si="1"/>
        <v>18</v>
      </c>
      <c r="N23" s="129">
        <f t="shared" si="2"/>
        <v>430450.5601826866</v>
      </c>
      <c r="O23" s="129">
        <f t="shared" si="3"/>
        <v>3033454.2947339322</v>
      </c>
      <c r="Q23" s="15">
        <f t="shared" si="16"/>
        <v>0</v>
      </c>
      <c r="R23" s="16">
        <f t="shared" si="17"/>
        <v>74</v>
      </c>
      <c r="S23" s="133">
        <f t="shared" si="23"/>
        <v>0</v>
      </c>
      <c r="T23" s="134">
        <f t="shared" si="24"/>
        <v>0</v>
      </c>
      <c r="U23" s="133">
        <f t="shared" si="25"/>
        <v>0</v>
      </c>
      <c r="V23" s="134">
        <f t="shared" si="26"/>
        <v>0</v>
      </c>
    </row>
    <row r="24" spans="2:25" x14ac:dyDescent="0.3">
      <c r="B24" s="125">
        <f t="shared" si="18"/>
        <v>19</v>
      </c>
      <c r="C24" s="129">
        <f t="shared" si="19"/>
        <v>1237545.3605252241</v>
      </c>
      <c r="D24" s="129">
        <f t="shared" si="0"/>
        <v>8821181.0973600578</v>
      </c>
      <c r="F24" s="15">
        <f t="shared" si="14"/>
        <v>0</v>
      </c>
      <c r="G24" s="16">
        <f t="shared" si="15"/>
        <v>75</v>
      </c>
      <c r="H24" s="133">
        <f t="shared" si="20"/>
        <v>0</v>
      </c>
      <c r="I24" s="134">
        <f t="shared" si="21"/>
        <v>0</v>
      </c>
      <c r="J24" s="133">
        <f t="shared" si="8"/>
        <v>0</v>
      </c>
      <c r="K24" s="134">
        <f t="shared" si="22"/>
        <v>0</v>
      </c>
      <c r="M24" s="125">
        <f t="shared" si="1"/>
        <v>19</v>
      </c>
      <c r="N24" s="129">
        <f t="shared" si="2"/>
        <v>495018.14421008958</v>
      </c>
      <c r="O24" s="129">
        <f t="shared" si="3"/>
        <v>3528472.4389440217</v>
      </c>
      <c r="Q24" s="15">
        <f t="shared" si="16"/>
        <v>0</v>
      </c>
      <c r="R24" s="16">
        <f t="shared" si="17"/>
        <v>75</v>
      </c>
      <c r="S24" s="133">
        <f t="shared" si="23"/>
        <v>0</v>
      </c>
      <c r="T24" s="134">
        <f t="shared" si="24"/>
        <v>0</v>
      </c>
      <c r="U24" s="133">
        <f t="shared" si="25"/>
        <v>0</v>
      </c>
      <c r="V24" s="134">
        <f t="shared" si="26"/>
        <v>0</v>
      </c>
    </row>
    <row r="25" spans="2:25" x14ac:dyDescent="0.3">
      <c r="B25" s="125">
        <f t="shared" si="18"/>
        <v>20</v>
      </c>
      <c r="C25" s="129">
        <f t="shared" si="19"/>
        <v>1423177.1646040077</v>
      </c>
      <c r="D25" s="129">
        <f t="shared" si="0"/>
        <v>10244358.261964066</v>
      </c>
      <c r="F25" s="15">
        <f t="shared" si="14"/>
        <v>0</v>
      </c>
      <c r="G25" s="16">
        <f t="shared" si="15"/>
        <v>76</v>
      </c>
      <c r="H25" s="133">
        <f t="shared" si="20"/>
        <v>0</v>
      </c>
      <c r="I25" s="134">
        <f t="shared" si="21"/>
        <v>0</v>
      </c>
      <c r="J25" s="133">
        <f t="shared" si="8"/>
        <v>0</v>
      </c>
      <c r="K25" s="134">
        <f t="shared" si="22"/>
        <v>0</v>
      </c>
      <c r="M25" s="125">
        <f t="shared" si="1"/>
        <v>20</v>
      </c>
      <c r="N25" s="129">
        <f t="shared" si="2"/>
        <v>569270.86584160302</v>
      </c>
      <c r="O25" s="129">
        <f t="shared" si="3"/>
        <v>4097743.3047856246</v>
      </c>
      <c r="Q25" s="15">
        <f t="shared" si="16"/>
        <v>0</v>
      </c>
      <c r="R25" s="16">
        <f t="shared" si="17"/>
        <v>76</v>
      </c>
      <c r="S25" s="133">
        <f t="shared" si="23"/>
        <v>0</v>
      </c>
      <c r="T25" s="134">
        <f t="shared" si="24"/>
        <v>0</v>
      </c>
      <c r="U25" s="133">
        <f t="shared" si="25"/>
        <v>0</v>
      </c>
      <c r="V25" s="134">
        <f t="shared" si="26"/>
        <v>0</v>
      </c>
    </row>
    <row r="26" spans="2:25" x14ac:dyDescent="0.3">
      <c r="B26" s="125">
        <f t="shared" si="18"/>
        <v>21</v>
      </c>
      <c r="C26" s="129">
        <f t="shared" si="19"/>
        <v>1636653.7392946088</v>
      </c>
      <c r="D26" s="129">
        <f t="shared" si="0"/>
        <v>11881012.001258675</v>
      </c>
      <c r="F26" s="15">
        <f t="shared" si="14"/>
        <v>0</v>
      </c>
      <c r="G26" s="16">
        <f t="shared" si="15"/>
        <v>77</v>
      </c>
      <c r="H26" s="133">
        <f t="shared" si="20"/>
        <v>0</v>
      </c>
      <c r="I26" s="134">
        <f t="shared" si="21"/>
        <v>0</v>
      </c>
      <c r="J26" s="133">
        <f t="shared" si="8"/>
        <v>0</v>
      </c>
      <c r="K26" s="134">
        <f t="shared" si="22"/>
        <v>0</v>
      </c>
      <c r="M26" s="125">
        <f t="shared" si="1"/>
        <v>21</v>
      </c>
      <c r="N26" s="129">
        <f t="shared" si="2"/>
        <v>654661.49571784341</v>
      </c>
      <c r="O26" s="129">
        <f t="shared" si="3"/>
        <v>4752404.8005034681</v>
      </c>
      <c r="Q26" s="15">
        <f t="shared" si="16"/>
        <v>0</v>
      </c>
      <c r="R26" s="16">
        <f t="shared" si="17"/>
        <v>77</v>
      </c>
      <c r="S26" s="133">
        <f t="shared" si="23"/>
        <v>0</v>
      </c>
      <c r="T26" s="134">
        <f t="shared" si="24"/>
        <v>0</v>
      </c>
      <c r="U26" s="133">
        <f t="shared" si="25"/>
        <v>0</v>
      </c>
      <c r="V26" s="134">
        <f t="shared" si="26"/>
        <v>0</v>
      </c>
    </row>
    <row r="27" spans="2:25" x14ac:dyDescent="0.3">
      <c r="B27" s="125">
        <f t="shared" si="18"/>
        <v>22</v>
      </c>
      <c r="C27" s="129">
        <f t="shared" si="19"/>
        <v>1882151.8001888001</v>
      </c>
      <c r="D27" s="129">
        <f t="shared" si="0"/>
        <v>13763163.801447475</v>
      </c>
      <c r="F27" s="15">
        <f t="shared" si="14"/>
        <v>0</v>
      </c>
      <c r="G27" s="16">
        <f t="shared" si="15"/>
        <v>78</v>
      </c>
      <c r="H27" s="133">
        <f t="shared" si="20"/>
        <v>0</v>
      </c>
      <c r="I27" s="134">
        <f t="shared" si="21"/>
        <v>0</v>
      </c>
      <c r="J27" s="133">
        <f t="shared" si="8"/>
        <v>0</v>
      </c>
      <c r="K27" s="134">
        <f t="shared" si="22"/>
        <v>0</v>
      </c>
      <c r="M27" s="125">
        <f t="shared" si="1"/>
        <v>22</v>
      </c>
      <c r="N27" s="129">
        <f t="shared" si="2"/>
        <v>752860.72007551987</v>
      </c>
      <c r="O27" s="129">
        <f t="shared" si="3"/>
        <v>5505265.5205789879</v>
      </c>
      <c r="Q27" s="15">
        <f t="shared" si="16"/>
        <v>0</v>
      </c>
      <c r="R27" s="16">
        <f t="shared" si="17"/>
        <v>78</v>
      </c>
      <c r="S27" s="133">
        <f t="shared" si="23"/>
        <v>0</v>
      </c>
      <c r="T27" s="134">
        <f t="shared" si="24"/>
        <v>0</v>
      </c>
      <c r="U27" s="133">
        <f t="shared" si="25"/>
        <v>0</v>
      </c>
      <c r="V27" s="134">
        <f t="shared" si="26"/>
        <v>0</v>
      </c>
    </row>
    <row r="28" spans="2:25" x14ac:dyDescent="0.3">
      <c r="B28" s="125">
        <f t="shared" si="18"/>
        <v>23</v>
      </c>
      <c r="C28" s="129">
        <f t="shared" si="19"/>
        <v>2164474.57021712</v>
      </c>
      <c r="D28" s="129">
        <f t="shared" si="0"/>
        <v>15927638.371664595</v>
      </c>
      <c r="F28" s="15">
        <f t="shared" si="14"/>
        <v>0</v>
      </c>
      <c r="G28" s="16">
        <f t="shared" si="15"/>
        <v>79</v>
      </c>
      <c r="H28" s="133">
        <f t="shared" si="20"/>
        <v>0</v>
      </c>
      <c r="I28" s="134">
        <f t="shared" si="21"/>
        <v>0</v>
      </c>
      <c r="J28" s="133">
        <f>IF(I28&gt;$G$5,IF(I27&gt;$G$5,0,($G$5-I27)/H28),1)*F28</f>
        <v>0</v>
      </c>
      <c r="K28" s="134">
        <f t="shared" si="22"/>
        <v>0</v>
      </c>
      <c r="M28" s="125">
        <f t="shared" si="1"/>
        <v>23</v>
      </c>
      <c r="N28" s="129">
        <f t="shared" si="2"/>
        <v>865789.82808684779</v>
      </c>
      <c r="O28" s="129">
        <f t="shared" si="3"/>
        <v>6371055.3486658353</v>
      </c>
      <c r="Q28" s="15">
        <f t="shared" si="16"/>
        <v>0</v>
      </c>
      <c r="R28" s="16">
        <f t="shared" si="17"/>
        <v>79</v>
      </c>
      <c r="S28" s="133">
        <f t="shared" si="23"/>
        <v>0</v>
      </c>
      <c r="T28" s="134">
        <f t="shared" si="24"/>
        <v>0</v>
      </c>
      <c r="U28" s="133">
        <f t="shared" si="25"/>
        <v>0</v>
      </c>
      <c r="V28" s="134">
        <f t="shared" si="26"/>
        <v>0</v>
      </c>
    </row>
    <row r="29" spans="2:25" x14ac:dyDescent="0.3">
      <c r="B29" s="125">
        <f t="shared" si="18"/>
        <v>24</v>
      </c>
      <c r="C29" s="129">
        <f t="shared" si="19"/>
        <v>2489145.755749688</v>
      </c>
      <c r="D29" s="129">
        <f t="shared" si="0"/>
        <v>18416784.127414282</v>
      </c>
      <c r="F29" s="15">
        <f t="shared" si="14"/>
        <v>0</v>
      </c>
      <c r="G29" s="16">
        <f t="shared" si="15"/>
        <v>80</v>
      </c>
      <c r="H29" s="133">
        <f t="shared" si="20"/>
        <v>0</v>
      </c>
      <c r="I29" s="134">
        <f t="shared" si="21"/>
        <v>0</v>
      </c>
      <c r="J29" s="133">
        <f t="shared" ref="J29" si="27">IF(I29&gt;$G$5,IF(I28&gt;$G$5,0,($G$5-I28)/H29),1)*F29</f>
        <v>0</v>
      </c>
      <c r="K29" s="134">
        <f t="shared" si="22"/>
        <v>0</v>
      </c>
      <c r="M29" s="125">
        <f t="shared" si="1"/>
        <v>24</v>
      </c>
      <c r="N29" s="129">
        <f t="shared" si="2"/>
        <v>995658.30229987483</v>
      </c>
      <c r="O29" s="129">
        <f t="shared" si="3"/>
        <v>7366713.6509657102</v>
      </c>
      <c r="Q29" s="15">
        <f t="shared" si="16"/>
        <v>0</v>
      </c>
      <c r="R29" s="16">
        <f t="shared" si="17"/>
        <v>80</v>
      </c>
      <c r="S29" s="133">
        <f t="shared" si="23"/>
        <v>0</v>
      </c>
      <c r="T29" s="134">
        <f t="shared" si="24"/>
        <v>0</v>
      </c>
      <c r="U29" s="133">
        <f t="shared" si="25"/>
        <v>0</v>
      </c>
      <c r="V29" s="134">
        <f t="shared" si="26"/>
        <v>0</v>
      </c>
    </row>
    <row r="30" spans="2:25" x14ac:dyDescent="0.3">
      <c r="B30" s="125">
        <f t="shared" si="18"/>
        <v>25</v>
      </c>
      <c r="C30" s="129">
        <f t="shared" si="19"/>
        <v>2862517.619112141</v>
      </c>
      <c r="D30" s="129">
        <f t="shared" si="0"/>
        <v>21279301.746526424</v>
      </c>
      <c r="M30" s="125">
        <f t="shared" si="1"/>
        <v>25</v>
      </c>
      <c r="N30" s="129">
        <f t="shared" si="2"/>
        <v>1145007.0476448559</v>
      </c>
      <c r="O30" s="129">
        <f t="shared" si="3"/>
        <v>8511720.6986105666</v>
      </c>
    </row>
    <row r="31" spans="2:25" x14ac:dyDescent="0.3">
      <c r="B31" s="125">
        <f t="shared" si="18"/>
        <v>26</v>
      </c>
      <c r="C31" s="129">
        <f t="shared" si="19"/>
        <v>3291895.261978962</v>
      </c>
      <c r="D31" s="129">
        <f t="shared" si="0"/>
        <v>24571197.008505385</v>
      </c>
      <c r="F31" s="130" t="s">
        <v>179</v>
      </c>
      <c r="G31" s="86">
        <f>K29</f>
        <v>0</v>
      </c>
      <c r="H31" t="s">
        <v>71</v>
      </c>
      <c r="M31" s="125">
        <f t="shared" si="1"/>
        <v>26</v>
      </c>
      <c r="N31" s="129">
        <f t="shared" si="2"/>
        <v>1316758.1047915842</v>
      </c>
      <c r="O31" s="129">
        <f t="shared" si="3"/>
        <v>9828478.80340215</v>
      </c>
      <c r="Q31" s="130" t="s">
        <v>169</v>
      </c>
      <c r="R31" s="86">
        <f>V29</f>
        <v>0</v>
      </c>
      <c r="S31" t="s">
        <v>7</v>
      </c>
    </row>
    <row r="32" spans="2:25" x14ac:dyDescent="0.3">
      <c r="B32" s="125">
        <f t="shared" si="18"/>
        <v>27</v>
      </c>
      <c r="C32" s="129">
        <f t="shared" si="19"/>
        <v>3785679.551275806</v>
      </c>
      <c r="D32" s="129">
        <f t="shared" si="0"/>
        <v>28356876.55978119</v>
      </c>
      <c r="M32" s="125">
        <f t="shared" si="1"/>
        <v>27</v>
      </c>
      <c r="N32" s="129">
        <f t="shared" si="2"/>
        <v>1514271.8205103218</v>
      </c>
      <c r="O32" s="129">
        <f t="shared" si="3"/>
        <v>11342750.623912472</v>
      </c>
    </row>
    <row r="33" spans="2:15" x14ac:dyDescent="0.3">
      <c r="B33" s="125">
        <f t="shared" si="18"/>
        <v>28</v>
      </c>
      <c r="C33" s="129">
        <f t="shared" si="19"/>
        <v>4353531.4839671766</v>
      </c>
      <c r="D33" s="129">
        <f t="shared" si="0"/>
        <v>32710408.043748368</v>
      </c>
      <c r="M33" s="125">
        <f t="shared" si="1"/>
        <v>28</v>
      </c>
      <c r="N33" s="129">
        <f t="shared" si="2"/>
        <v>1741412.59358687</v>
      </c>
      <c r="O33" s="129">
        <f t="shared" si="3"/>
        <v>13084163.217499342</v>
      </c>
    </row>
    <row r="34" spans="2:15" x14ac:dyDescent="0.3">
      <c r="B34" s="125">
        <f t="shared" si="18"/>
        <v>29</v>
      </c>
      <c r="C34" s="129">
        <f t="shared" si="19"/>
        <v>5006561.2065622527</v>
      </c>
      <c r="D34" s="129">
        <f t="shared" si="0"/>
        <v>37716969.250310622</v>
      </c>
      <c r="M34" s="125">
        <f t="shared" si="1"/>
        <v>29</v>
      </c>
      <c r="N34" s="129">
        <f t="shared" si="2"/>
        <v>2002624.4826249003</v>
      </c>
      <c r="O34" s="129">
        <f t="shared" si="3"/>
        <v>15086787.700124241</v>
      </c>
    </row>
    <row r="35" spans="2:15" x14ac:dyDescent="0.3">
      <c r="B35" s="125">
        <f t="shared" si="18"/>
        <v>30</v>
      </c>
      <c r="C35" s="129">
        <f t="shared" si="19"/>
        <v>5757545.3875465905</v>
      </c>
      <c r="D35" s="129">
        <f t="shared" si="0"/>
        <v>43474514.637857214</v>
      </c>
      <c r="M35" s="125">
        <f t="shared" si="1"/>
        <v>30</v>
      </c>
      <c r="N35" s="129">
        <f t="shared" si="2"/>
        <v>2303018.1550186351</v>
      </c>
      <c r="O35" s="129">
        <f t="shared" si="3"/>
        <v>17389805.855142877</v>
      </c>
    </row>
    <row r="36" spans="2:15" x14ac:dyDescent="0.3">
      <c r="B36" s="125">
        <f t="shared" si="18"/>
        <v>31</v>
      </c>
      <c r="C36" s="129">
        <f t="shared" si="19"/>
        <v>6621177.1956785787</v>
      </c>
      <c r="D36" s="129">
        <f t="shared" si="0"/>
        <v>50095691.83353579</v>
      </c>
      <c r="M36" s="125">
        <f t="shared" si="1"/>
        <v>31</v>
      </c>
      <c r="N36" s="129">
        <f t="shared" si="2"/>
        <v>2648470.8782714303</v>
      </c>
      <c r="O36" s="129">
        <f t="shared" si="3"/>
        <v>20038276.733414307</v>
      </c>
    </row>
    <row r="37" spans="2:15" x14ac:dyDescent="0.3">
      <c r="B37" s="125">
        <f t="shared" si="18"/>
        <v>32</v>
      </c>
      <c r="C37" s="129">
        <f t="shared" si="19"/>
        <v>7614353.7750303652</v>
      </c>
      <c r="D37" s="129">
        <f t="shared" si="0"/>
        <v>57710045.608566158</v>
      </c>
      <c r="M37" s="125">
        <f t="shared" si="1"/>
        <v>32</v>
      </c>
      <c r="N37" s="129">
        <f t="shared" si="2"/>
        <v>3045741.5100121447</v>
      </c>
      <c r="O37" s="129">
        <f t="shared" si="3"/>
        <v>23084018.243426453</v>
      </c>
    </row>
    <row r="38" spans="2:15" x14ac:dyDescent="0.3">
      <c r="B38" s="125">
        <f t="shared" si="18"/>
        <v>33</v>
      </c>
      <c r="C38" s="129">
        <f t="shared" si="19"/>
        <v>8756506.8412849195</v>
      </c>
      <c r="D38" s="129">
        <f t="shared" si="0"/>
        <v>66466552.449851081</v>
      </c>
      <c r="M38" s="125">
        <f t="shared" si="1"/>
        <v>33</v>
      </c>
      <c r="N38" s="129">
        <f t="shared" si="2"/>
        <v>3502602.7365139662</v>
      </c>
      <c r="O38" s="129">
        <f t="shared" si="3"/>
        <v>26586620.979940418</v>
      </c>
    </row>
    <row r="39" spans="2:15" x14ac:dyDescent="0.3">
      <c r="B39" s="125">
        <f t="shared" si="18"/>
        <v>34</v>
      </c>
      <c r="C39" s="129">
        <f t="shared" si="19"/>
        <v>10069982.867477657</v>
      </c>
      <c r="D39" s="129">
        <f t="shared" si="0"/>
        <v>76536535.317328736</v>
      </c>
      <c r="M39" s="125">
        <f t="shared" si="1"/>
        <v>34</v>
      </c>
      <c r="N39" s="129">
        <f t="shared" si="2"/>
        <v>4027993.146991061</v>
      </c>
      <c r="O39" s="129">
        <f t="shared" si="3"/>
        <v>30614614.126931481</v>
      </c>
    </row>
    <row r="40" spans="2:15" x14ac:dyDescent="0.3">
      <c r="B40" s="125">
        <f t="shared" si="18"/>
        <v>35</v>
      </c>
      <c r="C40" s="129">
        <f t="shared" si="19"/>
        <v>11580480.297599304</v>
      </c>
      <c r="D40" s="129">
        <f t="shared" si="0"/>
        <v>88117015.614928037</v>
      </c>
      <c r="M40" s="125">
        <f t="shared" si="1"/>
        <v>35</v>
      </c>
      <c r="N40" s="129">
        <f t="shared" si="2"/>
        <v>4632192.1190397199</v>
      </c>
      <c r="O40" s="129">
        <f t="shared" si="3"/>
        <v>35246806.245971203</v>
      </c>
    </row>
    <row r="41" spans="2:15" x14ac:dyDescent="0.3">
      <c r="B41" s="125">
        <f t="shared" si="18"/>
        <v>36</v>
      </c>
      <c r="C41" s="129">
        <f t="shared" si="19"/>
        <v>13317552.342239199</v>
      </c>
      <c r="D41" s="129">
        <f t="shared" si="0"/>
        <v>101434567.95716724</v>
      </c>
      <c r="M41" s="125">
        <f t="shared" si="1"/>
        <v>36</v>
      </c>
      <c r="N41" s="129">
        <f t="shared" si="2"/>
        <v>5327020.9368956778</v>
      </c>
      <c r="O41" s="129">
        <f t="shared" si="3"/>
        <v>40573827.182866879</v>
      </c>
    </row>
    <row r="42" spans="2:15" x14ac:dyDescent="0.3">
      <c r="B42" s="125">
        <f t="shared" si="18"/>
        <v>37</v>
      </c>
      <c r="C42" s="129">
        <f t="shared" si="19"/>
        <v>15315185.193575079</v>
      </c>
      <c r="D42" s="129">
        <f t="shared" si="0"/>
        <v>116749753.15074232</v>
      </c>
      <c r="M42" s="125">
        <f t="shared" si="1"/>
        <v>37</v>
      </c>
      <c r="N42" s="129">
        <f t="shared" si="2"/>
        <v>6126074.0774300294</v>
      </c>
      <c r="O42" s="129">
        <f t="shared" si="3"/>
        <v>46699901.260296911</v>
      </c>
    </row>
    <row r="43" spans="2:15" x14ac:dyDescent="0.3">
      <c r="B43" s="125">
        <f t="shared" si="18"/>
        <v>38</v>
      </c>
      <c r="C43" s="129">
        <f t="shared" si="19"/>
        <v>17612462.972611338</v>
      </c>
      <c r="D43" s="129">
        <f t="shared" si="0"/>
        <v>134362216.12335366</v>
      </c>
      <c r="M43" s="125">
        <f t="shared" si="1"/>
        <v>38</v>
      </c>
      <c r="N43" s="129">
        <f t="shared" si="2"/>
        <v>7044985.1890445333</v>
      </c>
      <c r="O43" s="129">
        <f t="shared" si="3"/>
        <v>53744886.449341446</v>
      </c>
    </row>
    <row r="44" spans="2:15" x14ac:dyDescent="0.3">
      <c r="B44" s="125">
        <f t="shared" si="18"/>
        <v>39</v>
      </c>
      <c r="C44" s="129">
        <f t="shared" si="19"/>
        <v>20254332.418503039</v>
      </c>
      <c r="D44" s="129">
        <f t="shared" si="0"/>
        <v>154616548.54185671</v>
      </c>
      <c r="M44" s="125">
        <f t="shared" si="1"/>
        <v>39</v>
      </c>
      <c r="N44" s="129">
        <f t="shared" si="2"/>
        <v>8101732.967401213</v>
      </c>
      <c r="O44" s="129">
        <f t="shared" si="3"/>
        <v>61846619.41674266</v>
      </c>
    </row>
    <row r="45" spans="2:15" x14ac:dyDescent="0.3">
      <c r="B45" s="125">
        <f t="shared" si="18"/>
        <v>40</v>
      </c>
      <c r="C45" s="129">
        <f t="shared" si="19"/>
        <v>23292482.281278491</v>
      </c>
      <c r="D45" s="129">
        <f t="shared" si="0"/>
        <v>177909030.8231352</v>
      </c>
      <c r="M45" s="125">
        <f t="shared" si="1"/>
        <v>40</v>
      </c>
      <c r="N45" s="129">
        <f t="shared" si="2"/>
        <v>9316992.9125113934</v>
      </c>
      <c r="O45" s="129">
        <f t="shared" si="3"/>
        <v>71163612.329254061</v>
      </c>
    </row>
    <row r="46" spans="2:15" x14ac:dyDescent="0.3">
      <c r="B46" s="125">
        <f t="shared" si="18"/>
        <v>41</v>
      </c>
      <c r="C46" s="129">
        <f t="shared" si="19"/>
        <v>26786354.623470262</v>
      </c>
      <c r="D46" s="129">
        <f t="shared" si="0"/>
        <v>204695385.44660544</v>
      </c>
      <c r="M46" s="125">
        <f t="shared" si="1"/>
        <v>41</v>
      </c>
      <c r="N46" s="129">
        <f t="shared" si="2"/>
        <v>10714541.849388102</v>
      </c>
      <c r="O46" s="129">
        <f t="shared" si="3"/>
        <v>81878154.178642169</v>
      </c>
    </row>
    <row r="47" spans="2:15" x14ac:dyDescent="0.3">
      <c r="B47" s="125">
        <f t="shared" si="18"/>
        <v>42</v>
      </c>
      <c r="C47" s="129">
        <f t="shared" si="19"/>
        <v>30804307.8169908</v>
      </c>
      <c r="D47" s="129">
        <f t="shared" si="0"/>
        <v>235499693.26359624</v>
      </c>
      <c r="M47" s="125">
        <f t="shared" si="1"/>
        <v>42</v>
      </c>
      <c r="N47" s="129">
        <f t="shared" si="2"/>
        <v>12321723.126796316</v>
      </c>
      <c r="O47" s="129">
        <f t="shared" si="3"/>
        <v>94199877.305438489</v>
      </c>
    </row>
    <row r="48" spans="2:15" x14ac:dyDescent="0.3">
      <c r="B48" s="125">
        <f t="shared" si="18"/>
        <v>43</v>
      </c>
      <c r="C48" s="129">
        <f t="shared" si="19"/>
        <v>35424953.989539415</v>
      </c>
      <c r="D48" s="129">
        <f t="shared" si="0"/>
        <v>270924647.25313568</v>
      </c>
      <c r="M48" s="125">
        <f t="shared" si="1"/>
        <v>43</v>
      </c>
      <c r="N48" s="129">
        <f t="shared" si="2"/>
        <v>14169981.595815763</v>
      </c>
      <c r="O48" s="129">
        <f t="shared" si="3"/>
        <v>108369858.90125425</v>
      </c>
    </row>
    <row r="49" spans="2:15" x14ac:dyDescent="0.3">
      <c r="B49" s="125">
        <f t="shared" si="18"/>
        <v>44</v>
      </c>
      <c r="C49" s="129">
        <f t="shared" si="19"/>
        <v>40738697.087970324</v>
      </c>
      <c r="D49" s="129">
        <f t="shared" si="0"/>
        <v>311663344.341106</v>
      </c>
      <c r="M49" s="125">
        <f t="shared" si="1"/>
        <v>44</v>
      </c>
      <c r="N49" s="129">
        <f t="shared" si="2"/>
        <v>16295478.835188126</v>
      </c>
      <c r="O49" s="129">
        <f t="shared" si="3"/>
        <v>124665337.73644237</v>
      </c>
    </row>
    <row r="50" spans="2:15" x14ac:dyDescent="0.3">
      <c r="B50" s="125">
        <f t="shared" si="18"/>
        <v>45</v>
      </c>
      <c r="C50" s="129">
        <f t="shared" si="19"/>
        <v>46849501.651165865</v>
      </c>
      <c r="D50" s="129">
        <f t="shared" si="0"/>
        <v>358512845.99227184</v>
      </c>
      <c r="M50" s="125">
        <f t="shared" si="1"/>
        <v>45</v>
      </c>
      <c r="N50" s="129">
        <f t="shared" si="2"/>
        <v>18739800.660466343</v>
      </c>
      <c r="O50" s="129">
        <f t="shared" si="3"/>
        <v>143405138.3969087</v>
      </c>
    </row>
    <row r="51" spans="2:15" x14ac:dyDescent="0.3">
      <c r="B51" s="125">
        <f t="shared" si="18"/>
        <v>46</v>
      </c>
      <c r="C51" s="129">
        <f t="shared" si="19"/>
        <v>53876926.89884074</v>
      </c>
      <c r="D51" s="129">
        <f t="shared" si="0"/>
        <v>412389772.89111257</v>
      </c>
      <c r="M51" s="125">
        <f t="shared" si="1"/>
        <v>46</v>
      </c>
      <c r="N51" s="129">
        <f t="shared" si="2"/>
        <v>21550770.759536292</v>
      </c>
      <c r="O51" s="129">
        <f t="shared" si="3"/>
        <v>164955909.156445</v>
      </c>
    </row>
    <row r="52" spans="2:15" x14ac:dyDescent="0.3">
      <c r="B52" s="125">
        <f t="shared" si="18"/>
        <v>47</v>
      </c>
      <c r="C52" s="129">
        <f t="shared" si="19"/>
        <v>61958465.933666848</v>
      </c>
      <c r="D52" s="129">
        <f t="shared" si="0"/>
        <v>474348238.82477939</v>
      </c>
      <c r="M52" s="125">
        <f t="shared" si="1"/>
        <v>47</v>
      </c>
      <c r="N52" s="129">
        <f t="shared" si="2"/>
        <v>24783386.373466734</v>
      </c>
      <c r="O52" s="129">
        <f t="shared" si="3"/>
        <v>189739295.52991173</v>
      </c>
    </row>
    <row r="53" spans="2:15" x14ac:dyDescent="0.3">
      <c r="B53" s="125">
        <f t="shared" si="18"/>
        <v>48</v>
      </c>
      <c r="C53" s="129">
        <f t="shared" si="19"/>
        <v>71252235.823716864</v>
      </c>
      <c r="D53" s="129">
        <f t="shared" si="0"/>
        <v>545600474.64849627</v>
      </c>
      <c r="M53" s="125">
        <f t="shared" si="1"/>
        <v>48</v>
      </c>
      <c r="N53" s="129">
        <f t="shared" si="2"/>
        <v>28500894.329486743</v>
      </c>
      <c r="O53" s="129">
        <f t="shared" si="3"/>
        <v>218240189.85939848</v>
      </c>
    </row>
    <row r="54" spans="2:15" x14ac:dyDescent="0.3">
      <c r="B54" s="125">
        <f t="shared" si="18"/>
        <v>49</v>
      </c>
      <c r="C54" s="129">
        <f t="shared" si="19"/>
        <v>81940071.197274387</v>
      </c>
      <c r="D54" s="129">
        <f t="shared" si="0"/>
        <v>627540545.8457706</v>
      </c>
      <c r="M54" s="125">
        <f t="shared" si="1"/>
        <v>49</v>
      </c>
      <c r="N54" s="129">
        <f t="shared" si="2"/>
        <v>32776028.478909753</v>
      </c>
      <c r="O54" s="129">
        <f t="shared" si="3"/>
        <v>251016218.33830824</v>
      </c>
    </row>
    <row r="55" spans="2:15" x14ac:dyDescent="0.3">
      <c r="B55" s="125">
        <f t="shared" si="18"/>
        <v>50</v>
      </c>
      <c r="C55" s="129">
        <f t="shared" si="19"/>
        <v>94231081.876865536</v>
      </c>
      <c r="D55" s="129">
        <f t="shared" si="0"/>
        <v>721771627.7226361</v>
      </c>
      <c r="M55" s="125">
        <f t="shared" si="1"/>
        <v>50</v>
      </c>
      <c r="N55" s="129">
        <f t="shared" si="2"/>
        <v>37692432.750746213</v>
      </c>
      <c r="O55" s="129">
        <f t="shared" si="3"/>
        <v>288708651.08905447</v>
      </c>
    </row>
    <row r="56" spans="2:15" x14ac:dyDescent="0.3">
      <c r="B56" s="125">
        <f t="shared" si="18"/>
        <v>51</v>
      </c>
      <c r="C56" s="129">
        <f t="shared" si="19"/>
        <v>108365744.15839536</v>
      </c>
      <c r="D56" s="129">
        <f t="shared" si="0"/>
        <v>830137371.88103151</v>
      </c>
      <c r="M56" s="125">
        <f t="shared" si="1"/>
        <v>51</v>
      </c>
      <c r="N56" s="129">
        <f t="shared" si="2"/>
        <v>43346297.663358144</v>
      </c>
      <c r="O56" s="129">
        <f t="shared" si="3"/>
        <v>332054948.75241262</v>
      </c>
    </row>
    <row r="57" spans="2:15" x14ac:dyDescent="0.3">
      <c r="B57" s="125">
        <f t="shared" si="18"/>
        <v>52</v>
      </c>
      <c r="C57" s="129">
        <f t="shared" si="19"/>
        <v>124620605.78215466</v>
      </c>
      <c r="D57" s="129">
        <f t="shared" si="0"/>
        <v>954757977.66318619</v>
      </c>
      <c r="M57" s="125">
        <f t="shared" si="1"/>
        <v>52</v>
      </c>
      <c r="N57" s="129">
        <f t="shared" si="2"/>
        <v>49848242.31286186</v>
      </c>
      <c r="O57" s="129">
        <f t="shared" si="3"/>
        <v>381903191.06527448</v>
      </c>
    </row>
    <row r="58" spans="2:15" x14ac:dyDescent="0.3">
      <c r="B58" s="125">
        <f t="shared" si="18"/>
        <v>53</v>
      </c>
      <c r="C58" s="129">
        <f t="shared" si="19"/>
        <v>143313696.64947784</v>
      </c>
      <c r="D58" s="129">
        <f t="shared" si="0"/>
        <v>1098071674.312664</v>
      </c>
      <c r="M58" s="125">
        <f t="shared" si="1"/>
        <v>53</v>
      </c>
      <c r="N58" s="129">
        <f t="shared" si="2"/>
        <v>57325478.659791134</v>
      </c>
      <c r="O58" s="129">
        <f t="shared" si="3"/>
        <v>439228669.72506559</v>
      </c>
    </row>
    <row r="59" spans="2:15" x14ac:dyDescent="0.3">
      <c r="B59" s="125">
        <f t="shared" si="18"/>
        <v>54</v>
      </c>
      <c r="C59" s="129">
        <f t="shared" si="19"/>
        <v>164810751.14689949</v>
      </c>
      <c r="D59" s="129">
        <f t="shared" si="0"/>
        <v>1262882425.4595635</v>
      </c>
      <c r="M59" s="125">
        <f t="shared" si="1"/>
        <v>54</v>
      </c>
      <c r="N59" s="129">
        <f t="shared" si="2"/>
        <v>65924300.4587598</v>
      </c>
      <c r="O59" s="129">
        <f t="shared" si="3"/>
        <v>505152970.18382537</v>
      </c>
    </row>
    <row r="60" spans="2:15" x14ac:dyDescent="0.3">
      <c r="B60" s="125">
        <f t="shared" si="18"/>
        <v>55</v>
      </c>
      <c r="C60" s="129">
        <f t="shared" si="19"/>
        <v>189532363.81893441</v>
      </c>
      <c r="D60" s="129">
        <f t="shared" si="0"/>
        <v>1452414789.2784979</v>
      </c>
      <c r="M60" s="125">
        <f t="shared" si="1"/>
        <v>55</v>
      </c>
      <c r="N60" s="129">
        <f t="shared" si="2"/>
        <v>75812945.527573764</v>
      </c>
      <c r="O60" s="129">
        <f t="shared" si="3"/>
        <v>580965915.71139908</v>
      </c>
    </row>
    <row r="61" spans="2:15" x14ac:dyDescent="0.3">
      <c r="B61" s="125">
        <f t="shared" si="18"/>
        <v>56</v>
      </c>
      <c r="C61" s="129">
        <f t="shared" si="19"/>
        <v>217962218.39177456</v>
      </c>
      <c r="D61" s="129">
        <f t="shared" si="0"/>
        <v>1670377007.6702726</v>
      </c>
      <c r="M61" s="125">
        <f t="shared" si="1"/>
        <v>56</v>
      </c>
      <c r="N61" s="129">
        <f t="shared" si="2"/>
        <v>87184887.356709823</v>
      </c>
      <c r="O61" s="129">
        <f t="shared" si="3"/>
        <v>668150803.06810892</v>
      </c>
    </row>
    <row r="62" spans="2:15" x14ac:dyDescent="0.3">
      <c r="B62" s="125">
        <f t="shared" si="18"/>
        <v>57</v>
      </c>
      <c r="C62" s="129">
        <f t="shared" si="19"/>
        <v>250656551.15054074</v>
      </c>
      <c r="D62" s="129">
        <f t="shared" si="0"/>
        <v>1921033558.8208134</v>
      </c>
      <c r="M62" s="125">
        <f t="shared" si="1"/>
        <v>57</v>
      </c>
      <c r="N62" s="129">
        <f t="shared" si="2"/>
        <v>100262620.46021628</v>
      </c>
      <c r="O62" s="129">
        <f t="shared" si="3"/>
        <v>768413423.5283252</v>
      </c>
    </row>
    <row r="63" spans="2:15" x14ac:dyDescent="0.3">
      <c r="B63" s="125">
        <f t="shared" si="18"/>
        <v>58</v>
      </c>
      <c r="C63" s="129">
        <f t="shared" si="19"/>
        <v>288255033.82312185</v>
      </c>
      <c r="D63" s="129">
        <f t="shared" si="0"/>
        <v>2209288592.6439352</v>
      </c>
      <c r="M63" s="125">
        <f t="shared" si="1"/>
        <v>58</v>
      </c>
      <c r="N63" s="129">
        <f t="shared" si="2"/>
        <v>115302013.52924871</v>
      </c>
      <c r="O63" s="129">
        <f t="shared" si="3"/>
        <v>883715437.05757391</v>
      </c>
    </row>
    <row r="64" spans="2:15" x14ac:dyDescent="0.3">
      <c r="B64" s="125">
        <f t="shared" si="18"/>
        <v>59</v>
      </c>
      <c r="C64" s="129">
        <f t="shared" si="19"/>
        <v>331493288.89659011</v>
      </c>
      <c r="D64" s="129">
        <f t="shared" si="0"/>
        <v>2540781881.5405254</v>
      </c>
      <c r="M64" s="125">
        <f t="shared" si="1"/>
        <v>59</v>
      </c>
      <c r="N64" s="129">
        <f t="shared" si="2"/>
        <v>132597315.55863601</v>
      </c>
      <c r="O64" s="129">
        <f t="shared" si="3"/>
        <v>1016312752.61621</v>
      </c>
    </row>
    <row r="65" spans="2:15" x14ac:dyDescent="0.3">
      <c r="B65" s="125">
        <f t="shared" si="18"/>
        <v>60</v>
      </c>
      <c r="C65" s="129">
        <f t="shared" si="19"/>
        <v>381217282.23107862</v>
      </c>
      <c r="D65" s="129">
        <f t="shared" si="0"/>
        <v>2921999163.7716041</v>
      </c>
      <c r="M65" s="125">
        <f t="shared" si="1"/>
        <v>60</v>
      </c>
      <c r="N65" s="129">
        <f t="shared" si="2"/>
        <v>152486912.89243141</v>
      </c>
      <c r="O65" s="129">
        <f t="shared" si="3"/>
        <v>1168799665.5086415</v>
      </c>
    </row>
    <row r="66" spans="2:15" x14ac:dyDescent="0.3">
      <c r="B66" s="125">
        <f t="shared" si="18"/>
        <v>61</v>
      </c>
      <c r="C66" s="129">
        <f t="shared" si="19"/>
        <v>438399874.56574041</v>
      </c>
      <c r="D66" s="129">
        <f t="shared" si="0"/>
        <v>3360399038.3373446</v>
      </c>
      <c r="M66" s="125">
        <f t="shared" si="1"/>
        <v>61</v>
      </c>
      <c r="N66" s="129">
        <f t="shared" si="2"/>
        <v>175359949.82629609</v>
      </c>
      <c r="O66" s="129">
        <f t="shared" si="3"/>
        <v>1344159615.3349376</v>
      </c>
    </row>
    <row r="67" spans="2:15" x14ac:dyDescent="0.3">
      <c r="B67" s="125">
        <f t="shared" si="18"/>
        <v>62</v>
      </c>
      <c r="C67" s="129">
        <f t="shared" si="19"/>
        <v>504159855.75060141</v>
      </c>
      <c r="D67" s="129">
        <f t="shared" si="0"/>
        <v>3864558894.0879459</v>
      </c>
      <c r="M67" s="125">
        <f t="shared" si="1"/>
        <v>62</v>
      </c>
      <c r="N67" s="129">
        <f t="shared" si="2"/>
        <v>201663942.30024049</v>
      </c>
      <c r="O67" s="129">
        <f t="shared" si="3"/>
        <v>1545823557.6351781</v>
      </c>
    </row>
    <row r="68" spans="2:15" x14ac:dyDescent="0.3">
      <c r="B68" s="125">
        <f t="shared" si="18"/>
        <v>63</v>
      </c>
      <c r="C68" s="129">
        <f t="shared" si="19"/>
        <v>579783834.1131916</v>
      </c>
      <c r="D68" s="129">
        <f t="shared" si="0"/>
        <v>4444342728.2011375</v>
      </c>
      <c r="M68" s="125">
        <f t="shared" si="1"/>
        <v>63</v>
      </c>
      <c r="N68" s="129">
        <f t="shared" si="2"/>
        <v>231913533.64527655</v>
      </c>
      <c r="O68" s="129">
        <f t="shared" si="3"/>
        <v>1777737091.2804546</v>
      </c>
    </row>
    <row r="69" spans="2:15" x14ac:dyDescent="0.3">
      <c r="B69" s="125">
        <f t="shared" si="18"/>
        <v>64</v>
      </c>
      <c r="C69" s="129">
        <f t="shared" si="19"/>
        <v>666751409.23017025</v>
      </c>
      <c r="D69" s="129">
        <f t="shared" si="0"/>
        <v>5111094137.4313078</v>
      </c>
      <c r="M69" s="125">
        <f t="shared" si="1"/>
        <v>64</v>
      </c>
      <c r="N69" s="129">
        <f t="shared" si="2"/>
        <v>266700563.69206801</v>
      </c>
      <c r="O69" s="129">
        <f t="shared" si="3"/>
        <v>2044437654.9725227</v>
      </c>
    </row>
    <row r="70" spans="2:15" x14ac:dyDescent="0.3">
      <c r="B70" s="125">
        <f t="shared" si="18"/>
        <v>65</v>
      </c>
      <c r="C70" s="129">
        <f t="shared" si="19"/>
        <v>766764120.61469579</v>
      </c>
      <c r="D70" s="129">
        <f t="shared" si="0"/>
        <v>5877858258.0460033</v>
      </c>
      <c r="M70" s="125">
        <f t="shared" si="1"/>
        <v>65</v>
      </c>
      <c r="N70" s="129">
        <f t="shared" si="2"/>
        <v>306705648.24587816</v>
      </c>
      <c r="O70" s="129">
        <f t="shared" si="3"/>
        <v>2351143303.218401</v>
      </c>
    </row>
    <row r="71" spans="2:15" x14ac:dyDescent="0.3">
      <c r="B71" s="125">
        <f t="shared" si="18"/>
        <v>66</v>
      </c>
      <c r="C71" s="129">
        <f t="shared" si="19"/>
        <v>881778738.70690012</v>
      </c>
      <c r="D71" s="129">
        <f t="shared" si="0"/>
        <v>6759636996.752903</v>
      </c>
      <c r="M71" s="125">
        <f t="shared" si="1"/>
        <v>66</v>
      </c>
      <c r="N71" s="129">
        <f t="shared" si="2"/>
        <v>352711495.48275983</v>
      </c>
      <c r="O71" s="129">
        <f t="shared" si="3"/>
        <v>2703854798.7011609</v>
      </c>
    </row>
    <row r="72" spans="2:15" x14ac:dyDescent="0.3">
      <c r="B72" s="125">
        <f t="shared" si="18"/>
        <v>67</v>
      </c>
      <c r="C72" s="129">
        <f t="shared" si="19"/>
        <v>1014045549.512935</v>
      </c>
      <c r="D72" s="129">
        <f t="shared" ref="D72:D135" si="28">C72+D71</f>
        <v>7773682546.2658377</v>
      </c>
      <c r="M72" s="125">
        <f t="shared" ref="M72:M135" si="29">M71+1</f>
        <v>67</v>
      </c>
      <c r="N72" s="129">
        <f t="shared" ref="N72:N135" si="30">1.15*N71</f>
        <v>405618219.80517375</v>
      </c>
      <c r="O72" s="129">
        <f t="shared" ref="O72:O135" si="31">N72+O71</f>
        <v>3109473018.5063348</v>
      </c>
    </row>
    <row r="73" spans="2:15" x14ac:dyDescent="0.3">
      <c r="B73" s="125">
        <f t="shared" si="18"/>
        <v>68</v>
      </c>
      <c r="C73" s="129">
        <f t="shared" si="19"/>
        <v>1166152381.9398751</v>
      </c>
      <c r="D73" s="129">
        <f t="shared" si="28"/>
        <v>8939834928.2057133</v>
      </c>
      <c r="M73" s="125">
        <f t="shared" si="29"/>
        <v>68</v>
      </c>
      <c r="N73" s="129">
        <f t="shared" si="30"/>
        <v>466460952.77594978</v>
      </c>
      <c r="O73" s="129">
        <f t="shared" si="31"/>
        <v>3575933971.2822847</v>
      </c>
    </row>
    <row r="74" spans="2:15" x14ac:dyDescent="0.3">
      <c r="B74" s="125">
        <f t="shared" si="18"/>
        <v>69</v>
      </c>
      <c r="C74" s="129">
        <f t="shared" si="19"/>
        <v>1341075239.2308562</v>
      </c>
      <c r="D74" s="129">
        <f t="shared" si="28"/>
        <v>10280910167.436569</v>
      </c>
      <c r="M74" s="125">
        <f t="shared" si="29"/>
        <v>69</v>
      </c>
      <c r="N74" s="129">
        <f t="shared" si="30"/>
        <v>536430095.69234222</v>
      </c>
      <c r="O74" s="129">
        <f t="shared" si="31"/>
        <v>4112364066.974627</v>
      </c>
    </row>
    <row r="75" spans="2:15" x14ac:dyDescent="0.3">
      <c r="B75" s="125">
        <f t="shared" si="18"/>
        <v>70</v>
      </c>
      <c r="C75" s="129">
        <f t="shared" si="19"/>
        <v>1542236525.1154845</v>
      </c>
      <c r="D75" s="129">
        <f t="shared" si="28"/>
        <v>11823146692.552053</v>
      </c>
      <c r="M75" s="125">
        <f t="shared" si="29"/>
        <v>70</v>
      </c>
      <c r="N75" s="129">
        <f t="shared" si="30"/>
        <v>616894610.04619348</v>
      </c>
      <c r="O75" s="129">
        <f t="shared" si="31"/>
        <v>4729258677.0208206</v>
      </c>
    </row>
    <row r="76" spans="2:15" x14ac:dyDescent="0.3">
      <c r="B76" s="125">
        <f t="shared" si="18"/>
        <v>71</v>
      </c>
      <c r="C76" s="129">
        <f t="shared" si="19"/>
        <v>1773572003.882807</v>
      </c>
      <c r="D76" s="129">
        <f t="shared" si="28"/>
        <v>13596718696.43486</v>
      </c>
      <c r="M76" s="125">
        <f t="shared" si="29"/>
        <v>71</v>
      </c>
      <c r="N76" s="129">
        <f t="shared" si="30"/>
        <v>709428801.5531224</v>
      </c>
      <c r="O76" s="129">
        <f t="shared" si="31"/>
        <v>5438687478.5739431</v>
      </c>
    </row>
    <row r="77" spans="2:15" x14ac:dyDescent="0.3">
      <c r="B77" s="125">
        <f t="shared" si="18"/>
        <v>72</v>
      </c>
      <c r="C77" s="129">
        <f t="shared" si="19"/>
        <v>2039607804.4652278</v>
      </c>
      <c r="D77" s="129">
        <f t="shared" si="28"/>
        <v>15636326500.900087</v>
      </c>
      <c r="M77" s="125">
        <f t="shared" si="29"/>
        <v>72</v>
      </c>
      <c r="N77" s="129">
        <f t="shared" si="30"/>
        <v>815843121.78609073</v>
      </c>
      <c r="O77" s="129">
        <f t="shared" si="31"/>
        <v>6254530600.360034</v>
      </c>
    </row>
    <row r="78" spans="2:15" x14ac:dyDescent="0.3">
      <c r="B78" s="125">
        <f t="shared" si="18"/>
        <v>73</v>
      </c>
      <c r="C78" s="129">
        <f t="shared" si="19"/>
        <v>2345548975.1350117</v>
      </c>
      <c r="D78" s="129">
        <f t="shared" si="28"/>
        <v>17981875476.035099</v>
      </c>
      <c r="M78" s="125">
        <f t="shared" si="29"/>
        <v>73</v>
      </c>
      <c r="N78" s="129">
        <f t="shared" si="30"/>
        <v>938219590.05400431</v>
      </c>
      <c r="O78" s="129">
        <f t="shared" si="31"/>
        <v>7192750190.4140387</v>
      </c>
    </row>
    <row r="79" spans="2:15" x14ac:dyDescent="0.3">
      <c r="B79" s="125">
        <f t="shared" ref="B79:B142" si="32">B78+1</f>
        <v>74</v>
      </c>
      <c r="C79" s="129">
        <f t="shared" ref="C79:C142" si="33">C78*1.15</f>
        <v>2697381321.4052634</v>
      </c>
      <c r="D79" s="129">
        <f t="shared" si="28"/>
        <v>20679256797.440361</v>
      </c>
      <c r="M79" s="125">
        <f t="shared" si="29"/>
        <v>74</v>
      </c>
      <c r="N79" s="129">
        <f t="shared" si="30"/>
        <v>1078952528.5621049</v>
      </c>
      <c r="O79" s="129">
        <f t="shared" si="31"/>
        <v>8271702718.9761438</v>
      </c>
    </row>
    <row r="80" spans="2:15" x14ac:dyDescent="0.3">
      <c r="B80" s="125">
        <f t="shared" si="32"/>
        <v>75</v>
      </c>
      <c r="C80" s="129">
        <f t="shared" si="33"/>
        <v>3101988519.6160526</v>
      </c>
      <c r="D80" s="129">
        <f t="shared" si="28"/>
        <v>23781245317.056412</v>
      </c>
      <c r="M80" s="125">
        <f t="shared" si="29"/>
        <v>75</v>
      </c>
      <c r="N80" s="129">
        <f t="shared" si="30"/>
        <v>1240795407.8464205</v>
      </c>
      <c r="O80" s="129">
        <f t="shared" si="31"/>
        <v>9512498126.8225651</v>
      </c>
    </row>
    <row r="81" spans="2:15" x14ac:dyDescent="0.3">
      <c r="B81" s="125">
        <f t="shared" si="32"/>
        <v>76</v>
      </c>
      <c r="C81" s="129">
        <f t="shared" si="33"/>
        <v>3567286797.5584602</v>
      </c>
      <c r="D81" s="129">
        <f t="shared" si="28"/>
        <v>27348532114.614872</v>
      </c>
      <c r="M81" s="125">
        <f t="shared" si="29"/>
        <v>76</v>
      </c>
      <c r="N81" s="129">
        <f t="shared" si="30"/>
        <v>1426914719.0233834</v>
      </c>
      <c r="O81" s="129">
        <f t="shared" si="31"/>
        <v>10939412845.845949</v>
      </c>
    </row>
    <row r="82" spans="2:15" x14ac:dyDescent="0.3">
      <c r="B82" s="125">
        <f t="shared" si="32"/>
        <v>77</v>
      </c>
      <c r="C82" s="129">
        <f t="shared" si="33"/>
        <v>4102379817.1922288</v>
      </c>
      <c r="D82" s="129">
        <f t="shared" si="28"/>
        <v>31450911931.807102</v>
      </c>
      <c r="M82" s="125">
        <f t="shared" si="29"/>
        <v>77</v>
      </c>
      <c r="N82" s="129">
        <f t="shared" si="30"/>
        <v>1640951926.8768907</v>
      </c>
      <c r="O82" s="129">
        <f t="shared" si="31"/>
        <v>12580364772.722839</v>
      </c>
    </row>
    <row r="83" spans="2:15" x14ac:dyDescent="0.3">
      <c r="B83" s="125">
        <f t="shared" si="32"/>
        <v>78</v>
      </c>
      <c r="C83" s="129">
        <f t="shared" si="33"/>
        <v>4717736789.7710629</v>
      </c>
      <c r="D83" s="129">
        <f t="shared" si="28"/>
        <v>36168648721.578163</v>
      </c>
      <c r="M83" s="125">
        <f t="shared" si="29"/>
        <v>78</v>
      </c>
      <c r="N83" s="129">
        <f t="shared" si="30"/>
        <v>1887094715.9084241</v>
      </c>
      <c r="O83" s="129">
        <f t="shared" si="31"/>
        <v>14467459488.631264</v>
      </c>
    </row>
    <row r="84" spans="2:15" x14ac:dyDescent="0.3">
      <c r="B84" s="125">
        <f t="shared" si="32"/>
        <v>79</v>
      </c>
      <c r="C84" s="129">
        <f t="shared" si="33"/>
        <v>5425397308.236722</v>
      </c>
      <c r="D84" s="129">
        <f t="shared" si="28"/>
        <v>41594046029.814888</v>
      </c>
      <c r="M84" s="125">
        <f t="shared" si="29"/>
        <v>79</v>
      </c>
      <c r="N84" s="129">
        <f t="shared" si="30"/>
        <v>2170158923.2946877</v>
      </c>
      <c r="O84" s="129">
        <f t="shared" si="31"/>
        <v>16637618411.925951</v>
      </c>
    </row>
    <row r="85" spans="2:15" x14ac:dyDescent="0.3">
      <c r="B85" s="125">
        <f t="shared" si="32"/>
        <v>80</v>
      </c>
      <c r="C85" s="129">
        <f t="shared" si="33"/>
        <v>6239206904.47223</v>
      </c>
      <c r="D85" s="129">
        <f t="shared" si="28"/>
        <v>47833252934.287117</v>
      </c>
      <c r="M85" s="125">
        <f t="shared" si="29"/>
        <v>80</v>
      </c>
      <c r="N85" s="129">
        <f t="shared" si="30"/>
        <v>2495682761.7888908</v>
      </c>
      <c r="O85" s="129">
        <f t="shared" si="31"/>
        <v>19133301173.714844</v>
      </c>
    </row>
    <row r="86" spans="2:15" x14ac:dyDescent="0.3">
      <c r="B86" s="125">
        <f t="shared" si="32"/>
        <v>81</v>
      </c>
      <c r="C86" s="129">
        <f t="shared" si="33"/>
        <v>7175087940.1430635</v>
      </c>
      <c r="D86" s="129">
        <f t="shared" si="28"/>
        <v>55008340874.430183</v>
      </c>
      <c r="M86" s="125">
        <f t="shared" si="29"/>
        <v>81</v>
      </c>
      <c r="N86" s="129">
        <f t="shared" si="30"/>
        <v>2870035176.0572243</v>
      </c>
      <c r="O86" s="129">
        <f t="shared" si="31"/>
        <v>22003336349.772068</v>
      </c>
    </row>
    <row r="87" spans="2:15" x14ac:dyDescent="0.3">
      <c r="B87" s="125">
        <f t="shared" si="32"/>
        <v>82</v>
      </c>
      <c r="C87" s="129">
        <f t="shared" si="33"/>
        <v>8251351131.1645222</v>
      </c>
      <c r="D87" s="129">
        <f t="shared" si="28"/>
        <v>63259692005.594704</v>
      </c>
      <c r="M87" s="125">
        <f t="shared" si="29"/>
        <v>82</v>
      </c>
      <c r="N87" s="129">
        <f t="shared" si="30"/>
        <v>3300540452.4658074</v>
      </c>
      <c r="O87" s="129">
        <f t="shared" si="31"/>
        <v>25303876802.237877</v>
      </c>
    </row>
    <row r="88" spans="2:15" x14ac:dyDescent="0.3">
      <c r="B88" s="125">
        <f t="shared" si="32"/>
        <v>83</v>
      </c>
      <c r="C88" s="129">
        <f t="shared" si="33"/>
        <v>9489053800.8391991</v>
      </c>
      <c r="D88" s="129">
        <f t="shared" si="28"/>
        <v>72748745806.433899</v>
      </c>
      <c r="M88" s="125">
        <f t="shared" si="29"/>
        <v>83</v>
      </c>
      <c r="N88" s="129">
        <f t="shared" si="30"/>
        <v>3795621520.3356781</v>
      </c>
      <c r="O88" s="129">
        <f t="shared" si="31"/>
        <v>29099498322.573555</v>
      </c>
    </row>
    <row r="89" spans="2:15" x14ac:dyDescent="0.3">
      <c r="B89" s="125">
        <f t="shared" si="32"/>
        <v>84</v>
      </c>
      <c r="C89" s="129">
        <f t="shared" si="33"/>
        <v>10912411870.965078</v>
      </c>
      <c r="D89" s="129">
        <f t="shared" si="28"/>
        <v>83661157677.398972</v>
      </c>
      <c r="M89" s="125">
        <f t="shared" si="29"/>
        <v>84</v>
      </c>
      <c r="N89" s="129">
        <f t="shared" si="30"/>
        <v>4364964748.3860292</v>
      </c>
      <c r="O89" s="129">
        <f t="shared" si="31"/>
        <v>33464463070.959583</v>
      </c>
    </row>
    <row r="90" spans="2:15" x14ac:dyDescent="0.3">
      <c r="B90" s="125">
        <f t="shared" si="32"/>
        <v>85</v>
      </c>
      <c r="C90" s="129">
        <f t="shared" si="33"/>
        <v>12549273651.609838</v>
      </c>
      <c r="D90" s="129">
        <f t="shared" si="28"/>
        <v>96210431329.008804</v>
      </c>
      <c r="M90" s="125">
        <f t="shared" si="29"/>
        <v>85</v>
      </c>
      <c r="N90" s="129">
        <f t="shared" si="30"/>
        <v>5019709460.6439333</v>
      </c>
      <c r="O90" s="129">
        <f t="shared" si="31"/>
        <v>38484172531.603516</v>
      </c>
    </row>
    <row r="91" spans="2:15" x14ac:dyDescent="0.3">
      <c r="B91" s="125">
        <f t="shared" si="32"/>
        <v>86</v>
      </c>
      <c r="C91" s="129">
        <f t="shared" si="33"/>
        <v>14431664699.351313</v>
      </c>
      <c r="D91" s="129">
        <f t="shared" si="28"/>
        <v>110642096028.36012</v>
      </c>
      <c r="M91" s="125">
        <f t="shared" si="29"/>
        <v>86</v>
      </c>
      <c r="N91" s="129">
        <f t="shared" si="30"/>
        <v>5772665879.7405224</v>
      </c>
      <c r="O91" s="129">
        <f t="shared" si="31"/>
        <v>44256838411.34404</v>
      </c>
    </row>
    <row r="92" spans="2:15" x14ac:dyDescent="0.3">
      <c r="B92" s="125">
        <f t="shared" si="32"/>
        <v>87</v>
      </c>
      <c r="C92" s="129">
        <f t="shared" si="33"/>
        <v>16596414404.254007</v>
      </c>
      <c r="D92" s="129">
        <f t="shared" si="28"/>
        <v>127238510432.61414</v>
      </c>
      <c r="M92" s="125">
        <f t="shared" si="29"/>
        <v>87</v>
      </c>
      <c r="N92" s="129">
        <f t="shared" si="30"/>
        <v>6638565761.7016001</v>
      </c>
      <c r="O92" s="129">
        <f t="shared" si="31"/>
        <v>50895404173.045639</v>
      </c>
    </row>
    <row r="93" spans="2:15" x14ac:dyDescent="0.3">
      <c r="B93" s="125">
        <f t="shared" si="32"/>
        <v>88</v>
      </c>
      <c r="C93" s="129">
        <f t="shared" si="33"/>
        <v>19085876564.892105</v>
      </c>
      <c r="D93" s="129">
        <f t="shared" si="28"/>
        <v>146324386997.50623</v>
      </c>
      <c r="M93" s="125">
        <f t="shared" si="29"/>
        <v>88</v>
      </c>
      <c r="N93" s="129">
        <f t="shared" si="30"/>
        <v>7634350625.9568396</v>
      </c>
      <c r="O93" s="129">
        <f t="shared" si="31"/>
        <v>58529754799.00248</v>
      </c>
    </row>
    <row r="94" spans="2:15" x14ac:dyDescent="0.3">
      <c r="B94" s="125">
        <f t="shared" si="32"/>
        <v>89</v>
      </c>
      <c r="C94" s="129">
        <f t="shared" si="33"/>
        <v>21948758049.625919</v>
      </c>
      <c r="D94" s="129">
        <f t="shared" si="28"/>
        <v>168273145047.13214</v>
      </c>
      <c r="M94" s="125">
        <f t="shared" si="29"/>
        <v>89</v>
      </c>
      <c r="N94" s="129">
        <f t="shared" si="30"/>
        <v>8779503219.8503647</v>
      </c>
      <c r="O94" s="129">
        <f t="shared" si="31"/>
        <v>67309258018.852844</v>
      </c>
    </row>
    <row r="95" spans="2:15" x14ac:dyDescent="0.3">
      <c r="B95" s="125">
        <f t="shared" si="32"/>
        <v>90</v>
      </c>
      <c r="C95" s="129">
        <f t="shared" si="33"/>
        <v>25241071757.069805</v>
      </c>
      <c r="D95" s="129">
        <f t="shared" si="28"/>
        <v>193514216804.20193</v>
      </c>
      <c r="M95" s="125">
        <f t="shared" si="29"/>
        <v>90</v>
      </c>
      <c r="N95" s="129">
        <f t="shared" si="30"/>
        <v>10096428702.827919</v>
      </c>
      <c r="O95" s="129">
        <f t="shared" si="31"/>
        <v>77405686721.680756</v>
      </c>
    </row>
    <row r="96" spans="2:15" x14ac:dyDescent="0.3">
      <c r="B96" s="125">
        <f t="shared" si="32"/>
        <v>91</v>
      </c>
      <c r="C96" s="129">
        <f t="shared" si="33"/>
        <v>29027232520.630272</v>
      </c>
      <c r="D96" s="129">
        <f t="shared" si="28"/>
        <v>222541449324.83221</v>
      </c>
      <c r="M96" s="125">
        <f t="shared" si="29"/>
        <v>91</v>
      </c>
      <c r="N96" s="129">
        <f t="shared" si="30"/>
        <v>11610893008.252106</v>
      </c>
      <c r="O96" s="129">
        <f t="shared" si="31"/>
        <v>89016579729.932861</v>
      </c>
    </row>
    <row r="97" spans="2:15" x14ac:dyDescent="0.3">
      <c r="B97" s="125">
        <f t="shared" si="32"/>
        <v>92</v>
      </c>
      <c r="C97" s="129">
        <f t="shared" si="33"/>
        <v>33381317398.724812</v>
      </c>
      <c r="D97" s="129">
        <f t="shared" si="28"/>
        <v>255922766723.55704</v>
      </c>
      <c r="M97" s="125">
        <f t="shared" si="29"/>
        <v>92</v>
      </c>
      <c r="N97" s="129">
        <f t="shared" si="30"/>
        <v>13352526959.48992</v>
      </c>
      <c r="O97" s="129">
        <f t="shared" si="31"/>
        <v>102369106689.42278</v>
      </c>
    </row>
    <row r="98" spans="2:15" x14ac:dyDescent="0.3">
      <c r="B98" s="125">
        <f t="shared" si="32"/>
        <v>93</v>
      </c>
      <c r="C98" s="129">
        <f t="shared" si="33"/>
        <v>38388515008.533531</v>
      </c>
      <c r="D98" s="129">
        <f t="shared" si="28"/>
        <v>294311281732.09058</v>
      </c>
      <c r="M98" s="125">
        <f t="shared" si="29"/>
        <v>93</v>
      </c>
      <c r="N98" s="129">
        <f t="shared" si="30"/>
        <v>15355406003.413406</v>
      </c>
      <c r="O98" s="129">
        <f t="shared" si="31"/>
        <v>117724512692.83618</v>
      </c>
    </row>
    <row r="99" spans="2:15" x14ac:dyDescent="0.3">
      <c r="B99" s="125">
        <f t="shared" si="32"/>
        <v>94</v>
      </c>
      <c r="C99" s="129">
        <f t="shared" si="33"/>
        <v>44146792259.81356</v>
      </c>
      <c r="D99" s="129">
        <f t="shared" si="28"/>
        <v>338458073991.90411</v>
      </c>
      <c r="M99" s="125">
        <f t="shared" si="29"/>
        <v>94</v>
      </c>
      <c r="N99" s="129">
        <f t="shared" si="30"/>
        <v>17658716903.925415</v>
      </c>
      <c r="O99" s="129">
        <f t="shared" si="31"/>
        <v>135383229596.7616</v>
      </c>
    </row>
    <row r="100" spans="2:15" x14ac:dyDescent="0.3">
      <c r="B100" s="125">
        <f t="shared" si="32"/>
        <v>95</v>
      </c>
      <c r="C100" s="129">
        <f t="shared" si="33"/>
        <v>50768811098.785591</v>
      </c>
      <c r="D100" s="129">
        <f t="shared" si="28"/>
        <v>389226885090.6897</v>
      </c>
      <c r="M100" s="125">
        <f t="shared" si="29"/>
        <v>95</v>
      </c>
      <c r="N100" s="129">
        <f t="shared" si="30"/>
        <v>20307524439.514225</v>
      </c>
      <c r="O100" s="129">
        <f t="shared" si="31"/>
        <v>155690754036.27582</v>
      </c>
    </row>
    <row r="101" spans="2:15" x14ac:dyDescent="0.3">
      <c r="B101" s="125">
        <f t="shared" si="32"/>
        <v>96</v>
      </c>
      <c r="C101" s="129">
        <f t="shared" si="33"/>
        <v>58384132763.603424</v>
      </c>
      <c r="D101" s="129">
        <f t="shared" si="28"/>
        <v>447611017854.29309</v>
      </c>
      <c r="M101" s="125">
        <f t="shared" si="29"/>
        <v>96</v>
      </c>
      <c r="N101" s="129">
        <f t="shared" si="30"/>
        <v>23353653105.441357</v>
      </c>
      <c r="O101" s="129">
        <f t="shared" si="31"/>
        <v>179044407141.71716</v>
      </c>
    </row>
    <row r="102" spans="2:15" x14ac:dyDescent="0.3">
      <c r="B102" s="125">
        <f t="shared" si="32"/>
        <v>97</v>
      </c>
      <c r="C102" s="129">
        <f t="shared" si="33"/>
        <v>67141752678.143936</v>
      </c>
      <c r="D102" s="129">
        <f t="shared" si="28"/>
        <v>514752770532.43701</v>
      </c>
      <c r="M102" s="125">
        <f t="shared" si="29"/>
        <v>97</v>
      </c>
      <c r="N102" s="129">
        <f t="shared" si="30"/>
        <v>26856701071.257557</v>
      </c>
      <c r="O102" s="129">
        <f t="shared" si="31"/>
        <v>205901108212.97473</v>
      </c>
    </row>
    <row r="103" spans="2:15" x14ac:dyDescent="0.3">
      <c r="B103" s="125">
        <f t="shared" si="32"/>
        <v>98</v>
      </c>
      <c r="C103" s="129">
        <f t="shared" si="33"/>
        <v>77213015579.865524</v>
      </c>
      <c r="D103" s="129">
        <f t="shared" si="28"/>
        <v>591965786112.30249</v>
      </c>
      <c r="M103" s="125">
        <f t="shared" si="29"/>
        <v>98</v>
      </c>
      <c r="N103" s="129">
        <f t="shared" si="30"/>
        <v>30885206231.94619</v>
      </c>
      <c r="O103" s="129">
        <f t="shared" si="31"/>
        <v>236786314444.92093</v>
      </c>
    </row>
    <row r="104" spans="2:15" x14ac:dyDescent="0.3">
      <c r="B104" s="125">
        <f t="shared" si="32"/>
        <v>99</v>
      </c>
      <c r="C104" s="129">
        <f t="shared" si="33"/>
        <v>88794967916.845352</v>
      </c>
      <c r="D104" s="129">
        <f t="shared" si="28"/>
        <v>680760754029.14783</v>
      </c>
      <c r="M104" s="125">
        <f t="shared" si="29"/>
        <v>99</v>
      </c>
      <c r="N104" s="129">
        <f t="shared" si="30"/>
        <v>35517987166.738113</v>
      </c>
      <c r="O104" s="129">
        <f t="shared" si="31"/>
        <v>272304301611.65906</v>
      </c>
    </row>
    <row r="105" spans="2:15" x14ac:dyDescent="0.3">
      <c r="B105" s="125">
        <f t="shared" si="32"/>
        <v>100</v>
      </c>
      <c r="C105" s="129">
        <f t="shared" si="33"/>
        <v>102114213104.37215</v>
      </c>
      <c r="D105" s="129">
        <f t="shared" si="28"/>
        <v>782874967133.52002</v>
      </c>
      <c r="M105" s="125">
        <f t="shared" si="29"/>
        <v>100</v>
      </c>
      <c r="N105" s="129">
        <f t="shared" si="30"/>
        <v>40845685241.748825</v>
      </c>
      <c r="O105" s="129">
        <f t="shared" si="31"/>
        <v>313149986853.4079</v>
      </c>
    </row>
    <row r="106" spans="2:15" x14ac:dyDescent="0.3">
      <c r="B106" s="125">
        <f t="shared" si="32"/>
        <v>101</v>
      </c>
      <c r="C106" s="129">
        <f t="shared" si="33"/>
        <v>117431345070.02795</v>
      </c>
      <c r="D106" s="129">
        <f t="shared" si="28"/>
        <v>900306312203.54797</v>
      </c>
      <c r="M106" s="125">
        <f t="shared" si="29"/>
        <v>101</v>
      </c>
      <c r="N106" s="129">
        <f t="shared" si="30"/>
        <v>46972538028.011147</v>
      </c>
      <c r="O106" s="129">
        <f t="shared" si="31"/>
        <v>360122524881.41907</v>
      </c>
    </row>
    <row r="107" spans="2:15" x14ac:dyDescent="0.3">
      <c r="B107" s="125">
        <f t="shared" si="32"/>
        <v>102</v>
      </c>
      <c r="C107" s="129">
        <f t="shared" si="33"/>
        <v>135046046830.53214</v>
      </c>
      <c r="D107" s="129">
        <f t="shared" si="28"/>
        <v>1035352359034.0801</v>
      </c>
      <c r="M107" s="125">
        <f t="shared" si="29"/>
        <v>102</v>
      </c>
      <c r="N107" s="129">
        <f t="shared" si="30"/>
        <v>54018418732.212814</v>
      </c>
      <c r="O107" s="129">
        <f t="shared" si="31"/>
        <v>414140943613.6319</v>
      </c>
    </row>
    <row r="108" spans="2:15" x14ac:dyDescent="0.3">
      <c r="B108" s="125">
        <f t="shared" si="32"/>
        <v>103</v>
      </c>
      <c r="C108" s="129">
        <f t="shared" si="33"/>
        <v>155302953855.11194</v>
      </c>
      <c r="D108" s="129">
        <f t="shared" si="28"/>
        <v>1190655312889.1919</v>
      </c>
      <c r="M108" s="125">
        <f t="shared" si="29"/>
        <v>103</v>
      </c>
      <c r="N108" s="129">
        <f t="shared" si="30"/>
        <v>62121181542.044731</v>
      </c>
      <c r="O108" s="129">
        <f t="shared" si="31"/>
        <v>476262125155.67664</v>
      </c>
    </row>
    <row r="109" spans="2:15" x14ac:dyDescent="0.3">
      <c r="B109" s="125">
        <f t="shared" si="32"/>
        <v>104</v>
      </c>
      <c r="C109" s="129">
        <f t="shared" si="33"/>
        <v>178598396933.37872</v>
      </c>
      <c r="D109" s="129">
        <f t="shared" si="28"/>
        <v>1369253709822.5706</v>
      </c>
      <c r="M109" s="125">
        <f t="shared" si="29"/>
        <v>104</v>
      </c>
      <c r="N109" s="129">
        <f t="shared" si="30"/>
        <v>71439358773.35144</v>
      </c>
      <c r="O109" s="129">
        <f t="shared" si="31"/>
        <v>547701483929.02808</v>
      </c>
    </row>
    <row r="110" spans="2:15" x14ac:dyDescent="0.3">
      <c r="B110" s="125">
        <f t="shared" si="32"/>
        <v>105</v>
      </c>
      <c r="C110" s="129">
        <f t="shared" si="33"/>
        <v>205388156473.38553</v>
      </c>
      <c r="D110" s="129">
        <f t="shared" si="28"/>
        <v>1574641866295.9561</v>
      </c>
      <c r="M110" s="125">
        <f t="shared" si="29"/>
        <v>105</v>
      </c>
      <c r="N110" s="129">
        <f t="shared" si="30"/>
        <v>82155262589.354156</v>
      </c>
      <c r="O110" s="129">
        <f t="shared" si="31"/>
        <v>629856746518.3822</v>
      </c>
    </row>
    <row r="111" spans="2:15" x14ac:dyDescent="0.3">
      <c r="B111" s="125">
        <f t="shared" si="32"/>
        <v>106</v>
      </c>
      <c r="C111" s="129">
        <f t="shared" si="33"/>
        <v>236196379944.39334</v>
      </c>
      <c r="D111" s="129">
        <f t="shared" si="28"/>
        <v>1810838246240.3494</v>
      </c>
      <c r="M111" s="125">
        <f t="shared" si="29"/>
        <v>106</v>
      </c>
      <c r="N111" s="129">
        <f t="shared" si="30"/>
        <v>94478551977.757278</v>
      </c>
      <c r="O111" s="129">
        <f t="shared" si="31"/>
        <v>724335298496.13953</v>
      </c>
    </row>
    <row r="112" spans="2:15" x14ac:dyDescent="0.3">
      <c r="B112" s="125">
        <f t="shared" si="32"/>
        <v>107</v>
      </c>
      <c r="C112" s="129">
        <f t="shared" si="33"/>
        <v>271625836936.05231</v>
      </c>
      <c r="D112" s="129">
        <f t="shared" si="28"/>
        <v>2082464083176.4016</v>
      </c>
      <c r="M112" s="125">
        <f t="shared" si="29"/>
        <v>107</v>
      </c>
      <c r="N112" s="129">
        <f t="shared" si="30"/>
        <v>108650334774.42087</v>
      </c>
      <c r="O112" s="129">
        <f t="shared" si="31"/>
        <v>832985633270.56042</v>
      </c>
    </row>
    <row r="113" spans="2:15" x14ac:dyDescent="0.3">
      <c r="B113" s="125">
        <f t="shared" si="32"/>
        <v>108</v>
      </c>
      <c r="C113" s="129">
        <f t="shared" si="33"/>
        <v>312369712476.46014</v>
      </c>
      <c r="D113" s="129">
        <f t="shared" si="28"/>
        <v>2394833795652.8618</v>
      </c>
      <c r="M113" s="125">
        <f t="shared" si="29"/>
        <v>108</v>
      </c>
      <c r="N113" s="129">
        <f t="shared" si="30"/>
        <v>124947884990.58398</v>
      </c>
      <c r="O113" s="129">
        <f t="shared" si="31"/>
        <v>957933518261.14441</v>
      </c>
    </row>
    <row r="114" spans="2:15" x14ac:dyDescent="0.3">
      <c r="B114" s="125">
        <f t="shared" si="32"/>
        <v>109</v>
      </c>
      <c r="C114" s="129">
        <f t="shared" si="33"/>
        <v>359225169347.92914</v>
      </c>
      <c r="D114" s="129">
        <f t="shared" si="28"/>
        <v>2754058965000.791</v>
      </c>
      <c r="M114" s="125">
        <f t="shared" si="29"/>
        <v>109</v>
      </c>
      <c r="N114" s="129">
        <f t="shared" si="30"/>
        <v>143690067739.17157</v>
      </c>
      <c r="O114" s="129">
        <f t="shared" si="31"/>
        <v>1101623586000.3159</v>
      </c>
    </row>
    <row r="115" spans="2:15" x14ac:dyDescent="0.3">
      <c r="B115" s="125">
        <f t="shared" si="32"/>
        <v>110</v>
      </c>
      <c r="C115" s="129">
        <f t="shared" si="33"/>
        <v>413108944750.11847</v>
      </c>
      <c r="D115" s="129">
        <f t="shared" si="28"/>
        <v>3167167909750.9097</v>
      </c>
      <c r="M115" s="125">
        <f t="shared" si="29"/>
        <v>110</v>
      </c>
      <c r="N115" s="129">
        <f t="shared" si="30"/>
        <v>165243577900.0473</v>
      </c>
      <c r="O115" s="129">
        <f t="shared" si="31"/>
        <v>1266867163900.3633</v>
      </c>
    </row>
    <row r="116" spans="2:15" x14ac:dyDescent="0.3">
      <c r="B116" s="125">
        <f t="shared" si="32"/>
        <v>111</v>
      </c>
      <c r="C116" s="129">
        <f t="shared" si="33"/>
        <v>475075286462.63623</v>
      </c>
      <c r="D116" s="129">
        <f t="shared" si="28"/>
        <v>3642243196213.5459</v>
      </c>
      <c r="M116" s="125">
        <f t="shared" si="29"/>
        <v>111</v>
      </c>
      <c r="N116" s="129">
        <f t="shared" si="30"/>
        <v>190030114585.05438</v>
      </c>
      <c r="O116" s="129">
        <f t="shared" si="31"/>
        <v>1456897278485.4177</v>
      </c>
    </row>
    <row r="117" spans="2:15" x14ac:dyDescent="0.3">
      <c r="B117" s="125">
        <f t="shared" si="32"/>
        <v>112</v>
      </c>
      <c r="C117" s="129">
        <f t="shared" si="33"/>
        <v>546336579432.03162</v>
      </c>
      <c r="D117" s="129">
        <f t="shared" si="28"/>
        <v>4188579775645.5776</v>
      </c>
      <c r="M117" s="125">
        <f t="shared" si="29"/>
        <v>112</v>
      </c>
      <c r="N117" s="129">
        <f t="shared" si="30"/>
        <v>218534631772.81253</v>
      </c>
      <c r="O117" s="129">
        <f t="shared" si="31"/>
        <v>1675431910258.2302</v>
      </c>
    </row>
    <row r="118" spans="2:15" x14ac:dyDescent="0.3">
      <c r="B118" s="125">
        <f t="shared" si="32"/>
        <v>113</v>
      </c>
      <c r="C118" s="129">
        <f t="shared" si="33"/>
        <v>628287066346.8363</v>
      </c>
      <c r="D118" s="129">
        <f t="shared" si="28"/>
        <v>4816866841992.4141</v>
      </c>
      <c r="M118" s="125">
        <f t="shared" si="29"/>
        <v>113</v>
      </c>
      <c r="N118" s="129">
        <f t="shared" si="30"/>
        <v>251314826538.73441</v>
      </c>
      <c r="O118" s="129">
        <f t="shared" si="31"/>
        <v>1926746736796.9646</v>
      </c>
    </row>
    <row r="119" spans="2:15" x14ac:dyDescent="0.3">
      <c r="B119" s="125">
        <f t="shared" si="32"/>
        <v>114</v>
      </c>
      <c r="C119" s="129">
        <f t="shared" si="33"/>
        <v>722530126298.86169</v>
      </c>
      <c r="D119" s="129">
        <f t="shared" si="28"/>
        <v>5539396968291.2754</v>
      </c>
      <c r="M119" s="125">
        <f t="shared" si="29"/>
        <v>114</v>
      </c>
      <c r="N119" s="129">
        <f t="shared" si="30"/>
        <v>289012050519.54456</v>
      </c>
      <c r="O119" s="129">
        <f t="shared" si="31"/>
        <v>2215758787316.5093</v>
      </c>
    </row>
    <row r="120" spans="2:15" x14ac:dyDescent="0.3">
      <c r="B120" s="125">
        <f t="shared" si="32"/>
        <v>115</v>
      </c>
      <c r="C120" s="129">
        <f t="shared" si="33"/>
        <v>830909645243.69092</v>
      </c>
      <c r="D120" s="129">
        <f t="shared" si="28"/>
        <v>6370306613534.9668</v>
      </c>
      <c r="M120" s="125">
        <f t="shared" si="29"/>
        <v>115</v>
      </c>
      <c r="N120" s="129">
        <f t="shared" si="30"/>
        <v>332363858097.4762</v>
      </c>
      <c r="O120" s="129">
        <f t="shared" si="31"/>
        <v>2548122645413.9854</v>
      </c>
    </row>
    <row r="121" spans="2:15" x14ac:dyDescent="0.3">
      <c r="B121" s="125">
        <f t="shared" si="32"/>
        <v>116</v>
      </c>
      <c r="C121" s="129">
        <f t="shared" si="33"/>
        <v>955546092030.24451</v>
      </c>
      <c r="D121" s="129">
        <f t="shared" si="28"/>
        <v>7325852705565.2109</v>
      </c>
      <c r="M121" s="125">
        <f t="shared" si="29"/>
        <v>116</v>
      </c>
      <c r="N121" s="129">
        <f t="shared" si="30"/>
        <v>382218436812.0976</v>
      </c>
      <c r="O121" s="129">
        <f t="shared" si="31"/>
        <v>2930341082226.083</v>
      </c>
    </row>
    <row r="122" spans="2:15" x14ac:dyDescent="0.3">
      <c r="B122" s="125">
        <f t="shared" si="32"/>
        <v>117</v>
      </c>
      <c r="C122" s="129">
        <f t="shared" si="33"/>
        <v>1098878005834.7811</v>
      </c>
      <c r="D122" s="129">
        <f t="shared" si="28"/>
        <v>8424730711399.9922</v>
      </c>
      <c r="M122" s="125">
        <f t="shared" si="29"/>
        <v>117</v>
      </c>
      <c r="N122" s="129">
        <f t="shared" si="30"/>
        <v>439551202333.91217</v>
      </c>
      <c r="O122" s="129">
        <f t="shared" si="31"/>
        <v>3369892284559.9951</v>
      </c>
    </row>
    <row r="123" spans="2:15" x14ac:dyDescent="0.3">
      <c r="B123" s="125">
        <f t="shared" si="32"/>
        <v>118</v>
      </c>
      <c r="C123" s="129">
        <f t="shared" si="33"/>
        <v>1263709706709.9983</v>
      </c>
      <c r="D123" s="129">
        <f t="shared" si="28"/>
        <v>9688440418109.9902</v>
      </c>
      <c r="M123" s="125">
        <f t="shared" si="29"/>
        <v>118</v>
      </c>
      <c r="N123" s="129">
        <f t="shared" si="30"/>
        <v>505483882683.99896</v>
      </c>
      <c r="O123" s="129">
        <f t="shared" si="31"/>
        <v>3875376167243.9941</v>
      </c>
    </row>
    <row r="124" spans="2:15" x14ac:dyDescent="0.3">
      <c r="B124" s="125">
        <f t="shared" si="32"/>
        <v>119</v>
      </c>
      <c r="C124" s="129">
        <f t="shared" si="33"/>
        <v>1453266162716.4978</v>
      </c>
      <c r="D124" s="129">
        <f t="shared" si="28"/>
        <v>11141706580826.488</v>
      </c>
      <c r="M124" s="125">
        <f t="shared" si="29"/>
        <v>119</v>
      </c>
      <c r="N124" s="129">
        <f t="shared" si="30"/>
        <v>581306465086.59875</v>
      </c>
      <c r="O124" s="129">
        <f t="shared" si="31"/>
        <v>4456682632330.5928</v>
      </c>
    </row>
    <row r="125" spans="2:15" x14ac:dyDescent="0.3">
      <c r="B125" s="125">
        <f t="shared" si="32"/>
        <v>120</v>
      </c>
      <c r="C125" s="129">
        <f t="shared" si="33"/>
        <v>1671256087123.9724</v>
      </c>
      <c r="D125" s="129">
        <f t="shared" si="28"/>
        <v>12812962667950.461</v>
      </c>
      <c r="M125" s="125">
        <f t="shared" si="29"/>
        <v>120</v>
      </c>
      <c r="N125" s="129">
        <f t="shared" si="30"/>
        <v>668502434849.5885</v>
      </c>
      <c r="O125" s="129">
        <f t="shared" si="31"/>
        <v>5125185067180.1816</v>
      </c>
    </row>
    <row r="126" spans="2:15" x14ac:dyDescent="0.3">
      <c r="B126" s="125">
        <f t="shared" si="32"/>
        <v>121</v>
      </c>
      <c r="C126" s="129">
        <f t="shared" si="33"/>
        <v>1921944500192.5681</v>
      </c>
      <c r="D126" s="129">
        <f t="shared" si="28"/>
        <v>14734907168143.029</v>
      </c>
      <c r="M126" s="125">
        <f t="shared" si="29"/>
        <v>121</v>
      </c>
      <c r="N126" s="129">
        <f t="shared" si="30"/>
        <v>768777800077.02673</v>
      </c>
      <c r="O126" s="129">
        <f t="shared" si="31"/>
        <v>5893962867257.208</v>
      </c>
    </row>
    <row r="127" spans="2:15" x14ac:dyDescent="0.3">
      <c r="B127" s="125">
        <f t="shared" si="32"/>
        <v>122</v>
      </c>
      <c r="C127" s="129">
        <f t="shared" si="33"/>
        <v>2210236175221.4531</v>
      </c>
      <c r="D127" s="129">
        <f t="shared" si="28"/>
        <v>16945143343364.482</v>
      </c>
      <c r="M127" s="125">
        <f t="shared" si="29"/>
        <v>122</v>
      </c>
      <c r="N127" s="129">
        <f t="shared" si="30"/>
        <v>884094470088.58069</v>
      </c>
      <c r="O127" s="129">
        <f t="shared" si="31"/>
        <v>6778057337345.7891</v>
      </c>
    </row>
    <row r="128" spans="2:15" x14ac:dyDescent="0.3">
      <c r="B128" s="125">
        <f t="shared" si="32"/>
        <v>123</v>
      </c>
      <c r="C128" s="129">
        <f t="shared" si="33"/>
        <v>2541771601504.6709</v>
      </c>
      <c r="D128" s="129">
        <f t="shared" si="28"/>
        <v>19486914944869.152</v>
      </c>
      <c r="M128" s="125">
        <f t="shared" si="29"/>
        <v>123</v>
      </c>
      <c r="N128" s="129">
        <f t="shared" si="30"/>
        <v>1016708640601.8677</v>
      </c>
      <c r="O128" s="129">
        <f t="shared" si="31"/>
        <v>7794765977947.6563</v>
      </c>
    </row>
    <row r="129" spans="2:15" x14ac:dyDescent="0.3">
      <c r="B129" s="125">
        <f t="shared" si="32"/>
        <v>124</v>
      </c>
      <c r="C129" s="129">
        <f t="shared" si="33"/>
        <v>2923037341730.3711</v>
      </c>
      <c r="D129" s="129">
        <f t="shared" si="28"/>
        <v>22409952286599.523</v>
      </c>
      <c r="M129" s="125">
        <f t="shared" si="29"/>
        <v>124</v>
      </c>
      <c r="N129" s="129">
        <f t="shared" si="30"/>
        <v>1169214936692.1477</v>
      </c>
      <c r="O129" s="129">
        <f t="shared" si="31"/>
        <v>8963980914639.8047</v>
      </c>
    </row>
    <row r="130" spans="2:15" x14ac:dyDescent="0.3">
      <c r="B130" s="125">
        <f t="shared" si="32"/>
        <v>125</v>
      </c>
      <c r="C130" s="129">
        <f t="shared" si="33"/>
        <v>3361492942989.9263</v>
      </c>
      <c r="D130" s="129">
        <f t="shared" si="28"/>
        <v>25771445229589.449</v>
      </c>
      <c r="M130" s="125">
        <f t="shared" si="29"/>
        <v>125</v>
      </c>
      <c r="N130" s="129">
        <f t="shared" si="30"/>
        <v>1344597177195.9697</v>
      </c>
      <c r="O130" s="129">
        <f t="shared" si="31"/>
        <v>10308578091835.773</v>
      </c>
    </row>
    <row r="131" spans="2:15" x14ac:dyDescent="0.3">
      <c r="B131" s="125">
        <f t="shared" si="32"/>
        <v>126</v>
      </c>
      <c r="C131" s="129">
        <f t="shared" si="33"/>
        <v>3865716884438.415</v>
      </c>
      <c r="D131" s="129">
        <f t="shared" si="28"/>
        <v>29637162114027.863</v>
      </c>
      <c r="M131" s="125">
        <f t="shared" si="29"/>
        <v>126</v>
      </c>
      <c r="N131" s="129">
        <f t="shared" si="30"/>
        <v>1546286753775.365</v>
      </c>
      <c r="O131" s="129">
        <f t="shared" si="31"/>
        <v>11854864845611.139</v>
      </c>
    </row>
    <row r="132" spans="2:15" x14ac:dyDescent="0.3">
      <c r="B132" s="125">
        <f t="shared" si="32"/>
        <v>127</v>
      </c>
      <c r="C132" s="129">
        <f t="shared" si="33"/>
        <v>4445574417104.1768</v>
      </c>
      <c r="D132" s="129">
        <f t="shared" si="28"/>
        <v>34082736531132.039</v>
      </c>
      <c r="M132" s="125">
        <f t="shared" si="29"/>
        <v>127</v>
      </c>
      <c r="N132" s="129">
        <f t="shared" si="30"/>
        <v>1778229766841.6697</v>
      </c>
      <c r="O132" s="129">
        <f t="shared" si="31"/>
        <v>13633094612452.809</v>
      </c>
    </row>
    <row r="133" spans="2:15" x14ac:dyDescent="0.3">
      <c r="B133" s="125">
        <f t="shared" si="32"/>
        <v>128</v>
      </c>
      <c r="C133" s="129">
        <f t="shared" si="33"/>
        <v>5112410579669.8027</v>
      </c>
      <c r="D133" s="129">
        <f t="shared" si="28"/>
        <v>39195147110801.844</v>
      </c>
      <c r="M133" s="125">
        <f t="shared" si="29"/>
        <v>128</v>
      </c>
      <c r="N133" s="129">
        <f t="shared" si="30"/>
        <v>2044964231867.9199</v>
      </c>
      <c r="O133" s="129">
        <f t="shared" si="31"/>
        <v>15678058844320.729</v>
      </c>
    </row>
    <row r="134" spans="2:15" x14ac:dyDescent="0.3">
      <c r="B134" s="125">
        <f t="shared" si="32"/>
        <v>129</v>
      </c>
      <c r="C134" s="129">
        <f t="shared" si="33"/>
        <v>5879272166620.2725</v>
      </c>
      <c r="D134" s="129">
        <f t="shared" si="28"/>
        <v>45074419277422.117</v>
      </c>
      <c r="M134" s="125">
        <f t="shared" si="29"/>
        <v>129</v>
      </c>
      <c r="N134" s="129">
        <f t="shared" si="30"/>
        <v>2351708866648.1079</v>
      </c>
      <c r="O134" s="129">
        <f t="shared" si="31"/>
        <v>18029767710968.836</v>
      </c>
    </row>
    <row r="135" spans="2:15" x14ac:dyDescent="0.3">
      <c r="B135" s="125">
        <f t="shared" si="32"/>
        <v>130</v>
      </c>
      <c r="C135" s="129">
        <f t="shared" si="33"/>
        <v>6761162991613.3125</v>
      </c>
      <c r="D135" s="129">
        <f t="shared" si="28"/>
        <v>51835582269035.43</v>
      </c>
      <c r="M135" s="125">
        <f t="shared" si="29"/>
        <v>130</v>
      </c>
      <c r="N135" s="129">
        <f t="shared" si="30"/>
        <v>2704465196645.3237</v>
      </c>
      <c r="O135" s="129">
        <f t="shared" si="31"/>
        <v>20734232907614.16</v>
      </c>
    </row>
    <row r="136" spans="2:15" x14ac:dyDescent="0.3">
      <c r="B136" s="125">
        <f t="shared" si="32"/>
        <v>131</v>
      </c>
      <c r="C136" s="129">
        <f t="shared" si="33"/>
        <v>7775337440355.3086</v>
      </c>
      <c r="D136" s="129">
        <f t="shared" ref="D136:D189" si="34">C136+D135</f>
        <v>59610919709390.734</v>
      </c>
      <c r="M136" s="125">
        <f t="shared" ref="M136:M189" si="35">M135+1</f>
        <v>131</v>
      </c>
      <c r="N136" s="129">
        <f t="shared" ref="N136:N189" si="36">1.15*N135</f>
        <v>3110134976142.1221</v>
      </c>
      <c r="O136" s="129">
        <f t="shared" ref="O136:O189" si="37">N136+O135</f>
        <v>23844367883756.281</v>
      </c>
    </row>
    <row r="137" spans="2:15" x14ac:dyDescent="0.3">
      <c r="B137" s="125">
        <f t="shared" si="32"/>
        <v>132</v>
      </c>
      <c r="C137" s="129">
        <f t="shared" si="33"/>
        <v>8941638056408.6035</v>
      </c>
      <c r="D137" s="129">
        <f t="shared" si="34"/>
        <v>68552557765799.336</v>
      </c>
      <c r="M137" s="125">
        <f t="shared" si="35"/>
        <v>132</v>
      </c>
      <c r="N137" s="129">
        <f t="shared" si="36"/>
        <v>3576655222563.4399</v>
      </c>
      <c r="O137" s="129">
        <f t="shared" si="37"/>
        <v>27421023106319.723</v>
      </c>
    </row>
    <row r="138" spans="2:15" x14ac:dyDescent="0.3">
      <c r="B138" s="125">
        <f t="shared" si="32"/>
        <v>133</v>
      </c>
      <c r="C138" s="129">
        <f t="shared" si="33"/>
        <v>10282883764869.893</v>
      </c>
      <c r="D138" s="129">
        <f t="shared" si="34"/>
        <v>78835441530669.234</v>
      </c>
      <c r="M138" s="125">
        <f t="shared" si="35"/>
        <v>133</v>
      </c>
      <c r="N138" s="129">
        <f t="shared" si="36"/>
        <v>4113153505947.9556</v>
      </c>
      <c r="O138" s="129">
        <f t="shared" si="37"/>
        <v>31534176612267.68</v>
      </c>
    </row>
    <row r="139" spans="2:15" x14ac:dyDescent="0.3">
      <c r="B139" s="125">
        <f t="shared" si="32"/>
        <v>134</v>
      </c>
      <c r="C139" s="129">
        <f t="shared" si="33"/>
        <v>11825316329600.375</v>
      </c>
      <c r="D139" s="129">
        <f t="shared" si="34"/>
        <v>90660757860269.609</v>
      </c>
      <c r="M139" s="125">
        <f t="shared" si="35"/>
        <v>134</v>
      </c>
      <c r="N139" s="129">
        <f t="shared" si="36"/>
        <v>4730126531840.1484</v>
      </c>
      <c r="O139" s="129">
        <f t="shared" si="37"/>
        <v>36264303144107.828</v>
      </c>
    </row>
    <row r="140" spans="2:15" x14ac:dyDescent="0.3">
      <c r="B140" s="125">
        <f t="shared" si="32"/>
        <v>135</v>
      </c>
      <c r="C140" s="129">
        <f t="shared" si="33"/>
        <v>13599113779040.43</v>
      </c>
      <c r="D140" s="129">
        <f t="shared" si="34"/>
        <v>104259871639310.03</v>
      </c>
      <c r="M140" s="125">
        <f t="shared" si="35"/>
        <v>135</v>
      </c>
      <c r="N140" s="129">
        <f t="shared" si="36"/>
        <v>5439645511616.1699</v>
      </c>
      <c r="O140" s="129">
        <f t="shared" si="37"/>
        <v>41703948655724</v>
      </c>
    </row>
    <row r="141" spans="2:15" x14ac:dyDescent="0.3">
      <c r="B141" s="125">
        <f t="shared" si="32"/>
        <v>136</v>
      </c>
      <c r="C141" s="129">
        <f t="shared" si="33"/>
        <v>15638980845896.492</v>
      </c>
      <c r="D141" s="129">
        <f t="shared" si="34"/>
        <v>119898852485206.53</v>
      </c>
      <c r="M141" s="125">
        <f t="shared" si="35"/>
        <v>136</v>
      </c>
      <c r="N141" s="129">
        <f t="shared" si="36"/>
        <v>6255592338358.5947</v>
      </c>
      <c r="O141" s="129">
        <f t="shared" si="37"/>
        <v>47959540994082.594</v>
      </c>
    </row>
    <row r="142" spans="2:15" x14ac:dyDescent="0.3">
      <c r="B142" s="125">
        <f t="shared" si="32"/>
        <v>137</v>
      </c>
      <c r="C142" s="129">
        <f t="shared" si="33"/>
        <v>17984827972780.965</v>
      </c>
      <c r="D142" s="129">
        <f t="shared" si="34"/>
        <v>137883680457987.5</v>
      </c>
      <c r="M142" s="125">
        <f t="shared" si="35"/>
        <v>137</v>
      </c>
      <c r="N142" s="129">
        <f t="shared" si="36"/>
        <v>7193931189112.3838</v>
      </c>
      <c r="O142" s="129">
        <f t="shared" si="37"/>
        <v>55153472183194.977</v>
      </c>
    </row>
    <row r="143" spans="2:15" x14ac:dyDescent="0.3">
      <c r="B143" s="125">
        <f t="shared" ref="B143:B189" si="38">B142+1</f>
        <v>138</v>
      </c>
      <c r="C143" s="129">
        <f t="shared" ref="C143:C189" si="39">C142*1.15</f>
        <v>20682552168698.109</v>
      </c>
      <c r="D143" s="129">
        <f t="shared" si="34"/>
        <v>158566232626685.63</v>
      </c>
      <c r="M143" s="125">
        <f t="shared" si="35"/>
        <v>138</v>
      </c>
      <c r="N143" s="129">
        <f t="shared" si="36"/>
        <v>8273020867479.2402</v>
      </c>
      <c r="O143" s="129">
        <f t="shared" si="37"/>
        <v>63426493050674.219</v>
      </c>
    </row>
    <row r="144" spans="2:15" x14ac:dyDescent="0.3">
      <c r="B144" s="125">
        <f t="shared" si="38"/>
        <v>139</v>
      </c>
      <c r="C144" s="129">
        <f t="shared" si="39"/>
        <v>23784934994002.824</v>
      </c>
      <c r="D144" s="129">
        <f t="shared" si="34"/>
        <v>182351167620688.44</v>
      </c>
      <c r="M144" s="125">
        <f t="shared" si="35"/>
        <v>139</v>
      </c>
      <c r="N144" s="129">
        <f t="shared" si="36"/>
        <v>9513973997601.125</v>
      </c>
      <c r="O144" s="129">
        <f t="shared" si="37"/>
        <v>72940467048275.344</v>
      </c>
    </row>
    <row r="145" spans="2:15" x14ac:dyDescent="0.3">
      <c r="B145" s="125">
        <f t="shared" si="38"/>
        <v>140</v>
      </c>
      <c r="C145" s="129">
        <f t="shared" si="39"/>
        <v>27352675243103.246</v>
      </c>
      <c r="D145" s="129">
        <f t="shared" si="34"/>
        <v>209703842863791.69</v>
      </c>
      <c r="M145" s="125">
        <f t="shared" si="35"/>
        <v>140</v>
      </c>
      <c r="N145" s="129">
        <f t="shared" si="36"/>
        <v>10941070097241.293</v>
      </c>
      <c r="O145" s="129">
        <f t="shared" si="37"/>
        <v>83881537145516.641</v>
      </c>
    </row>
    <row r="146" spans="2:15" x14ac:dyDescent="0.3">
      <c r="B146" s="125">
        <f t="shared" si="38"/>
        <v>141</v>
      </c>
      <c r="C146" s="129">
        <f t="shared" si="39"/>
        <v>31455576529568.73</v>
      </c>
      <c r="D146" s="129">
        <f t="shared" si="34"/>
        <v>241159419393360.41</v>
      </c>
      <c r="M146" s="125">
        <f t="shared" si="35"/>
        <v>141</v>
      </c>
      <c r="N146" s="129">
        <f t="shared" si="36"/>
        <v>12582230611827.486</v>
      </c>
      <c r="O146" s="129">
        <f t="shared" si="37"/>
        <v>96463767757344.125</v>
      </c>
    </row>
    <row r="147" spans="2:15" x14ac:dyDescent="0.3">
      <c r="B147" s="125">
        <f t="shared" si="38"/>
        <v>142</v>
      </c>
      <c r="C147" s="129">
        <f t="shared" si="39"/>
        <v>36173913009004.039</v>
      </c>
      <c r="D147" s="129">
        <f t="shared" si="34"/>
        <v>277333332402364.44</v>
      </c>
      <c r="M147" s="125">
        <f t="shared" si="35"/>
        <v>142</v>
      </c>
      <c r="N147" s="129">
        <f t="shared" si="36"/>
        <v>14469565203601.607</v>
      </c>
      <c r="O147" s="129">
        <f t="shared" si="37"/>
        <v>110933332960945.73</v>
      </c>
    </row>
    <row r="148" spans="2:15" x14ac:dyDescent="0.3">
      <c r="B148" s="125">
        <f t="shared" si="38"/>
        <v>143</v>
      </c>
      <c r="C148" s="129">
        <f t="shared" si="39"/>
        <v>41599999960354.641</v>
      </c>
      <c r="D148" s="129">
        <f t="shared" si="34"/>
        <v>318933332362719.06</v>
      </c>
      <c r="M148" s="125">
        <f t="shared" si="35"/>
        <v>143</v>
      </c>
      <c r="N148" s="129">
        <f t="shared" si="36"/>
        <v>16639999984141.848</v>
      </c>
      <c r="O148" s="129">
        <f t="shared" si="37"/>
        <v>127573332945087.58</v>
      </c>
    </row>
    <row r="149" spans="2:15" x14ac:dyDescent="0.3">
      <c r="B149" s="125">
        <f t="shared" si="38"/>
        <v>144</v>
      </c>
      <c r="C149" s="129">
        <f t="shared" si="39"/>
        <v>47839999954407.836</v>
      </c>
      <c r="D149" s="129">
        <f t="shared" si="34"/>
        <v>366773332317126.88</v>
      </c>
      <c r="M149" s="125">
        <f t="shared" si="35"/>
        <v>144</v>
      </c>
      <c r="N149" s="129">
        <f t="shared" si="36"/>
        <v>19135999981763.125</v>
      </c>
      <c r="O149" s="129">
        <f t="shared" si="37"/>
        <v>146709332926850.69</v>
      </c>
    </row>
    <row r="150" spans="2:15" x14ac:dyDescent="0.3">
      <c r="B150" s="125">
        <f t="shared" si="38"/>
        <v>145</v>
      </c>
      <c r="C150" s="129">
        <f t="shared" si="39"/>
        <v>55015999947569.008</v>
      </c>
      <c r="D150" s="129">
        <f t="shared" si="34"/>
        <v>421789332264695.88</v>
      </c>
      <c r="M150" s="125">
        <f t="shared" si="35"/>
        <v>145</v>
      </c>
      <c r="N150" s="129">
        <f t="shared" si="36"/>
        <v>22006399979027.594</v>
      </c>
      <c r="O150" s="129">
        <f t="shared" si="37"/>
        <v>168715732905878.28</v>
      </c>
    </row>
    <row r="151" spans="2:15" x14ac:dyDescent="0.3">
      <c r="B151" s="125">
        <f t="shared" si="38"/>
        <v>146</v>
      </c>
      <c r="C151" s="129">
        <f t="shared" si="39"/>
        <v>63268399939704.352</v>
      </c>
      <c r="D151" s="129">
        <f t="shared" si="34"/>
        <v>485057732204400.25</v>
      </c>
      <c r="M151" s="125">
        <f t="shared" si="35"/>
        <v>146</v>
      </c>
      <c r="N151" s="129">
        <f t="shared" si="36"/>
        <v>25307359975881.73</v>
      </c>
      <c r="O151" s="129">
        <f t="shared" si="37"/>
        <v>194023092881760</v>
      </c>
    </row>
    <row r="152" spans="2:15" x14ac:dyDescent="0.3">
      <c r="B152" s="125">
        <f t="shared" si="38"/>
        <v>147</v>
      </c>
      <c r="C152" s="129">
        <f t="shared" si="39"/>
        <v>72758659930660</v>
      </c>
      <c r="D152" s="129">
        <f t="shared" si="34"/>
        <v>557816392135060.25</v>
      </c>
      <c r="M152" s="125">
        <f t="shared" si="35"/>
        <v>147</v>
      </c>
      <c r="N152" s="129">
        <f t="shared" si="36"/>
        <v>29103463972263.988</v>
      </c>
      <c r="O152" s="129">
        <f t="shared" si="37"/>
        <v>223126556854024</v>
      </c>
    </row>
    <row r="153" spans="2:15" x14ac:dyDescent="0.3">
      <c r="B153" s="125">
        <f t="shared" si="38"/>
        <v>148</v>
      </c>
      <c r="C153" s="129">
        <f t="shared" si="39"/>
        <v>83672458920259</v>
      </c>
      <c r="D153" s="129">
        <f t="shared" si="34"/>
        <v>641488851055319.25</v>
      </c>
      <c r="M153" s="125">
        <f t="shared" si="35"/>
        <v>148</v>
      </c>
      <c r="N153" s="129">
        <f t="shared" si="36"/>
        <v>33468983568103.582</v>
      </c>
      <c r="O153" s="129">
        <f t="shared" si="37"/>
        <v>256595540422127.59</v>
      </c>
    </row>
    <row r="154" spans="2:15" x14ac:dyDescent="0.3">
      <c r="B154" s="125">
        <f t="shared" si="38"/>
        <v>149</v>
      </c>
      <c r="C154" s="129">
        <f t="shared" si="39"/>
        <v>96223327758297.844</v>
      </c>
      <c r="D154" s="129">
        <f t="shared" si="34"/>
        <v>737712178813617.13</v>
      </c>
      <c r="M154" s="125">
        <f t="shared" si="35"/>
        <v>149</v>
      </c>
      <c r="N154" s="129">
        <f t="shared" si="36"/>
        <v>38489331103319.117</v>
      </c>
      <c r="O154" s="129">
        <f t="shared" si="37"/>
        <v>295084871525446.69</v>
      </c>
    </row>
    <row r="155" spans="2:15" x14ac:dyDescent="0.3">
      <c r="B155" s="125">
        <f t="shared" si="38"/>
        <v>150</v>
      </c>
      <c r="C155" s="129">
        <f t="shared" si="39"/>
        <v>110656826922042.52</v>
      </c>
      <c r="D155" s="129">
        <f t="shared" si="34"/>
        <v>848369005735659.63</v>
      </c>
      <c r="M155" s="125">
        <f t="shared" si="35"/>
        <v>150</v>
      </c>
      <c r="N155" s="129">
        <f t="shared" si="36"/>
        <v>44262730768816.984</v>
      </c>
      <c r="O155" s="129">
        <f t="shared" si="37"/>
        <v>339347602294263.69</v>
      </c>
    </row>
    <row r="156" spans="2:15" x14ac:dyDescent="0.3">
      <c r="B156" s="125">
        <f t="shared" si="38"/>
        <v>151</v>
      </c>
      <c r="C156" s="129">
        <f t="shared" si="39"/>
        <v>127255350960348.89</v>
      </c>
      <c r="D156" s="129">
        <f t="shared" si="34"/>
        <v>975624356696008.5</v>
      </c>
      <c r="M156" s="125">
        <f t="shared" si="35"/>
        <v>151</v>
      </c>
      <c r="N156" s="129">
        <f t="shared" si="36"/>
        <v>50902140384139.531</v>
      </c>
      <c r="O156" s="129">
        <f t="shared" si="37"/>
        <v>390249742678403.25</v>
      </c>
    </row>
    <row r="157" spans="2:15" x14ac:dyDescent="0.3">
      <c r="B157" s="125">
        <f t="shared" si="38"/>
        <v>152</v>
      </c>
      <c r="C157" s="129">
        <f t="shared" si="39"/>
        <v>146343653604401.22</v>
      </c>
      <c r="D157" s="129">
        <f t="shared" si="34"/>
        <v>1121968010300409.8</v>
      </c>
      <c r="M157" s="125">
        <f t="shared" si="35"/>
        <v>152</v>
      </c>
      <c r="N157" s="129">
        <f t="shared" si="36"/>
        <v>58537461441760.453</v>
      </c>
      <c r="O157" s="129">
        <f t="shared" si="37"/>
        <v>448787204120163.69</v>
      </c>
    </row>
    <row r="158" spans="2:15" x14ac:dyDescent="0.3">
      <c r="B158" s="125">
        <f t="shared" si="38"/>
        <v>153</v>
      </c>
      <c r="C158" s="129">
        <f t="shared" si="39"/>
        <v>168295201645061.38</v>
      </c>
      <c r="D158" s="129">
        <f t="shared" si="34"/>
        <v>1290263211945471</v>
      </c>
      <c r="M158" s="125">
        <f t="shared" si="35"/>
        <v>153</v>
      </c>
      <c r="N158" s="129">
        <f t="shared" si="36"/>
        <v>67318080658024.516</v>
      </c>
      <c r="O158" s="129">
        <f t="shared" si="37"/>
        <v>516105284778188.19</v>
      </c>
    </row>
    <row r="159" spans="2:15" x14ac:dyDescent="0.3">
      <c r="B159" s="125">
        <f t="shared" si="38"/>
        <v>154</v>
      </c>
      <c r="C159" s="129">
        <f t="shared" si="39"/>
        <v>193539481891820.56</v>
      </c>
      <c r="D159" s="129">
        <f t="shared" si="34"/>
        <v>1483802693837291.5</v>
      </c>
      <c r="M159" s="125">
        <f t="shared" si="35"/>
        <v>154</v>
      </c>
      <c r="N159" s="129">
        <f t="shared" si="36"/>
        <v>77415792756728.188</v>
      </c>
      <c r="O159" s="129">
        <f t="shared" si="37"/>
        <v>593521077534916.38</v>
      </c>
    </row>
    <row r="160" spans="2:15" x14ac:dyDescent="0.3">
      <c r="B160" s="125">
        <f t="shared" si="38"/>
        <v>155</v>
      </c>
      <c r="C160" s="129">
        <f t="shared" si="39"/>
        <v>222570404175593.63</v>
      </c>
      <c r="D160" s="129">
        <f t="shared" si="34"/>
        <v>1706373098012885</v>
      </c>
      <c r="M160" s="125">
        <f t="shared" si="35"/>
        <v>155</v>
      </c>
      <c r="N160" s="129">
        <f t="shared" si="36"/>
        <v>89028161670237.406</v>
      </c>
      <c r="O160" s="129">
        <f t="shared" si="37"/>
        <v>682549239205153.75</v>
      </c>
    </row>
    <row r="161" spans="2:15" x14ac:dyDescent="0.3">
      <c r="B161" s="125">
        <f t="shared" si="38"/>
        <v>156</v>
      </c>
      <c r="C161" s="129">
        <f t="shared" si="39"/>
        <v>255955964801932.66</v>
      </c>
      <c r="D161" s="129">
        <f t="shared" si="34"/>
        <v>1962329062814817.8</v>
      </c>
      <c r="M161" s="125">
        <f t="shared" si="35"/>
        <v>156</v>
      </c>
      <c r="N161" s="129">
        <f t="shared" si="36"/>
        <v>102382385920773.02</v>
      </c>
      <c r="O161" s="129">
        <f t="shared" si="37"/>
        <v>784931625125926.75</v>
      </c>
    </row>
    <row r="162" spans="2:15" x14ac:dyDescent="0.3">
      <c r="B162" s="125">
        <f t="shared" si="38"/>
        <v>157</v>
      </c>
      <c r="C162" s="129">
        <f t="shared" si="39"/>
        <v>294349359522222.56</v>
      </c>
      <c r="D162" s="129">
        <f t="shared" si="34"/>
        <v>2256678422337040.5</v>
      </c>
      <c r="M162" s="125">
        <f t="shared" si="35"/>
        <v>157</v>
      </c>
      <c r="N162" s="129">
        <f t="shared" si="36"/>
        <v>117739743808888.95</v>
      </c>
      <c r="O162" s="129">
        <f t="shared" si="37"/>
        <v>902671368934815.75</v>
      </c>
    </row>
    <row r="163" spans="2:15" x14ac:dyDescent="0.3">
      <c r="B163" s="125">
        <f t="shared" si="38"/>
        <v>158</v>
      </c>
      <c r="C163" s="129">
        <f t="shared" si="39"/>
        <v>338501763450555.94</v>
      </c>
      <c r="D163" s="129">
        <f t="shared" si="34"/>
        <v>2595180185787596.5</v>
      </c>
      <c r="M163" s="125">
        <f t="shared" si="35"/>
        <v>158</v>
      </c>
      <c r="N163" s="129">
        <f t="shared" si="36"/>
        <v>135400705380222.28</v>
      </c>
      <c r="O163" s="129">
        <f t="shared" si="37"/>
        <v>1038072074315038</v>
      </c>
    </row>
    <row r="164" spans="2:15" x14ac:dyDescent="0.3">
      <c r="B164" s="125">
        <f t="shared" si="38"/>
        <v>159</v>
      </c>
      <c r="C164" s="129">
        <f t="shared" si="39"/>
        <v>389277027968139.31</v>
      </c>
      <c r="D164" s="129">
        <f t="shared" si="34"/>
        <v>2984457213755736</v>
      </c>
      <c r="M164" s="125">
        <f t="shared" si="35"/>
        <v>159</v>
      </c>
      <c r="N164" s="129">
        <f t="shared" si="36"/>
        <v>155710811187255.63</v>
      </c>
      <c r="O164" s="129">
        <f t="shared" si="37"/>
        <v>1193782885502293.5</v>
      </c>
    </row>
    <row r="165" spans="2:15" x14ac:dyDescent="0.3">
      <c r="B165" s="125">
        <f t="shared" si="38"/>
        <v>160</v>
      </c>
      <c r="C165" s="129">
        <f t="shared" si="39"/>
        <v>447668582163360.19</v>
      </c>
      <c r="D165" s="129">
        <f t="shared" si="34"/>
        <v>3432125795919096</v>
      </c>
      <c r="M165" s="125">
        <f t="shared" si="35"/>
        <v>160</v>
      </c>
      <c r="N165" s="129">
        <f t="shared" si="36"/>
        <v>179067432865343.97</v>
      </c>
      <c r="O165" s="129">
        <f t="shared" si="37"/>
        <v>1372850318367637.5</v>
      </c>
    </row>
    <row r="166" spans="2:15" x14ac:dyDescent="0.3">
      <c r="B166" s="125">
        <f t="shared" si="38"/>
        <v>161</v>
      </c>
      <c r="C166" s="129">
        <f t="shared" si="39"/>
        <v>514818869487864.19</v>
      </c>
      <c r="D166" s="129">
        <f t="shared" si="34"/>
        <v>3946944665406960</v>
      </c>
      <c r="M166" s="125">
        <f t="shared" si="35"/>
        <v>161</v>
      </c>
      <c r="N166" s="129">
        <f t="shared" si="36"/>
        <v>205927547795145.56</v>
      </c>
      <c r="O166" s="129">
        <f t="shared" si="37"/>
        <v>1578777866162783</v>
      </c>
    </row>
    <row r="167" spans="2:15" x14ac:dyDescent="0.3">
      <c r="B167" s="125">
        <f t="shared" si="38"/>
        <v>162</v>
      </c>
      <c r="C167" s="129">
        <f t="shared" si="39"/>
        <v>592041699911043.75</v>
      </c>
      <c r="D167" s="129">
        <f t="shared" si="34"/>
        <v>4538986365318004</v>
      </c>
      <c r="M167" s="125">
        <f t="shared" si="35"/>
        <v>162</v>
      </c>
      <c r="N167" s="129">
        <f t="shared" si="36"/>
        <v>236816679964417.38</v>
      </c>
      <c r="O167" s="129">
        <f t="shared" si="37"/>
        <v>1815594546127200.5</v>
      </c>
    </row>
    <row r="168" spans="2:15" x14ac:dyDescent="0.3">
      <c r="B168" s="125">
        <f t="shared" si="38"/>
        <v>163</v>
      </c>
      <c r="C168" s="129">
        <f t="shared" si="39"/>
        <v>680847954897700.25</v>
      </c>
      <c r="D168" s="129">
        <f t="shared" si="34"/>
        <v>5219834320215704</v>
      </c>
      <c r="M168" s="125">
        <f t="shared" si="35"/>
        <v>163</v>
      </c>
      <c r="N168" s="129">
        <f t="shared" si="36"/>
        <v>272339181959079.97</v>
      </c>
      <c r="O168" s="129">
        <f t="shared" si="37"/>
        <v>2087933728086280.5</v>
      </c>
    </row>
    <row r="169" spans="2:15" x14ac:dyDescent="0.3">
      <c r="B169" s="125">
        <f t="shared" si="38"/>
        <v>164</v>
      </c>
      <c r="C169" s="129">
        <f t="shared" si="39"/>
        <v>782975148132355.25</v>
      </c>
      <c r="D169" s="129">
        <f t="shared" si="34"/>
        <v>6002809468348059</v>
      </c>
      <c r="M169" s="125">
        <f t="shared" si="35"/>
        <v>164</v>
      </c>
      <c r="N169" s="129">
        <f t="shared" si="36"/>
        <v>313190059252941.94</v>
      </c>
      <c r="O169" s="129">
        <f t="shared" si="37"/>
        <v>2401123787339222.5</v>
      </c>
    </row>
    <row r="170" spans="2:15" x14ac:dyDescent="0.3">
      <c r="B170" s="125">
        <f t="shared" si="38"/>
        <v>165</v>
      </c>
      <c r="C170" s="129">
        <f t="shared" si="39"/>
        <v>900421420352208.5</v>
      </c>
      <c r="D170" s="129">
        <f t="shared" si="34"/>
        <v>6903230888700268</v>
      </c>
      <c r="M170" s="125">
        <f t="shared" si="35"/>
        <v>165</v>
      </c>
      <c r="N170" s="129">
        <f t="shared" si="36"/>
        <v>360168568140883.19</v>
      </c>
      <c r="O170" s="129">
        <f t="shared" si="37"/>
        <v>2761292355480105.5</v>
      </c>
    </row>
    <row r="171" spans="2:15" x14ac:dyDescent="0.3">
      <c r="B171" s="125">
        <f t="shared" si="38"/>
        <v>166</v>
      </c>
      <c r="C171" s="129">
        <f t="shared" si="39"/>
        <v>1035484633405039.8</v>
      </c>
      <c r="D171" s="129">
        <f t="shared" si="34"/>
        <v>7938715522105308</v>
      </c>
      <c r="M171" s="125">
        <f t="shared" si="35"/>
        <v>166</v>
      </c>
      <c r="N171" s="129">
        <f t="shared" si="36"/>
        <v>414193853362015.63</v>
      </c>
      <c r="O171" s="129">
        <f t="shared" si="37"/>
        <v>3175486208842121</v>
      </c>
    </row>
    <row r="172" spans="2:15" x14ac:dyDescent="0.3">
      <c r="B172" s="125">
        <f t="shared" si="38"/>
        <v>167</v>
      </c>
      <c r="C172" s="129">
        <f t="shared" si="39"/>
        <v>1190807328415795.5</v>
      </c>
      <c r="D172" s="129">
        <f t="shared" si="34"/>
        <v>9129522850521104</v>
      </c>
      <c r="M172" s="125">
        <f t="shared" si="35"/>
        <v>167</v>
      </c>
      <c r="N172" s="129">
        <f t="shared" si="36"/>
        <v>476322931366317.94</v>
      </c>
      <c r="O172" s="129">
        <f t="shared" si="37"/>
        <v>3651809140208439</v>
      </c>
    </row>
    <row r="173" spans="2:15" x14ac:dyDescent="0.3">
      <c r="B173" s="125">
        <f t="shared" si="38"/>
        <v>168</v>
      </c>
      <c r="C173" s="129">
        <f t="shared" si="39"/>
        <v>1369428427678164.8</v>
      </c>
      <c r="D173" s="129">
        <f t="shared" si="34"/>
        <v>1.0498951278199268E+16</v>
      </c>
      <c r="M173" s="125">
        <f t="shared" si="35"/>
        <v>168</v>
      </c>
      <c r="N173" s="129">
        <f t="shared" si="36"/>
        <v>547771371071265.56</v>
      </c>
      <c r="O173" s="129">
        <f t="shared" si="37"/>
        <v>4199580511279704.5</v>
      </c>
    </row>
    <row r="174" spans="2:15" x14ac:dyDescent="0.3">
      <c r="B174" s="125">
        <f t="shared" si="38"/>
        <v>169</v>
      </c>
      <c r="C174" s="129">
        <f t="shared" si="39"/>
        <v>1574842691829889.3</v>
      </c>
      <c r="D174" s="129">
        <f t="shared" si="34"/>
        <v>1.2073793970029158E+16</v>
      </c>
      <c r="M174" s="125">
        <f t="shared" si="35"/>
        <v>169</v>
      </c>
      <c r="N174" s="129">
        <f t="shared" si="36"/>
        <v>629937076731955.38</v>
      </c>
      <c r="O174" s="129">
        <f t="shared" si="37"/>
        <v>4829517588011660</v>
      </c>
    </row>
    <row r="175" spans="2:15" x14ac:dyDescent="0.3">
      <c r="B175" s="125">
        <f t="shared" si="38"/>
        <v>170</v>
      </c>
      <c r="C175" s="129">
        <f t="shared" si="39"/>
        <v>1811069095604372.5</v>
      </c>
      <c r="D175" s="129">
        <f t="shared" si="34"/>
        <v>1.388486306563353E+16</v>
      </c>
      <c r="M175" s="125">
        <f t="shared" si="35"/>
        <v>170</v>
      </c>
      <c r="N175" s="129">
        <f t="shared" si="36"/>
        <v>724427638241748.63</v>
      </c>
      <c r="O175" s="129">
        <f t="shared" si="37"/>
        <v>5553945226253409</v>
      </c>
    </row>
    <row r="176" spans="2:15" x14ac:dyDescent="0.3">
      <c r="B176" s="125">
        <f t="shared" si="38"/>
        <v>171</v>
      </c>
      <c r="C176" s="129">
        <f t="shared" si="39"/>
        <v>2082729459945028.3</v>
      </c>
      <c r="D176" s="129">
        <f t="shared" si="34"/>
        <v>1.5967592525578558E+16</v>
      </c>
      <c r="M176" s="125">
        <f t="shared" si="35"/>
        <v>171</v>
      </c>
      <c r="N176" s="129">
        <f t="shared" si="36"/>
        <v>833091783978010.88</v>
      </c>
      <c r="O176" s="129">
        <f t="shared" si="37"/>
        <v>6387037010231420</v>
      </c>
    </row>
    <row r="177" spans="2:15" x14ac:dyDescent="0.3">
      <c r="B177" s="125">
        <f t="shared" si="38"/>
        <v>172</v>
      </c>
      <c r="C177" s="129">
        <f t="shared" si="39"/>
        <v>2395138878936782.5</v>
      </c>
      <c r="D177" s="129">
        <f t="shared" si="34"/>
        <v>1.836273140451534E+16</v>
      </c>
      <c r="M177" s="125">
        <f t="shared" si="35"/>
        <v>172</v>
      </c>
      <c r="N177" s="129">
        <f t="shared" si="36"/>
        <v>958055551574712.38</v>
      </c>
      <c r="O177" s="129">
        <f t="shared" si="37"/>
        <v>7345092561806132</v>
      </c>
    </row>
    <row r="178" spans="2:15" x14ac:dyDescent="0.3">
      <c r="B178" s="125">
        <f t="shared" si="38"/>
        <v>173</v>
      </c>
      <c r="C178" s="129">
        <f t="shared" si="39"/>
        <v>2754409710777299.5</v>
      </c>
      <c r="D178" s="129">
        <f t="shared" si="34"/>
        <v>2.111714111529264E+16</v>
      </c>
      <c r="M178" s="125">
        <f t="shared" si="35"/>
        <v>173</v>
      </c>
      <c r="N178" s="129">
        <f t="shared" si="36"/>
        <v>1101763884310919.1</v>
      </c>
      <c r="O178" s="129">
        <f t="shared" si="37"/>
        <v>8446856446117051</v>
      </c>
    </row>
    <row r="179" spans="2:15" x14ac:dyDescent="0.3">
      <c r="B179" s="125">
        <f t="shared" si="38"/>
        <v>174</v>
      </c>
      <c r="C179" s="129">
        <f t="shared" si="39"/>
        <v>3167571167393894</v>
      </c>
      <c r="D179" s="129">
        <f t="shared" si="34"/>
        <v>2.4284712282686536E+16</v>
      </c>
      <c r="M179" s="125">
        <f t="shared" si="35"/>
        <v>174</v>
      </c>
      <c r="N179" s="129">
        <f t="shared" si="36"/>
        <v>1267028466957557</v>
      </c>
      <c r="O179" s="129">
        <f t="shared" si="37"/>
        <v>9713884913074608</v>
      </c>
    </row>
    <row r="180" spans="2:15" x14ac:dyDescent="0.3">
      <c r="B180" s="125">
        <f t="shared" si="38"/>
        <v>175</v>
      </c>
      <c r="C180" s="129">
        <f t="shared" si="39"/>
        <v>3642706842502978</v>
      </c>
      <c r="D180" s="129">
        <f t="shared" si="34"/>
        <v>2.7927419125189512E+16</v>
      </c>
      <c r="M180" s="125">
        <f t="shared" si="35"/>
        <v>175</v>
      </c>
      <c r="N180" s="129">
        <f t="shared" si="36"/>
        <v>1457082737001190.5</v>
      </c>
      <c r="O180" s="129">
        <f t="shared" si="37"/>
        <v>1.1170967650075798E+16</v>
      </c>
    </row>
    <row r="181" spans="2:15" x14ac:dyDescent="0.3">
      <c r="B181" s="125">
        <f t="shared" si="38"/>
        <v>176</v>
      </c>
      <c r="C181" s="129">
        <f t="shared" si="39"/>
        <v>4189112868878424.5</v>
      </c>
      <c r="D181" s="129">
        <f t="shared" si="34"/>
        <v>3.2116531994067936E+16</v>
      </c>
      <c r="M181" s="125">
        <f t="shared" si="35"/>
        <v>176</v>
      </c>
      <c r="N181" s="129">
        <f t="shared" si="36"/>
        <v>1675645147551369</v>
      </c>
      <c r="O181" s="129">
        <f t="shared" si="37"/>
        <v>1.2846612797627168E+16</v>
      </c>
    </row>
    <row r="182" spans="2:15" x14ac:dyDescent="0.3">
      <c r="B182" s="125">
        <f t="shared" si="38"/>
        <v>177</v>
      </c>
      <c r="C182" s="129">
        <f t="shared" si="39"/>
        <v>4817479799210188</v>
      </c>
      <c r="D182" s="129">
        <f t="shared" si="34"/>
        <v>3.6934011793278128E+16</v>
      </c>
      <c r="M182" s="125">
        <f t="shared" si="35"/>
        <v>177</v>
      </c>
      <c r="N182" s="129">
        <f t="shared" si="36"/>
        <v>1926991919684074.3</v>
      </c>
      <c r="O182" s="129">
        <f t="shared" si="37"/>
        <v>1.4773604717311242E+16</v>
      </c>
    </row>
    <row r="183" spans="2:15" x14ac:dyDescent="0.3">
      <c r="B183" s="125">
        <f t="shared" si="38"/>
        <v>178</v>
      </c>
      <c r="C183" s="129">
        <f t="shared" si="39"/>
        <v>5540101769091716</v>
      </c>
      <c r="D183" s="129">
        <f t="shared" si="34"/>
        <v>4.247411356236984E+16</v>
      </c>
      <c r="M183" s="125">
        <f t="shared" si="35"/>
        <v>178</v>
      </c>
      <c r="N183" s="129">
        <f t="shared" si="36"/>
        <v>2216040707636685.3</v>
      </c>
      <c r="O183" s="129">
        <f t="shared" si="37"/>
        <v>1.6989645424947928E+16</v>
      </c>
    </row>
    <row r="184" spans="2:15" x14ac:dyDescent="0.3">
      <c r="B184" s="125">
        <f t="shared" si="38"/>
        <v>179</v>
      </c>
      <c r="C184" s="129">
        <f t="shared" si="39"/>
        <v>6371117034455473</v>
      </c>
      <c r="D184" s="129">
        <f t="shared" si="34"/>
        <v>4.8845230596825312E+16</v>
      </c>
      <c r="M184" s="125">
        <f t="shared" si="35"/>
        <v>179</v>
      </c>
      <c r="N184" s="129">
        <f t="shared" si="36"/>
        <v>2548446813782188</v>
      </c>
      <c r="O184" s="129">
        <f t="shared" si="37"/>
        <v>1.9538092238730116E+16</v>
      </c>
    </row>
    <row r="185" spans="2:15" x14ac:dyDescent="0.3">
      <c r="B185" s="125">
        <f t="shared" si="38"/>
        <v>180</v>
      </c>
      <c r="C185" s="129">
        <f t="shared" si="39"/>
        <v>7326784589623793</v>
      </c>
      <c r="D185" s="129">
        <f t="shared" si="34"/>
        <v>5.6172015186449104E+16</v>
      </c>
      <c r="M185" s="125">
        <f t="shared" si="35"/>
        <v>180</v>
      </c>
      <c r="N185" s="129">
        <f t="shared" si="36"/>
        <v>2930713835849516</v>
      </c>
      <c r="O185" s="129">
        <f t="shared" si="37"/>
        <v>2.2468806074579632E+16</v>
      </c>
    </row>
    <row r="186" spans="2:15" x14ac:dyDescent="0.3">
      <c r="B186" s="125">
        <f t="shared" si="38"/>
        <v>181</v>
      </c>
      <c r="C186" s="129">
        <f t="shared" si="39"/>
        <v>8425802278067361</v>
      </c>
      <c r="D186" s="129">
        <f t="shared" si="34"/>
        <v>6.4597817464516464E+16</v>
      </c>
      <c r="M186" s="125">
        <f t="shared" si="35"/>
        <v>181</v>
      </c>
      <c r="N186" s="129">
        <f t="shared" si="36"/>
        <v>3370320911226943</v>
      </c>
      <c r="O186" s="129">
        <f t="shared" si="37"/>
        <v>2.5839126985806576E+16</v>
      </c>
    </row>
    <row r="187" spans="2:15" x14ac:dyDescent="0.3">
      <c r="B187" s="125">
        <f t="shared" si="38"/>
        <v>182</v>
      </c>
      <c r="C187" s="129">
        <f t="shared" si="39"/>
        <v>9689672619777464</v>
      </c>
      <c r="D187" s="129">
        <f t="shared" si="34"/>
        <v>7.428749008429392E+16</v>
      </c>
      <c r="M187" s="125">
        <f t="shared" si="35"/>
        <v>182</v>
      </c>
      <c r="N187" s="129">
        <f t="shared" si="36"/>
        <v>3875869047910984</v>
      </c>
      <c r="O187" s="129">
        <f t="shared" si="37"/>
        <v>2.971499603371756E+16</v>
      </c>
    </row>
    <row r="188" spans="2:15" x14ac:dyDescent="0.3">
      <c r="B188" s="125">
        <f t="shared" si="38"/>
        <v>183</v>
      </c>
      <c r="C188" s="129">
        <f t="shared" si="39"/>
        <v>1.1143123512744082E+16</v>
      </c>
      <c r="D188" s="129">
        <f t="shared" si="34"/>
        <v>8.5430613597038E+16</v>
      </c>
      <c r="M188" s="125">
        <f t="shared" si="35"/>
        <v>183</v>
      </c>
      <c r="N188" s="129">
        <f t="shared" si="36"/>
        <v>4457249405097631.5</v>
      </c>
      <c r="O188" s="129">
        <f t="shared" si="37"/>
        <v>3.4172245438815192E+16</v>
      </c>
    </row>
    <row r="189" spans="2:15" ht="15" thickBot="1" x14ac:dyDescent="0.35">
      <c r="B189" s="126">
        <f t="shared" si="38"/>
        <v>184</v>
      </c>
      <c r="C189" s="120">
        <f t="shared" si="39"/>
        <v>1.2814592039655694E+16</v>
      </c>
      <c r="D189" s="120">
        <f t="shared" si="34"/>
        <v>9.8245205636693696E+16</v>
      </c>
      <c r="M189" s="125">
        <f t="shared" si="35"/>
        <v>184</v>
      </c>
      <c r="N189" s="129">
        <f t="shared" si="36"/>
        <v>5125836815862276</v>
      </c>
      <c r="O189" s="129">
        <f t="shared" si="37"/>
        <v>3.9298082254677472E+16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BBB82-706B-43A4-98C7-B21B3EC95BB8}">
  <dimension ref="A1:K10"/>
  <sheetViews>
    <sheetView workbookViewId="0">
      <selection activeCell="J9" sqref="J9"/>
    </sheetView>
  </sheetViews>
  <sheetFormatPr defaultRowHeight="14.4" x14ac:dyDescent="0.3"/>
  <cols>
    <col min="1" max="9" width="9.5546875" customWidth="1"/>
    <col min="10" max="10" width="11.6640625" customWidth="1"/>
  </cols>
  <sheetData>
    <row r="1" spans="1:11" ht="40.200000000000003" customHeight="1" x14ac:dyDescent="0.3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40.200000000000003" customHeight="1" x14ac:dyDescent="0.3">
      <c r="A2" s="187"/>
      <c r="B2" s="187"/>
      <c r="C2" s="188">
        <v>21</v>
      </c>
      <c r="D2" s="188">
        <v>22</v>
      </c>
      <c r="E2" s="188">
        <v>23</v>
      </c>
      <c r="F2" s="188">
        <v>24</v>
      </c>
      <c r="G2" s="188">
        <v>25</v>
      </c>
      <c r="H2" s="188">
        <v>26</v>
      </c>
      <c r="I2" s="188">
        <v>27</v>
      </c>
      <c r="J2" s="187"/>
      <c r="K2" s="187"/>
    </row>
    <row r="3" spans="1:11" ht="40.200000000000003" customHeight="1" x14ac:dyDescent="0.3">
      <c r="A3" s="187"/>
      <c r="B3" s="188">
        <v>28</v>
      </c>
      <c r="C3" s="188">
        <v>29</v>
      </c>
      <c r="D3" s="188">
        <v>30</v>
      </c>
      <c r="E3" s="188">
        <v>31</v>
      </c>
      <c r="F3" s="188">
        <v>32</v>
      </c>
      <c r="G3" s="188">
        <v>33</v>
      </c>
      <c r="H3" s="188">
        <v>34</v>
      </c>
      <c r="I3" s="188">
        <v>35</v>
      </c>
      <c r="J3" s="188">
        <v>36</v>
      </c>
      <c r="K3" s="187"/>
    </row>
    <row r="4" spans="1:11" ht="40.200000000000003" customHeight="1" x14ac:dyDescent="0.3">
      <c r="A4" s="187"/>
      <c r="B4" s="188">
        <v>37</v>
      </c>
      <c r="C4" s="188">
        <v>38</v>
      </c>
      <c r="D4" s="189">
        <v>1</v>
      </c>
      <c r="E4" s="189">
        <v>2</v>
      </c>
      <c r="F4" s="189">
        <v>3</v>
      </c>
      <c r="G4" s="189">
        <v>4</v>
      </c>
      <c r="H4" s="189">
        <v>5</v>
      </c>
      <c r="I4" s="188">
        <v>39</v>
      </c>
      <c r="J4" s="188">
        <v>40</v>
      </c>
      <c r="K4" s="187"/>
    </row>
    <row r="5" spans="1:11" ht="40.200000000000003" customHeight="1" x14ac:dyDescent="0.3">
      <c r="A5" s="187"/>
      <c r="B5" s="188">
        <v>41</v>
      </c>
      <c r="C5" s="188">
        <v>42</v>
      </c>
      <c r="D5" s="189">
        <v>6</v>
      </c>
      <c r="E5" s="189">
        <v>7</v>
      </c>
      <c r="F5" s="189">
        <v>8</v>
      </c>
      <c r="G5" s="189">
        <v>9</v>
      </c>
      <c r="H5" s="189">
        <v>10</v>
      </c>
      <c r="I5" s="188">
        <v>43</v>
      </c>
      <c r="J5" s="188">
        <v>44</v>
      </c>
      <c r="K5" s="187"/>
    </row>
    <row r="6" spans="1:11" ht="40.200000000000003" customHeight="1" x14ac:dyDescent="0.3">
      <c r="A6" s="187"/>
      <c r="B6" s="188">
        <v>45</v>
      </c>
      <c r="C6" s="188">
        <v>46</v>
      </c>
      <c r="D6" s="189">
        <v>11</v>
      </c>
      <c r="E6" s="189">
        <v>12</v>
      </c>
      <c r="F6" s="189">
        <v>13</v>
      </c>
      <c r="G6" s="189">
        <v>14</v>
      </c>
      <c r="H6" s="189">
        <v>15</v>
      </c>
      <c r="I6" s="188">
        <v>47</v>
      </c>
      <c r="J6" s="188">
        <v>48</v>
      </c>
      <c r="K6" s="187"/>
    </row>
    <row r="7" spans="1:11" ht="40.200000000000003" customHeight="1" x14ac:dyDescent="0.3">
      <c r="A7" s="187"/>
      <c r="B7" s="188">
        <v>49</v>
      </c>
      <c r="C7" s="188">
        <v>50</v>
      </c>
      <c r="D7" s="189">
        <v>16</v>
      </c>
      <c r="E7" s="189">
        <v>17</v>
      </c>
      <c r="F7" s="189">
        <v>18</v>
      </c>
      <c r="G7" s="189">
        <v>19</v>
      </c>
      <c r="H7" s="189">
        <v>20</v>
      </c>
      <c r="I7" s="188">
        <v>51</v>
      </c>
      <c r="J7" s="188">
        <v>52</v>
      </c>
      <c r="K7" s="187"/>
    </row>
    <row r="8" spans="1:11" ht="40.200000000000003" customHeight="1" x14ac:dyDescent="0.3">
      <c r="A8" s="187"/>
      <c r="B8" s="188">
        <v>53</v>
      </c>
      <c r="C8" s="188">
        <v>54</v>
      </c>
      <c r="D8" s="188">
        <v>55</v>
      </c>
      <c r="E8" s="188">
        <v>56</v>
      </c>
      <c r="F8" s="188">
        <v>57</v>
      </c>
      <c r="G8" s="188">
        <v>58</v>
      </c>
      <c r="H8" s="188">
        <v>59</v>
      </c>
      <c r="I8" s="188">
        <v>60</v>
      </c>
      <c r="J8" s="188">
        <v>61</v>
      </c>
      <c r="K8" s="187"/>
    </row>
    <row r="9" spans="1:11" ht="40.200000000000003" customHeight="1" x14ac:dyDescent="0.3">
      <c r="A9" s="187"/>
      <c r="B9" s="187"/>
      <c r="C9" s="188">
        <v>62</v>
      </c>
      <c r="D9" s="188">
        <v>63</v>
      </c>
      <c r="E9" s="188">
        <v>64</v>
      </c>
      <c r="F9" s="188">
        <v>65</v>
      </c>
      <c r="G9" s="188">
        <v>66</v>
      </c>
      <c r="H9" s="188">
        <v>67</v>
      </c>
      <c r="I9" s="188">
        <v>68</v>
      </c>
      <c r="J9" s="187"/>
      <c r="K9" s="187"/>
    </row>
    <row r="10" spans="1:11" ht="40.200000000000003" customHeight="1" x14ac:dyDescent="0.3">
      <c r="A10" s="187"/>
      <c r="B10" s="187"/>
      <c r="C10" s="187"/>
      <c r="D10" s="187"/>
      <c r="E10" s="187"/>
      <c r="F10" s="187"/>
      <c r="G10" s="187"/>
      <c r="H10" s="187"/>
      <c r="I10" s="187"/>
      <c r="J10" s="187"/>
      <c r="K10" s="1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61</vt:i4>
      </vt:variant>
    </vt:vector>
  </HeadingPairs>
  <TitlesOfParts>
    <vt:vector size="64" baseType="lpstr">
      <vt:lpstr>territory</vt:lpstr>
      <vt:lpstr>cost</vt:lpstr>
      <vt:lpstr>island</vt:lpstr>
      <vt:lpstr>abdicate</vt:lpstr>
      <vt:lpstr>american1</vt:lpstr>
      <vt:lpstr>American4</vt:lpstr>
      <vt:lpstr>chickun?</vt:lpstr>
      <vt:lpstr>chickun_bonus</vt:lpstr>
      <vt:lpstr>chickun_god?</vt:lpstr>
      <vt:lpstr>cromlechis?</vt:lpstr>
      <vt:lpstr>english3</vt:lpstr>
      <vt:lpstr>fame_bonus</vt:lpstr>
      <vt:lpstr>farmers_tile</vt:lpstr>
      <vt:lpstr>farms</vt:lpstr>
      <vt:lpstr>food_multiplier</vt:lpstr>
      <vt:lpstr>forest_camp_production</vt:lpstr>
      <vt:lpstr>forest_camp_production_raw</vt:lpstr>
      <vt:lpstr>forest_camps</vt:lpstr>
      <vt:lpstr>frog?</vt:lpstr>
      <vt:lpstr>gold_bonus</vt:lpstr>
      <vt:lpstr>gold_per_ship</vt:lpstr>
      <vt:lpstr>guru?</vt:lpstr>
      <vt:lpstr>instructors</vt:lpstr>
      <vt:lpstr>logger_gold_bonus</vt:lpstr>
      <vt:lpstr>loggers</vt:lpstr>
      <vt:lpstr>logging?</vt:lpstr>
      <vt:lpstr>mason_production</vt:lpstr>
      <vt:lpstr>mason_production_raw</vt:lpstr>
      <vt:lpstr>mystery_bonus</vt:lpstr>
      <vt:lpstr>nature_god?</vt:lpstr>
      <vt:lpstr>nature_pantheon?</vt:lpstr>
      <vt:lpstr>oni_god?</vt:lpstr>
      <vt:lpstr>pyramid_bonus</vt:lpstr>
      <vt:lpstr>quarries</vt:lpstr>
      <vt:lpstr>quarry_production</vt:lpstr>
      <vt:lpstr>ritual_bonus</vt:lpstr>
      <vt:lpstr>rituals_h</vt:lpstr>
      <vt:lpstr>russian2</vt:lpstr>
      <vt:lpstr>russian4</vt:lpstr>
      <vt:lpstr>school_effect</vt:lpstr>
      <vt:lpstr>schools</vt:lpstr>
      <vt:lpstr>ship_gold_bonus</vt:lpstr>
      <vt:lpstr>ship_production</vt:lpstr>
      <vt:lpstr>ship_workers</vt:lpstr>
      <vt:lpstr>ships</vt:lpstr>
      <vt:lpstr>ships_per_hour</vt:lpstr>
      <vt:lpstr>shipyards</vt:lpstr>
      <vt:lpstr>stone_god?</vt:lpstr>
      <vt:lpstr>stone_multiplier</vt:lpstr>
      <vt:lpstr>stone_per_mason</vt:lpstr>
      <vt:lpstr>total_instructs</vt:lpstr>
      <vt:lpstr>total_loggers</vt:lpstr>
      <vt:lpstr>total_masons</vt:lpstr>
      <vt:lpstr>total_production</vt:lpstr>
      <vt:lpstr>total_wheat_workers</vt:lpstr>
      <vt:lpstr>total_workers</vt:lpstr>
      <vt:lpstr>wheat_field_production</vt:lpstr>
      <vt:lpstr>wheat_field_production_raw</vt:lpstr>
      <vt:lpstr>wheat_fields</vt:lpstr>
      <vt:lpstr>wheat_multiplier</vt:lpstr>
      <vt:lpstr>wheat_per_worker</vt:lpstr>
      <vt:lpstr>wheat_workers</vt:lpstr>
      <vt:lpstr>wood_multiplier</vt:lpstr>
      <vt:lpstr>worker?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Timmer, Robbie</dc:creator>
  <cp:lastModifiedBy>Timmer, Robbie</cp:lastModifiedBy>
  <dcterms:created xsi:type="dcterms:W3CDTF">2019-12-15T11:50:24Z</dcterms:created>
  <dcterms:modified xsi:type="dcterms:W3CDTF">2019-12-28T20:49:39Z</dcterms:modified>
</cp:coreProperties>
</file>