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13_ncr:1_{D742D4B0-497D-4FE8-9C56-BD38CFC42B5A}" xr6:coauthVersionLast="47" xr6:coauthVersionMax="47" xr10:uidLastSave="{00000000-0000-0000-0000-000000000000}"/>
  <bookViews>
    <workbookView xWindow="-120" yWindow="-120" windowWidth="29040" windowHeight="17520" tabRatio="558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Materials Inventory" sheetId="55" r:id="rId10"/>
  </sheets>
  <definedNames>
    <definedName name="Materials">Materials!$A$2:$G$50</definedName>
    <definedName name="Printers">Printers!$A$2:$F$46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55" l="1"/>
  <c r="K36" i="55"/>
  <c r="J36" i="55"/>
  <c r="L35" i="55"/>
  <c r="K35" i="55"/>
  <c r="J35" i="55"/>
  <c r="H10" i="54"/>
  <c r="I10" i="54" s="1"/>
  <c r="F10" i="54"/>
  <c r="G10" i="54" s="1"/>
  <c r="D10" i="54"/>
  <c r="E10" i="54" s="1"/>
  <c r="I5" i="54"/>
  <c r="H5" i="54"/>
  <c r="F5" i="54"/>
  <c r="G5" i="54" s="1"/>
  <c r="D5" i="54"/>
  <c r="E5" i="54" s="1"/>
  <c r="C10" i="54"/>
  <c r="C5" i="54"/>
  <c r="I28" i="54"/>
  <c r="H28" i="54"/>
  <c r="F28" i="54"/>
  <c r="G28" i="54" s="1"/>
  <c r="D28" i="54"/>
  <c r="E28" i="54" s="1"/>
  <c r="H27" i="54"/>
  <c r="I27" i="54" s="1"/>
  <c r="F27" i="54"/>
  <c r="G27" i="54" s="1"/>
  <c r="D27" i="54"/>
  <c r="E27" i="54" s="1"/>
  <c r="C28" i="54"/>
  <c r="C27" i="54"/>
  <c r="I7" i="15"/>
  <c r="H7" i="15"/>
  <c r="H5" i="14"/>
  <c r="B34" i="53"/>
  <c r="B33" i="53"/>
  <c r="B32" i="53"/>
  <c r="B31" i="53"/>
  <c r="B30" i="53"/>
  <c r="B29" i="53"/>
  <c r="AM27" i="54"/>
  <c r="F38" i="54"/>
  <c r="F37" i="54"/>
  <c r="F36" i="54"/>
  <c r="F35" i="54"/>
  <c r="F34" i="54"/>
  <c r="F33" i="54"/>
  <c r="F32" i="54"/>
  <c r="F31" i="54"/>
  <c r="F30" i="54"/>
  <c r="F29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9" i="54"/>
  <c r="F8" i="54"/>
  <c r="F7" i="54"/>
  <c r="F6" i="54"/>
  <c r="F4" i="54"/>
  <c r="F3" i="54"/>
  <c r="E25" i="59"/>
  <c r="BB38" i="54"/>
  <c r="BB37" i="54"/>
  <c r="BB36" i="54"/>
  <c r="BB35" i="54"/>
  <c r="BB34" i="54"/>
  <c r="BB33" i="54"/>
  <c r="BB32" i="54"/>
  <c r="BB31" i="54"/>
  <c r="BB30" i="54"/>
  <c r="BB29" i="54"/>
  <c r="BB26" i="54"/>
  <c r="BB25" i="54"/>
  <c r="BB24" i="54"/>
  <c r="BB23" i="54"/>
  <c r="BB22" i="54"/>
  <c r="BB21" i="54"/>
  <c r="BB20" i="54"/>
  <c r="BB19" i="54"/>
  <c r="BB18" i="54"/>
  <c r="BB17" i="54"/>
  <c r="BB16" i="54"/>
  <c r="BB15" i="54"/>
  <c r="BB14" i="54"/>
  <c r="BB13" i="54"/>
  <c r="BB12" i="54"/>
  <c r="BB11" i="54"/>
  <c r="BB9" i="54"/>
  <c r="BB8" i="54"/>
  <c r="BB7" i="54"/>
  <c r="BB6" i="54"/>
  <c r="BB4" i="54"/>
  <c r="BB3" i="54"/>
  <c r="D37" i="54"/>
  <c r="D36" i="54"/>
  <c r="D35" i="54"/>
  <c r="D34" i="54"/>
  <c r="D33" i="54"/>
  <c r="D32" i="54"/>
  <c r="D31" i="54"/>
  <c r="D30" i="54"/>
  <c r="D29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9" i="54"/>
  <c r="D8" i="54"/>
  <c r="D7" i="54"/>
  <c r="D6" i="54"/>
  <c r="D4" i="54"/>
  <c r="D3" i="54"/>
  <c r="D38" i="54"/>
  <c r="DG38" i="54"/>
  <c r="DG37" i="54"/>
  <c r="DG36" i="54"/>
  <c r="DG35" i="54"/>
  <c r="DG34" i="54"/>
  <c r="DG33" i="54"/>
  <c r="DG32" i="54"/>
  <c r="DG31" i="54"/>
  <c r="DG30" i="54"/>
  <c r="DG29" i="54"/>
  <c r="DG26" i="54"/>
  <c r="DG25" i="54"/>
  <c r="DG24" i="54"/>
  <c r="DG23" i="54"/>
  <c r="DG22" i="54"/>
  <c r="DG21" i="54"/>
  <c r="DG20" i="54"/>
  <c r="DG19" i="54"/>
  <c r="DG18" i="54"/>
  <c r="DG17" i="54"/>
  <c r="DG16" i="54"/>
  <c r="DG15" i="54"/>
  <c r="DG14" i="54"/>
  <c r="DG13" i="54"/>
  <c r="DG12" i="54"/>
  <c r="DG11" i="54"/>
  <c r="DG9" i="54"/>
  <c r="DG8" i="54"/>
  <c r="DG7" i="54"/>
  <c r="DG6" i="54"/>
  <c r="DG4" i="54"/>
  <c r="DG3" i="54"/>
  <c r="DD38" i="54"/>
  <c r="DD37" i="54"/>
  <c r="DD36" i="54"/>
  <c r="DD35" i="54"/>
  <c r="DD34" i="54"/>
  <c r="DD33" i="54"/>
  <c r="DD32" i="54"/>
  <c r="DD31" i="54"/>
  <c r="DD30" i="54"/>
  <c r="DD29" i="54"/>
  <c r="DD26" i="54"/>
  <c r="DD25" i="54"/>
  <c r="DD24" i="54"/>
  <c r="DD23" i="54"/>
  <c r="DD22" i="54"/>
  <c r="DD21" i="54"/>
  <c r="DD20" i="54"/>
  <c r="DD19" i="54"/>
  <c r="DD18" i="54"/>
  <c r="DD17" i="54"/>
  <c r="DD16" i="54"/>
  <c r="DD15" i="54"/>
  <c r="DD14" i="54"/>
  <c r="DD13" i="54"/>
  <c r="DD12" i="54"/>
  <c r="DD11" i="54"/>
  <c r="DD9" i="54"/>
  <c r="DD8" i="54"/>
  <c r="DD7" i="54"/>
  <c r="DD6" i="54"/>
  <c r="DD4" i="54"/>
  <c r="DD3" i="54"/>
  <c r="DA38" i="54"/>
  <c r="DA37" i="54"/>
  <c r="DA36" i="54"/>
  <c r="DA35" i="54"/>
  <c r="DA34" i="54"/>
  <c r="DA33" i="54"/>
  <c r="DA32" i="54"/>
  <c r="DA31" i="54"/>
  <c r="DA30" i="54"/>
  <c r="DA29" i="54"/>
  <c r="DA26" i="54"/>
  <c r="DA25" i="54"/>
  <c r="DA24" i="54"/>
  <c r="DA23" i="54"/>
  <c r="DA22" i="54"/>
  <c r="DA21" i="54"/>
  <c r="DA20" i="54"/>
  <c r="DA19" i="54"/>
  <c r="DA18" i="54"/>
  <c r="DA17" i="54"/>
  <c r="DA16" i="54"/>
  <c r="DA15" i="54"/>
  <c r="DA14" i="54"/>
  <c r="DA13" i="54"/>
  <c r="DA12" i="54"/>
  <c r="DA11" i="54"/>
  <c r="DA9" i="54"/>
  <c r="DA8" i="54"/>
  <c r="DA7" i="54"/>
  <c r="DA6" i="54"/>
  <c r="DA4" i="54"/>
  <c r="DA3" i="54"/>
  <c r="CX38" i="54"/>
  <c r="CX37" i="54"/>
  <c r="CX36" i="54"/>
  <c r="CX35" i="54"/>
  <c r="CX34" i="54"/>
  <c r="CX33" i="54"/>
  <c r="CX32" i="54"/>
  <c r="CX31" i="54"/>
  <c r="CX30" i="54"/>
  <c r="CX29" i="54"/>
  <c r="CX26" i="54"/>
  <c r="CX25" i="54"/>
  <c r="CX24" i="54"/>
  <c r="CX23" i="54"/>
  <c r="CX22" i="54"/>
  <c r="CX21" i="54"/>
  <c r="CX20" i="54"/>
  <c r="CX19" i="54"/>
  <c r="CX18" i="54"/>
  <c r="CX17" i="54"/>
  <c r="CX16" i="54"/>
  <c r="CX15" i="54"/>
  <c r="CX14" i="54"/>
  <c r="CX13" i="54"/>
  <c r="CX12" i="54"/>
  <c r="CX11" i="54"/>
  <c r="CX9" i="54"/>
  <c r="CX8" i="54"/>
  <c r="CX7" i="54"/>
  <c r="CX6" i="54"/>
  <c r="CX4" i="54"/>
  <c r="CX3" i="54"/>
  <c r="CU38" i="54"/>
  <c r="CU37" i="54"/>
  <c r="CU36" i="54"/>
  <c r="CU35" i="54"/>
  <c r="CU34" i="54"/>
  <c r="CU33" i="54"/>
  <c r="CU32" i="54"/>
  <c r="CU31" i="54"/>
  <c r="CU30" i="54"/>
  <c r="CU29" i="54"/>
  <c r="CU26" i="54"/>
  <c r="CU25" i="54"/>
  <c r="CU24" i="54"/>
  <c r="CU23" i="54"/>
  <c r="CU22" i="54"/>
  <c r="CU21" i="54"/>
  <c r="CU20" i="54"/>
  <c r="CU19" i="54"/>
  <c r="CU18" i="54"/>
  <c r="CU17" i="54"/>
  <c r="CU16" i="54"/>
  <c r="CU15" i="54"/>
  <c r="CU14" i="54"/>
  <c r="CU13" i="54"/>
  <c r="CU12" i="54"/>
  <c r="CU11" i="54"/>
  <c r="CU9" i="54"/>
  <c r="CU8" i="54"/>
  <c r="CU7" i="54"/>
  <c r="CU6" i="54"/>
  <c r="CU4" i="54"/>
  <c r="CU3" i="54"/>
  <c r="CR38" i="54"/>
  <c r="CR37" i="54"/>
  <c r="CR36" i="54"/>
  <c r="CR35" i="54"/>
  <c r="CR34" i="54"/>
  <c r="CR33" i="54"/>
  <c r="CR32" i="54"/>
  <c r="CR31" i="54"/>
  <c r="CR30" i="54"/>
  <c r="CR29" i="54"/>
  <c r="CR26" i="54"/>
  <c r="CR25" i="54"/>
  <c r="CR24" i="54"/>
  <c r="CR23" i="54"/>
  <c r="CR22" i="54"/>
  <c r="CR21" i="54"/>
  <c r="CR20" i="54"/>
  <c r="CR19" i="54"/>
  <c r="CR18" i="54"/>
  <c r="CR17" i="54"/>
  <c r="CR16" i="54"/>
  <c r="CR15" i="54"/>
  <c r="CR14" i="54"/>
  <c r="CR13" i="54"/>
  <c r="CR12" i="54"/>
  <c r="CR11" i="54"/>
  <c r="CR9" i="54"/>
  <c r="CR8" i="54"/>
  <c r="CR7" i="54"/>
  <c r="CR6" i="54"/>
  <c r="CR4" i="54"/>
  <c r="CR3" i="54"/>
  <c r="CO38" i="54"/>
  <c r="CO37" i="54"/>
  <c r="CO36" i="54"/>
  <c r="CO35" i="54"/>
  <c r="CO34" i="54"/>
  <c r="CO33" i="54"/>
  <c r="CO32" i="54"/>
  <c r="CO31" i="54"/>
  <c r="CO30" i="54"/>
  <c r="CO29" i="54"/>
  <c r="CO26" i="54"/>
  <c r="CO25" i="54"/>
  <c r="CO24" i="54"/>
  <c r="CO23" i="54"/>
  <c r="CO22" i="54"/>
  <c r="CO21" i="54"/>
  <c r="CO20" i="54"/>
  <c r="CO19" i="54"/>
  <c r="CO18" i="54"/>
  <c r="CO17" i="54"/>
  <c r="CO16" i="54"/>
  <c r="CO15" i="54"/>
  <c r="CO14" i="54"/>
  <c r="CO13" i="54"/>
  <c r="CO12" i="54"/>
  <c r="CO11" i="54"/>
  <c r="CO9" i="54"/>
  <c r="CO8" i="54"/>
  <c r="CO7" i="54"/>
  <c r="CO6" i="54"/>
  <c r="CO4" i="54"/>
  <c r="CO3" i="54"/>
  <c r="CL38" i="54"/>
  <c r="CL37" i="54"/>
  <c r="CL36" i="54"/>
  <c r="CL35" i="54"/>
  <c r="CL34" i="54"/>
  <c r="CL33" i="54"/>
  <c r="CL32" i="54"/>
  <c r="CL31" i="54"/>
  <c r="CL30" i="54"/>
  <c r="CL29" i="54"/>
  <c r="CL26" i="54"/>
  <c r="CL25" i="54"/>
  <c r="CL24" i="54"/>
  <c r="CL23" i="54"/>
  <c r="CL22" i="54"/>
  <c r="CL21" i="54"/>
  <c r="CL20" i="54"/>
  <c r="CL19" i="54"/>
  <c r="CL18" i="54"/>
  <c r="CL17" i="54"/>
  <c r="CL16" i="54"/>
  <c r="CL15" i="54"/>
  <c r="CL14" i="54"/>
  <c r="CL13" i="54"/>
  <c r="CL12" i="54"/>
  <c r="CL11" i="54"/>
  <c r="CL9" i="54"/>
  <c r="CL8" i="54"/>
  <c r="CL7" i="54"/>
  <c r="CL6" i="54"/>
  <c r="CL4" i="54"/>
  <c r="CL3" i="54"/>
  <c r="CI38" i="54"/>
  <c r="CI37" i="54"/>
  <c r="CI36" i="54"/>
  <c r="CI35" i="54"/>
  <c r="CI34" i="54"/>
  <c r="CI33" i="54"/>
  <c r="CI32" i="54"/>
  <c r="CI31" i="54"/>
  <c r="CI30" i="54"/>
  <c r="CI29" i="54"/>
  <c r="CI26" i="54"/>
  <c r="CI25" i="54"/>
  <c r="CI24" i="54"/>
  <c r="CI23" i="54"/>
  <c r="CI22" i="54"/>
  <c r="CI21" i="54"/>
  <c r="CI20" i="54"/>
  <c r="CI19" i="54"/>
  <c r="CI18" i="54"/>
  <c r="CI17" i="54"/>
  <c r="CI16" i="54"/>
  <c r="CI15" i="54"/>
  <c r="CI14" i="54"/>
  <c r="CI13" i="54"/>
  <c r="CI12" i="54"/>
  <c r="CI11" i="54"/>
  <c r="CI9" i="54"/>
  <c r="CI8" i="54"/>
  <c r="CI7" i="54"/>
  <c r="CI6" i="54"/>
  <c r="CI4" i="54"/>
  <c r="CI3" i="54"/>
  <c r="CF38" i="54"/>
  <c r="CF37" i="54"/>
  <c r="CF36" i="54"/>
  <c r="CF35" i="54"/>
  <c r="CF34" i="54"/>
  <c r="CF33" i="54"/>
  <c r="CF32" i="54"/>
  <c r="CF31" i="54"/>
  <c r="CF30" i="54"/>
  <c r="CF29" i="54"/>
  <c r="CF26" i="54"/>
  <c r="CF25" i="54"/>
  <c r="CF24" i="54"/>
  <c r="CF23" i="54"/>
  <c r="CF22" i="54"/>
  <c r="CF21" i="54"/>
  <c r="CF20" i="54"/>
  <c r="CF19" i="54"/>
  <c r="CF18" i="54"/>
  <c r="CF17" i="54"/>
  <c r="CF16" i="54"/>
  <c r="CF15" i="54"/>
  <c r="CF14" i="54"/>
  <c r="CF13" i="54"/>
  <c r="CF12" i="54"/>
  <c r="CF11" i="54"/>
  <c r="CF9" i="54"/>
  <c r="CF8" i="54"/>
  <c r="CF7" i="54"/>
  <c r="CF6" i="54"/>
  <c r="CF4" i="54"/>
  <c r="CF3" i="54"/>
  <c r="CC38" i="54"/>
  <c r="CC37" i="54"/>
  <c r="CC36" i="54"/>
  <c r="CC35" i="54"/>
  <c r="CC34" i="54"/>
  <c r="CC33" i="54"/>
  <c r="CC32" i="54"/>
  <c r="CC31" i="54"/>
  <c r="CC30" i="54"/>
  <c r="CC29" i="54"/>
  <c r="CC26" i="54"/>
  <c r="CC25" i="54"/>
  <c r="CC24" i="54"/>
  <c r="CC23" i="54"/>
  <c r="CC22" i="54"/>
  <c r="CC21" i="54"/>
  <c r="CC20" i="54"/>
  <c r="CC19" i="54"/>
  <c r="CC18" i="54"/>
  <c r="CC17" i="54"/>
  <c r="CC16" i="54"/>
  <c r="CC15" i="54"/>
  <c r="CC14" i="54"/>
  <c r="CC13" i="54"/>
  <c r="CC12" i="54"/>
  <c r="CC11" i="54"/>
  <c r="CC9" i="54"/>
  <c r="CC8" i="54"/>
  <c r="CC7" i="54"/>
  <c r="CC6" i="54"/>
  <c r="CC4" i="54"/>
  <c r="CC3" i="54"/>
  <c r="BZ38" i="54"/>
  <c r="BZ37" i="54"/>
  <c r="BZ36" i="54"/>
  <c r="BZ35" i="54"/>
  <c r="BZ34" i="54"/>
  <c r="BZ33" i="54"/>
  <c r="BZ32" i="54"/>
  <c r="BZ31" i="54"/>
  <c r="BZ30" i="54"/>
  <c r="BZ29" i="54"/>
  <c r="BZ26" i="54"/>
  <c r="BZ25" i="54"/>
  <c r="BZ24" i="54"/>
  <c r="BZ23" i="54"/>
  <c r="BZ22" i="54"/>
  <c r="BZ21" i="54"/>
  <c r="BZ20" i="54"/>
  <c r="BZ19" i="54"/>
  <c r="BZ18" i="54"/>
  <c r="BZ17" i="54"/>
  <c r="BZ16" i="54"/>
  <c r="BZ15" i="54"/>
  <c r="BZ14" i="54"/>
  <c r="BZ13" i="54"/>
  <c r="BZ12" i="54"/>
  <c r="BZ11" i="54"/>
  <c r="BZ9" i="54"/>
  <c r="BZ8" i="54"/>
  <c r="BZ7" i="54"/>
  <c r="BZ6" i="54"/>
  <c r="BZ4" i="54"/>
  <c r="BZ3" i="54"/>
  <c r="BW38" i="54"/>
  <c r="BW37" i="54"/>
  <c r="BW36" i="54"/>
  <c r="BW35" i="54"/>
  <c r="BW34" i="54"/>
  <c r="BW33" i="54"/>
  <c r="BW32" i="54"/>
  <c r="BW31" i="54"/>
  <c r="BW30" i="54"/>
  <c r="BW29" i="54"/>
  <c r="BW26" i="54"/>
  <c r="BW25" i="54"/>
  <c r="BW24" i="54"/>
  <c r="BW23" i="54"/>
  <c r="BW22" i="54"/>
  <c r="BW21" i="54"/>
  <c r="BW20" i="54"/>
  <c r="BW19" i="54"/>
  <c r="BW18" i="54"/>
  <c r="BW17" i="54"/>
  <c r="BW16" i="54"/>
  <c r="BW15" i="54"/>
  <c r="BW14" i="54"/>
  <c r="BW13" i="54"/>
  <c r="BW12" i="54"/>
  <c r="BW11" i="54"/>
  <c r="BW9" i="54"/>
  <c r="BW8" i="54"/>
  <c r="BW7" i="54"/>
  <c r="BW6" i="54"/>
  <c r="BW4" i="54"/>
  <c r="BW3" i="54"/>
  <c r="BT38" i="54"/>
  <c r="BT37" i="54"/>
  <c r="BT36" i="54"/>
  <c r="BT35" i="54"/>
  <c r="BT34" i="54"/>
  <c r="BT33" i="54"/>
  <c r="BT32" i="54"/>
  <c r="BT31" i="54"/>
  <c r="BT30" i="54"/>
  <c r="BT29" i="54"/>
  <c r="BT26" i="54"/>
  <c r="BT25" i="54"/>
  <c r="BT24" i="54"/>
  <c r="BT23" i="54"/>
  <c r="BT22" i="54"/>
  <c r="BT21" i="54"/>
  <c r="BT20" i="54"/>
  <c r="BT19" i="54"/>
  <c r="BT18" i="54"/>
  <c r="BT17" i="54"/>
  <c r="BT16" i="54"/>
  <c r="BT15" i="54"/>
  <c r="BT14" i="54"/>
  <c r="BT13" i="54"/>
  <c r="BT12" i="54"/>
  <c r="BT11" i="54"/>
  <c r="BT9" i="54"/>
  <c r="BT8" i="54"/>
  <c r="BT7" i="54"/>
  <c r="BT6" i="54"/>
  <c r="BT4" i="54"/>
  <c r="BT3" i="54"/>
  <c r="BQ38" i="54"/>
  <c r="BQ37" i="54"/>
  <c r="BQ36" i="54"/>
  <c r="BQ35" i="54"/>
  <c r="BQ34" i="54"/>
  <c r="BQ33" i="54"/>
  <c r="BQ32" i="54"/>
  <c r="BQ31" i="54"/>
  <c r="BQ30" i="54"/>
  <c r="BQ29" i="54"/>
  <c r="BQ26" i="54"/>
  <c r="BQ25" i="54"/>
  <c r="BQ24" i="54"/>
  <c r="BQ23" i="54"/>
  <c r="BQ22" i="54"/>
  <c r="BQ21" i="54"/>
  <c r="BQ20" i="54"/>
  <c r="BQ19" i="54"/>
  <c r="BQ18" i="54"/>
  <c r="BQ17" i="54"/>
  <c r="BQ16" i="54"/>
  <c r="BQ15" i="54"/>
  <c r="BQ14" i="54"/>
  <c r="BQ13" i="54"/>
  <c r="BQ12" i="54"/>
  <c r="BQ11" i="54"/>
  <c r="BQ9" i="54"/>
  <c r="BQ8" i="54"/>
  <c r="BQ7" i="54"/>
  <c r="BQ6" i="54"/>
  <c r="BQ4" i="54"/>
  <c r="BQ3" i="54"/>
  <c r="BN38" i="54"/>
  <c r="BN37" i="54"/>
  <c r="BN36" i="54"/>
  <c r="BN35" i="54"/>
  <c r="BN34" i="54"/>
  <c r="BN33" i="54"/>
  <c r="BN32" i="54"/>
  <c r="BN31" i="54"/>
  <c r="BN30" i="54"/>
  <c r="BN29" i="54"/>
  <c r="BN26" i="54"/>
  <c r="BN25" i="54"/>
  <c r="BN24" i="54"/>
  <c r="BN23" i="54"/>
  <c r="BN22" i="54"/>
  <c r="BN21" i="54"/>
  <c r="BN20" i="54"/>
  <c r="BN19" i="54"/>
  <c r="BN18" i="54"/>
  <c r="BN17" i="54"/>
  <c r="BN16" i="54"/>
  <c r="BN15" i="54"/>
  <c r="BN14" i="54"/>
  <c r="BN13" i="54"/>
  <c r="BN12" i="54"/>
  <c r="BN11" i="54"/>
  <c r="BN9" i="54"/>
  <c r="BN8" i="54"/>
  <c r="BN7" i="54"/>
  <c r="BN6" i="54"/>
  <c r="BN4" i="54"/>
  <c r="BN3" i="54"/>
  <c r="BK38" i="54"/>
  <c r="BK37" i="54"/>
  <c r="BK36" i="54"/>
  <c r="BK35" i="54"/>
  <c r="BK34" i="54"/>
  <c r="BK33" i="54"/>
  <c r="BK32" i="54"/>
  <c r="BK31" i="54"/>
  <c r="BK30" i="54"/>
  <c r="BK29" i="54"/>
  <c r="BK26" i="54"/>
  <c r="BK25" i="54"/>
  <c r="BK24" i="54"/>
  <c r="BK23" i="54"/>
  <c r="BK22" i="54"/>
  <c r="BK21" i="54"/>
  <c r="BK20" i="54"/>
  <c r="BK19" i="54"/>
  <c r="BK18" i="54"/>
  <c r="BK17" i="54"/>
  <c r="BK16" i="54"/>
  <c r="BK15" i="54"/>
  <c r="BK14" i="54"/>
  <c r="BK13" i="54"/>
  <c r="BK12" i="54"/>
  <c r="BK11" i="54"/>
  <c r="BK9" i="54"/>
  <c r="BK8" i="54"/>
  <c r="BK7" i="54"/>
  <c r="BK6" i="54"/>
  <c r="BK4" i="54"/>
  <c r="BK3" i="54"/>
  <c r="BH38" i="54"/>
  <c r="BH37" i="54"/>
  <c r="BH36" i="54"/>
  <c r="BH35" i="54"/>
  <c r="BH34" i="54"/>
  <c r="BH33" i="54"/>
  <c r="BH32" i="54"/>
  <c r="BH31" i="54"/>
  <c r="BH30" i="54"/>
  <c r="BH29" i="54"/>
  <c r="BH26" i="54"/>
  <c r="BH25" i="54"/>
  <c r="BH24" i="54"/>
  <c r="BH23" i="54"/>
  <c r="BH22" i="54"/>
  <c r="BH21" i="54"/>
  <c r="BH20" i="54"/>
  <c r="BH19" i="54"/>
  <c r="BH18" i="54"/>
  <c r="BH17" i="54"/>
  <c r="BH16" i="54"/>
  <c r="BH15" i="54"/>
  <c r="BH14" i="54"/>
  <c r="BH13" i="54"/>
  <c r="BH12" i="54"/>
  <c r="BH11" i="54"/>
  <c r="BH9" i="54"/>
  <c r="BH8" i="54"/>
  <c r="BH7" i="54"/>
  <c r="BH6" i="54"/>
  <c r="BH4" i="54"/>
  <c r="BH3" i="54"/>
  <c r="BE38" i="54"/>
  <c r="BE37" i="54"/>
  <c r="BE36" i="54"/>
  <c r="BE35" i="54"/>
  <c r="BE34" i="54"/>
  <c r="BE33" i="54"/>
  <c r="BE32" i="54"/>
  <c r="BE31" i="54"/>
  <c r="BE30" i="54"/>
  <c r="BE29" i="54"/>
  <c r="BE26" i="54"/>
  <c r="BE25" i="54"/>
  <c r="BE24" i="54"/>
  <c r="BE23" i="54"/>
  <c r="BE22" i="54"/>
  <c r="BE21" i="54"/>
  <c r="BE20" i="54"/>
  <c r="BE19" i="54"/>
  <c r="BE18" i="54"/>
  <c r="BE17" i="54"/>
  <c r="BE16" i="54"/>
  <c r="BE15" i="54"/>
  <c r="BE14" i="54"/>
  <c r="BE13" i="54"/>
  <c r="BE12" i="54"/>
  <c r="BE11" i="54"/>
  <c r="BE9" i="54"/>
  <c r="BE8" i="54"/>
  <c r="BE7" i="54"/>
  <c r="BE6" i="54"/>
  <c r="BE4" i="54"/>
  <c r="BE3" i="54"/>
  <c r="AY38" i="54"/>
  <c r="AY37" i="54"/>
  <c r="AY36" i="54"/>
  <c r="AY35" i="54"/>
  <c r="AY34" i="54"/>
  <c r="AY33" i="54"/>
  <c r="AY32" i="54"/>
  <c r="AY31" i="54"/>
  <c r="AY30" i="54"/>
  <c r="AY29" i="54"/>
  <c r="AY26" i="54"/>
  <c r="AY25" i="54"/>
  <c r="AY24" i="54"/>
  <c r="AY23" i="54"/>
  <c r="AY22" i="54"/>
  <c r="AY21" i="54"/>
  <c r="AY20" i="54"/>
  <c r="AY19" i="54"/>
  <c r="AY18" i="54"/>
  <c r="AY17" i="54"/>
  <c r="AY16" i="54"/>
  <c r="AY15" i="54"/>
  <c r="AY14" i="54"/>
  <c r="AY13" i="54"/>
  <c r="AY12" i="54"/>
  <c r="AY11" i="54"/>
  <c r="AY9" i="54"/>
  <c r="AY8" i="54"/>
  <c r="AY7" i="54"/>
  <c r="AY6" i="54"/>
  <c r="AY4" i="54"/>
  <c r="AY3" i="54"/>
  <c r="AV38" i="54"/>
  <c r="AV37" i="54"/>
  <c r="AV36" i="54"/>
  <c r="AV35" i="54"/>
  <c r="AV34" i="54"/>
  <c r="AV33" i="54"/>
  <c r="AV32" i="54"/>
  <c r="AV31" i="54"/>
  <c r="AV30" i="54"/>
  <c r="AV29" i="54"/>
  <c r="AV26" i="54"/>
  <c r="AV25" i="54"/>
  <c r="AV24" i="54"/>
  <c r="AV23" i="54"/>
  <c r="AV22" i="54"/>
  <c r="AV21" i="54"/>
  <c r="AV20" i="54"/>
  <c r="AV19" i="54"/>
  <c r="AV18" i="54"/>
  <c r="AV17" i="54"/>
  <c r="AV16" i="54"/>
  <c r="AV15" i="54"/>
  <c r="AV14" i="54"/>
  <c r="AV13" i="54"/>
  <c r="AV12" i="54"/>
  <c r="AV11" i="54"/>
  <c r="AV9" i="54"/>
  <c r="AV8" i="54"/>
  <c r="AV7" i="54"/>
  <c r="AV6" i="54"/>
  <c r="AV4" i="54"/>
  <c r="AV3" i="54"/>
  <c r="AS38" i="54"/>
  <c r="AS37" i="54"/>
  <c r="AS36" i="54"/>
  <c r="AS35" i="54"/>
  <c r="AS34" i="54"/>
  <c r="AS33" i="54"/>
  <c r="AS32" i="54"/>
  <c r="AS31" i="54"/>
  <c r="AS30" i="54"/>
  <c r="AS29" i="54"/>
  <c r="AS26" i="54"/>
  <c r="AS25" i="54"/>
  <c r="AS24" i="54"/>
  <c r="AS23" i="54"/>
  <c r="AS22" i="54"/>
  <c r="AS21" i="54"/>
  <c r="AS20" i="54"/>
  <c r="AS19" i="54"/>
  <c r="AS18" i="54"/>
  <c r="AS17" i="54"/>
  <c r="AS16" i="54"/>
  <c r="AS15" i="54"/>
  <c r="AS14" i="54"/>
  <c r="AS13" i="54"/>
  <c r="AS12" i="54"/>
  <c r="AS11" i="54"/>
  <c r="AS9" i="54"/>
  <c r="AS8" i="54"/>
  <c r="AS7" i="54"/>
  <c r="AS6" i="54"/>
  <c r="AS4" i="54"/>
  <c r="AS3" i="54"/>
  <c r="AP38" i="54"/>
  <c r="AP37" i="54"/>
  <c r="AP36" i="54"/>
  <c r="AP35" i="54"/>
  <c r="AP34" i="54"/>
  <c r="AP33" i="54"/>
  <c r="AP32" i="54"/>
  <c r="AP31" i="54"/>
  <c r="AP30" i="54"/>
  <c r="AP29" i="54"/>
  <c r="AP26" i="54"/>
  <c r="AP25" i="54"/>
  <c r="AP24" i="54"/>
  <c r="AP23" i="54"/>
  <c r="AP22" i="54"/>
  <c r="AP21" i="54"/>
  <c r="AP20" i="54"/>
  <c r="AP19" i="54"/>
  <c r="AP18" i="54"/>
  <c r="AP17" i="54"/>
  <c r="AP16" i="54"/>
  <c r="AP15" i="54"/>
  <c r="AP14" i="54"/>
  <c r="AP13" i="54"/>
  <c r="AP12" i="54"/>
  <c r="AP11" i="54"/>
  <c r="AP9" i="54"/>
  <c r="AP8" i="54"/>
  <c r="AP7" i="54"/>
  <c r="AP6" i="54"/>
  <c r="AP4" i="54"/>
  <c r="AP3" i="54"/>
  <c r="AM38" i="54"/>
  <c r="AM37" i="54"/>
  <c r="AM36" i="54"/>
  <c r="AM35" i="54"/>
  <c r="AM34" i="54"/>
  <c r="AM33" i="54"/>
  <c r="AM32" i="54"/>
  <c r="AM31" i="54"/>
  <c r="AM30" i="54"/>
  <c r="AM29" i="54"/>
  <c r="AM26" i="54"/>
  <c r="AM25" i="54"/>
  <c r="AM24" i="54"/>
  <c r="AM23" i="54"/>
  <c r="AM22" i="54"/>
  <c r="AM21" i="54"/>
  <c r="AM20" i="54"/>
  <c r="AM19" i="54"/>
  <c r="AM18" i="54"/>
  <c r="AM17" i="54"/>
  <c r="AM16" i="54"/>
  <c r="AM15" i="54"/>
  <c r="AM14" i="54"/>
  <c r="AM13" i="54"/>
  <c r="AM12" i="54"/>
  <c r="AM11" i="54"/>
  <c r="AM9" i="54"/>
  <c r="AM8" i="54"/>
  <c r="AM7" i="54"/>
  <c r="AM6" i="54"/>
  <c r="AM4" i="54"/>
  <c r="AM3" i="54"/>
  <c r="AJ38" i="54"/>
  <c r="AJ37" i="54"/>
  <c r="AJ36" i="54"/>
  <c r="AJ35" i="54"/>
  <c r="AJ34" i="54"/>
  <c r="AJ33" i="54"/>
  <c r="AJ32" i="54"/>
  <c r="AJ31" i="54"/>
  <c r="AJ30" i="54"/>
  <c r="AJ29" i="54"/>
  <c r="AJ26" i="54"/>
  <c r="AJ25" i="54"/>
  <c r="AJ24" i="54"/>
  <c r="AJ23" i="54"/>
  <c r="AJ22" i="54"/>
  <c r="AJ21" i="54"/>
  <c r="AJ20" i="54"/>
  <c r="AJ19" i="54"/>
  <c r="AJ18" i="54"/>
  <c r="AJ17" i="54"/>
  <c r="AJ16" i="54"/>
  <c r="AJ15" i="54"/>
  <c r="AJ14" i="54"/>
  <c r="AJ13" i="54"/>
  <c r="AJ12" i="54"/>
  <c r="AJ11" i="54"/>
  <c r="AJ9" i="54"/>
  <c r="AJ8" i="54"/>
  <c r="AJ7" i="54"/>
  <c r="AJ6" i="54"/>
  <c r="AJ4" i="54"/>
  <c r="AJ3" i="54"/>
  <c r="AG38" i="54"/>
  <c r="AG37" i="54"/>
  <c r="AG36" i="54"/>
  <c r="AG35" i="54"/>
  <c r="AG34" i="54"/>
  <c r="AG33" i="54"/>
  <c r="AG32" i="54"/>
  <c r="AG31" i="54"/>
  <c r="AG30" i="54"/>
  <c r="AG29" i="54"/>
  <c r="AG26" i="54"/>
  <c r="AG25" i="54"/>
  <c r="AG24" i="54"/>
  <c r="AG23" i="54"/>
  <c r="AG22" i="54"/>
  <c r="AG21" i="54"/>
  <c r="AG20" i="54"/>
  <c r="AG19" i="54"/>
  <c r="AG18" i="54"/>
  <c r="AG17" i="54"/>
  <c r="AG16" i="54"/>
  <c r="AG15" i="54"/>
  <c r="AG14" i="54"/>
  <c r="AG13" i="54"/>
  <c r="AG12" i="54"/>
  <c r="AG11" i="54"/>
  <c r="AG9" i="54"/>
  <c r="AG8" i="54"/>
  <c r="AG7" i="54"/>
  <c r="AG6" i="54"/>
  <c r="AG4" i="54"/>
  <c r="AG3" i="54"/>
  <c r="AD38" i="54"/>
  <c r="AD37" i="54"/>
  <c r="AD36" i="54"/>
  <c r="AD35" i="54"/>
  <c r="AD34" i="54"/>
  <c r="AD33" i="54"/>
  <c r="AD32" i="54"/>
  <c r="AD31" i="54"/>
  <c r="AD30" i="54"/>
  <c r="AD29" i="54"/>
  <c r="AD26" i="54"/>
  <c r="AD25" i="54"/>
  <c r="AD24" i="54"/>
  <c r="AD23" i="54"/>
  <c r="AD22" i="54"/>
  <c r="AD21" i="54"/>
  <c r="AD20" i="54"/>
  <c r="AD19" i="54"/>
  <c r="AD18" i="54"/>
  <c r="AD17" i="54"/>
  <c r="AD16" i="54"/>
  <c r="AD15" i="54"/>
  <c r="AD14" i="54"/>
  <c r="AD13" i="54"/>
  <c r="AD12" i="54"/>
  <c r="AD11" i="54"/>
  <c r="AD9" i="54"/>
  <c r="AD8" i="54"/>
  <c r="AD7" i="54"/>
  <c r="AD6" i="54"/>
  <c r="AD4" i="54"/>
  <c r="AD3" i="54"/>
  <c r="AA38" i="54"/>
  <c r="AA37" i="54"/>
  <c r="AA36" i="54"/>
  <c r="AA35" i="54"/>
  <c r="AA34" i="54"/>
  <c r="AA33" i="54"/>
  <c r="AA32" i="54"/>
  <c r="AA31" i="54"/>
  <c r="AA30" i="54"/>
  <c r="AA29" i="54"/>
  <c r="AA26" i="54"/>
  <c r="AA25" i="54"/>
  <c r="AA24" i="54"/>
  <c r="AA23" i="54"/>
  <c r="AA22" i="54"/>
  <c r="AA21" i="54"/>
  <c r="AA20" i="54"/>
  <c r="AA19" i="54"/>
  <c r="AA18" i="54"/>
  <c r="AA17" i="54"/>
  <c r="AA16" i="54"/>
  <c r="AA15" i="54"/>
  <c r="AA14" i="54"/>
  <c r="AA13" i="54"/>
  <c r="AA12" i="54"/>
  <c r="AA11" i="54"/>
  <c r="AA9" i="54"/>
  <c r="AA8" i="54"/>
  <c r="AA7" i="54"/>
  <c r="AA6" i="54"/>
  <c r="AA4" i="54"/>
  <c r="AA3" i="54"/>
  <c r="X38" i="54"/>
  <c r="X37" i="54"/>
  <c r="X36" i="54"/>
  <c r="X35" i="54"/>
  <c r="X34" i="54"/>
  <c r="X33" i="54"/>
  <c r="X32" i="54"/>
  <c r="X31" i="54"/>
  <c r="X30" i="54"/>
  <c r="X29" i="54"/>
  <c r="X26" i="54"/>
  <c r="X25" i="54"/>
  <c r="X24" i="54"/>
  <c r="X23" i="54"/>
  <c r="X22" i="54"/>
  <c r="X21" i="54"/>
  <c r="X20" i="54"/>
  <c r="X19" i="54"/>
  <c r="X18" i="54"/>
  <c r="X17" i="54"/>
  <c r="X16" i="54"/>
  <c r="X15" i="54"/>
  <c r="X14" i="54"/>
  <c r="X13" i="54"/>
  <c r="X12" i="54"/>
  <c r="X11" i="54"/>
  <c r="X9" i="54"/>
  <c r="X8" i="54"/>
  <c r="X7" i="54"/>
  <c r="X6" i="54"/>
  <c r="X4" i="54"/>
  <c r="X3" i="54"/>
  <c r="U38" i="54"/>
  <c r="U37" i="54"/>
  <c r="U36" i="54"/>
  <c r="U35" i="54"/>
  <c r="U34" i="54"/>
  <c r="U33" i="54"/>
  <c r="U32" i="54"/>
  <c r="U31" i="54"/>
  <c r="U30" i="54"/>
  <c r="U29" i="54"/>
  <c r="U26" i="54"/>
  <c r="U25" i="54"/>
  <c r="U24" i="54"/>
  <c r="U23" i="54"/>
  <c r="U22" i="54"/>
  <c r="U21" i="54"/>
  <c r="U20" i="54"/>
  <c r="U19" i="54"/>
  <c r="U18" i="54"/>
  <c r="U17" i="54"/>
  <c r="U16" i="54"/>
  <c r="U15" i="54"/>
  <c r="U14" i="54"/>
  <c r="U13" i="54"/>
  <c r="U12" i="54"/>
  <c r="U11" i="54"/>
  <c r="U9" i="54"/>
  <c r="U8" i="54"/>
  <c r="U7" i="54"/>
  <c r="U6" i="54"/>
  <c r="U4" i="54"/>
  <c r="U3" i="54"/>
  <c r="R38" i="54"/>
  <c r="R37" i="54"/>
  <c r="R36" i="54"/>
  <c r="R35" i="54"/>
  <c r="R34" i="54"/>
  <c r="R33" i="54"/>
  <c r="R32" i="54"/>
  <c r="R31" i="54"/>
  <c r="R30" i="54"/>
  <c r="R29" i="54"/>
  <c r="R26" i="54"/>
  <c r="R25" i="54"/>
  <c r="R24" i="54"/>
  <c r="R23" i="54"/>
  <c r="R22" i="54"/>
  <c r="R21" i="54"/>
  <c r="R20" i="54"/>
  <c r="R19" i="54"/>
  <c r="R18" i="54"/>
  <c r="R17" i="54"/>
  <c r="R16" i="54"/>
  <c r="R15" i="54"/>
  <c r="R14" i="54"/>
  <c r="R13" i="54"/>
  <c r="R12" i="54"/>
  <c r="R11" i="54"/>
  <c r="R9" i="54"/>
  <c r="R8" i="54"/>
  <c r="R7" i="54"/>
  <c r="R6" i="54"/>
  <c r="R4" i="54"/>
  <c r="R3" i="54"/>
  <c r="O38" i="54"/>
  <c r="O37" i="54"/>
  <c r="O36" i="54"/>
  <c r="O35" i="54"/>
  <c r="O34" i="54"/>
  <c r="O33" i="54"/>
  <c r="O32" i="54"/>
  <c r="O31" i="54"/>
  <c r="O30" i="54"/>
  <c r="O29" i="54"/>
  <c r="O26" i="54"/>
  <c r="O25" i="54"/>
  <c r="O24" i="54"/>
  <c r="O23" i="54"/>
  <c r="O22" i="54"/>
  <c r="O21" i="54"/>
  <c r="O20" i="54"/>
  <c r="O19" i="54"/>
  <c r="O18" i="54"/>
  <c r="O17" i="54"/>
  <c r="O16" i="54"/>
  <c r="O15" i="54"/>
  <c r="O14" i="54"/>
  <c r="O13" i="54"/>
  <c r="O12" i="54"/>
  <c r="O11" i="54"/>
  <c r="O9" i="54"/>
  <c r="O8" i="54"/>
  <c r="O7" i="54"/>
  <c r="O6" i="54"/>
  <c r="O4" i="54"/>
  <c r="O3" i="54"/>
  <c r="L38" i="54"/>
  <c r="L37" i="54"/>
  <c r="L36" i="54"/>
  <c r="L35" i="54"/>
  <c r="L34" i="54"/>
  <c r="L33" i="54"/>
  <c r="L32" i="54"/>
  <c r="H32" i="54" s="1"/>
  <c r="L31" i="54"/>
  <c r="L30" i="54"/>
  <c r="L29" i="54"/>
  <c r="L26" i="54"/>
  <c r="H26" i="54" s="1"/>
  <c r="L25" i="54"/>
  <c r="L24" i="54"/>
  <c r="L23" i="54"/>
  <c r="L22" i="54"/>
  <c r="L21" i="54"/>
  <c r="H21" i="54" s="1"/>
  <c r="L20" i="54"/>
  <c r="H20" i="54" s="1"/>
  <c r="L19" i="54"/>
  <c r="H19" i="54" s="1"/>
  <c r="L18" i="54"/>
  <c r="H18" i="54" s="1"/>
  <c r="L17" i="54"/>
  <c r="H17" i="54" s="1"/>
  <c r="L16" i="54"/>
  <c r="L15" i="54"/>
  <c r="H15" i="54" s="1"/>
  <c r="L14" i="54"/>
  <c r="L13" i="54"/>
  <c r="L12" i="54"/>
  <c r="L11" i="54"/>
  <c r="L9" i="54"/>
  <c r="H9" i="54" s="1"/>
  <c r="L8" i="54"/>
  <c r="H8" i="54" s="1"/>
  <c r="L7" i="54"/>
  <c r="L6" i="54"/>
  <c r="L4" i="54"/>
  <c r="H4" i="54" s="1"/>
  <c r="L3" i="54"/>
  <c r="E25" i="45"/>
  <c r="C36" i="54"/>
  <c r="C12" i="54"/>
  <c r="L34" i="55"/>
  <c r="K34" i="55"/>
  <c r="J34" i="55" s="1"/>
  <c r="L33" i="55"/>
  <c r="K33" i="55"/>
  <c r="J33" i="55" s="1"/>
  <c r="J25" i="55"/>
  <c r="L7" i="55"/>
  <c r="J8" i="55"/>
  <c r="J7" i="55"/>
  <c r="J4" i="55"/>
  <c r="J3" i="55"/>
  <c r="L29" i="55"/>
  <c r="K29" i="55"/>
  <c r="J29" i="55" s="1"/>
  <c r="L27" i="55"/>
  <c r="K27" i="55"/>
  <c r="J27" i="55" s="1"/>
  <c r="L26" i="55"/>
  <c r="K26" i="55"/>
  <c r="J26" i="55" s="1"/>
  <c r="L25" i="55"/>
  <c r="K25" i="55"/>
  <c r="L21" i="55"/>
  <c r="K21" i="55"/>
  <c r="J21" i="55" s="1"/>
  <c r="L15" i="55"/>
  <c r="K15" i="55"/>
  <c r="J15" i="55" s="1"/>
  <c r="L17" i="55"/>
  <c r="K17" i="55"/>
  <c r="J17" i="55" s="1"/>
  <c r="L6" i="55"/>
  <c r="K6" i="55"/>
  <c r="J6" i="55" s="1"/>
  <c r="L2" i="55"/>
  <c r="K2" i="55"/>
  <c r="J2" i="55" s="1"/>
  <c r="L3" i="55"/>
  <c r="K3" i="55"/>
  <c r="K8" i="55"/>
  <c r="L8" i="55"/>
  <c r="B28" i="59"/>
  <c r="B27" i="59"/>
  <c r="B26" i="59"/>
  <c r="B25" i="59"/>
  <c r="B24" i="59"/>
  <c r="B23" i="59"/>
  <c r="B22" i="59"/>
  <c r="B21" i="59"/>
  <c r="A28" i="59"/>
  <c r="A27" i="59"/>
  <c r="A26" i="59"/>
  <c r="A25" i="59"/>
  <c r="A24" i="59"/>
  <c r="A23" i="59"/>
  <c r="A22" i="59"/>
  <c r="A21" i="59"/>
  <c r="B18" i="59"/>
  <c r="B17" i="59"/>
  <c r="B16" i="59"/>
  <c r="B13" i="59"/>
  <c r="B12" i="59"/>
  <c r="B9" i="59"/>
  <c r="B8" i="59"/>
  <c r="B6" i="59"/>
  <c r="D6" i="59" s="1"/>
  <c r="B5" i="59"/>
  <c r="C19" i="54"/>
  <c r="C20" i="54"/>
  <c r="C31" i="54"/>
  <c r="C30" i="54"/>
  <c r="L28" i="55"/>
  <c r="L23" i="55"/>
  <c r="L19" i="55"/>
  <c r="L20" i="55"/>
  <c r="L30" i="55"/>
  <c r="L32" i="55"/>
  <c r="L22" i="55"/>
  <c r="L24" i="55"/>
  <c r="L5" i="55"/>
  <c r="L18" i="55"/>
  <c r="L14" i="55"/>
  <c r="L16" i="55"/>
  <c r="L13" i="55"/>
  <c r="L11" i="55"/>
  <c r="L10" i="55"/>
  <c r="L12" i="55"/>
  <c r="L9" i="55"/>
  <c r="L31" i="55"/>
  <c r="L4" i="55"/>
  <c r="K28" i="55"/>
  <c r="J28" i="55" s="1"/>
  <c r="K23" i="55"/>
  <c r="J23" i="55" s="1"/>
  <c r="K19" i="55"/>
  <c r="J19" i="55" s="1"/>
  <c r="K20" i="55"/>
  <c r="J20" i="55" s="1"/>
  <c r="K30" i="55"/>
  <c r="J30" i="55" s="1"/>
  <c r="K32" i="55"/>
  <c r="J32" i="55" s="1"/>
  <c r="K22" i="55"/>
  <c r="J22" i="55" s="1"/>
  <c r="K24" i="55"/>
  <c r="J24" i="55" s="1"/>
  <c r="K5" i="55"/>
  <c r="J5" i="55" s="1"/>
  <c r="K18" i="55"/>
  <c r="J18" i="55" s="1"/>
  <c r="K14" i="55"/>
  <c r="J14" i="55" s="1"/>
  <c r="K16" i="55"/>
  <c r="J16" i="55" s="1"/>
  <c r="K13" i="55"/>
  <c r="J13" i="55" s="1"/>
  <c r="K11" i="55"/>
  <c r="J11" i="55" s="1"/>
  <c r="K10" i="55"/>
  <c r="J10" i="55" s="1"/>
  <c r="K12" i="55"/>
  <c r="J12" i="55" s="1"/>
  <c r="K7" i="55"/>
  <c r="K9" i="55"/>
  <c r="J9" i="55" s="1"/>
  <c r="K31" i="55"/>
  <c r="J31" i="55" s="1"/>
  <c r="K4" i="55"/>
  <c r="D7" i="16"/>
  <c r="H7" i="16"/>
  <c r="E7" i="16" s="1"/>
  <c r="C7" i="16"/>
  <c r="C3" i="16"/>
  <c r="H4" i="14"/>
  <c r="B7" i="16" l="1"/>
  <c r="H22" i="54"/>
  <c r="H3" i="54"/>
  <c r="H38" i="54"/>
  <c r="H6" i="54"/>
  <c r="H35" i="54"/>
  <c r="H14" i="54"/>
  <c r="H25" i="54"/>
  <c r="H13" i="54"/>
  <c r="H23" i="54"/>
  <c r="H16" i="54"/>
  <c r="H33" i="54"/>
  <c r="H31" i="54"/>
  <c r="I31" i="54" s="1"/>
  <c r="H30" i="54"/>
  <c r="I30" i="54" s="1"/>
  <c r="H34" i="54"/>
  <c r="H11" i="54"/>
  <c r="H36" i="54"/>
  <c r="I36" i="54" s="1"/>
  <c r="H37" i="54"/>
  <c r="H12" i="54"/>
  <c r="I12" i="54" s="1"/>
  <c r="H24" i="54"/>
  <c r="H29" i="54"/>
  <c r="H7" i="54"/>
  <c r="G31" i="54"/>
  <c r="G19" i="54"/>
  <c r="I19" i="54"/>
  <c r="G12" i="54"/>
  <c r="G30" i="54"/>
  <c r="G20" i="54"/>
  <c r="I20" i="54"/>
  <c r="G36" i="54"/>
  <c r="E33" i="59"/>
  <c r="E36" i="54"/>
  <c r="E12" i="54"/>
  <c r="E20" i="54"/>
  <c r="E30" i="54"/>
  <c r="E31" i="54"/>
  <c r="B14" i="59"/>
  <c r="E13" i="59" s="1"/>
  <c r="C22" i="59"/>
  <c r="C28" i="59"/>
  <c r="C25" i="59"/>
  <c r="C27" i="59"/>
  <c r="B10" i="59"/>
  <c r="E15" i="59" s="1"/>
  <c r="B19" i="59"/>
  <c r="E14" i="59" s="1"/>
  <c r="C24" i="59"/>
  <c r="C26" i="59"/>
  <c r="C23" i="59"/>
  <c r="E11" i="59"/>
  <c r="E10" i="59"/>
  <c r="E9" i="59"/>
  <c r="D5" i="59"/>
  <c r="E19" i="54"/>
  <c r="C32" i="54"/>
  <c r="G32" i="54" s="1"/>
  <c r="C7" i="54"/>
  <c r="E7" i="54" s="1"/>
  <c r="C21" i="54"/>
  <c r="E21" i="54" s="1"/>
  <c r="C38" i="54"/>
  <c r="E38" i="54" s="1"/>
  <c r="C14" i="54"/>
  <c r="E14" i="54" s="1"/>
  <c r="C13" i="54"/>
  <c r="G13" i="54" s="1"/>
  <c r="C16" i="54"/>
  <c r="E16" i="54" s="1"/>
  <c r="C18" i="54"/>
  <c r="I18" i="54" s="1"/>
  <c r="C15" i="54"/>
  <c r="E15" i="54" s="1"/>
  <c r="C17" i="54"/>
  <c r="E17" i="54" s="1"/>
  <c r="C24" i="54"/>
  <c r="E24" i="54" s="1"/>
  <c r="C33" i="54"/>
  <c r="E33" i="54" s="1"/>
  <c r="C9" i="54"/>
  <c r="E9" i="54" s="1"/>
  <c r="C35" i="54"/>
  <c r="E35" i="54" s="1"/>
  <c r="C29" i="54"/>
  <c r="E29" i="54" s="1"/>
  <c r="C26" i="54"/>
  <c r="G26" i="54" s="1"/>
  <c r="C25" i="54"/>
  <c r="C23" i="54"/>
  <c r="G23" i="54" s="1"/>
  <c r="C22" i="54"/>
  <c r="I22" i="54" s="1"/>
  <c r="C11" i="54"/>
  <c r="C6" i="54"/>
  <c r="G6" i="54" s="1"/>
  <c r="C4" i="54"/>
  <c r="G4" i="54" s="1"/>
  <c r="C8" i="54"/>
  <c r="G8" i="54" s="1"/>
  <c r="C3" i="54"/>
  <c r="C34" i="54"/>
  <c r="I34" i="54" s="1"/>
  <c r="C37" i="54"/>
  <c r="G37" i="54" s="1"/>
  <c r="B5" i="45"/>
  <c r="E33" i="45" s="1"/>
  <c r="D11" i="53"/>
  <c r="B11" i="53" s="1"/>
  <c r="B6" i="45"/>
  <c r="D6" i="45" s="1"/>
  <c r="E11" i="45" s="1"/>
  <c r="B17" i="45"/>
  <c r="A21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B21" i="45"/>
  <c r="B18" i="45"/>
  <c r="B28" i="53"/>
  <c r="B27" i="53"/>
  <c r="B26" i="53"/>
  <c r="B25" i="53"/>
  <c r="B24" i="53"/>
  <c r="B23" i="53"/>
  <c r="B22" i="53"/>
  <c r="B21" i="53"/>
  <c r="B20" i="53"/>
  <c r="B19" i="53"/>
  <c r="B18" i="53"/>
  <c r="B17" i="53"/>
  <c r="C21" i="59" s="1"/>
  <c r="B16" i="53"/>
  <c r="B15" i="53"/>
  <c r="B14" i="53"/>
  <c r="B13" i="53"/>
  <c r="B12" i="53"/>
  <c r="B10" i="53"/>
  <c r="B9" i="53"/>
  <c r="B8" i="53"/>
  <c r="B16" i="45"/>
  <c r="B13" i="45"/>
  <c r="B7" i="53"/>
  <c r="B6" i="53"/>
  <c r="B5" i="53"/>
  <c r="B4" i="53"/>
  <c r="B3" i="53"/>
  <c r="B2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6" i="15"/>
  <c r="H6" i="15"/>
  <c r="I5" i="15"/>
  <c r="H5" i="15"/>
  <c r="I4" i="15"/>
  <c r="H4" i="15"/>
  <c r="I3" i="15"/>
  <c r="E8" i="59" s="1"/>
  <c r="H3" i="15"/>
  <c r="I2" i="15"/>
  <c r="H2" i="15"/>
  <c r="H3" i="14"/>
  <c r="H2" i="14"/>
  <c r="K8" i="59" l="1"/>
  <c r="F8" i="59"/>
  <c r="G8" i="59"/>
  <c r="J8" i="59"/>
  <c r="H8" i="59"/>
  <c r="I8" i="59"/>
  <c r="I25" i="54"/>
  <c r="I11" i="54"/>
  <c r="G34" i="54"/>
  <c r="G11" i="54"/>
  <c r="I4" i="54"/>
  <c r="G22" i="54"/>
  <c r="G25" i="54"/>
  <c r="I26" i="54"/>
  <c r="I32" i="54"/>
  <c r="I13" i="54"/>
  <c r="G18" i="54"/>
  <c r="I8" i="54"/>
  <c r="I23" i="54"/>
  <c r="I9" i="54"/>
  <c r="G15" i="54"/>
  <c r="I7" i="54"/>
  <c r="G35" i="54"/>
  <c r="G33" i="54"/>
  <c r="G29" i="54"/>
  <c r="I21" i="54"/>
  <c r="E3" i="54"/>
  <c r="I3" i="54"/>
  <c r="G3" i="54"/>
  <c r="I14" i="54"/>
  <c r="G24" i="54"/>
  <c r="I35" i="54"/>
  <c r="I38" i="54"/>
  <c r="G17" i="54"/>
  <c r="G21" i="54"/>
  <c r="I16" i="54"/>
  <c r="G14" i="54"/>
  <c r="I17" i="54"/>
  <c r="G16" i="54"/>
  <c r="I37" i="54"/>
  <c r="G9" i="54"/>
  <c r="I33" i="54"/>
  <c r="I29" i="54"/>
  <c r="I15" i="54"/>
  <c r="G7" i="54"/>
  <c r="G38" i="54"/>
  <c r="I24" i="54"/>
  <c r="I6" i="54"/>
  <c r="K9" i="59"/>
  <c r="J9" i="59"/>
  <c r="I9" i="59"/>
  <c r="H9" i="59"/>
  <c r="G9" i="59"/>
  <c r="F9" i="59"/>
  <c r="G11" i="59"/>
  <c r="F11" i="59"/>
  <c r="H11" i="59"/>
  <c r="K11" i="59"/>
  <c r="J11" i="59"/>
  <c r="I11" i="59"/>
  <c r="J10" i="59"/>
  <c r="H10" i="59"/>
  <c r="G10" i="59"/>
  <c r="F10" i="59"/>
  <c r="I10" i="59"/>
  <c r="K10" i="59"/>
  <c r="E24" i="59"/>
  <c r="K13" i="59"/>
  <c r="J13" i="59"/>
  <c r="I13" i="59"/>
  <c r="H13" i="59"/>
  <c r="G13" i="59"/>
  <c r="F13" i="59"/>
  <c r="K14" i="59"/>
  <c r="J14" i="59"/>
  <c r="I14" i="59"/>
  <c r="H14" i="59"/>
  <c r="G14" i="59"/>
  <c r="F14" i="59"/>
  <c r="K15" i="59"/>
  <c r="J15" i="59"/>
  <c r="I15" i="59"/>
  <c r="H15" i="59"/>
  <c r="G15" i="59"/>
  <c r="F15" i="59"/>
  <c r="E32" i="54"/>
  <c r="E26" i="54"/>
  <c r="E25" i="54"/>
  <c r="E18" i="54"/>
  <c r="E8" i="54"/>
  <c r="E13" i="54"/>
  <c r="E23" i="54"/>
  <c r="E37" i="54"/>
  <c r="E6" i="54"/>
  <c r="E11" i="54"/>
  <c r="E34" i="54"/>
  <c r="E4" i="54"/>
  <c r="E22" i="54"/>
  <c r="G11" i="45"/>
  <c r="F11" i="45"/>
  <c r="K11" i="45"/>
  <c r="J11" i="45"/>
  <c r="I11" i="45"/>
  <c r="H11" i="45"/>
  <c r="C29" i="59"/>
  <c r="E12" i="59" s="1"/>
  <c r="E8" i="45"/>
  <c r="C22" i="45"/>
  <c r="C21" i="45"/>
  <c r="B19" i="45"/>
  <c r="E14" i="45" s="1"/>
  <c r="B10" i="45"/>
  <c r="E15" i="45" s="1"/>
  <c r="B14" i="45"/>
  <c r="E13" i="45" s="1"/>
  <c r="C28" i="45"/>
  <c r="C27" i="45"/>
  <c r="C26" i="45"/>
  <c r="C24" i="45"/>
  <c r="C23" i="45"/>
  <c r="C25" i="45"/>
  <c r="D5" i="45"/>
  <c r="E9" i="45"/>
  <c r="E10" i="45"/>
  <c r="E1" i="54" l="1"/>
  <c r="I1" i="54"/>
  <c r="G1" i="54"/>
  <c r="E23" i="59"/>
  <c r="K12" i="59"/>
  <c r="J12" i="59"/>
  <c r="J17" i="59" s="1"/>
  <c r="J18" i="59" s="1"/>
  <c r="I12" i="59"/>
  <c r="I16" i="59" s="1" a="1"/>
  <c r="I16" i="59" s="1"/>
  <c r="H12" i="59"/>
  <c r="H16" i="59" s="1" a="1"/>
  <c r="H16" i="59" s="1"/>
  <c r="G12" i="59"/>
  <c r="G16" i="59" s="1" a="1"/>
  <c r="G16" i="59" s="1"/>
  <c r="F12" i="59"/>
  <c r="F16" i="59" s="1" a="1"/>
  <c r="F16" i="59" s="1"/>
  <c r="K16" i="59" a="1"/>
  <c r="K16" i="59" s="1"/>
  <c r="K17" i="59"/>
  <c r="K18" i="59" s="1"/>
  <c r="I10" i="45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7" i="59"/>
  <c r="E16" i="59" a="1"/>
  <c r="E16" i="59" s="1"/>
  <c r="C29" i="45"/>
  <c r="E12" i="45" s="1"/>
  <c r="E24" i="45"/>
  <c r="K19" i="59" l="1"/>
  <c r="K25" i="59" s="1"/>
  <c r="J16" i="59" a="1"/>
  <c r="J16" i="59" s="1"/>
  <c r="I17" i="59"/>
  <c r="I18" i="59" s="1"/>
  <c r="I19" i="59" s="1"/>
  <c r="I25" i="59" s="1"/>
  <c r="I33" i="59" s="1"/>
  <c r="G17" i="59"/>
  <c r="G18" i="59" s="1"/>
  <c r="G19" i="59" s="1"/>
  <c r="G25" i="59" s="1"/>
  <c r="G33" i="59" s="1"/>
  <c r="H17" i="59"/>
  <c r="H18" i="59" s="1"/>
  <c r="H19" i="59" s="1"/>
  <c r="H25" i="59" s="1"/>
  <c r="H33" i="59" s="1"/>
  <c r="F17" i="59"/>
  <c r="F18" i="59" s="1"/>
  <c r="F19" i="59" s="1"/>
  <c r="F25" i="59" s="1"/>
  <c r="J12" i="45"/>
  <c r="I12" i="45"/>
  <c r="H12" i="45"/>
  <c r="G12" i="45"/>
  <c r="G16" i="45" s="1" a="1"/>
  <c r="G16" i="45" s="1"/>
  <c r="F12" i="45"/>
  <c r="E16" i="45" a="1"/>
  <c r="E16" i="45" s="1"/>
  <c r="K12" i="45"/>
  <c r="E19" i="59"/>
  <c r="E26" i="59" s="1"/>
  <c r="E17" i="45"/>
  <c r="E23" i="45"/>
  <c r="K32" i="59" l="1"/>
  <c r="K33" i="59"/>
  <c r="J19" i="59"/>
  <c r="J25" i="59" s="1"/>
  <c r="E30" i="59"/>
  <c r="E27" i="59"/>
  <c r="E29" i="59"/>
  <c r="H26" i="59"/>
  <c r="E32" i="59"/>
  <c r="I32" i="59"/>
  <c r="H32" i="59"/>
  <c r="G32" i="59"/>
  <c r="F32" i="59"/>
  <c r="F33" i="59"/>
  <c r="F26" i="59"/>
  <c r="K26" i="59"/>
  <c r="I26" i="59"/>
  <c r="G26" i="59"/>
  <c r="K17" i="45"/>
  <c r="K18" i="45" s="1"/>
  <c r="K16" i="45" a="1"/>
  <c r="K16" i="45" s="1"/>
  <c r="F17" i="45"/>
  <c r="F18" i="45" s="1"/>
  <c r="F16" i="45" a="1"/>
  <c r="F16" i="45" s="1"/>
  <c r="F19" i="45" s="1"/>
  <c r="G17" i="45"/>
  <c r="G18" i="45" s="1"/>
  <c r="G19" i="45" s="1"/>
  <c r="G25" i="45" s="1"/>
  <c r="G33" i="45" s="1"/>
  <c r="H17" i="45"/>
  <c r="H18" i="45" s="1"/>
  <c r="H16" i="45" a="1"/>
  <c r="H16" i="45" s="1"/>
  <c r="I17" i="45"/>
  <c r="I18" i="45" s="1"/>
  <c r="I16" i="45" a="1"/>
  <c r="I16" i="45" s="1"/>
  <c r="J17" i="45"/>
  <c r="J18" i="45" s="1"/>
  <c r="J16" i="45" a="1"/>
  <c r="J16" i="45" s="1"/>
  <c r="J19" i="45" s="1"/>
  <c r="E19" i="45"/>
  <c r="H19" i="45" l="1"/>
  <c r="H25" i="45" s="1"/>
  <c r="J33" i="59"/>
  <c r="J32" i="59"/>
  <c r="J26" i="59"/>
  <c r="I19" i="45"/>
  <c r="I25" i="45" s="1"/>
  <c r="J25" i="45"/>
  <c r="J32" i="45" s="1"/>
  <c r="K19" i="45"/>
  <c r="K25" i="45" s="1"/>
  <c r="F25" i="45"/>
  <c r="G30" i="59"/>
  <c r="G27" i="59"/>
  <c r="G29" i="59"/>
  <c r="J27" i="59"/>
  <c r="J30" i="59"/>
  <c r="J29" i="59"/>
  <c r="F27" i="59"/>
  <c r="F30" i="59"/>
  <c r="F29" i="59"/>
  <c r="H29" i="59"/>
  <c r="H27" i="59"/>
  <c r="H30" i="59"/>
  <c r="I30" i="59"/>
  <c r="I27" i="59"/>
  <c r="I29" i="59"/>
  <c r="K27" i="59"/>
  <c r="K29" i="59"/>
  <c r="K30" i="59"/>
  <c r="E31" i="59"/>
  <c r="G26" i="45"/>
  <c r="E26" i="45"/>
  <c r="H26" i="45" l="1"/>
  <c r="H29" i="45" s="1"/>
  <c r="H33" i="45"/>
  <c r="J33" i="45"/>
  <c r="K32" i="45"/>
  <c r="K26" i="45"/>
  <c r="K29" i="45" s="1"/>
  <c r="K33" i="45"/>
  <c r="I33" i="45"/>
  <c r="I26" i="45"/>
  <c r="I30" i="45" s="1"/>
  <c r="J26" i="45"/>
  <c r="G32" i="45"/>
  <c r="E32" i="45"/>
  <c r="F33" i="45"/>
  <c r="H32" i="45"/>
  <c r="F32" i="45"/>
  <c r="F26" i="45"/>
  <c r="F27" i="45" s="1"/>
  <c r="I32" i="45"/>
  <c r="K31" i="59"/>
  <c r="H31" i="59"/>
  <c r="I31" i="59"/>
  <c r="F31" i="59"/>
  <c r="J31" i="59"/>
  <c r="G31" i="59"/>
  <c r="E27" i="45"/>
  <c r="E29" i="45"/>
  <c r="E30" i="45"/>
  <c r="J27" i="45"/>
  <c r="J30" i="45"/>
  <c r="J29" i="45"/>
  <c r="K27" i="45"/>
  <c r="K30" i="45"/>
  <c r="G27" i="45"/>
  <c r="G30" i="45"/>
  <c r="G29" i="45"/>
  <c r="H27" i="45" l="1"/>
  <c r="H30" i="45"/>
  <c r="I27" i="45"/>
  <c r="F29" i="45"/>
  <c r="F30" i="45"/>
  <c r="I29" i="45"/>
  <c r="I31" i="45" s="1"/>
  <c r="J31" i="45"/>
  <c r="E31" i="45"/>
  <c r="G31" i="45"/>
  <c r="K31" i="45"/>
  <c r="H31" i="45"/>
  <c r="F31" i="4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<sst xmlns="http://schemas.openxmlformats.org/spreadsheetml/2006/main" count="595" uniqueCount="319">
  <si>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</si>
  <si>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</si>
  <si>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</si>
  <si>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</si>
  <si>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</si>
  <si>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</si>
  <si>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</si>
  <si>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</si>
  <si>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</si>
  <si>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</si>
  <si>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</si>
  <si>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</si>
  <si>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</si>
  <si>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</si>
  <si>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</si>
  <si>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</si>
  <si>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</si>
  <si>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</si>
  <si>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</si>
  <si>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</si>
  <si>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</si>
  <si>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</si>
  <si>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</si>
  <si>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</si>
  <si>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</si>
  <si>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</si>
  <si>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</si>
  <si>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</si>
  <si>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</si>
  <si>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</si>
  <si>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</si>
  <si>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</si>
  <si>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</si>
  <si>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</si>
  <si>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</si>
  <si>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</si>
  <si>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</si>
  <si>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</si>
  <si>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</si>
  <si>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</si>
  <si>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</si>
  <si>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</si>
  <si>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</si>
  <si>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</si>
  <si>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</si>
  <si>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</si>
  <si>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</si>
  <si>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</si>
  <si>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</si>
  <si>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</si>
  <si>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</si>
  <si>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</si>
  <si>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</si>
  <si>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</si>
  <si>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</si>
  <si>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</si>
  <si>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</si>
  <si>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</si>
  <si>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</si>
  <si>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</si>
  <si>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</si>
  <si>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</si>
  <si>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</si>
  <si>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</si>
  <si>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</si>
  <si>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</si>
  <si>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</si>
  <si>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</si>
  <si>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</si>
  <si>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</si>
  <si>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</si>
  <si>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</si>
  <si>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</si>
  <si>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</si>
  <si>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</si>
  <si>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</si>
  <si>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</si>
  <si>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</si>
  <si>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</si>
  <si>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</si>
  <si>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</si>
  <si>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</si>
  <si>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</si>
  <si>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</si>
  <si>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</si>
  <si>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Profit</t>
  </si>
  <si>
    <t>Weight (g)</t>
  </si>
  <si>
    <t>https://www.amazon.com/Aluminum-Extrusion-European-Standard-Industrial/dp/B0BMPG2N8Y/</t>
  </si>
  <si>
    <t>https://www.amazon.com/608-2RS-Skateboard-Bearing-Rolling-bearings/dp/B073ST742Z/</t>
  </si>
  <si>
    <t>https://www.amazon.com/Antrader-European-Connector-Aluminium-Reinforcing/dp/B07GDVV2SR/</t>
  </si>
  <si>
    <t>https://www.amazon.com/dp/B098DNBTL4/</t>
  </si>
  <si>
    <t>https://www.amazon.com/Screw-Stainless-Threaded-SG-TZH/dp/B0BRSPRK67/</t>
  </si>
  <si>
    <t>https://www.amazon.com/M5-0-8x25mm-Available-Stainless-Eastlo-Fastener/dp/B07VRYM3BX/</t>
  </si>
  <si>
    <t>https://www.amazon.com/Fullerkreg-Self-Locking-Stainless-18-8%EF%BC%8CPlain-Quantity/dp/B078NNFT93/</t>
  </si>
  <si>
    <t>6mm Silver 20 Gauge Closed Jump Rings</t>
  </si>
  <si>
    <t>https://www.amazon.com/Souarts-Silver-Color-Closed-500pcs/dp/B00WAUF1CK</t>
  </si>
  <si>
    <t>https://www.amazon.com/Elastic-Bracelets-Stretchy-Bracelet-String%EF%BC%88Rainbow%EF%BC%89/dp/B0BZY33R4F</t>
  </si>
  <si>
    <t>Ball Cord Lock Stopper</t>
  </si>
  <si>
    <t>https://www.aliexpress.us/item/2251832605873636.html</t>
  </si>
  <si>
    <t>https://www.amazon.com/dp/B07R5JZBX2</t>
  </si>
  <si>
    <t>M8 x 10mm(L) Knurled Insert Nut</t>
  </si>
  <si>
    <t>3/4" Ceiling Cups Hooks Screw</t>
  </si>
  <si>
    <t>https://www.amazon.com/dp/B09XD79971</t>
  </si>
  <si>
    <t>10" Elastic String 1mm Rainbow</t>
  </si>
  <si>
    <t>R6-2RS Sealed Bearings</t>
  </si>
  <si>
    <t>Price</t>
  </si>
  <si>
    <t>Product</t>
  </si>
  <si>
    <t>Profit %</t>
  </si>
  <si>
    <t>https://www.amazon.com/iExcell-Stainless-Socket-Screws-Wrench/dp/B089N5BT68</t>
  </si>
  <si>
    <t>M4 x 75 Stainless Steel 304 Hex Socket Head Cap</t>
  </si>
  <si>
    <t>Wholesale</t>
  </si>
  <si>
    <t>Wholesale Margin</t>
  </si>
  <si>
    <t>California Filament PETG Bulk</t>
  </si>
  <si>
    <t xml:space="preserve">https://www.amazon.com/Hundred-R6-2RS-Sealed-Bearings-Pre-Lubricated/dp/B01CUNP1P https://www.aliexpress.us/item/2255800970609181.html </t>
  </si>
  <si>
    <t>BambuLabs X1C</t>
  </si>
  <si>
    <t>$/hr</t>
  </si>
  <si>
    <t>$/gram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</si>
  <si>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</si>
  <si>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</si>
  <si>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</si>
  <si>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</si>
  <si>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</si>
  <si>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</si>
  <si>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</si>
  <si>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</si>
  <si>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</si>
  <si>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</si>
  <si>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</si>
  <si>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</si>
  <si>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</si>
  <si>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</si>
  <si>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</si>
  <si>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</si>
  <si>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</si>
  <si>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</si>
  <si>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</si>
  <si>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</si>
  <si>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</si>
  <si>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</si>
  <si>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</si>
  <si>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</si>
  <si>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</si>
  <si>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</si>
  <si>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</si>
  <si>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</si>
  <si>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</si>
  <si>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</si>
  <si>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</si>
  <si>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</si>
  <si>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</si>
  <si>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</si>
  <si>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</si>
  <si>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</si>
  <si>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</si>
  <si>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</si>
  <si>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</si>
  <si>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</si>
  <si>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</si>
  <si>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</si>
  <si>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</si>
  <si>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</si>
  <si>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</si>
  <si>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</si>
  <si>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</si>
  <si>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</si>
  <si>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</si>
  <si>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</si>
  <si>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</si>
  <si>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</si>
  <si>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</si>
  <si>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</si>
  <si>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</si>
  <si>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</si>
  <si>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</si>
  <si>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</si>
  <si>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</si>
  <si>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</si>
  <si>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</si>
  <si>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</si>
  <si>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</si>
  <si>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</si>
  <si>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</si>
  <si>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</si>
  <si>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</si>
  <si>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</si>
  <si>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</si>
  <si>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</si>
  <si>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</si>
  <si>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</si>
  <si>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</si>
  <si>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</si>
  <si>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</si>
  <si>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</si>
  <si>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</si>
  <si>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</si>
  <si>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</si>
  <si>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</si>
  <si>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</si>
  <si>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</si>
  <si>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</si>
  <si>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</si>
  <si>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</si>
  <si>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</si>
  <si>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</si>
  <si>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</si>
  <si>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</si>
  <si>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</si>
  <si>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</si>
  <si>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</si>
  <si>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</si>
  <si>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</si>
  <si>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</si>
  <si>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</si>
  <si>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</si>
  <si>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</si>
  <si>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</si>
  <si>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</si>
  <si>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</si>
  <si>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1-Off Reddit, HDD Rails</t>
  </si>
  <si>
    <t>Glow Yellow</t>
  </si>
  <si>
    <t>Glow Blue</t>
  </si>
  <si>
    <t>Wrist Strap</t>
  </si>
  <si>
    <t>Glow Green</t>
  </si>
  <si>
    <t>T/Teal</t>
  </si>
  <si>
    <t>T/Blue</t>
  </si>
  <si>
    <t>T/Yellow</t>
  </si>
  <si>
    <t>T/Red</t>
  </si>
  <si>
    <t>T/Orange</t>
  </si>
  <si>
    <t>Tot. G</t>
  </si>
  <si>
    <t>Glow Yelloow</t>
  </si>
  <si>
    <t>Choc Brown</t>
  </si>
  <si>
    <t>Calabash pins</t>
  </si>
  <si>
    <t>MR74-2RS Bearing</t>
  </si>
  <si>
    <t>https://www.amazon.com/dp/B09YV79Z7K</t>
  </si>
  <si>
    <t>Split Key Rings</t>
  </si>
  <si>
    <t>https://www.amazon.com/dp/B071P4YDNZ</t>
  </si>
  <si>
    <t>https://www.amazon.com/dp/B0CM6JWTNT</t>
  </si>
  <si>
    <t>Profit Wholesale %</t>
  </si>
  <si>
    <t>6001-RS</t>
  </si>
  <si>
    <t>https://www.amazon.com/gp/product/B0B3LNMLW9</t>
  </si>
  <si>
    <t>3/8In Socket Adapter amazon</t>
  </si>
  <si>
    <t>Limited: Pastel Lilac</t>
  </si>
  <si>
    <t>Limited: Marble (White/Black Spec)</t>
  </si>
  <si>
    <t>On-Order</t>
  </si>
  <si>
    <t>Markups</t>
  </si>
  <si>
    <t>https://www.amazon.com/Fullerkreg-Socket-Stainless-Machine-Quantity/dp/B07CK5C5MM</t>
  </si>
  <si>
    <t>Fullerkreg 0.7mm Pitch M4 x 16MM Socket Head Cap Screws</t>
  </si>
  <si>
    <t>https://www.amazon.com/Spring-Carabiner-Keychain-Handbag-Accessories/dp/B0974MJQB8</t>
  </si>
  <si>
    <t>Spring O Rings Round Carabiner</t>
  </si>
  <si>
    <t>11 Brothers Fabric Strap</t>
  </si>
  <si>
    <t>https://www.amazon.com/dp/B0B9BSYNBM</t>
  </si>
  <si>
    <t>https://www.amazon.com/dp/B0C6K3YHC9</t>
  </si>
  <si>
    <t>https://www.amazon.com/dp/B0974MJQB8</t>
  </si>
  <si>
    <t>Have</t>
  </si>
  <si>
    <t>Target</t>
  </si>
  <si>
    <t>Need</t>
  </si>
  <si>
    <t>Inventory Explaination</t>
  </si>
  <si>
    <t>https://www.amazon.com/Cutting-Rubber-Bumpers-Stainless-Marking/dp/B08PCJ58S1</t>
  </si>
  <si>
    <t>Wristlet Clasp</t>
  </si>
  <si>
    <t>Cnt Have</t>
  </si>
  <si>
    <t>Total Have</t>
  </si>
  <si>
    <t>Cnt Want</t>
  </si>
  <si>
    <t>Total Want</t>
  </si>
  <si>
    <t>Cnt To Make</t>
  </si>
  <si>
    <t>Total To Make</t>
  </si>
  <si>
    <t>https://www.amazon.com/gp/product/B0BPM2VTB5</t>
  </si>
  <si>
    <t>1 OZ Round Plastic Jars</t>
  </si>
  <si>
    <t>10G/10ML Clear Lid Plastic Jars</t>
  </si>
  <si>
    <t xml:space="preserve"> </t>
  </si>
  <si>
    <t>12cm Knitting Machine Needles</t>
  </si>
  <si>
    <t>https://www.amazon.com/gp/product/B01AFF4BQI/</t>
  </si>
  <si>
    <t>https://www.amazon.com/gp/product/B0BYJWBGYK</t>
  </si>
  <si>
    <t>https://www.amazon.com/M4-0-7-Socket-Screws-Bolts-Threaded/dp/B0881YF3ZH'</t>
  </si>
  <si>
    <t>M4-0.7 x 10mm Socket Head Cap Screw</t>
  </si>
  <si>
    <t>https://www.amazon.com/dp/B0BYJWBGYK</t>
  </si>
  <si>
    <t>Latch Hook Fine</t>
  </si>
  <si>
    <t>Latch Hook Standard</t>
  </si>
  <si>
    <t>https://www.amazon.com/Double-Transfer-Knitting-Needles-Machine/dp/B08ZHVSNFP</t>
  </si>
  <si>
    <t>Double Eye Transfer Needle</t>
  </si>
  <si>
    <t>Sovol SV08</t>
  </si>
  <si>
    <t>Polymaker TPU Filament 90A</t>
  </si>
  <si>
    <t>Polymaker PA6-GF Nylon</t>
  </si>
  <si>
    <t>https://www.amazon.com/Polymaker-PolyFlex-Filament-Flexible-Printing/dp/B09KZLBKW2</t>
  </si>
  <si>
    <t>https://www.amazon.com/Polymaker-PA6-GF-Filament-1-75mm-Cardboard/dp/B09MTC2QRT</t>
  </si>
  <si>
    <t>CookieCAD</t>
  </si>
  <si>
    <t>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</t>
  </si>
  <si>
    <t>Payment %</t>
  </si>
  <si>
    <t>Payment $</t>
  </si>
  <si>
    <t>Payment Fees Est.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</si>
  <si>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</si>
  <si>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</si>
  <si>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</si>
  <si>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</si>
  <si>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</si>
  <si>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</si>
  <si>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</si>
  <si>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</si>
  <si>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</si>
  <si>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</si>
  <si>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</si>
  <si>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</si>
  <si>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</si>
  <si>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</si>
  <si>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</si>
  <si>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</si>
  <si>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</si>
  <si>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</si>
  <si>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</si>
  <si>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</si>
  <si>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</si>
  <si>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</si>
  <si>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</si>
  <si>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13</t>
  </si>
  <si>
    <t>Project 14</t>
  </si>
  <si>
    <t>Project 15</t>
  </si>
  <si>
    <t>Project 16</t>
  </si>
  <si>
    <t>CookieCAD: Unicorn</t>
  </si>
  <si>
    <t>Overture3D: Black Nylon</t>
  </si>
  <si>
    <t>PA-6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</si>
</sst>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  <numFmt numFmtId="172" formatCode="0.0%"/>
  </numFmts>
  <fonts count="3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sz val="9"/>
      <color rgb="FF0F1111"/>
      <name val="Calibri"/>
      <family val="2"/>
      <scheme val="minor"/>
    </font>
    <font>
      <sz val="9"/>
      <color rgb="FF0F1111"/>
      <name val="Calibri"/>
      <family val="2"/>
    </font>
    <font>
      <b/>
      <sz val="16"/>
      <color rgb="FF000000"/>
      <name val="Calibri"/>
      <family val="2"/>
    </font>
    <font>
      <sz val="11"/>
      <color rgb="FFFF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8CBAD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5" fillId="0" borderId="0"/>
    <xf numFmtId="14" fontId="1" fillId="0" borderId="0" applyFont="0" applyFill="0" applyBorder="0">
      <alignment horizontal="center" vertical="center"/>
    </xf>
  </cellStyleXfs>
  <cellXfs count="337">
    <xf numFmtId="0" fontId="0" fillId="0" borderId="0" xfId="0"/>
    <xf numFmtId="0" fontId="17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2" fontId="19" fillId="19" borderId="0" xfId="0" applyNumberFormat="1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2" fontId="0" fillId="12" borderId="0" xfId="0" applyNumberFormat="1" applyFill="1" applyAlignment="1">
      <alignment vertical="center"/>
    </xf>
    <xf numFmtId="0" fontId="18" fillId="26" borderId="0" xfId="0" applyFont="1" applyFill="1" applyAlignment="1">
      <alignment vertical="center"/>
    </xf>
    <xf numFmtId="2" fontId="0" fillId="13" borderId="0" xfId="0" applyNumberFormat="1" applyFill="1" applyAlignment="1">
      <alignment vertical="center"/>
    </xf>
    <xf numFmtId="2" fontId="20" fillId="14" borderId="0" xfId="0" applyNumberFormat="1" applyFont="1" applyFill="1" applyAlignment="1">
      <alignment vertical="center"/>
    </xf>
    <xf numFmtId="2" fontId="0" fillId="15" borderId="0" xfId="0" applyNumberFormat="1" applyFill="1" applyAlignment="1">
      <alignment vertical="center"/>
    </xf>
    <xf numFmtId="2" fontId="0" fillId="16" borderId="0" xfId="0" applyNumberFormat="1" applyFill="1" applyAlignment="1">
      <alignment vertical="center"/>
    </xf>
    <xf numFmtId="0" fontId="3" fillId="27" borderId="0" xfId="0" applyFont="1" applyFill="1" applyAlignment="1">
      <alignment vertical="center"/>
    </xf>
    <xf numFmtId="2" fontId="19" fillId="17" borderId="0" xfId="0" applyNumberFormat="1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textRotation="90"/>
    </xf>
    <xf numFmtId="0" fontId="22" fillId="20" borderId="0" xfId="0" applyFont="1" applyFill="1" applyAlignment="1">
      <alignment horizontal="center" vertical="center" textRotation="90"/>
    </xf>
    <xf numFmtId="0" fontId="21" fillId="21" borderId="0" xfId="0" applyFont="1" applyFill="1" applyAlignment="1">
      <alignment horizontal="center" vertical="center" textRotation="90"/>
    </xf>
    <xf numFmtId="0" fontId="21" fillId="22" borderId="0" xfId="0" applyFont="1" applyFill="1" applyAlignment="1">
      <alignment horizontal="center" vertical="center" textRotation="90"/>
    </xf>
    <xf numFmtId="0" fontId="22" fillId="33" borderId="0" xfId="0" applyFont="1" applyFill="1" applyAlignment="1">
      <alignment horizontal="center" vertical="center" textRotation="90"/>
    </xf>
    <xf numFmtId="0" fontId="22" fillId="32" borderId="0" xfId="0" applyFont="1" applyFill="1" applyAlignment="1">
      <alignment horizontal="center" vertical="center" textRotation="90"/>
    </xf>
    <xf numFmtId="0" fontId="21" fillId="31" borderId="0" xfId="0" applyFont="1" applyFill="1"/>
    <xf numFmtId="0" fontId="23" fillId="0" borderId="0" xfId="0" applyFont="1"/>
    <xf numFmtId="2" fontId="23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0" fontId="24" fillId="20" borderId="0" xfId="0" applyFont="1" applyFill="1" applyAlignment="1">
      <alignment horizontal="center" vertical="center"/>
    </xf>
    <xf numFmtId="0" fontId="23" fillId="21" borderId="0" xfId="0" applyFont="1" applyFill="1" applyAlignment="1">
      <alignment horizontal="center" vertical="center"/>
    </xf>
    <xf numFmtId="0" fontId="23" fillId="22" borderId="0" xfId="0" applyFont="1" applyFill="1" applyAlignment="1">
      <alignment horizontal="center" vertical="center"/>
    </xf>
    <xf numFmtId="44" fontId="24" fillId="33" borderId="0" xfId="20" applyFont="1" applyFill="1" applyAlignment="1">
      <alignment horizontal="center" vertical="center"/>
    </xf>
    <xf numFmtId="0" fontId="24" fillId="32" borderId="0" xfId="0" applyFont="1" applyFill="1" applyAlignment="1">
      <alignment horizontal="center" vertical="center"/>
    </xf>
    <xf numFmtId="9" fontId="24" fillId="32" borderId="0" xfId="0" applyNumberFormat="1" applyFont="1" applyFill="1" applyAlignment="1">
      <alignment horizontal="center" vertical="center"/>
    </xf>
    <xf numFmtId="0" fontId="23" fillId="31" borderId="3" xfId="0" applyFont="1" applyFill="1" applyBorder="1" applyAlignment="1">
      <alignment horizontal="center" vertical="center"/>
    </xf>
    <xf numFmtId="0" fontId="23" fillId="31" borderId="2" xfId="0" applyFont="1" applyFill="1" applyBorder="1" applyAlignment="1">
      <alignment horizontal="center" vertical="center"/>
    </xf>
    <xf numFmtId="168" fontId="23" fillId="0" borderId="0" xfId="0" applyNumberFormat="1" applyFont="1" applyAlignment="1">
      <alignment horizontal="right"/>
    </xf>
    <xf numFmtId="0" fontId="24" fillId="20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0" fontId="23" fillId="22" borderId="0" xfId="0" applyFont="1" applyFill="1" applyAlignment="1">
      <alignment horizontal="center"/>
    </xf>
    <xf numFmtId="44" fontId="24" fillId="33" borderId="0" xfId="20" applyFont="1" applyFill="1"/>
    <xf numFmtId="2" fontId="23" fillId="0" borderId="0" xfId="0" applyNumberFormat="1" applyFont="1" applyAlignment="1">
      <alignment horizontal="right"/>
    </xf>
    <xf numFmtId="0" fontId="24" fillId="32" borderId="0" xfId="0" applyFont="1" applyFill="1" applyAlignment="1">
      <alignment horizontal="center"/>
    </xf>
    <xf numFmtId="0" fontId="24" fillId="32" borderId="0" xfId="0" applyFont="1" applyFill="1"/>
    <xf numFmtId="2" fontId="23" fillId="0" borderId="0" xfId="0" applyNumberFormat="1" applyFont="1"/>
    <xf numFmtId="168" fontId="23" fillId="0" borderId="0" xfId="0" applyNumberFormat="1" applyFont="1"/>
    <xf numFmtId="0" fontId="0" fillId="33" borderId="0" xfId="0" applyFill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70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" fontId="19" fillId="36" borderId="0" xfId="0" applyNumberFormat="1" applyFont="1" applyFill="1" applyAlignment="1">
      <alignment vertical="center"/>
    </xf>
    <xf numFmtId="20" fontId="23" fillId="0" borderId="0" xfId="0" applyNumberFormat="1" applyFont="1"/>
    <xf numFmtId="0" fontId="24" fillId="33" borderId="0" xfId="0" applyFont="1" applyFill="1"/>
    <xf numFmtId="0" fontId="23" fillId="31" borderId="3" xfId="0" applyFont="1" applyFill="1" applyBorder="1"/>
    <xf numFmtId="0" fontId="23" fillId="31" borderId="2" xfId="0" applyFont="1" applyFill="1" applyBorder="1"/>
    <xf numFmtId="0" fontId="21" fillId="0" borderId="0" xfId="0" applyFont="1" applyAlignment="1">
      <alignment horizontal="center" vertical="center" wrapText="1"/>
    </xf>
    <xf numFmtId="44" fontId="23" fillId="0" borderId="0" xfId="20" applyFont="1"/>
    <xf numFmtId="0" fontId="23" fillId="0" borderId="0" xfId="0" applyFont="1" applyAlignment="1">
      <alignment horizontal="center" vertical="center"/>
    </xf>
    <xf numFmtId="0" fontId="21" fillId="0" borderId="0" xfId="0" applyFont="1"/>
    <xf numFmtId="0" fontId="22" fillId="63" borderId="0" xfId="0" applyFont="1" applyFill="1" applyAlignment="1">
      <alignment vertical="center"/>
    </xf>
    <xf numFmtId="0" fontId="21" fillId="63" borderId="0" xfId="0" applyFont="1" applyFill="1" applyAlignment="1">
      <alignment vertical="center"/>
    </xf>
    <xf numFmtId="0" fontId="21" fillId="63" borderId="0" xfId="0" applyFont="1" applyFill="1" applyAlignment="1">
      <alignment horizontal="center" vertical="center"/>
    </xf>
    <xf numFmtId="0" fontId="26" fillId="0" borderId="0" xfId="15" applyFont="1"/>
    <xf numFmtId="0" fontId="23" fillId="0" borderId="0" xfId="0" applyFont="1" applyAlignment="1">
      <alignment horizontal="left"/>
    </xf>
    <xf numFmtId="169" fontId="23" fillId="0" borderId="0" xfId="21" applyNumberFormat="1" applyFont="1"/>
    <xf numFmtId="44" fontId="27" fillId="0" borderId="0" xfId="20" applyFont="1"/>
    <xf numFmtId="0" fontId="28" fillId="0" borderId="0" xfId="0" applyFont="1" applyAlignment="1">
      <alignment vertical="center" wrapText="1"/>
    </xf>
    <xf numFmtId="0" fontId="23" fillId="9" borderId="0" xfId="0" applyFont="1" applyFill="1"/>
    <xf numFmtId="166" fontId="23" fillId="23" borderId="0" xfId="0" applyNumberFormat="1" applyFont="1" applyFill="1"/>
    <xf numFmtId="168" fontId="23" fillId="9" borderId="0" xfId="0" applyNumberFormat="1" applyFont="1" applyFill="1"/>
    <xf numFmtId="2" fontId="23" fillId="10" borderId="0" xfId="0" applyNumberFormat="1" applyFont="1" applyFill="1"/>
    <xf numFmtId="0" fontId="23" fillId="10" borderId="0" xfId="0" applyFont="1" applyFill="1"/>
    <xf numFmtId="0" fontId="23" fillId="23" borderId="0" xfId="0" applyFont="1" applyFill="1"/>
    <xf numFmtId="164" fontId="23" fillId="9" borderId="0" xfId="12" applyNumberFormat="1" applyFont="1" applyFill="1"/>
    <xf numFmtId="2" fontId="23" fillId="9" borderId="0" xfId="0" applyNumberFormat="1" applyFont="1" applyFill="1"/>
    <xf numFmtId="1" fontId="23" fillId="10" borderId="0" xfId="0" applyNumberFormat="1" applyFont="1" applyFill="1"/>
    <xf numFmtId="164" fontId="23" fillId="9" borderId="0" xfId="0" applyNumberFormat="1" applyFont="1" applyFill="1"/>
    <xf numFmtId="0" fontId="29" fillId="0" borderId="0" xfId="0" applyFont="1" applyAlignment="1">
      <alignment horizontal="center" vertical="center"/>
    </xf>
    <xf numFmtId="46" fontId="23" fillId="0" borderId="0" xfId="0" applyNumberFormat="1" applyFont="1"/>
    <xf numFmtId="44" fontId="0" fillId="35" borderId="0" xfId="20" applyFont="1" applyFill="1" applyAlignment="1">
      <alignment vertical="center"/>
    </xf>
    <xf numFmtId="2" fontId="30" fillId="64" borderId="0" xfId="0" applyNumberFormat="1" applyFont="1" applyFill="1" applyAlignment="1">
      <alignment vertical="center"/>
    </xf>
    <xf numFmtId="0" fontId="32" fillId="0" borderId="0" xfId="0" applyFont="1"/>
    <xf numFmtId="0" fontId="32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2" fillId="48" borderId="4" xfId="0" applyFont="1" applyFill="1" applyBorder="1" applyAlignment="1">
      <alignment horizontal="center" vertical="center"/>
    </xf>
    <xf numFmtId="0" fontId="32" fillId="49" borderId="4" xfId="0" applyFont="1" applyFill="1" applyBorder="1" applyAlignment="1">
      <alignment horizontal="center" vertical="center"/>
    </xf>
    <xf numFmtId="0" fontId="34" fillId="33" borderId="4" xfId="0" applyFont="1" applyFill="1" applyBorder="1" applyAlignment="1">
      <alignment horizontal="center" vertical="center"/>
    </xf>
    <xf numFmtId="0" fontId="34" fillId="39" borderId="4" xfId="0" applyFont="1" applyFill="1" applyBorder="1" applyAlignment="1">
      <alignment horizontal="center" vertical="center"/>
    </xf>
    <xf numFmtId="0" fontId="32" fillId="60" borderId="4" xfId="0" applyFont="1" applyFill="1" applyBorder="1" applyAlignment="1">
      <alignment horizontal="center" vertical="center"/>
    </xf>
    <xf numFmtId="0" fontId="34" fillId="40" borderId="4" xfId="0" applyFont="1" applyFill="1" applyBorder="1" applyAlignment="1">
      <alignment horizontal="center" vertical="center"/>
    </xf>
    <xf numFmtId="0" fontId="34" fillId="47" borderId="4" xfId="0" applyFont="1" applyFill="1" applyBorder="1" applyAlignment="1">
      <alignment horizontal="center" vertical="center"/>
    </xf>
    <xf numFmtId="0" fontId="32" fillId="61" borderId="4" xfId="0" applyFont="1" applyFill="1" applyBorder="1" applyAlignment="1">
      <alignment horizontal="center" vertical="center"/>
    </xf>
    <xf numFmtId="0" fontId="34" fillId="43" borderId="4" xfId="0" applyFont="1" applyFill="1" applyBorder="1" applyAlignment="1">
      <alignment horizontal="center" vertical="center"/>
    </xf>
    <xf numFmtId="0" fontId="34" fillId="55" borderId="4" xfId="0" applyFont="1" applyFill="1" applyBorder="1" applyAlignment="1">
      <alignment horizontal="center" vertical="center"/>
    </xf>
    <xf numFmtId="0" fontId="32" fillId="54" borderId="4" xfId="0" applyFont="1" applyFill="1" applyBorder="1" applyAlignment="1">
      <alignment horizontal="center" vertical="center"/>
    </xf>
    <xf numFmtId="0" fontId="32" fillId="62" borderId="4" xfId="0" applyFont="1" applyFill="1" applyBorder="1" applyAlignment="1">
      <alignment horizontal="center" vertical="center"/>
    </xf>
    <xf numFmtId="0" fontId="32" fillId="41" borderId="4" xfId="0" applyFont="1" applyFill="1" applyBorder="1" applyAlignment="1">
      <alignment horizontal="center" vertical="center"/>
    </xf>
    <xf numFmtId="0" fontId="32" fillId="44" borderId="4" xfId="0" applyFont="1" applyFill="1" applyBorder="1" applyAlignment="1">
      <alignment horizontal="center" vertical="center"/>
    </xf>
    <xf numFmtId="0" fontId="32" fillId="45" borderId="4" xfId="0" applyFont="1" applyFill="1" applyBorder="1" applyAlignment="1">
      <alignment horizontal="center" vertical="center"/>
    </xf>
    <xf numFmtId="0" fontId="34" fillId="46" borderId="4" xfId="0" applyFont="1" applyFill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0" fontId="32" fillId="53" borderId="4" xfId="0" applyFont="1" applyFill="1" applyBorder="1" applyAlignment="1">
      <alignment horizontal="center" vertical="center"/>
    </xf>
    <xf numFmtId="0" fontId="32" fillId="51" borderId="4" xfId="0" applyFont="1" applyFill="1" applyBorder="1" applyAlignment="1">
      <alignment horizontal="center" vertical="center"/>
    </xf>
    <xf numFmtId="0" fontId="32" fillId="50" borderId="4" xfId="0" applyFont="1" applyFill="1" applyBorder="1" applyAlignment="1">
      <alignment horizontal="center" vertical="center"/>
    </xf>
    <xf numFmtId="0" fontId="32" fillId="52" borderId="4" xfId="0" applyFont="1" applyFill="1" applyBorder="1" applyAlignment="1">
      <alignment horizontal="center" vertical="center"/>
    </xf>
    <xf numFmtId="0" fontId="32" fillId="59" borderId="4" xfId="0" applyFont="1" applyFill="1" applyBorder="1" applyAlignment="1">
      <alignment horizontal="center" vertical="center"/>
    </xf>
    <xf numFmtId="0" fontId="32" fillId="56" borderId="4" xfId="0" applyFont="1" applyFill="1" applyBorder="1" applyAlignment="1">
      <alignment horizontal="center" vertical="center"/>
    </xf>
    <xf numFmtId="0" fontId="32" fillId="57" borderId="4" xfId="0" applyFont="1" applyFill="1" applyBorder="1" applyAlignment="1">
      <alignment horizontal="center" vertical="center"/>
    </xf>
    <xf numFmtId="0" fontId="32" fillId="58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 textRotation="90" wrapText="1"/>
    </xf>
    <xf numFmtId="0" fontId="34" fillId="65" borderId="4" xfId="0" applyFont="1" applyFill="1" applyBorder="1" applyAlignment="1">
      <alignment horizontal="center" vertical="center"/>
    </xf>
    <xf numFmtId="0" fontId="25" fillId="0" borderId="0" xfId="0" applyFont="1"/>
    <xf numFmtId="171" fontId="23" fillId="0" borderId="0" xfId="20" applyNumberFormat="1" applyFont="1"/>
    <xf numFmtId="9" fontId="18" fillId="33" borderId="0" xfId="22" applyFont="1" applyFill="1" applyAlignment="1">
      <alignment vertical="center"/>
    </xf>
    <xf numFmtId="44" fontId="18" fillId="19" borderId="0" xfId="20" applyFont="1" applyFill="1" applyAlignment="1">
      <alignment vertical="center"/>
    </xf>
    <xf numFmtId="44" fontId="18" fillId="63" borderId="0" xfId="0" applyNumberFormat="1" applyFont="1" applyFill="1"/>
    <xf numFmtId="44" fontId="3" fillId="12" borderId="0" xfId="20" applyFont="1" applyFill="1" applyAlignment="1">
      <alignment vertical="center"/>
    </xf>
    <xf numFmtId="44" fontId="3" fillId="70" borderId="0" xfId="0" applyNumberFormat="1" applyFont="1" applyFill="1"/>
    <xf numFmtId="44" fontId="3" fillId="13" borderId="0" xfId="20" applyFont="1" applyFill="1" applyAlignment="1">
      <alignment vertical="center"/>
    </xf>
    <xf numFmtId="44" fontId="3" fillId="71" borderId="0" xfId="0" applyNumberFormat="1" applyFont="1" applyFill="1"/>
    <xf numFmtId="44" fontId="18" fillId="36" borderId="0" xfId="20" applyFont="1" applyFill="1" applyAlignment="1">
      <alignment vertical="center"/>
    </xf>
    <xf numFmtId="44" fontId="36" fillId="14" borderId="0" xfId="20" applyFont="1" applyFill="1" applyAlignment="1">
      <alignment vertical="center"/>
    </xf>
    <xf numFmtId="44" fontId="3" fillId="31" borderId="0" xfId="0" applyNumberFormat="1" applyFont="1" applyFill="1"/>
    <xf numFmtId="44" fontId="3" fillId="15" borderId="0" xfId="20" applyFont="1" applyFill="1" applyAlignment="1">
      <alignment vertical="center"/>
    </xf>
    <xf numFmtId="44" fontId="3" fillId="21" borderId="0" xfId="0" applyNumberFormat="1" applyFont="1" applyFill="1"/>
    <xf numFmtId="44" fontId="3" fillId="16" borderId="0" xfId="20" applyFont="1" applyFill="1" applyAlignment="1">
      <alignment vertical="center"/>
    </xf>
    <xf numFmtId="44" fontId="3" fillId="22" borderId="0" xfId="0" applyNumberFormat="1" applyFont="1" applyFill="1"/>
    <xf numFmtId="44" fontId="18" fillId="17" borderId="0" xfId="20" applyFont="1" applyFill="1" applyAlignment="1">
      <alignment vertical="center"/>
    </xf>
    <xf numFmtId="44" fontId="37" fillId="64" borderId="0" xfId="20" applyFont="1" applyFill="1" applyAlignment="1">
      <alignment vertical="center"/>
    </xf>
    <xf numFmtId="44" fontId="18" fillId="72" borderId="0" xfId="0" applyNumberFormat="1" applyFont="1" applyFill="1"/>
    <xf numFmtId="44" fontId="18" fillId="20" borderId="0" xfId="0" applyNumberFormat="1" applyFont="1" applyFill="1"/>
    <xf numFmtId="9" fontId="3" fillId="0" borderId="0" xfId="0" applyNumberFormat="1" applyFont="1" applyAlignment="1">
      <alignment horizontal="center"/>
    </xf>
    <xf numFmtId="0" fontId="17" fillId="0" borderId="7" xfId="0" applyFont="1" applyBorder="1"/>
    <xf numFmtId="0" fontId="17" fillId="0" borderId="8" xfId="0" applyFont="1" applyBorder="1"/>
    <xf numFmtId="44" fontId="17" fillId="0" borderId="10" xfId="20" applyFont="1" applyBorder="1"/>
    <xf numFmtId="44" fontId="0" fillId="0" borderId="10" xfId="20" applyFont="1" applyBorder="1"/>
    <xf numFmtId="0" fontId="0" fillId="0" borderId="10" xfId="0" applyBorder="1"/>
    <xf numFmtId="0" fontId="0" fillId="0" borderId="11" xfId="0" applyBorder="1"/>
    <xf numFmtId="0" fontId="17" fillId="0" borderId="10" xfId="0" applyFont="1" applyBorder="1"/>
    <xf numFmtId="0" fontId="3" fillId="0" borderId="6" xfId="0" applyFont="1" applyBorder="1"/>
    <xf numFmtId="0" fontId="0" fillId="37" borderId="7" xfId="0" applyFill="1" applyBorder="1"/>
    <xf numFmtId="0" fontId="3" fillId="0" borderId="12" xfId="0" applyFont="1" applyBorder="1"/>
    <xf numFmtId="0" fontId="0" fillId="37" borderId="0" xfId="0" applyFill="1"/>
    <xf numFmtId="0" fontId="17" fillId="0" borderId="13" xfId="0" applyFont="1" applyBorder="1"/>
    <xf numFmtId="9" fontId="0" fillId="37" borderId="0" xfId="22" applyFont="1" applyFill="1" applyBorder="1"/>
    <xf numFmtId="0" fontId="0" fillId="0" borderId="13" xfId="0" applyBorder="1"/>
    <xf numFmtId="0" fontId="0" fillId="37" borderId="0" xfId="0" applyFill="1" applyAlignment="1">
      <alignment horizontal="right"/>
    </xf>
    <xf numFmtId="0" fontId="3" fillId="0" borderId="9" xfId="0" applyFont="1" applyBorder="1"/>
    <xf numFmtId="170" fontId="17" fillId="38" borderId="10" xfId="20" applyNumberFormat="1" applyFont="1" applyFill="1" applyBorder="1"/>
    <xf numFmtId="0" fontId="17" fillId="0" borderId="11" xfId="0" applyFont="1" applyBorder="1"/>
    <xf numFmtId="0" fontId="32" fillId="0" borderId="4" xfId="0" applyFont="1" applyBorder="1" applyAlignment="1">
      <alignment vertical="center"/>
    </xf>
    <xf numFmtId="0" fontId="34" fillId="66" borderId="4" xfId="0" applyFont="1" applyFill="1" applyBorder="1" applyAlignment="1">
      <alignment horizontal="center" vertical="center"/>
    </xf>
    <xf numFmtId="0" fontId="34" fillId="67" borderId="4" xfId="0" applyFont="1" applyFill="1" applyBorder="1" applyAlignment="1">
      <alignment horizontal="center" vertical="center"/>
    </xf>
    <xf numFmtId="0" fontId="34" fillId="68" borderId="4" xfId="0" applyFont="1" applyFill="1" applyBorder="1" applyAlignment="1">
      <alignment horizontal="center" vertical="center"/>
    </xf>
    <xf numFmtId="0" fontId="34" fillId="69" borderId="4" xfId="0" applyFont="1" applyFill="1" applyBorder="1" applyAlignment="1">
      <alignment horizontal="center" vertical="center"/>
    </xf>
    <xf numFmtId="0" fontId="32" fillId="73" borderId="4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4" xfId="20" applyNumberFormat="1" applyFont="1" applyBorder="1" applyAlignment="1">
      <alignment horizontal="center" vertical="center"/>
    </xf>
    <xf numFmtId="44" fontId="32" fillId="0" borderId="4" xfId="20" applyFont="1" applyBorder="1" applyAlignment="1">
      <alignment horizontal="center" vertical="center"/>
    </xf>
    <xf numFmtId="0" fontId="0" fillId="48" borderId="4" xfId="0" applyFill="1" applyBorder="1" applyAlignment="1">
      <alignment horizontal="center" vertical="center"/>
    </xf>
    <xf numFmtId="0" fontId="33" fillId="48" borderId="4" xfId="0" applyFont="1" applyFill="1" applyBorder="1" applyAlignment="1">
      <alignment horizontal="center" vertical="center"/>
    </xf>
    <xf numFmtId="0" fontId="33" fillId="49" borderId="4" xfId="0" applyFont="1" applyFill="1" applyBorder="1" applyAlignment="1">
      <alignment horizontal="center" vertical="center"/>
    </xf>
    <xf numFmtId="0" fontId="31" fillId="33" borderId="4" xfId="0" applyFont="1" applyFill="1" applyBorder="1" applyAlignment="1">
      <alignment horizontal="center" vertical="center"/>
    </xf>
    <xf numFmtId="0" fontId="31" fillId="39" borderId="4" xfId="0" applyFont="1" applyFill="1" applyBorder="1" applyAlignment="1">
      <alignment horizontal="center" vertical="center"/>
    </xf>
    <xf numFmtId="0" fontId="33" fillId="60" borderId="4" xfId="0" applyFont="1" applyFill="1" applyBorder="1" applyAlignment="1">
      <alignment horizontal="center" vertical="center"/>
    </xf>
    <xf numFmtId="0" fontId="31" fillId="40" borderId="4" xfId="0" applyFont="1" applyFill="1" applyBorder="1" applyAlignment="1">
      <alignment horizontal="center" vertical="center"/>
    </xf>
    <xf numFmtId="0" fontId="31" fillId="47" borderId="4" xfId="0" applyFont="1" applyFill="1" applyBorder="1" applyAlignment="1">
      <alignment horizontal="center" vertical="center"/>
    </xf>
    <xf numFmtId="0" fontId="33" fillId="73" borderId="4" xfId="0" applyFont="1" applyFill="1" applyBorder="1" applyAlignment="1">
      <alignment horizontal="center" vertical="center"/>
    </xf>
    <xf numFmtId="0" fontId="33" fillId="61" borderId="4" xfId="0" applyFont="1" applyFill="1" applyBorder="1" applyAlignment="1">
      <alignment horizontal="center" vertical="center"/>
    </xf>
    <xf numFmtId="0" fontId="31" fillId="43" borderId="4" xfId="0" applyFont="1" applyFill="1" applyBorder="1" applyAlignment="1">
      <alignment horizontal="center" vertical="center"/>
    </xf>
    <xf numFmtId="0" fontId="31" fillId="55" borderId="4" xfId="0" applyFont="1" applyFill="1" applyBorder="1" applyAlignment="1">
      <alignment horizontal="center" vertical="center"/>
    </xf>
    <xf numFmtId="0" fontId="33" fillId="54" borderId="4" xfId="0" applyFont="1" applyFill="1" applyBorder="1" applyAlignment="1">
      <alignment horizontal="center" vertical="center"/>
    </xf>
    <xf numFmtId="0" fontId="33" fillId="62" borderId="4" xfId="0" applyFont="1" applyFill="1" applyBorder="1" applyAlignment="1">
      <alignment horizontal="center" vertical="center"/>
    </xf>
    <xf numFmtId="0" fontId="33" fillId="41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44" borderId="4" xfId="0" applyFont="1" applyFill="1" applyBorder="1" applyAlignment="1">
      <alignment horizontal="center" vertical="center"/>
    </xf>
    <xf numFmtId="0" fontId="33" fillId="45" borderId="4" xfId="0" applyFont="1" applyFill="1" applyBorder="1" applyAlignment="1">
      <alignment horizontal="center" vertical="center"/>
    </xf>
    <xf numFmtId="0" fontId="31" fillId="46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33" fillId="53" borderId="4" xfId="0" applyFont="1" applyFill="1" applyBorder="1" applyAlignment="1">
      <alignment horizontal="center" vertical="center"/>
    </xf>
    <xf numFmtId="0" fontId="33" fillId="51" borderId="4" xfId="0" applyFont="1" applyFill="1" applyBorder="1" applyAlignment="1">
      <alignment horizontal="center" vertical="center"/>
    </xf>
    <xf numFmtId="0" fontId="33" fillId="50" borderId="4" xfId="0" applyFont="1" applyFill="1" applyBorder="1" applyAlignment="1">
      <alignment horizontal="center" vertical="center"/>
    </xf>
    <xf numFmtId="0" fontId="33" fillId="52" borderId="4" xfId="0" applyFont="1" applyFill="1" applyBorder="1" applyAlignment="1">
      <alignment horizontal="center" vertical="center"/>
    </xf>
    <xf numFmtId="0" fontId="33" fillId="59" borderId="4" xfId="0" applyFont="1" applyFill="1" applyBorder="1" applyAlignment="1">
      <alignment horizontal="center" vertical="center"/>
    </xf>
    <xf numFmtId="0" fontId="33" fillId="56" borderId="4" xfId="0" applyFont="1" applyFill="1" applyBorder="1" applyAlignment="1">
      <alignment horizontal="center" vertical="center"/>
    </xf>
    <xf numFmtId="0" fontId="33" fillId="57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 wrapText="1"/>
    </xf>
    <xf numFmtId="0" fontId="31" fillId="66" borderId="4" xfId="0" applyFont="1" applyFill="1" applyBorder="1" applyAlignment="1">
      <alignment horizontal="center" vertical="center" wrapText="1"/>
    </xf>
    <xf numFmtId="0" fontId="31" fillId="67" borderId="4" xfId="0" applyFont="1" applyFill="1" applyBorder="1" applyAlignment="1">
      <alignment horizontal="center" vertical="center" wrapText="1"/>
    </xf>
    <xf numFmtId="0" fontId="31" fillId="68" borderId="4" xfId="0" applyFont="1" applyFill="1" applyBorder="1" applyAlignment="1">
      <alignment horizontal="center" vertical="center" wrapText="1"/>
    </xf>
    <xf numFmtId="0" fontId="31" fillId="69" borderId="4" xfId="0" applyFont="1" applyFill="1" applyBorder="1" applyAlignment="1">
      <alignment horizontal="center" vertical="center" wrapText="1"/>
    </xf>
    <xf numFmtId="0" fontId="34" fillId="66" borderId="4" xfId="0" applyFont="1" applyFill="1" applyBorder="1" applyAlignment="1">
      <alignment horizontal="center" vertical="center" wrapText="1"/>
    </xf>
    <xf numFmtId="0" fontId="31" fillId="67" borderId="4" xfId="0" applyFont="1" applyFill="1" applyBorder="1" applyAlignment="1">
      <alignment horizontal="center" vertical="center"/>
    </xf>
    <xf numFmtId="0" fontId="34" fillId="68" borderId="4" xfId="0" applyFont="1" applyFill="1" applyBorder="1" applyAlignment="1">
      <alignment horizontal="center" vertical="center" wrapText="1"/>
    </xf>
    <xf numFmtId="0" fontId="31" fillId="69" borderId="4" xfId="0" applyFont="1" applyFill="1" applyBorder="1" applyAlignment="1">
      <alignment horizontal="center" vertical="center"/>
    </xf>
    <xf numFmtId="9" fontId="0" fillId="74" borderId="0" xfId="22" applyFont="1" applyFill="1" applyAlignment="1">
      <alignment vertical="center"/>
    </xf>
    <xf numFmtId="44" fontId="0" fillId="74" borderId="0" xfId="20" applyFont="1" applyFill="1" applyAlignment="1">
      <alignment vertical="center"/>
    </xf>
    <xf numFmtId="0" fontId="33" fillId="0" borderId="5" xfId="0" applyFont="1" applyBorder="1" applyAlignment="1">
      <alignment horizontal="center" vertical="center" wrapText="1"/>
    </xf>
    <xf numFmtId="0" fontId="32" fillId="0" borderId="4" xfId="21" applyNumberFormat="1" applyFont="1" applyBorder="1" applyAlignment="1">
      <alignment horizontal="center" vertical="center"/>
    </xf>
    <xf numFmtId="44" fontId="25" fillId="0" borderId="0" xfId="20" applyFont="1" applyFill="1"/>
    <xf numFmtId="44" fontId="0" fillId="0" borderId="0" xfId="20" applyFont="1"/>
    <xf numFmtId="0" fontId="11" fillId="0" borderId="0" xfId="15"/>
    <xf numFmtId="0" fontId="3" fillId="0" borderId="0" xfId="0" applyFont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3" fillId="48" borderId="5" xfId="0" applyFont="1" applyFill="1" applyBorder="1" applyAlignment="1">
      <alignment horizontal="center" vertical="center" textRotation="90" wrapText="1"/>
    </xf>
    <xf numFmtId="0" fontId="3" fillId="48" borderId="15" xfId="0" applyFont="1" applyFill="1" applyBorder="1" applyAlignment="1">
      <alignment horizontal="center" vertical="center" textRotation="90" wrapText="1"/>
    </xf>
    <xf numFmtId="0" fontId="3" fillId="48" borderId="14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31" fillId="68" borderId="5" xfId="0" applyFont="1" applyFill="1" applyBorder="1" applyAlignment="1">
      <alignment horizontal="center" vertical="center" textRotation="90" wrapText="1"/>
    </xf>
    <xf numFmtId="0" fontId="31" fillId="68" borderId="15" xfId="0" applyFont="1" applyFill="1" applyBorder="1" applyAlignment="1">
      <alignment horizontal="center" vertical="center" textRotation="90" wrapText="1"/>
    </xf>
    <xf numFmtId="0" fontId="31" fillId="68" borderId="14" xfId="0" applyFont="1" applyFill="1" applyBorder="1" applyAlignment="1">
      <alignment horizontal="center" vertical="center" textRotation="90" wrapText="1"/>
    </xf>
    <xf numFmtId="0" fontId="31" fillId="69" borderId="5" xfId="0" applyFont="1" applyFill="1" applyBorder="1" applyAlignment="1">
      <alignment horizontal="center" vertical="center" textRotation="90" wrapText="1"/>
    </xf>
    <xf numFmtId="0" fontId="31" fillId="69" borderId="15" xfId="0" applyFont="1" applyFill="1" applyBorder="1" applyAlignment="1">
      <alignment horizontal="center" vertical="center" textRotation="90" wrapText="1"/>
    </xf>
    <xf numFmtId="0" fontId="31" fillId="69" borderId="14" xfId="0" applyFont="1" applyFill="1" applyBorder="1" applyAlignment="1">
      <alignment horizontal="center" vertical="center" textRotation="90" wrapText="1"/>
    </xf>
    <xf numFmtId="0" fontId="33" fillId="0" borderId="5" xfId="0" applyFont="1" applyBorder="1" applyAlignment="1">
      <alignment horizontal="center" vertical="center" textRotation="90" wrapText="1"/>
    </xf>
    <xf numFmtId="0" fontId="33" fillId="0" borderId="15" xfId="0" applyFont="1" applyBorder="1" applyAlignment="1">
      <alignment horizontal="center" vertical="center" textRotation="90" wrapText="1"/>
    </xf>
    <xf numFmtId="0" fontId="33" fillId="0" borderId="14" xfId="0" applyFont="1" applyBorder="1" applyAlignment="1">
      <alignment horizontal="center" vertical="center" textRotation="90" wrapText="1"/>
    </xf>
    <xf numFmtId="0" fontId="33" fillId="56" borderId="5" xfId="0" applyFont="1" applyFill="1" applyBorder="1" applyAlignment="1">
      <alignment horizontal="center" vertical="center" textRotation="90" wrapText="1"/>
    </xf>
    <xf numFmtId="0" fontId="33" fillId="56" borderId="15" xfId="0" applyFont="1" applyFill="1" applyBorder="1" applyAlignment="1">
      <alignment horizontal="center" vertical="center" textRotation="90" wrapText="1"/>
    </xf>
    <xf numFmtId="0" fontId="33" fillId="56" borderId="14" xfId="0" applyFont="1" applyFill="1" applyBorder="1" applyAlignment="1">
      <alignment horizontal="center" vertical="center" textRotation="90" wrapText="1"/>
    </xf>
    <xf numFmtId="0" fontId="33" fillId="57" borderId="5" xfId="0" applyFont="1" applyFill="1" applyBorder="1" applyAlignment="1">
      <alignment horizontal="center" vertical="center" textRotation="90" wrapText="1"/>
    </xf>
    <xf numFmtId="0" fontId="33" fillId="57" borderId="15" xfId="0" applyFont="1" applyFill="1" applyBorder="1" applyAlignment="1">
      <alignment horizontal="center" vertical="center" textRotation="90" wrapText="1"/>
    </xf>
    <xf numFmtId="0" fontId="33" fillId="57" borderId="14" xfId="0" applyFont="1" applyFill="1" applyBorder="1" applyAlignment="1">
      <alignment horizontal="center" vertical="center" textRotation="90" wrapText="1"/>
    </xf>
    <xf numFmtId="0" fontId="33" fillId="58" borderId="5" xfId="0" applyFont="1" applyFill="1" applyBorder="1" applyAlignment="1">
      <alignment horizontal="center" vertical="center" textRotation="90" wrapText="1"/>
    </xf>
    <xf numFmtId="0" fontId="33" fillId="58" borderId="15" xfId="0" applyFont="1" applyFill="1" applyBorder="1" applyAlignment="1">
      <alignment horizontal="center" vertical="center" textRotation="90" wrapText="1"/>
    </xf>
    <xf numFmtId="0" fontId="33" fillId="58" borderId="14" xfId="0" applyFont="1" applyFill="1" applyBorder="1" applyAlignment="1">
      <alignment horizontal="center" vertical="center" textRotation="90" wrapText="1"/>
    </xf>
    <xf numFmtId="0" fontId="31" fillId="65" borderId="5" xfId="0" applyFont="1" applyFill="1" applyBorder="1" applyAlignment="1">
      <alignment horizontal="center" vertical="center" textRotation="90" wrapText="1"/>
    </xf>
    <xf numFmtId="0" fontId="31" fillId="65" borderId="15" xfId="0" applyFont="1" applyFill="1" applyBorder="1" applyAlignment="1">
      <alignment horizontal="center" vertical="center" textRotation="90" wrapText="1"/>
    </xf>
    <xf numFmtId="0" fontId="31" fillId="65" borderId="14" xfId="0" applyFont="1" applyFill="1" applyBorder="1" applyAlignment="1">
      <alignment horizontal="center" vertical="center" textRotation="90" wrapText="1"/>
    </xf>
    <xf numFmtId="0" fontId="31" fillId="66" borderId="5" xfId="0" applyFont="1" applyFill="1" applyBorder="1" applyAlignment="1">
      <alignment horizontal="center" vertical="center" textRotation="90" wrapText="1"/>
    </xf>
    <xf numFmtId="0" fontId="31" fillId="66" borderId="15" xfId="0" applyFont="1" applyFill="1" applyBorder="1" applyAlignment="1">
      <alignment horizontal="center" vertical="center" textRotation="90" wrapText="1"/>
    </xf>
    <xf numFmtId="0" fontId="31" fillId="66" borderId="14" xfId="0" applyFont="1" applyFill="1" applyBorder="1" applyAlignment="1">
      <alignment horizontal="center" vertical="center" textRotation="90" wrapText="1"/>
    </xf>
    <xf numFmtId="0" fontId="31" fillId="67" borderId="5" xfId="0" applyFont="1" applyFill="1" applyBorder="1" applyAlignment="1">
      <alignment horizontal="center" vertical="center" textRotation="90" wrapText="1"/>
    </xf>
    <xf numFmtId="0" fontId="31" fillId="67" borderId="15" xfId="0" applyFont="1" applyFill="1" applyBorder="1" applyAlignment="1">
      <alignment horizontal="center" vertical="center" textRotation="90" wrapText="1"/>
    </xf>
    <xf numFmtId="0" fontId="31" fillId="67" borderId="14" xfId="0" applyFont="1" applyFill="1" applyBorder="1" applyAlignment="1">
      <alignment horizontal="center" vertical="center" textRotation="90" wrapText="1"/>
    </xf>
    <xf numFmtId="0" fontId="33" fillId="59" borderId="5" xfId="0" applyFont="1" applyFill="1" applyBorder="1" applyAlignment="1">
      <alignment horizontal="center" vertical="center" textRotation="90" wrapText="1"/>
    </xf>
    <xf numFmtId="0" fontId="33" fillId="59" borderId="15" xfId="0" applyFont="1" applyFill="1" applyBorder="1" applyAlignment="1">
      <alignment horizontal="center" vertical="center" textRotation="90" wrapText="1"/>
    </xf>
    <xf numFmtId="0" fontId="33" fillId="59" borderId="14" xfId="0" applyFont="1" applyFill="1" applyBorder="1" applyAlignment="1">
      <alignment horizontal="center" vertical="center" textRotation="90" wrapText="1"/>
    </xf>
    <xf numFmtId="0" fontId="33" fillId="62" borderId="5" xfId="0" applyFont="1" applyFill="1" applyBorder="1" applyAlignment="1">
      <alignment horizontal="center" vertical="center" textRotation="90" wrapText="1"/>
    </xf>
    <xf numFmtId="0" fontId="33" fillId="62" borderId="15" xfId="0" applyFont="1" applyFill="1" applyBorder="1" applyAlignment="1">
      <alignment horizontal="center" vertical="center" textRotation="90" wrapText="1"/>
    </xf>
    <xf numFmtId="0" fontId="33" fillId="62" borderId="14" xfId="0" applyFont="1" applyFill="1" applyBorder="1" applyAlignment="1">
      <alignment horizontal="center" vertical="center" textRotation="90" wrapText="1"/>
    </xf>
    <xf numFmtId="0" fontId="33" fillId="41" borderId="5" xfId="0" applyFont="1" applyFill="1" applyBorder="1" applyAlignment="1">
      <alignment horizontal="center" vertical="center" textRotation="90" wrapText="1"/>
    </xf>
    <xf numFmtId="0" fontId="33" fillId="41" borderId="15" xfId="0" applyFont="1" applyFill="1" applyBorder="1" applyAlignment="1">
      <alignment horizontal="center" vertical="center" textRotation="90" wrapText="1"/>
    </xf>
    <xf numFmtId="0" fontId="33" fillId="41" borderId="14" xfId="0" applyFont="1" applyFill="1" applyBorder="1" applyAlignment="1">
      <alignment horizontal="center" vertical="center" textRotation="90" wrapText="1"/>
    </xf>
    <xf numFmtId="0" fontId="33" fillId="44" borderId="5" xfId="0" applyFont="1" applyFill="1" applyBorder="1" applyAlignment="1">
      <alignment horizontal="center" vertical="center" textRotation="90" wrapText="1"/>
    </xf>
    <xf numFmtId="0" fontId="33" fillId="44" borderId="15" xfId="0" applyFont="1" applyFill="1" applyBorder="1" applyAlignment="1">
      <alignment horizontal="center" vertical="center" textRotation="90" wrapText="1"/>
    </xf>
    <xf numFmtId="0" fontId="33" fillId="44" borderId="14" xfId="0" applyFont="1" applyFill="1" applyBorder="1" applyAlignment="1">
      <alignment horizontal="center" vertical="center" textRotation="90" wrapText="1"/>
    </xf>
    <xf numFmtId="0" fontId="33" fillId="45" borderId="5" xfId="0" applyFont="1" applyFill="1" applyBorder="1" applyAlignment="1">
      <alignment horizontal="center" vertical="center" textRotation="90" wrapText="1"/>
    </xf>
    <xf numFmtId="0" fontId="33" fillId="45" borderId="15" xfId="0" applyFont="1" applyFill="1" applyBorder="1" applyAlignment="1">
      <alignment horizontal="center" vertical="center" textRotation="90" wrapText="1"/>
    </xf>
    <xf numFmtId="0" fontId="33" fillId="45" borderId="14" xfId="0" applyFont="1" applyFill="1" applyBorder="1" applyAlignment="1">
      <alignment horizontal="center" vertical="center" textRotation="90" wrapText="1"/>
    </xf>
    <xf numFmtId="0" fontId="31" fillId="46" borderId="5" xfId="0" applyFont="1" applyFill="1" applyBorder="1" applyAlignment="1">
      <alignment horizontal="center" vertical="center" textRotation="90" wrapText="1"/>
    </xf>
    <xf numFmtId="0" fontId="31" fillId="46" borderId="15" xfId="0" applyFont="1" applyFill="1" applyBorder="1" applyAlignment="1">
      <alignment horizontal="center" vertical="center" textRotation="90" wrapText="1"/>
    </xf>
    <xf numFmtId="0" fontId="31" fillId="46" borderId="14" xfId="0" applyFont="1" applyFill="1" applyBorder="1" applyAlignment="1">
      <alignment horizontal="center" vertical="center" textRotation="90" wrapText="1"/>
    </xf>
    <xf numFmtId="0" fontId="33" fillId="42" borderId="5" xfId="0" applyFont="1" applyFill="1" applyBorder="1" applyAlignment="1">
      <alignment horizontal="center" vertical="center" textRotation="90" wrapText="1"/>
    </xf>
    <xf numFmtId="0" fontId="33" fillId="42" borderId="15" xfId="0" applyFont="1" applyFill="1" applyBorder="1" applyAlignment="1">
      <alignment horizontal="center" vertical="center" textRotation="90" wrapText="1"/>
    </xf>
    <xf numFmtId="0" fontId="33" fillId="42" borderId="14" xfId="0" applyFont="1" applyFill="1" applyBorder="1" applyAlignment="1">
      <alignment horizontal="center" vertical="center" textRotation="90" wrapText="1"/>
    </xf>
    <xf numFmtId="0" fontId="33" fillId="53" borderId="5" xfId="0" applyFont="1" applyFill="1" applyBorder="1" applyAlignment="1">
      <alignment horizontal="center" vertical="center" textRotation="90" wrapText="1"/>
    </xf>
    <xf numFmtId="0" fontId="33" fillId="53" borderId="15" xfId="0" applyFont="1" applyFill="1" applyBorder="1" applyAlignment="1">
      <alignment horizontal="center" vertical="center" textRotation="90" wrapText="1"/>
    </xf>
    <xf numFmtId="0" fontId="33" fillId="53" borderId="14" xfId="0" applyFont="1" applyFill="1" applyBorder="1" applyAlignment="1">
      <alignment horizontal="center" vertical="center" textRotation="90" wrapText="1"/>
    </xf>
    <xf numFmtId="0" fontId="33" fillId="51" borderId="5" xfId="0" applyFont="1" applyFill="1" applyBorder="1" applyAlignment="1">
      <alignment horizontal="center" vertical="center" textRotation="90" wrapText="1"/>
    </xf>
    <xf numFmtId="0" fontId="33" fillId="51" borderId="15" xfId="0" applyFont="1" applyFill="1" applyBorder="1" applyAlignment="1">
      <alignment horizontal="center" vertical="center" textRotation="90" wrapText="1"/>
    </xf>
    <xf numFmtId="0" fontId="33" fillId="51" borderId="14" xfId="0" applyFont="1" applyFill="1" applyBorder="1" applyAlignment="1">
      <alignment horizontal="center" vertical="center" textRotation="90" wrapText="1"/>
    </xf>
    <xf numFmtId="0" fontId="33" fillId="50" borderId="5" xfId="0" applyFont="1" applyFill="1" applyBorder="1" applyAlignment="1">
      <alignment horizontal="center" vertical="center" textRotation="90" wrapText="1"/>
    </xf>
    <xf numFmtId="0" fontId="33" fillId="50" borderId="15" xfId="0" applyFont="1" applyFill="1" applyBorder="1" applyAlignment="1">
      <alignment horizontal="center" vertical="center" textRotation="90" wrapText="1"/>
    </xf>
    <xf numFmtId="0" fontId="33" fillId="50" borderId="14" xfId="0" applyFont="1" applyFill="1" applyBorder="1" applyAlignment="1">
      <alignment horizontal="center" vertical="center" textRotation="90" wrapText="1"/>
    </xf>
    <xf numFmtId="0" fontId="33" fillId="52" borderId="5" xfId="0" applyFont="1" applyFill="1" applyBorder="1" applyAlignment="1">
      <alignment horizontal="center" vertical="center" textRotation="90" wrapText="1"/>
    </xf>
    <xf numFmtId="0" fontId="33" fillId="52" borderId="15" xfId="0" applyFont="1" applyFill="1" applyBorder="1" applyAlignment="1">
      <alignment horizontal="center" vertical="center" textRotation="90" wrapText="1"/>
    </xf>
    <xf numFmtId="0" fontId="33" fillId="52" borderId="14" xfId="0" applyFont="1" applyFill="1" applyBorder="1" applyAlignment="1">
      <alignment horizontal="center" vertical="center" textRotation="90" wrapText="1"/>
    </xf>
    <xf numFmtId="0" fontId="33" fillId="54" borderId="5" xfId="0" applyFont="1" applyFill="1" applyBorder="1" applyAlignment="1">
      <alignment horizontal="center" vertical="center" textRotation="90" wrapText="1"/>
    </xf>
    <xf numFmtId="0" fontId="33" fillId="54" borderId="15" xfId="0" applyFont="1" applyFill="1" applyBorder="1" applyAlignment="1">
      <alignment horizontal="center" vertical="center" textRotation="90" wrapText="1"/>
    </xf>
    <xf numFmtId="0" fontId="33" fillId="54" borderId="14" xfId="0" applyFont="1" applyFill="1" applyBorder="1" applyAlignment="1">
      <alignment horizontal="center" vertical="center" textRotation="90" wrapText="1"/>
    </xf>
    <xf numFmtId="0" fontId="33" fillId="48" borderId="5" xfId="0" applyFont="1" applyFill="1" applyBorder="1" applyAlignment="1">
      <alignment horizontal="center" vertical="center" textRotation="90" wrapText="1"/>
    </xf>
    <xf numFmtId="0" fontId="33" fillId="48" borderId="15" xfId="0" applyFont="1" applyFill="1" applyBorder="1" applyAlignment="1">
      <alignment horizontal="center" vertical="center" textRotation="90" wrapText="1"/>
    </xf>
    <xf numFmtId="0" fontId="33" fillId="48" borderId="14" xfId="0" applyFont="1" applyFill="1" applyBorder="1" applyAlignment="1">
      <alignment horizontal="center" vertical="center" textRotation="90" wrapText="1"/>
    </xf>
    <xf numFmtId="0" fontId="33" fillId="49" borderId="5" xfId="0" applyFont="1" applyFill="1" applyBorder="1" applyAlignment="1">
      <alignment horizontal="center" vertical="center" textRotation="90" wrapText="1"/>
    </xf>
    <xf numFmtId="0" fontId="33" fillId="49" borderId="15" xfId="0" applyFont="1" applyFill="1" applyBorder="1" applyAlignment="1">
      <alignment horizontal="center" vertical="center" textRotation="90" wrapText="1"/>
    </xf>
    <xf numFmtId="0" fontId="33" fillId="49" borderId="14" xfId="0" applyFont="1" applyFill="1" applyBorder="1" applyAlignment="1">
      <alignment horizontal="center" vertical="center" textRotation="90" wrapText="1"/>
    </xf>
    <xf numFmtId="0" fontId="31" fillId="33" borderId="5" xfId="0" applyFont="1" applyFill="1" applyBorder="1" applyAlignment="1">
      <alignment horizontal="center" vertical="center" textRotation="90" wrapText="1"/>
    </xf>
    <xf numFmtId="0" fontId="31" fillId="33" borderId="15" xfId="0" applyFont="1" applyFill="1" applyBorder="1" applyAlignment="1">
      <alignment horizontal="center" vertical="center" textRotation="90" wrapText="1"/>
    </xf>
    <xf numFmtId="0" fontId="31" fillId="33" borderId="14" xfId="0" applyFont="1" applyFill="1" applyBorder="1" applyAlignment="1">
      <alignment horizontal="center" vertical="center" textRotation="90" wrapText="1"/>
    </xf>
    <xf numFmtId="0" fontId="31" fillId="39" borderId="5" xfId="0" applyFont="1" applyFill="1" applyBorder="1" applyAlignment="1">
      <alignment horizontal="center" vertical="center" textRotation="90" wrapText="1"/>
    </xf>
    <xf numFmtId="0" fontId="31" fillId="39" borderId="15" xfId="0" applyFont="1" applyFill="1" applyBorder="1" applyAlignment="1">
      <alignment horizontal="center" vertical="center" textRotation="90" wrapText="1"/>
    </xf>
    <xf numFmtId="0" fontId="31" fillId="39" borderId="14" xfId="0" applyFont="1" applyFill="1" applyBorder="1" applyAlignment="1">
      <alignment horizontal="center" vertical="center" textRotation="90" wrapText="1"/>
    </xf>
    <xf numFmtId="0" fontId="33" fillId="60" borderId="5" xfId="0" applyFont="1" applyFill="1" applyBorder="1" applyAlignment="1">
      <alignment horizontal="center" vertical="center" textRotation="90" wrapText="1"/>
    </xf>
    <xf numFmtId="0" fontId="33" fillId="60" borderId="15" xfId="0" applyFont="1" applyFill="1" applyBorder="1" applyAlignment="1">
      <alignment horizontal="center" vertical="center" textRotation="90" wrapText="1"/>
    </xf>
    <xf numFmtId="0" fontId="33" fillId="60" borderId="14" xfId="0" applyFont="1" applyFill="1" applyBorder="1" applyAlignment="1">
      <alignment horizontal="center" vertical="center" textRotation="90" wrapText="1"/>
    </xf>
    <xf numFmtId="0" fontId="31" fillId="40" borderId="5" xfId="0" applyFont="1" applyFill="1" applyBorder="1" applyAlignment="1">
      <alignment horizontal="center" vertical="center" textRotation="90" wrapText="1"/>
    </xf>
    <xf numFmtId="0" fontId="31" fillId="40" borderId="15" xfId="0" applyFont="1" applyFill="1" applyBorder="1" applyAlignment="1">
      <alignment horizontal="center" vertical="center" textRotation="90" wrapText="1"/>
    </xf>
    <xf numFmtId="0" fontId="31" fillId="40" borderId="14" xfId="0" applyFont="1" applyFill="1" applyBorder="1" applyAlignment="1">
      <alignment horizontal="center" vertical="center" textRotation="90" wrapText="1"/>
    </xf>
    <xf numFmtId="0" fontId="31" fillId="47" borderId="5" xfId="0" applyFont="1" applyFill="1" applyBorder="1" applyAlignment="1">
      <alignment horizontal="center" vertical="center" textRotation="90" wrapText="1"/>
    </xf>
    <xf numFmtId="0" fontId="31" fillId="47" borderId="15" xfId="0" applyFont="1" applyFill="1" applyBorder="1" applyAlignment="1">
      <alignment horizontal="center" vertical="center" textRotation="90" wrapText="1"/>
    </xf>
    <xf numFmtId="0" fontId="31" fillId="47" borderId="14" xfId="0" applyFont="1" applyFill="1" applyBorder="1" applyAlignment="1">
      <alignment horizontal="center" vertical="center" textRotation="90" wrapText="1"/>
    </xf>
    <xf numFmtId="0" fontId="33" fillId="73" borderId="5" xfId="0" applyFont="1" applyFill="1" applyBorder="1" applyAlignment="1">
      <alignment horizontal="center" vertical="center" textRotation="90" wrapText="1"/>
    </xf>
    <xf numFmtId="0" fontId="33" fillId="73" borderId="15" xfId="0" applyFont="1" applyFill="1" applyBorder="1" applyAlignment="1">
      <alignment horizontal="center" vertical="center" textRotation="90" wrapText="1"/>
    </xf>
    <xf numFmtId="0" fontId="33" fillId="73" borderId="14" xfId="0" applyFont="1" applyFill="1" applyBorder="1" applyAlignment="1">
      <alignment horizontal="center" vertical="center" textRotation="90" wrapText="1"/>
    </xf>
    <xf numFmtId="0" fontId="33" fillId="61" borderId="5" xfId="0" applyFont="1" applyFill="1" applyBorder="1" applyAlignment="1">
      <alignment horizontal="center" vertical="center" textRotation="90" wrapText="1"/>
    </xf>
    <xf numFmtId="0" fontId="33" fillId="61" borderId="15" xfId="0" applyFont="1" applyFill="1" applyBorder="1" applyAlignment="1">
      <alignment horizontal="center" vertical="center" textRotation="90" wrapText="1"/>
    </xf>
    <xf numFmtId="0" fontId="33" fillId="61" borderId="14" xfId="0" applyFont="1" applyFill="1" applyBorder="1" applyAlignment="1">
      <alignment horizontal="center" vertical="center" textRotation="90" wrapText="1"/>
    </xf>
    <xf numFmtId="0" fontId="31" fillId="43" borderId="5" xfId="0" applyFont="1" applyFill="1" applyBorder="1" applyAlignment="1">
      <alignment horizontal="center" vertical="center" textRotation="90" wrapText="1"/>
    </xf>
    <xf numFmtId="0" fontId="31" fillId="43" borderId="15" xfId="0" applyFont="1" applyFill="1" applyBorder="1" applyAlignment="1">
      <alignment horizontal="center" vertical="center" textRotation="90" wrapText="1"/>
    </xf>
    <xf numFmtId="0" fontId="31" fillId="43" borderId="14" xfId="0" applyFont="1" applyFill="1" applyBorder="1" applyAlignment="1">
      <alignment horizontal="center" vertical="center" textRotation="90" wrapText="1"/>
    </xf>
    <xf numFmtId="0" fontId="31" fillId="55" borderId="5" xfId="0" applyFont="1" applyFill="1" applyBorder="1" applyAlignment="1">
      <alignment horizontal="center" vertical="center" textRotation="90" wrapText="1"/>
    </xf>
    <xf numFmtId="0" fontId="31" fillId="55" borderId="15" xfId="0" applyFont="1" applyFill="1" applyBorder="1" applyAlignment="1">
      <alignment horizontal="center" vertical="center" textRotation="90" wrapText="1"/>
    </xf>
    <xf numFmtId="0" fontId="31" fillId="55" borderId="14" xfId="0" applyFont="1" applyFill="1" applyBorder="1" applyAlignment="1">
      <alignment horizontal="center" vertical="center" textRotation="90" wrapText="1"/>
    </xf>
    <xf numFmtId="0" fontId="3" fillId="0" borderId="0" xfId="0" applyFont="1" applyBorder="1"/>
    <xf numFmtId="0" fontId="17" fillId="0" borderId="0" xfId="0" applyFont="1" applyBorder="1"/>
    <xf numFmtId="44" fontId="17" fillId="0" borderId="0" xfId="20" applyFont="1" applyBorder="1"/>
    <xf numFmtId="44" fontId="0" fillId="0" borderId="0" xfId="20" applyFont="1" applyBorder="1"/>
    <xf numFmtId="0" fontId="0" fillId="0" borderId="0" xfId="0" applyBorder="1"/>
    <xf numFmtId="172" fontId="17" fillId="38" borderId="0" xfId="22" applyNumberFormat="1" applyFont="1" applyFill="1" applyBorder="1"/>
    <xf numFmtId="44" fontId="17" fillId="38" borderId="0" xfId="20" applyNumberFormat="1" applyFont="1" applyFill="1" applyBorder="1"/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37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36"/>
      <tableStyleElement type="headerRow" dxfId="1035"/>
      <tableStyleElement type="firstRowStripe" dxfId="1034"/>
      <tableStyleElement type="secondRowStripe" dxfId="1033"/>
    </tableStyle>
  </tableStyles>
  <colors>
    <mruColors>
      <color rgb="FFC1A880"/>
      <color rgb="FFD9B097"/>
      <color rgb="FFACA800"/>
      <color rgb="FF007370"/>
      <color rgb="FF800000"/>
      <color rgb="FF000080"/>
      <color rgb="FF008080"/>
      <color rgb="FF99D89C"/>
      <color rgb="FFDCB13C"/>
      <color rgb="FF827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Quote!$E$8:$E$15</c:f>
              <c:numCache>
                <c:formatCode>_("$"* #,##0.00_);_("$"* \(#,##0.00\);_("$"* "-"??_);_(@_)</c:formatCode>
                <c:ptCount val="8"/>
                <c:pt idx="0">
                  <c:v>7.05321</c:v>
                </c:pt>
                <c:pt idx="1">
                  <c:v>1.0438749999999999</c:v>
                </c:pt>
                <c:pt idx="2">
                  <c:v>6.9591666666666665</c:v>
                </c:pt>
                <c:pt idx="3">
                  <c:v>2.5478976640711903</c:v>
                </c:pt>
                <c:pt idx="4">
                  <c:v>0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3.47235</c:v>
                </c:pt>
                <c:pt idx="1">
                  <c:v>0.70524999999999993</c:v>
                </c:pt>
                <c:pt idx="2">
                  <c:v>4.7016666666666662</c:v>
                </c:pt>
                <c:pt idx="3">
                  <c:v>1.7213793103448276</c:v>
                </c:pt>
                <c:pt idx="4">
                  <c:v>0</c:v>
                </c:pt>
                <c:pt idx="5">
                  <c:v>0.83333333333333337</c:v>
                </c:pt>
                <c:pt idx="6">
                  <c:v>0.83333333333333337</c:v>
                </c:pt>
                <c:pt idx="7">
                  <c:v>2.1666666666666665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133350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47001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32" dataDxfId="1031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30"/>
    <tableColumn id="2" xr3:uid="{00000000-0010-0000-0000-000002000000}" name="Column2" dataDxfId="1029"/>
    <tableColumn id="3" xr3:uid="{00000000-0010-0000-0000-000003000000}" name="Column3" dataDxfId="1028"/>
    <tableColumn id="4" xr3:uid="{00000000-0010-0000-0000-000004000000}" name="Column4" dataDxfId="1027"/>
    <tableColumn id="5" xr3:uid="{00000000-0010-0000-0000-000005000000}" name="Column5" dataDxfId="1026"/>
    <tableColumn id="6" xr3:uid="{00000000-0010-0000-0000-000006000000}" name="Column6" dataDxfId="1025"/>
    <tableColumn id="7" xr3:uid="{00000000-0010-0000-0000-000007000000}" name="Column7" dataDxfId="1024"/>
    <tableColumn id="8" xr3:uid="{00000000-0010-0000-0000-000008000000}" name="Column8" dataDxfId="1023"/>
    <tableColumn id="9" xr3:uid="{00000000-0010-0000-0000-000009000000}" name="Column9" dataDxfId="1022"/>
    <tableColumn id="10" xr3:uid="{00000000-0010-0000-0000-00000A000000}" name="Column10" dataDxfId="1021"/>
    <tableColumn id="11" xr3:uid="{00000000-0010-0000-0000-00000B000000}" name="Column11" dataDxfId="1020"/>
    <tableColumn id="12" xr3:uid="{00000000-0010-0000-0000-00000C000000}" name="Column12" dataDxfId="1019"/>
    <tableColumn id="13" xr3:uid="{00000000-0010-0000-0000-00000D000000}" name="Column13" dataDxfId="1018"/>
    <tableColumn id="14" xr3:uid="{00000000-0010-0000-0000-00000E000000}" name="Column14" dataDxfId="1017"/>
    <tableColumn id="15" xr3:uid="{00000000-0010-0000-0000-00000F000000}" name="Column15" dataDxfId="1016"/>
    <tableColumn id="16" xr3:uid="{00000000-0010-0000-0000-000010000000}" name="Column16" dataDxfId="1015"/>
    <tableColumn id="17" xr3:uid="{00000000-0010-0000-0000-000011000000}" name="Column17" dataDxfId="1014"/>
    <tableColumn id="18" xr3:uid="{00000000-0010-0000-0000-000012000000}" name="Column18" dataDxfId="1013"/>
    <tableColumn id="19" xr3:uid="{00000000-0010-0000-0000-000013000000}" name="Column19" dataDxfId="1012"/>
    <tableColumn id="20" xr3:uid="{00000000-0010-0000-0000-000014000000}" name="Column20" dataDxfId="1011"/>
    <tableColumn id="21" xr3:uid="{00000000-0010-0000-0000-000015000000}" name="Column21" dataDxfId="1010"/>
    <tableColumn id="22" xr3:uid="{00000000-0010-0000-0000-000016000000}" name="Column22" dataDxfId="1009"/>
    <tableColumn id="23" xr3:uid="{00000000-0010-0000-0000-000017000000}" name="Column23" dataDxfId="1008"/>
    <tableColumn id="24" xr3:uid="{00000000-0010-0000-0000-000018000000}" name="Column24" dataDxfId="1007"/>
    <tableColumn id="25" xr3:uid="{00000000-0010-0000-0000-000019000000}" name="Column25" dataDxfId="1006"/>
    <tableColumn id="26" xr3:uid="{00000000-0010-0000-0000-00001A000000}" name="Column26" dataDxfId="1005"/>
    <tableColumn id="27" xr3:uid="{00000000-0010-0000-0000-00001B000000}" name="Column27" dataDxfId="1004"/>
    <tableColumn id="28" xr3:uid="{00000000-0010-0000-0000-00001C000000}" name="Column28" dataDxfId="1003"/>
    <tableColumn id="29" xr3:uid="{00000000-0010-0000-0000-00001D000000}" name="Column29" dataDxfId="1002"/>
    <tableColumn id="30" xr3:uid="{00000000-0010-0000-0000-00001E000000}" name="Column30" dataDxfId="1001"/>
    <tableColumn id="31" xr3:uid="{00000000-0010-0000-0000-00001F000000}" name="Column31" dataDxfId="1000"/>
    <tableColumn id="32" xr3:uid="{00000000-0010-0000-0000-000020000000}" name="Column32" dataDxfId="999"/>
    <tableColumn id="33" xr3:uid="{00000000-0010-0000-0000-000021000000}" name="Column33" dataDxfId="998"/>
    <tableColumn id="34" xr3:uid="{00000000-0010-0000-0000-000022000000}" name="Column34" dataDxfId="997"/>
    <tableColumn id="35" xr3:uid="{00000000-0010-0000-0000-000023000000}" name="Column35" dataDxfId="996"/>
    <tableColumn id="36" xr3:uid="{00000000-0010-0000-0000-000024000000}" name="Column36" dataDxfId="995"/>
    <tableColumn id="37" xr3:uid="{00000000-0010-0000-0000-000025000000}" name="Column37" dataDxfId="994"/>
    <tableColumn id="38" xr3:uid="{00000000-0010-0000-0000-000026000000}" name="Column38" dataDxfId="993"/>
    <tableColumn id="39" xr3:uid="{00000000-0010-0000-0000-000027000000}" name="Column39" dataDxfId="992"/>
    <tableColumn id="40" xr3:uid="{00000000-0010-0000-0000-000028000000}" name="Column40" dataDxfId="991"/>
    <tableColumn id="41" xr3:uid="{00000000-0010-0000-0000-000029000000}" name="Column41" dataDxfId="990"/>
    <tableColumn id="42" xr3:uid="{00000000-0010-0000-0000-00002A000000}" name="Column42" dataDxfId="989"/>
    <tableColumn id="43" xr3:uid="{00000000-0010-0000-0000-00002B000000}" name="Column43" dataDxfId="988"/>
    <tableColumn id="44" xr3:uid="{00000000-0010-0000-0000-00002C000000}" name="Column44" dataDxfId="987"/>
    <tableColumn id="45" xr3:uid="{00000000-0010-0000-0000-00002D000000}" name="Column45" dataDxfId="986"/>
    <tableColumn id="46" xr3:uid="{00000000-0010-0000-0000-00002E000000}" name="Column46" dataDxfId="985"/>
    <tableColumn id="47" xr3:uid="{00000000-0010-0000-0000-00002F000000}" name="Column47" dataDxfId="984"/>
    <tableColumn id="48" xr3:uid="{00000000-0010-0000-0000-000030000000}" name="Column48" dataDxfId="983"/>
    <tableColumn id="49" xr3:uid="{00000000-0010-0000-0000-000031000000}" name="Column49" dataDxfId="982"/>
    <tableColumn id="50" xr3:uid="{00000000-0010-0000-0000-000032000000}" name="Column50" dataDxfId="981"/>
    <tableColumn id="51" xr3:uid="{00000000-0010-0000-0000-000033000000}" name="Column51" dataDxfId="980"/>
    <tableColumn id="52" xr3:uid="{00000000-0010-0000-0000-000034000000}" name="Column52" dataDxfId="979"/>
    <tableColumn id="53" xr3:uid="{00000000-0010-0000-0000-000035000000}" name="Column53" dataDxfId="978"/>
    <tableColumn id="54" xr3:uid="{00000000-0010-0000-0000-000036000000}" name="Column54" dataDxfId="977"/>
    <tableColumn id="55" xr3:uid="{00000000-0010-0000-0000-000037000000}" name="Column55" dataDxfId="976"/>
    <tableColumn id="56" xr3:uid="{00000000-0010-0000-0000-000038000000}" name="Column56" dataDxfId="975"/>
    <tableColumn id="57" xr3:uid="{00000000-0010-0000-0000-000039000000}" name="Column57" dataDxfId="974"/>
    <tableColumn id="58" xr3:uid="{00000000-0010-0000-0000-00003A000000}" name="Column58" dataDxfId="973"/>
    <tableColumn id="59" xr3:uid="{00000000-0010-0000-0000-00003B000000}" name="Column59" dataDxfId="972"/>
    <tableColumn id="60" xr3:uid="{00000000-0010-0000-0000-00003C000000}" name="Column60" dataDxfId="971"/>
    <tableColumn id="61" xr3:uid="{00000000-0010-0000-0000-00003D000000}" name="Column61" dataDxfId="970"/>
    <tableColumn id="62" xr3:uid="{00000000-0010-0000-0000-00003E000000}" name="Column62" dataDxfId="969"/>
    <tableColumn id="63" xr3:uid="{00000000-0010-0000-0000-00003F000000}" name="Column63" dataDxfId="968"/>
    <tableColumn id="64" xr3:uid="{00000000-0010-0000-0000-000040000000}" name="Column64" dataDxfId="967"/>
    <tableColumn id="65" xr3:uid="{00000000-0010-0000-0000-000041000000}" name="Column65" dataDxfId="966"/>
    <tableColumn id="66" xr3:uid="{00000000-0010-0000-0000-000042000000}" name="Column66" dataDxfId="965"/>
    <tableColumn id="67" xr3:uid="{00000000-0010-0000-0000-000043000000}" name="Column67" dataDxfId="964"/>
    <tableColumn id="68" xr3:uid="{00000000-0010-0000-0000-000044000000}" name="Column68" dataDxfId="963"/>
    <tableColumn id="69" xr3:uid="{00000000-0010-0000-0000-000045000000}" name="Column69" dataDxfId="962"/>
    <tableColumn id="70" xr3:uid="{00000000-0010-0000-0000-000046000000}" name="Column70" dataDxfId="961"/>
    <tableColumn id="71" xr3:uid="{00000000-0010-0000-0000-000047000000}" name="Column71" dataDxfId="960"/>
    <tableColumn id="72" xr3:uid="{00000000-0010-0000-0000-000048000000}" name="Column72" dataDxfId="959"/>
    <tableColumn id="73" xr3:uid="{00000000-0010-0000-0000-000049000000}" name="Column73" dataDxfId="958"/>
    <tableColumn id="74" xr3:uid="{00000000-0010-0000-0000-00004A000000}" name="Column74" dataDxfId="957"/>
    <tableColumn id="75" xr3:uid="{00000000-0010-0000-0000-00004B000000}" name="Column75" dataDxfId="956"/>
    <tableColumn id="76" xr3:uid="{00000000-0010-0000-0000-00004C000000}" name="Column76" dataDxfId="955"/>
    <tableColumn id="77" xr3:uid="{00000000-0010-0000-0000-00004D000000}" name="Column77" dataDxfId="954"/>
    <tableColumn id="78" xr3:uid="{00000000-0010-0000-0000-00004E000000}" name="Column78" dataDxfId="953"/>
    <tableColumn id="79" xr3:uid="{00000000-0010-0000-0000-00004F000000}" name="Column79" dataDxfId="952"/>
    <tableColumn id="80" xr3:uid="{00000000-0010-0000-0000-000050000000}" name="Column80" dataDxfId="951"/>
    <tableColumn id="81" xr3:uid="{00000000-0010-0000-0000-000051000000}" name="Column81" dataDxfId="950"/>
    <tableColumn id="82" xr3:uid="{00000000-0010-0000-0000-000052000000}" name="Column82" dataDxfId="949"/>
    <tableColumn id="83" xr3:uid="{00000000-0010-0000-0000-000053000000}" name="Column83" dataDxfId="948"/>
    <tableColumn id="84" xr3:uid="{00000000-0010-0000-0000-000054000000}" name="Column84" dataDxfId="947"/>
    <tableColumn id="85" xr3:uid="{00000000-0010-0000-0000-000055000000}" name="Column85" dataDxfId="946"/>
    <tableColumn id="86" xr3:uid="{00000000-0010-0000-0000-000056000000}" name="Column86" dataDxfId="945"/>
    <tableColumn id="87" xr3:uid="{00000000-0010-0000-0000-000057000000}" name="Column87" dataDxfId="944"/>
    <tableColumn id="88" xr3:uid="{00000000-0010-0000-0000-000058000000}" name="Column88" dataDxfId="943"/>
    <tableColumn id="89" xr3:uid="{00000000-0010-0000-0000-000059000000}" name="Column89" dataDxfId="942"/>
    <tableColumn id="90" xr3:uid="{00000000-0010-0000-0000-00005A000000}" name="Column90" dataDxfId="941"/>
    <tableColumn id="91" xr3:uid="{00000000-0010-0000-0000-00005B000000}" name="Column91" dataDxfId="940"/>
    <tableColumn id="92" xr3:uid="{00000000-0010-0000-0000-00005C000000}" name="Column92" dataDxfId="939"/>
    <tableColumn id="93" xr3:uid="{00000000-0010-0000-0000-00005D000000}" name="Column93" dataDxfId="938"/>
    <tableColumn id="94" xr3:uid="{00000000-0010-0000-0000-00005E000000}" name="Column94" dataDxfId="937"/>
    <tableColumn id="95" xr3:uid="{00000000-0010-0000-0000-00005F000000}" name="Column95" dataDxfId="936"/>
    <tableColumn id="96" xr3:uid="{00000000-0010-0000-0000-000060000000}" name="Column96" dataDxfId="935"/>
    <tableColumn id="97" xr3:uid="{00000000-0010-0000-0000-000061000000}" name="Column97" dataDxfId="934"/>
    <tableColumn id="98" xr3:uid="{00000000-0010-0000-0000-000062000000}" name="Column98" dataDxfId="933"/>
    <tableColumn id="99" xr3:uid="{00000000-0010-0000-0000-000063000000}" name="Column99" dataDxfId="932"/>
    <tableColumn id="100" xr3:uid="{00000000-0010-0000-0000-000064000000}" name="Column100" dataDxfId="931"/>
    <tableColumn id="101" xr3:uid="{00000000-0010-0000-0000-000065000000}" name="Column101" dataDxfId="930"/>
    <tableColumn id="102" xr3:uid="{00000000-0010-0000-0000-000066000000}" name="Column102" dataDxfId="929"/>
    <tableColumn id="103" xr3:uid="{00000000-0010-0000-0000-000067000000}" name="Column103" dataDxfId="928"/>
    <tableColumn id="104" xr3:uid="{00000000-0010-0000-0000-000068000000}" name="Column104" dataDxfId="927"/>
    <tableColumn id="105" xr3:uid="{00000000-0010-0000-0000-000069000000}" name="Column105" dataDxfId="926"/>
    <tableColumn id="106" xr3:uid="{00000000-0010-0000-0000-00006A000000}" name="Column106" dataDxfId="925"/>
    <tableColumn id="107" xr3:uid="{00000000-0010-0000-0000-00006B000000}" name="Column107" dataDxfId="924"/>
    <tableColumn id="108" xr3:uid="{00000000-0010-0000-0000-00006C000000}" name="Column108" dataDxfId="923"/>
    <tableColumn id="109" xr3:uid="{00000000-0010-0000-0000-00006D000000}" name="Column109" dataDxfId="922"/>
    <tableColumn id="110" xr3:uid="{00000000-0010-0000-0000-00006E000000}" name="Column110" dataDxfId="921"/>
    <tableColumn id="111" xr3:uid="{00000000-0010-0000-0000-00006F000000}" name="Column111" dataDxfId="920"/>
    <tableColumn id="112" xr3:uid="{00000000-0010-0000-0000-000070000000}" name="Column112" dataDxfId="919"/>
    <tableColumn id="113" xr3:uid="{00000000-0010-0000-0000-000071000000}" name="Column113" dataDxfId="918"/>
    <tableColumn id="114" xr3:uid="{00000000-0010-0000-0000-000072000000}" name="Column114" dataDxfId="917"/>
    <tableColumn id="115" xr3:uid="{00000000-0010-0000-0000-000073000000}" name="Column115" dataDxfId="916"/>
    <tableColumn id="116" xr3:uid="{00000000-0010-0000-0000-000074000000}" name="Column116" dataDxfId="915"/>
    <tableColumn id="117" xr3:uid="{00000000-0010-0000-0000-000075000000}" name="Column117" dataDxfId="914"/>
    <tableColumn id="118" xr3:uid="{00000000-0010-0000-0000-000076000000}" name="Column118" dataDxfId="913"/>
    <tableColumn id="119" xr3:uid="{00000000-0010-0000-0000-000077000000}" name="Column119" dataDxfId="912"/>
    <tableColumn id="120" xr3:uid="{00000000-0010-0000-0000-000078000000}" name="Column120" dataDxfId="911"/>
    <tableColumn id="121" xr3:uid="{00000000-0010-0000-0000-000079000000}" name="Column121" dataDxfId="910"/>
    <tableColumn id="122" xr3:uid="{00000000-0010-0000-0000-00007A000000}" name="Column122" dataDxfId="909"/>
    <tableColumn id="123" xr3:uid="{00000000-0010-0000-0000-00007B000000}" name="Column123" dataDxfId="908"/>
    <tableColumn id="124" xr3:uid="{00000000-0010-0000-0000-00007C000000}" name="Column124" dataDxfId="907"/>
    <tableColumn id="125" xr3:uid="{00000000-0010-0000-0000-00007D000000}" name="Column125" dataDxfId="906"/>
    <tableColumn id="126" xr3:uid="{00000000-0010-0000-0000-00007E000000}" name="Column126" dataDxfId="905"/>
    <tableColumn id="127" xr3:uid="{00000000-0010-0000-0000-00007F000000}" name="Column127" dataDxfId="904"/>
    <tableColumn id="128" xr3:uid="{00000000-0010-0000-0000-000080000000}" name="Column128" dataDxfId="903"/>
    <tableColumn id="129" xr3:uid="{00000000-0010-0000-0000-000081000000}" name="Column129" dataDxfId="902"/>
    <tableColumn id="130" xr3:uid="{00000000-0010-0000-0000-000082000000}" name="Column130" dataDxfId="901"/>
    <tableColumn id="131" xr3:uid="{00000000-0010-0000-0000-000083000000}" name="Column131" dataDxfId="900"/>
    <tableColumn id="132" xr3:uid="{00000000-0010-0000-0000-000084000000}" name="Column132" dataDxfId="899"/>
    <tableColumn id="133" xr3:uid="{00000000-0010-0000-0000-000085000000}" name="Column133" dataDxfId="898"/>
    <tableColumn id="134" xr3:uid="{00000000-0010-0000-0000-000086000000}" name="Column134" dataDxfId="897"/>
    <tableColumn id="135" xr3:uid="{00000000-0010-0000-0000-000087000000}" name="Column135" dataDxfId="896"/>
    <tableColumn id="136" xr3:uid="{00000000-0010-0000-0000-000088000000}" name="Column136" dataDxfId="895"/>
    <tableColumn id="137" xr3:uid="{00000000-0010-0000-0000-000089000000}" name="Column137" dataDxfId="894"/>
    <tableColumn id="138" xr3:uid="{00000000-0010-0000-0000-00008A000000}" name="Column138" dataDxfId="893"/>
    <tableColumn id="139" xr3:uid="{00000000-0010-0000-0000-00008B000000}" name="Column139" dataDxfId="892"/>
    <tableColumn id="140" xr3:uid="{00000000-0010-0000-0000-00008C000000}" name="Column140" dataDxfId="891"/>
    <tableColumn id="141" xr3:uid="{00000000-0010-0000-0000-00008D000000}" name="Column141" dataDxfId="890"/>
    <tableColumn id="142" xr3:uid="{00000000-0010-0000-0000-00008E000000}" name="Column142" dataDxfId="889"/>
    <tableColumn id="143" xr3:uid="{00000000-0010-0000-0000-00008F000000}" name="Column143" dataDxfId="888"/>
    <tableColumn id="144" xr3:uid="{00000000-0010-0000-0000-000090000000}" name="Column144" dataDxfId="887"/>
    <tableColumn id="145" xr3:uid="{00000000-0010-0000-0000-000091000000}" name="Column145" dataDxfId="886"/>
    <tableColumn id="146" xr3:uid="{00000000-0010-0000-0000-000092000000}" name="Column146" dataDxfId="885"/>
    <tableColumn id="147" xr3:uid="{00000000-0010-0000-0000-000093000000}" name="Column147" dataDxfId="884"/>
    <tableColumn id="148" xr3:uid="{00000000-0010-0000-0000-000094000000}" name="Column148" dataDxfId="883"/>
    <tableColumn id="149" xr3:uid="{00000000-0010-0000-0000-000095000000}" name="Column149" dataDxfId="882"/>
    <tableColumn id="150" xr3:uid="{00000000-0010-0000-0000-000096000000}" name="Column150" dataDxfId="881"/>
    <tableColumn id="151" xr3:uid="{00000000-0010-0000-0000-000097000000}" name="Column151" dataDxfId="880"/>
    <tableColumn id="152" xr3:uid="{00000000-0010-0000-0000-000098000000}" name="Column152" dataDxfId="879"/>
    <tableColumn id="153" xr3:uid="{00000000-0010-0000-0000-000099000000}" name="Column153" dataDxfId="878"/>
    <tableColumn id="154" xr3:uid="{00000000-0010-0000-0000-00009A000000}" name="Column154" dataDxfId="877"/>
    <tableColumn id="155" xr3:uid="{00000000-0010-0000-0000-00009B000000}" name="Column155" dataDxfId="876"/>
    <tableColumn id="156" xr3:uid="{00000000-0010-0000-0000-00009C000000}" name="Column156" dataDxfId="875"/>
    <tableColumn id="157" xr3:uid="{00000000-0010-0000-0000-00009D000000}" name="Column157" dataDxfId="874"/>
    <tableColumn id="158" xr3:uid="{00000000-0010-0000-0000-00009E000000}" name="Column158" dataDxfId="873"/>
    <tableColumn id="159" xr3:uid="{00000000-0010-0000-0000-00009F000000}" name="Column159" dataDxfId="872"/>
    <tableColumn id="160" xr3:uid="{00000000-0010-0000-0000-0000A0000000}" name="Column160" dataDxfId="871"/>
    <tableColumn id="161" xr3:uid="{00000000-0010-0000-0000-0000A1000000}" name="Column161" dataDxfId="870"/>
    <tableColumn id="162" xr3:uid="{00000000-0010-0000-0000-0000A2000000}" name="Column162" dataDxfId="869"/>
    <tableColumn id="163" xr3:uid="{00000000-0010-0000-0000-0000A3000000}" name="Column163" dataDxfId="868"/>
    <tableColumn id="164" xr3:uid="{00000000-0010-0000-0000-0000A4000000}" name="Column164" dataDxfId="867"/>
    <tableColumn id="165" xr3:uid="{00000000-0010-0000-0000-0000A5000000}" name="Column165" dataDxfId="866"/>
    <tableColumn id="166" xr3:uid="{00000000-0010-0000-0000-0000A6000000}" name="Column166" dataDxfId="865"/>
    <tableColumn id="167" xr3:uid="{00000000-0010-0000-0000-0000A7000000}" name="Column167" dataDxfId="864"/>
    <tableColumn id="168" xr3:uid="{00000000-0010-0000-0000-0000A8000000}" name="Column168" dataDxfId="863"/>
    <tableColumn id="169" xr3:uid="{00000000-0010-0000-0000-0000A9000000}" name="Column169" dataDxfId="862"/>
    <tableColumn id="170" xr3:uid="{00000000-0010-0000-0000-0000AA000000}" name="Column170" dataDxfId="861"/>
    <tableColumn id="171" xr3:uid="{00000000-0010-0000-0000-0000AB000000}" name="Column171" dataDxfId="860"/>
    <tableColumn id="172" xr3:uid="{00000000-0010-0000-0000-0000AC000000}" name="Column172" dataDxfId="859"/>
    <tableColumn id="173" xr3:uid="{00000000-0010-0000-0000-0000AD000000}" name="Column173" dataDxfId="858"/>
    <tableColumn id="174" xr3:uid="{00000000-0010-0000-0000-0000AE000000}" name="Column174" dataDxfId="857"/>
    <tableColumn id="175" xr3:uid="{00000000-0010-0000-0000-0000AF000000}" name="Column175" dataDxfId="856"/>
    <tableColumn id="176" xr3:uid="{00000000-0010-0000-0000-0000B0000000}" name="Column176" dataDxfId="855"/>
    <tableColumn id="177" xr3:uid="{00000000-0010-0000-0000-0000B1000000}" name="Column177" dataDxfId="854"/>
    <tableColumn id="178" xr3:uid="{00000000-0010-0000-0000-0000B2000000}" name="Column178" dataDxfId="853"/>
    <tableColumn id="179" xr3:uid="{00000000-0010-0000-0000-0000B3000000}" name="Column179" dataDxfId="852"/>
    <tableColumn id="180" xr3:uid="{00000000-0010-0000-0000-0000B4000000}" name="Column180" dataDxfId="851"/>
    <tableColumn id="181" xr3:uid="{00000000-0010-0000-0000-0000B5000000}" name="Column181" dataDxfId="850"/>
    <tableColumn id="182" xr3:uid="{00000000-0010-0000-0000-0000B6000000}" name="Column182" dataDxfId="849"/>
    <tableColumn id="183" xr3:uid="{00000000-0010-0000-0000-0000B7000000}" name="Column183" dataDxfId="848"/>
    <tableColumn id="184" xr3:uid="{00000000-0010-0000-0000-0000B8000000}" name="Column184" dataDxfId="847"/>
    <tableColumn id="185" xr3:uid="{00000000-0010-0000-0000-0000B9000000}" name="Column185" dataDxfId="846"/>
    <tableColumn id="186" xr3:uid="{00000000-0010-0000-0000-0000BA000000}" name="Column186" dataDxfId="845"/>
    <tableColumn id="187" xr3:uid="{00000000-0010-0000-0000-0000BB000000}" name="Column187" dataDxfId="844"/>
    <tableColumn id="188" xr3:uid="{00000000-0010-0000-0000-0000BC000000}" name="Column188" dataDxfId="843"/>
    <tableColumn id="189" xr3:uid="{00000000-0010-0000-0000-0000BD000000}" name="Column189" dataDxfId="842"/>
    <tableColumn id="190" xr3:uid="{00000000-0010-0000-0000-0000BE000000}" name="Column190" dataDxfId="841"/>
    <tableColumn id="191" xr3:uid="{00000000-0010-0000-0000-0000BF000000}" name="Column191" dataDxfId="840"/>
    <tableColumn id="192" xr3:uid="{00000000-0010-0000-0000-0000C0000000}" name="Column192" dataDxfId="839"/>
    <tableColumn id="193" xr3:uid="{00000000-0010-0000-0000-0000C1000000}" name="Column193" dataDxfId="838"/>
    <tableColumn id="194" xr3:uid="{00000000-0010-0000-0000-0000C2000000}" name="Column194" dataDxfId="837"/>
    <tableColumn id="195" xr3:uid="{00000000-0010-0000-0000-0000C3000000}" name="Column195" dataDxfId="836"/>
    <tableColumn id="196" xr3:uid="{00000000-0010-0000-0000-0000C4000000}" name="Column196" dataDxfId="835"/>
    <tableColumn id="197" xr3:uid="{00000000-0010-0000-0000-0000C5000000}" name="Column197" dataDxfId="834"/>
    <tableColumn id="198" xr3:uid="{00000000-0010-0000-0000-0000C6000000}" name="Column198" dataDxfId="833"/>
    <tableColumn id="199" xr3:uid="{00000000-0010-0000-0000-0000C7000000}" name="Column199" dataDxfId="832"/>
    <tableColumn id="200" xr3:uid="{00000000-0010-0000-0000-0000C8000000}" name="Column200" dataDxfId="831"/>
    <tableColumn id="201" xr3:uid="{00000000-0010-0000-0000-0000C9000000}" name="Column201" dataDxfId="830"/>
    <tableColumn id="202" xr3:uid="{00000000-0010-0000-0000-0000CA000000}" name="Column202" dataDxfId="829"/>
    <tableColumn id="203" xr3:uid="{00000000-0010-0000-0000-0000CB000000}" name="Column203" dataDxfId="828"/>
    <tableColumn id="204" xr3:uid="{00000000-0010-0000-0000-0000CC000000}" name="Column204" dataDxfId="827"/>
    <tableColumn id="205" xr3:uid="{00000000-0010-0000-0000-0000CD000000}" name="Column205" dataDxfId="826"/>
    <tableColumn id="206" xr3:uid="{00000000-0010-0000-0000-0000CE000000}" name="Column206" dataDxfId="825"/>
    <tableColumn id="207" xr3:uid="{00000000-0010-0000-0000-0000CF000000}" name="Column207" dataDxfId="824"/>
    <tableColumn id="208" xr3:uid="{00000000-0010-0000-0000-0000D0000000}" name="Column208" dataDxfId="823"/>
    <tableColumn id="209" xr3:uid="{00000000-0010-0000-0000-0000D1000000}" name="Column209" dataDxfId="822"/>
    <tableColumn id="210" xr3:uid="{00000000-0010-0000-0000-0000D2000000}" name="Column210" dataDxfId="821"/>
    <tableColumn id="211" xr3:uid="{00000000-0010-0000-0000-0000D3000000}" name="Column211" dataDxfId="820"/>
    <tableColumn id="212" xr3:uid="{00000000-0010-0000-0000-0000D4000000}" name="Column212" dataDxfId="819"/>
    <tableColumn id="213" xr3:uid="{00000000-0010-0000-0000-0000D5000000}" name="Column213" dataDxfId="818"/>
    <tableColumn id="214" xr3:uid="{00000000-0010-0000-0000-0000D6000000}" name="Column214" dataDxfId="817"/>
    <tableColumn id="215" xr3:uid="{00000000-0010-0000-0000-0000D7000000}" name="Column215" dataDxfId="816"/>
    <tableColumn id="216" xr3:uid="{00000000-0010-0000-0000-0000D8000000}" name="Column216" dataDxfId="815"/>
    <tableColumn id="217" xr3:uid="{00000000-0010-0000-0000-0000D9000000}" name="Column217" dataDxfId="814"/>
    <tableColumn id="218" xr3:uid="{00000000-0010-0000-0000-0000DA000000}" name="Column218" dataDxfId="813"/>
    <tableColumn id="219" xr3:uid="{00000000-0010-0000-0000-0000DB000000}" name="Column219" dataDxfId="812"/>
    <tableColumn id="220" xr3:uid="{00000000-0010-0000-0000-0000DC000000}" name="Column220" dataDxfId="811"/>
    <tableColumn id="221" xr3:uid="{00000000-0010-0000-0000-0000DD000000}" name="Column221" dataDxfId="810"/>
    <tableColumn id="222" xr3:uid="{00000000-0010-0000-0000-0000DE000000}" name="Column222" dataDxfId="809"/>
    <tableColumn id="223" xr3:uid="{00000000-0010-0000-0000-0000DF000000}" name="Column223" dataDxfId="808"/>
    <tableColumn id="224" xr3:uid="{00000000-0010-0000-0000-0000E0000000}" name="Column224" dataDxfId="807"/>
    <tableColumn id="225" xr3:uid="{00000000-0010-0000-0000-0000E1000000}" name="Column225" dataDxfId="806"/>
    <tableColumn id="226" xr3:uid="{00000000-0010-0000-0000-0000E2000000}" name="Column226" dataDxfId="805"/>
    <tableColumn id="227" xr3:uid="{00000000-0010-0000-0000-0000E3000000}" name="Column227" dataDxfId="804"/>
    <tableColumn id="228" xr3:uid="{00000000-0010-0000-0000-0000E4000000}" name="Column228" dataDxfId="803"/>
    <tableColumn id="229" xr3:uid="{00000000-0010-0000-0000-0000E5000000}" name="Column229" dataDxfId="802"/>
    <tableColumn id="230" xr3:uid="{00000000-0010-0000-0000-0000E6000000}" name="Column230" dataDxfId="801"/>
    <tableColumn id="231" xr3:uid="{00000000-0010-0000-0000-0000E7000000}" name="Column231" dataDxfId="800"/>
    <tableColumn id="232" xr3:uid="{00000000-0010-0000-0000-0000E8000000}" name="Column232" dataDxfId="799"/>
    <tableColumn id="233" xr3:uid="{00000000-0010-0000-0000-0000E9000000}" name="Column233" dataDxfId="798"/>
    <tableColumn id="234" xr3:uid="{00000000-0010-0000-0000-0000EA000000}" name="Column234" dataDxfId="797"/>
    <tableColumn id="235" xr3:uid="{00000000-0010-0000-0000-0000EB000000}" name="Column235" dataDxfId="796"/>
    <tableColumn id="236" xr3:uid="{00000000-0010-0000-0000-0000EC000000}" name="Column236" dataDxfId="795"/>
    <tableColumn id="237" xr3:uid="{00000000-0010-0000-0000-0000ED000000}" name="Column237" dataDxfId="794"/>
    <tableColumn id="238" xr3:uid="{00000000-0010-0000-0000-0000EE000000}" name="Column238" dataDxfId="793"/>
    <tableColumn id="239" xr3:uid="{00000000-0010-0000-0000-0000EF000000}" name="Column239" dataDxfId="792"/>
    <tableColumn id="240" xr3:uid="{00000000-0010-0000-0000-0000F0000000}" name="Column240" dataDxfId="791"/>
    <tableColumn id="241" xr3:uid="{00000000-0010-0000-0000-0000F1000000}" name="Column241" dataDxfId="790"/>
    <tableColumn id="242" xr3:uid="{00000000-0010-0000-0000-0000F2000000}" name="Column242" dataDxfId="789"/>
    <tableColumn id="243" xr3:uid="{00000000-0010-0000-0000-0000F3000000}" name="Column243" dataDxfId="788"/>
    <tableColumn id="244" xr3:uid="{00000000-0010-0000-0000-0000F4000000}" name="Column244" dataDxfId="787"/>
    <tableColumn id="245" xr3:uid="{00000000-0010-0000-0000-0000F5000000}" name="Column245" dataDxfId="786"/>
    <tableColumn id="246" xr3:uid="{00000000-0010-0000-0000-0000F6000000}" name="Column246" dataDxfId="785"/>
    <tableColumn id="247" xr3:uid="{00000000-0010-0000-0000-0000F7000000}" name="Column247" dataDxfId="784"/>
    <tableColumn id="248" xr3:uid="{00000000-0010-0000-0000-0000F8000000}" name="Column248" dataDxfId="783"/>
    <tableColumn id="249" xr3:uid="{00000000-0010-0000-0000-0000F9000000}" name="Column249" dataDxfId="782"/>
    <tableColumn id="250" xr3:uid="{00000000-0010-0000-0000-0000FA000000}" name="Column250" dataDxfId="781"/>
    <tableColumn id="251" xr3:uid="{00000000-0010-0000-0000-0000FB000000}" name="Column251" dataDxfId="780"/>
    <tableColumn id="252" xr3:uid="{00000000-0010-0000-0000-0000FC000000}" name="Column252" dataDxfId="779"/>
    <tableColumn id="253" xr3:uid="{00000000-0010-0000-0000-0000FD000000}" name="Column253" dataDxfId="778"/>
    <tableColumn id="254" xr3:uid="{00000000-0010-0000-0000-0000FE000000}" name="Column254" dataDxfId="777"/>
    <tableColumn id="255" xr3:uid="{00000000-0010-0000-0000-0000FF000000}" name="Column255" dataDxfId="776"/>
    <tableColumn id="256" xr3:uid="{00000000-0010-0000-0000-000000010000}" name="Column256" dataDxfId="775"/>
    <tableColumn id="257" xr3:uid="{00000000-0010-0000-0000-000001010000}" name="Column257" dataDxfId="774"/>
    <tableColumn id="258" xr3:uid="{00000000-0010-0000-0000-000002010000}" name="Column258" dataDxfId="773"/>
    <tableColumn id="259" xr3:uid="{00000000-0010-0000-0000-000003010000}" name="Column259" dataDxfId="772"/>
    <tableColumn id="260" xr3:uid="{00000000-0010-0000-0000-000004010000}" name="Column260" dataDxfId="771"/>
    <tableColumn id="261" xr3:uid="{00000000-0010-0000-0000-000005010000}" name="Column261" dataDxfId="770"/>
    <tableColumn id="262" xr3:uid="{00000000-0010-0000-0000-000006010000}" name="Column262" dataDxfId="769"/>
    <tableColumn id="263" xr3:uid="{00000000-0010-0000-0000-000007010000}" name="Column263" dataDxfId="768"/>
    <tableColumn id="264" xr3:uid="{00000000-0010-0000-0000-000008010000}" name="Column264" dataDxfId="767"/>
    <tableColumn id="265" xr3:uid="{00000000-0010-0000-0000-000009010000}" name="Column265" dataDxfId="766"/>
    <tableColumn id="266" xr3:uid="{00000000-0010-0000-0000-00000A010000}" name="Column266" dataDxfId="765"/>
    <tableColumn id="267" xr3:uid="{00000000-0010-0000-0000-00000B010000}" name="Column267" dataDxfId="764"/>
    <tableColumn id="268" xr3:uid="{00000000-0010-0000-0000-00000C010000}" name="Column268" dataDxfId="763"/>
    <tableColumn id="269" xr3:uid="{00000000-0010-0000-0000-00000D010000}" name="Column269" dataDxfId="762"/>
    <tableColumn id="270" xr3:uid="{00000000-0010-0000-0000-00000E010000}" name="Column270" dataDxfId="761"/>
    <tableColumn id="271" xr3:uid="{00000000-0010-0000-0000-00000F010000}" name="Column271" dataDxfId="760"/>
    <tableColumn id="272" xr3:uid="{00000000-0010-0000-0000-000010010000}" name="Column272" dataDxfId="759"/>
    <tableColumn id="273" xr3:uid="{00000000-0010-0000-0000-000011010000}" name="Column273" dataDxfId="758"/>
    <tableColumn id="274" xr3:uid="{00000000-0010-0000-0000-000012010000}" name="Column274" dataDxfId="757"/>
    <tableColumn id="275" xr3:uid="{00000000-0010-0000-0000-000013010000}" name="Column275" dataDxfId="756"/>
    <tableColumn id="276" xr3:uid="{00000000-0010-0000-0000-000014010000}" name="Column276" dataDxfId="755"/>
    <tableColumn id="277" xr3:uid="{00000000-0010-0000-0000-000015010000}" name="Column277" dataDxfId="754"/>
    <tableColumn id="278" xr3:uid="{00000000-0010-0000-0000-000016010000}" name="Column278" dataDxfId="753"/>
    <tableColumn id="279" xr3:uid="{00000000-0010-0000-0000-000017010000}" name="Column279" dataDxfId="752"/>
    <tableColumn id="280" xr3:uid="{00000000-0010-0000-0000-000018010000}" name="Column280" dataDxfId="751"/>
    <tableColumn id="281" xr3:uid="{00000000-0010-0000-0000-000019010000}" name="Column281" dataDxfId="750"/>
    <tableColumn id="282" xr3:uid="{00000000-0010-0000-0000-00001A010000}" name="Column282" dataDxfId="749"/>
    <tableColumn id="283" xr3:uid="{00000000-0010-0000-0000-00001B010000}" name="Column283" dataDxfId="748"/>
    <tableColumn id="284" xr3:uid="{00000000-0010-0000-0000-00001C010000}" name="Column284" dataDxfId="747"/>
    <tableColumn id="285" xr3:uid="{00000000-0010-0000-0000-00001D010000}" name="Column285" dataDxfId="746"/>
    <tableColumn id="286" xr3:uid="{00000000-0010-0000-0000-00001E010000}" name="Column286" dataDxfId="745"/>
    <tableColumn id="287" xr3:uid="{00000000-0010-0000-0000-00001F010000}" name="Column287" dataDxfId="744"/>
    <tableColumn id="288" xr3:uid="{00000000-0010-0000-0000-000020010000}" name="Column288" dataDxfId="743"/>
    <tableColumn id="289" xr3:uid="{00000000-0010-0000-0000-000021010000}" name="Column289" dataDxfId="742"/>
    <tableColumn id="290" xr3:uid="{00000000-0010-0000-0000-000022010000}" name="Column290" dataDxfId="741"/>
    <tableColumn id="291" xr3:uid="{00000000-0010-0000-0000-000023010000}" name="Column291" dataDxfId="740"/>
    <tableColumn id="292" xr3:uid="{00000000-0010-0000-0000-000024010000}" name="Column292" dataDxfId="739"/>
    <tableColumn id="293" xr3:uid="{00000000-0010-0000-0000-000025010000}" name="Column293" dataDxfId="738"/>
    <tableColumn id="294" xr3:uid="{00000000-0010-0000-0000-000026010000}" name="Column294" dataDxfId="737"/>
    <tableColumn id="295" xr3:uid="{00000000-0010-0000-0000-000027010000}" name="Column295" dataDxfId="736"/>
    <tableColumn id="296" xr3:uid="{00000000-0010-0000-0000-000028010000}" name="Column296" dataDxfId="735"/>
    <tableColumn id="297" xr3:uid="{00000000-0010-0000-0000-000029010000}" name="Column297" dataDxfId="734"/>
    <tableColumn id="298" xr3:uid="{00000000-0010-0000-0000-00002A010000}" name="Column298" dataDxfId="733"/>
    <tableColumn id="299" xr3:uid="{00000000-0010-0000-0000-00002B010000}" name="Column299" dataDxfId="732"/>
    <tableColumn id="300" xr3:uid="{00000000-0010-0000-0000-00002C010000}" name="Column300" dataDxfId="731"/>
    <tableColumn id="301" xr3:uid="{00000000-0010-0000-0000-00002D010000}" name="Column301" dataDxfId="730"/>
    <tableColumn id="302" xr3:uid="{00000000-0010-0000-0000-00002E010000}" name="Column302" dataDxfId="729"/>
    <tableColumn id="303" xr3:uid="{00000000-0010-0000-0000-00002F010000}" name="Column303" dataDxfId="728"/>
    <tableColumn id="304" xr3:uid="{00000000-0010-0000-0000-000030010000}" name="Column304" dataDxfId="727"/>
    <tableColumn id="305" xr3:uid="{00000000-0010-0000-0000-000031010000}" name="Column305" dataDxfId="726"/>
    <tableColumn id="306" xr3:uid="{00000000-0010-0000-0000-000032010000}" name="Column306" dataDxfId="725"/>
    <tableColumn id="307" xr3:uid="{00000000-0010-0000-0000-000033010000}" name="Column307" dataDxfId="724"/>
    <tableColumn id="308" xr3:uid="{00000000-0010-0000-0000-000034010000}" name="Column308" dataDxfId="723"/>
    <tableColumn id="309" xr3:uid="{00000000-0010-0000-0000-000035010000}" name="Column309" dataDxfId="722"/>
    <tableColumn id="310" xr3:uid="{00000000-0010-0000-0000-000036010000}" name="Column310" dataDxfId="721"/>
    <tableColumn id="311" xr3:uid="{00000000-0010-0000-0000-000037010000}" name="Column311" dataDxfId="720"/>
    <tableColumn id="312" xr3:uid="{00000000-0010-0000-0000-000038010000}" name="Column312" dataDxfId="719"/>
    <tableColumn id="313" xr3:uid="{00000000-0010-0000-0000-000039010000}" name="Column313" dataDxfId="718"/>
    <tableColumn id="314" xr3:uid="{00000000-0010-0000-0000-00003A010000}" name="Column314" dataDxfId="717"/>
    <tableColumn id="315" xr3:uid="{00000000-0010-0000-0000-00003B010000}" name="Column315" dataDxfId="716"/>
    <tableColumn id="316" xr3:uid="{00000000-0010-0000-0000-00003C010000}" name="Column316" dataDxfId="715"/>
    <tableColumn id="317" xr3:uid="{00000000-0010-0000-0000-00003D010000}" name="Column317" dataDxfId="714"/>
    <tableColumn id="318" xr3:uid="{00000000-0010-0000-0000-00003E010000}" name="Column318" dataDxfId="713"/>
    <tableColumn id="319" xr3:uid="{00000000-0010-0000-0000-00003F010000}" name="Column319" dataDxfId="712"/>
    <tableColumn id="320" xr3:uid="{00000000-0010-0000-0000-000040010000}" name="Column320" dataDxfId="711"/>
    <tableColumn id="321" xr3:uid="{00000000-0010-0000-0000-000041010000}" name="Column321" dataDxfId="710"/>
    <tableColumn id="322" xr3:uid="{00000000-0010-0000-0000-000042010000}" name="Column322" dataDxfId="709"/>
    <tableColumn id="323" xr3:uid="{00000000-0010-0000-0000-000043010000}" name="Column323" dataDxfId="708"/>
    <tableColumn id="324" xr3:uid="{00000000-0010-0000-0000-000044010000}" name="Column324" dataDxfId="707"/>
    <tableColumn id="325" xr3:uid="{00000000-0010-0000-0000-000045010000}" name="Column325" dataDxfId="706"/>
    <tableColumn id="326" xr3:uid="{00000000-0010-0000-0000-000046010000}" name="Column326" dataDxfId="705"/>
    <tableColumn id="327" xr3:uid="{00000000-0010-0000-0000-000047010000}" name="Column327" dataDxfId="704"/>
    <tableColumn id="328" xr3:uid="{00000000-0010-0000-0000-000048010000}" name="Column328" dataDxfId="703"/>
    <tableColumn id="329" xr3:uid="{00000000-0010-0000-0000-000049010000}" name="Column329" dataDxfId="702"/>
    <tableColumn id="330" xr3:uid="{00000000-0010-0000-0000-00004A010000}" name="Column330" dataDxfId="701"/>
    <tableColumn id="331" xr3:uid="{00000000-0010-0000-0000-00004B010000}" name="Column331" dataDxfId="700"/>
    <tableColumn id="332" xr3:uid="{00000000-0010-0000-0000-00004C010000}" name="Column332" dataDxfId="699"/>
    <tableColumn id="333" xr3:uid="{00000000-0010-0000-0000-00004D010000}" name="Column333" dataDxfId="698"/>
    <tableColumn id="334" xr3:uid="{00000000-0010-0000-0000-00004E010000}" name="Column334" dataDxfId="697"/>
    <tableColumn id="335" xr3:uid="{00000000-0010-0000-0000-00004F010000}" name="Column335" dataDxfId="696"/>
    <tableColumn id="336" xr3:uid="{00000000-0010-0000-0000-000050010000}" name="Column336" dataDxfId="695"/>
    <tableColumn id="337" xr3:uid="{00000000-0010-0000-0000-000051010000}" name="Column337" dataDxfId="694"/>
    <tableColumn id="338" xr3:uid="{00000000-0010-0000-0000-000052010000}" name="Column338" dataDxfId="693"/>
    <tableColumn id="339" xr3:uid="{00000000-0010-0000-0000-000053010000}" name="Column339" dataDxfId="692"/>
    <tableColumn id="340" xr3:uid="{00000000-0010-0000-0000-000054010000}" name="Column340" dataDxfId="691"/>
    <tableColumn id="341" xr3:uid="{00000000-0010-0000-0000-000055010000}" name="Column341" dataDxfId="690"/>
    <tableColumn id="342" xr3:uid="{00000000-0010-0000-0000-000056010000}" name="Column342" dataDxfId="689"/>
    <tableColumn id="343" xr3:uid="{00000000-0010-0000-0000-000057010000}" name="Column343" dataDxfId="688"/>
    <tableColumn id="344" xr3:uid="{00000000-0010-0000-0000-000058010000}" name="Column344" dataDxfId="687"/>
    <tableColumn id="345" xr3:uid="{00000000-0010-0000-0000-000059010000}" name="Column345" dataDxfId="686"/>
    <tableColumn id="346" xr3:uid="{00000000-0010-0000-0000-00005A010000}" name="Column346" dataDxfId="685"/>
    <tableColumn id="347" xr3:uid="{00000000-0010-0000-0000-00005B010000}" name="Column347" dataDxfId="684"/>
    <tableColumn id="348" xr3:uid="{00000000-0010-0000-0000-00005C010000}" name="Column348" dataDxfId="683"/>
    <tableColumn id="349" xr3:uid="{00000000-0010-0000-0000-00005D010000}" name="Column349" dataDxfId="682"/>
    <tableColumn id="350" xr3:uid="{00000000-0010-0000-0000-00005E010000}" name="Column350" dataDxfId="681"/>
    <tableColumn id="351" xr3:uid="{00000000-0010-0000-0000-00005F010000}" name="Column351" dataDxfId="680"/>
    <tableColumn id="352" xr3:uid="{00000000-0010-0000-0000-000060010000}" name="Column352" dataDxfId="679"/>
    <tableColumn id="353" xr3:uid="{00000000-0010-0000-0000-000061010000}" name="Column353" dataDxfId="678"/>
    <tableColumn id="354" xr3:uid="{00000000-0010-0000-0000-000062010000}" name="Column354" dataDxfId="677"/>
    <tableColumn id="355" xr3:uid="{00000000-0010-0000-0000-000063010000}" name="Column355" dataDxfId="676"/>
    <tableColumn id="356" xr3:uid="{00000000-0010-0000-0000-000064010000}" name="Column356" dataDxfId="675"/>
    <tableColumn id="357" xr3:uid="{00000000-0010-0000-0000-000065010000}" name="Column357" dataDxfId="674"/>
    <tableColumn id="358" xr3:uid="{00000000-0010-0000-0000-000066010000}" name="Column358" dataDxfId="673"/>
    <tableColumn id="359" xr3:uid="{00000000-0010-0000-0000-000067010000}" name="Column359" dataDxfId="672"/>
    <tableColumn id="360" xr3:uid="{00000000-0010-0000-0000-000068010000}" name="Column360" dataDxfId="671"/>
    <tableColumn id="361" xr3:uid="{00000000-0010-0000-0000-000069010000}" name="Column361" dataDxfId="670"/>
    <tableColumn id="362" xr3:uid="{00000000-0010-0000-0000-00006A010000}" name="Column362" dataDxfId="669"/>
    <tableColumn id="363" xr3:uid="{00000000-0010-0000-0000-00006B010000}" name="Column363" dataDxfId="668"/>
    <tableColumn id="364" xr3:uid="{00000000-0010-0000-0000-00006C010000}" name="Column364" dataDxfId="667"/>
    <tableColumn id="365" xr3:uid="{00000000-0010-0000-0000-00006D010000}" name="Column365" dataDxfId="666"/>
    <tableColumn id="366" xr3:uid="{00000000-0010-0000-0000-00006E010000}" name="Column366" dataDxfId="665"/>
    <tableColumn id="367" xr3:uid="{00000000-0010-0000-0000-00006F010000}" name="Column367" dataDxfId="664"/>
    <tableColumn id="368" xr3:uid="{00000000-0010-0000-0000-000070010000}" name="Column368" dataDxfId="663"/>
    <tableColumn id="369" xr3:uid="{00000000-0010-0000-0000-000071010000}" name="Column369" dataDxfId="662"/>
    <tableColumn id="370" xr3:uid="{00000000-0010-0000-0000-000072010000}" name="Column370" dataDxfId="661"/>
    <tableColumn id="371" xr3:uid="{00000000-0010-0000-0000-000073010000}" name="Column371" dataDxfId="660"/>
    <tableColumn id="372" xr3:uid="{00000000-0010-0000-0000-000074010000}" name="Column372" dataDxfId="659"/>
    <tableColumn id="373" xr3:uid="{00000000-0010-0000-0000-000075010000}" name="Column373" dataDxfId="658"/>
    <tableColumn id="374" xr3:uid="{00000000-0010-0000-0000-000076010000}" name="Column374" dataDxfId="657"/>
    <tableColumn id="375" xr3:uid="{00000000-0010-0000-0000-000077010000}" name="Column375" dataDxfId="656"/>
    <tableColumn id="376" xr3:uid="{00000000-0010-0000-0000-000078010000}" name="Column376" dataDxfId="655"/>
    <tableColumn id="377" xr3:uid="{00000000-0010-0000-0000-000079010000}" name="Column377" dataDxfId="654"/>
    <tableColumn id="378" xr3:uid="{00000000-0010-0000-0000-00007A010000}" name="Column378" dataDxfId="653"/>
    <tableColumn id="379" xr3:uid="{00000000-0010-0000-0000-00007B010000}" name="Column379" dataDxfId="652"/>
    <tableColumn id="380" xr3:uid="{00000000-0010-0000-0000-00007C010000}" name="Column380" dataDxfId="651"/>
    <tableColumn id="381" xr3:uid="{00000000-0010-0000-0000-00007D010000}" name="Column381" dataDxfId="650"/>
    <tableColumn id="382" xr3:uid="{00000000-0010-0000-0000-00007E010000}" name="Column382" dataDxfId="649"/>
    <tableColumn id="383" xr3:uid="{00000000-0010-0000-0000-00007F010000}" name="Column383" dataDxfId="648"/>
    <tableColumn id="384" xr3:uid="{00000000-0010-0000-0000-000080010000}" name="Column384" dataDxfId="647"/>
    <tableColumn id="385" xr3:uid="{00000000-0010-0000-0000-000081010000}" name="Column385" dataDxfId="646"/>
    <tableColumn id="386" xr3:uid="{00000000-0010-0000-0000-000082010000}" name="Column386" dataDxfId="645"/>
    <tableColumn id="387" xr3:uid="{00000000-0010-0000-0000-000083010000}" name="Column387" dataDxfId="644"/>
    <tableColumn id="388" xr3:uid="{00000000-0010-0000-0000-000084010000}" name="Column388" dataDxfId="643"/>
    <tableColumn id="389" xr3:uid="{00000000-0010-0000-0000-000085010000}" name="Column389" dataDxfId="642"/>
    <tableColumn id="390" xr3:uid="{00000000-0010-0000-0000-000086010000}" name="Column390" dataDxfId="641"/>
    <tableColumn id="391" xr3:uid="{00000000-0010-0000-0000-000087010000}" name="Column391" dataDxfId="640"/>
    <tableColumn id="392" xr3:uid="{00000000-0010-0000-0000-000088010000}" name="Column392" dataDxfId="639"/>
    <tableColumn id="393" xr3:uid="{00000000-0010-0000-0000-000089010000}" name="Column393" dataDxfId="638"/>
    <tableColumn id="394" xr3:uid="{00000000-0010-0000-0000-00008A010000}" name="Column394" dataDxfId="637"/>
    <tableColumn id="395" xr3:uid="{00000000-0010-0000-0000-00008B010000}" name="Column395" dataDxfId="636"/>
    <tableColumn id="396" xr3:uid="{00000000-0010-0000-0000-00008C010000}" name="Column396" dataDxfId="635"/>
    <tableColumn id="397" xr3:uid="{00000000-0010-0000-0000-00008D010000}" name="Column397" dataDxfId="634"/>
    <tableColumn id="398" xr3:uid="{00000000-0010-0000-0000-00008E010000}" name="Column398" dataDxfId="633"/>
    <tableColumn id="399" xr3:uid="{00000000-0010-0000-0000-00008F010000}" name="Column399" dataDxfId="632"/>
    <tableColumn id="400" xr3:uid="{00000000-0010-0000-0000-000090010000}" name="Column400" dataDxfId="631"/>
    <tableColumn id="401" xr3:uid="{00000000-0010-0000-0000-000091010000}" name="Column401" dataDxfId="630"/>
    <tableColumn id="402" xr3:uid="{00000000-0010-0000-0000-000092010000}" name="Column402" dataDxfId="629"/>
    <tableColumn id="403" xr3:uid="{00000000-0010-0000-0000-000093010000}" name="Column403" dataDxfId="628"/>
    <tableColumn id="404" xr3:uid="{00000000-0010-0000-0000-000094010000}" name="Column404" dataDxfId="627"/>
    <tableColumn id="405" xr3:uid="{00000000-0010-0000-0000-000095010000}" name="Column405" dataDxfId="626"/>
    <tableColumn id="406" xr3:uid="{00000000-0010-0000-0000-000096010000}" name="Column406" dataDxfId="625"/>
    <tableColumn id="407" xr3:uid="{00000000-0010-0000-0000-000097010000}" name="Column407" dataDxfId="624"/>
    <tableColumn id="408" xr3:uid="{00000000-0010-0000-0000-000098010000}" name="Column408" dataDxfId="623"/>
    <tableColumn id="409" xr3:uid="{00000000-0010-0000-0000-000099010000}" name="Column409" dataDxfId="622"/>
    <tableColumn id="410" xr3:uid="{00000000-0010-0000-0000-00009A010000}" name="Column410" dataDxfId="621"/>
    <tableColumn id="411" xr3:uid="{00000000-0010-0000-0000-00009B010000}" name="Column411" dataDxfId="620"/>
    <tableColumn id="412" xr3:uid="{00000000-0010-0000-0000-00009C010000}" name="Column412" dataDxfId="619"/>
    <tableColumn id="413" xr3:uid="{00000000-0010-0000-0000-00009D010000}" name="Column413" dataDxfId="618"/>
    <tableColumn id="414" xr3:uid="{00000000-0010-0000-0000-00009E010000}" name="Column414" dataDxfId="617"/>
    <tableColumn id="415" xr3:uid="{00000000-0010-0000-0000-00009F010000}" name="Column415" dataDxfId="616"/>
    <tableColumn id="416" xr3:uid="{00000000-0010-0000-0000-0000A0010000}" name="Column416" dataDxfId="615"/>
    <tableColumn id="417" xr3:uid="{00000000-0010-0000-0000-0000A1010000}" name="Column417" dataDxfId="614"/>
    <tableColumn id="418" xr3:uid="{00000000-0010-0000-0000-0000A2010000}" name="Column418" dataDxfId="613"/>
    <tableColumn id="419" xr3:uid="{00000000-0010-0000-0000-0000A3010000}" name="Column419" dataDxfId="612"/>
    <tableColumn id="420" xr3:uid="{00000000-0010-0000-0000-0000A4010000}" name="Column420" dataDxfId="611"/>
    <tableColumn id="421" xr3:uid="{00000000-0010-0000-0000-0000A5010000}" name="Column421" dataDxfId="610"/>
    <tableColumn id="422" xr3:uid="{00000000-0010-0000-0000-0000A6010000}" name="Column422" dataDxfId="609"/>
    <tableColumn id="423" xr3:uid="{00000000-0010-0000-0000-0000A7010000}" name="Column423" dataDxfId="608"/>
    <tableColumn id="424" xr3:uid="{00000000-0010-0000-0000-0000A8010000}" name="Column424" dataDxfId="607"/>
    <tableColumn id="425" xr3:uid="{00000000-0010-0000-0000-0000A9010000}" name="Column425" dataDxfId="606"/>
    <tableColumn id="426" xr3:uid="{00000000-0010-0000-0000-0000AA010000}" name="Column426" dataDxfId="605"/>
    <tableColumn id="427" xr3:uid="{00000000-0010-0000-0000-0000AB010000}" name="Column427" dataDxfId="604"/>
    <tableColumn id="428" xr3:uid="{00000000-0010-0000-0000-0000AC010000}" name="Column428" dataDxfId="603"/>
    <tableColumn id="429" xr3:uid="{00000000-0010-0000-0000-0000AD010000}" name="Column429" dataDxfId="602"/>
    <tableColumn id="430" xr3:uid="{00000000-0010-0000-0000-0000AE010000}" name="Column430" dataDxfId="601"/>
    <tableColumn id="431" xr3:uid="{00000000-0010-0000-0000-0000AF010000}" name="Column431" dataDxfId="600"/>
    <tableColumn id="432" xr3:uid="{00000000-0010-0000-0000-0000B0010000}" name="Column432" dataDxfId="599"/>
    <tableColumn id="433" xr3:uid="{00000000-0010-0000-0000-0000B1010000}" name="Column433" dataDxfId="598"/>
    <tableColumn id="434" xr3:uid="{00000000-0010-0000-0000-0000B2010000}" name="Column434" dataDxfId="597"/>
    <tableColumn id="435" xr3:uid="{00000000-0010-0000-0000-0000B3010000}" name="Column435" dataDxfId="596"/>
    <tableColumn id="436" xr3:uid="{00000000-0010-0000-0000-0000B4010000}" name="Column436" dataDxfId="595"/>
    <tableColumn id="437" xr3:uid="{00000000-0010-0000-0000-0000B5010000}" name="Column437" dataDxfId="594"/>
    <tableColumn id="438" xr3:uid="{00000000-0010-0000-0000-0000B6010000}" name="Column438" dataDxfId="593"/>
    <tableColumn id="439" xr3:uid="{00000000-0010-0000-0000-0000B7010000}" name="Column439" dataDxfId="592"/>
    <tableColumn id="440" xr3:uid="{00000000-0010-0000-0000-0000B8010000}" name="Column440" dataDxfId="591"/>
    <tableColumn id="441" xr3:uid="{00000000-0010-0000-0000-0000B9010000}" name="Column441" dataDxfId="590"/>
    <tableColumn id="442" xr3:uid="{00000000-0010-0000-0000-0000BA010000}" name="Column442" dataDxfId="589"/>
    <tableColumn id="443" xr3:uid="{00000000-0010-0000-0000-0000BB010000}" name="Column443" dataDxfId="588"/>
    <tableColumn id="444" xr3:uid="{00000000-0010-0000-0000-0000BC010000}" name="Column444" dataDxfId="587"/>
    <tableColumn id="445" xr3:uid="{00000000-0010-0000-0000-0000BD010000}" name="Column445" dataDxfId="586"/>
    <tableColumn id="446" xr3:uid="{00000000-0010-0000-0000-0000BE010000}" name="Column446" dataDxfId="585"/>
    <tableColumn id="447" xr3:uid="{00000000-0010-0000-0000-0000BF010000}" name="Column447" dataDxfId="584"/>
    <tableColumn id="448" xr3:uid="{00000000-0010-0000-0000-0000C0010000}" name="Column448" dataDxfId="583"/>
    <tableColumn id="449" xr3:uid="{00000000-0010-0000-0000-0000C1010000}" name="Column449" dataDxfId="582"/>
    <tableColumn id="450" xr3:uid="{00000000-0010-0000-0000-0000C2010000}" name="Column450" dataDxfId="581"/>
    <tableColumn id="451" xr3:uid="{00000000-0010-0000-0000-0000C3010000}" name="Column451" dataDxfId="580"/>
    <tableColumn id="452" xr3:uid="{00000000-0010-0000-0000-0000C4010000}" name="Column452" dataDxfId="579"/>
    <tableColumn id="453" xr3:uid="{00000000-0010-0000-0000-0000C5010000}" name="Column453" dataDxfId="578"/>
    <tableColumn id="454" xr3:uid="{00000000-0010-0000-0000-0000C6010000}" name="Column454" dataDxfId="577"/>
    <tableColumn id="455" xr3:uid="{00000000-0010-0000-0000-0000C7010000}" name="Column455" dataDxfId="576"/>
    <tableColumn id="456" xr3:uid="{00000000-0010-0000-0000-0000C8010000}" name="Column456" dataDxfId="575"/>
    <tableColumn id="457" xr3:uid="{00000000-0010-0000-0000-0000C9010000}" name="Column457" dataDxfId="574"/>
    <tableColumn id="458" xr3:uid="{00000000-0010-0000-0000-0000CA010000}" name="Column458" dataDxfId="573"/>
    <tableColumn id="459" xr3:uid="{00000000-0010-0000-0000-0000CB010000}" name="Column459" dataDxfId="572"/>
    <tableColumn id="460" xr3:uid="{00000000-0010-0000-0000-0000CC010000}" name="Column460" dataDxfId="571"/>
    <tableColumn id="461" xr3:uid="{00000000-0010-0000-0000-0000CD010000}" name="Column461" dataDxfId="570"/>
    <tableColumn id="462" xr3:uid="{00000000-0010-0000-0000-0000CE010000}" name="Column462" dataDxfId="569"/>
    <tableColumn id="463" xr3:uid="{00000000-0010-0000-0000-0000CF010000}" name="Column463" dataDxfId="568"/>
    <tableColumn id="464" xr3:uid="{00000000-0010-0000-0000-0000D0010000}" name="Column464" dataDxfId="567"/>
    <tableColumn id="465" xr3:uid="{00000000-0010-0000-0000-0000D1010000}" name="Column465" dataDxfId="566"/>
    <tableColumn id="466" xr3:uid="{00000000-0010-0000-0000-0000D2010000}" name="Column466" dataDxfId="565"/>
    <tableColumn id="467" xr3:uid="{00000000-0010-0000-0000-0000D3010000}" name="Column467" dataDxfId="564"/>
    <tableColumn id="468" xr3:uid="{00000000-0010-0000-0000-0000D4010000}" name="Column468" dataDxfId="563"/>
    <tableColumn id="469" xr3:uid="{00000000-0010-0000-0000-0000D5010000}" name="Column469" dataDxfId="562"/>
    <tableColumn id="470" xr3:uid="{00000000-0010-0000-0000-0000D6010000}" name="Column470" dataDxfId="561"/>
    <tableColumn id="471" xr3:uid="{00000000-0010-0000-0000-0000D7010000}" name="Column471" dataDxfId="560"/>
    <tableColumn id="472" xr3:uid="{00000000-0010-0000-0000-0000D8010000}" name="Column472" dataDxfId="559"/>
    <tableColumn id="473" xr3:uid="{00000000-0010-0000-0000-0000D9010000}" name="Column473" dataDxfId="558"/>
    <tableColumn id="474" xr3:uid="{00000000-0010-0000-0000-0000DA010000}" name="Column474" dataDxfId="557"/>
    <tableColumn id="475" xr3:uid="{00000000-0010-0000-0000-0000DB010000}" name="Column475" dataDxfId="556"/>
    <tableColumn id="476" xr3:uid="{00000000-0010-0000-0000-0000DC010000}" name="Column476" dataDxfId="555"/>
    <tableColumn id="477" xr3:uid="{00000000-0010-0000-0000-0000DD010000}" name="Column477" dataDxfId="554"/>
    <tableColumn id="478" xr3:uid="{00000000-0010-0000-0000-0000DE010000}" name="Column478" dataDxfId="553"/>
    <tableColumn id="479" xr3:uid="{00000000-0010-0000-0000-0000DF010000}" name="Column479" dataDxfId="552"/>
    <tableColumn id="480" xr3:uid="{00000000-0010-0000-0000-0000E0010000}" name="Column480" dataDxfId="551"/>
    <tableColumn id="481" xr3:uid="{00000000-0010-0000-0000-0000E1010000}" name="Column481" dataDxfId="550"/>
    <tableColumn id="482" xr3:uid="{00000000-0010-0000-0000-0000E2010000}" name="Column482" dataDxfId="549"/>
    <tableColumn id="483" xr3:uid="{00000000-0010-0000-0000-0000E3010000}" name="Column483" dataDxfId="548"/>
    <tableColumn id="484" xr3:uid="{00000000-0010-0000-0000-0000E4010000}" name="Column484" dataDxfId="547"/>
    <tableColumn id="485" xr3:uid="{00000000-0010-0000-0000-0000E5010000}" name="Column485" dataDxfId="546"/>
    <tableColumn id="486" xr3:uid="{00000000-0010-0000-0000-0000E6010000}" name="Column486" dataDxfId="545"/>
    <tableColumn id="487" xr3:uid="{00000000-0010-0000-0000-0000E7010000}" name="Column487" dataDxfId="544"/>
    <tableColumn id="488" xr3:uid="{00000000-0010-0000-0000-0000E8010000}" name="Column488" dataDxfId="543"/>
    <tableColumn id="489" xr3:uid="{00000000-0010-0000-0000-0000E9010000}" name="Column489" dataDxfId="542"/>
    <tableColumn id="490" xr3:uid="{00000000-0010-0000-0000-0000EA010000}" name="Column490" dataDxfId="541"/>
    <tableColumn id="491" xr3:uid="{00000000-0010-0000-0000-0000EB010000}" name="Column491" dataDxfId="540"/>
    <tableColumn id="492" xr3:uid="{00000000-0010-0000-0000-0000EC010000}" name="Column492" dataDxfId="539"/>
    <tableColumn id="493" xr3:uid="{00000000-0010-0000-0000-0000ED010000}" name="Column493" dataDxfId="538"/>
    <tableColumn id="494" xr3:uid="{00000000-0010-0000-0000-0000EE010000}" name="Column494" dataDxfId="537"/>
    <tableColumn id="495" xr3:uid="{00000000-0010-0000-0000-0000EF010000}" name="Column495" dataDxfId="536"/>
    <tableColumn id="496" xr3:uid="{00000000-0010-0000-0000-0000F0010000}" name="Column496" dataDxfId="535"/>
    <tableColumn id="497" xr3:uid="{00000000-0010-0000-0000-0000F1010000}" name="Column497" dataDxfId="534"/>
    <tableColumn id="498" xr3:uid="{00000000-0010-0000-0000-0000F2010000}" name="Column498" dataDxfId="533"/>
    <tableColumn id="499" xr3:uid="{00000000-0010-0000-0000-0000F3010000}" name="Column499" dataDxfId="532"/>
    <tableColumn id="500" xr3:uid="{00000000-0010-0000-0000-0000F4010000}" name="Column500" dataDxfId="531"/>
    <tableColumn id="501" xr3:uid="{00000000-0010-0000-0000-0000F5010000}" name="Column501" dataDxfId="530"/>
    <tableColumn id="502" xr3:uid="{00000000-0010-0000-0000-0000F6010000}" name="Column502" dataDxfId="529"/>
    <tableColumn id="503" xr3:uid="{00000000-0010-0000-0000-0000F7010000}" name="Column503" dataDxfId="528"/>
    <tableColumn id="504" xr3:uid="{00000000-0010-0000-0000-0000F8010000}" name="Column504" dataDxfId="527"/>
    <tableColumn id="505" xr3:uid="{00000000-0010-0000-0000-0000F9010000}" name="Column505" dataDxfId="526"/>
    <tableColumn id="506" xr3:uid="{00000000-0010-0000-0000-0000FA010000}" name="Column506" dataDxfId="525"/>
    <tableColumn id="507" xr3:uid="{00000000-0010-0000-0000-0000FB010000}" name="Column507" dataDxfId="524"/>
    <tableColumn id="508" xr3:uid="{00000000-0010-0000-0000-0000FC010000}" name="Column508" dataDxfId="523"/>
    <tableColumn id="509" xr3:uid="{00000000-0010-0000-0000-0000FD010000}" name="Column509" dataDxfId="522"/>
    <tableColumn id="510" xr3:uid="{00000000-0010-0000-0000-0000FE010000}" name="Column510" dataDxfId="521"/>
    <tableColumn id="511" xr3:uid="{00000000-0010-0000-0000-0000FF010000}" name="Column511" dataDxfId="520"/>
    <tableColumn id="512" xr3:uid="{00000000-0010-0000-0000-000000020000}" name="Column512" dataDxfId="519"/>
    <tableColumn id="513" xr3:uid="{00000000-0010-0000-0000-000001020000}" name="Column513" dataDxfId="518"/>
    <tableColumn id="514" xr3:uid="{00000000-0010-0000-0000-000002020000}" name="Column514" dataDxfId="517"/>
    <tableColumn id="515" xr3:uid="{00000000-0010-0000-0000-000003020000}" name="Column515" dataDxfId="516"/>
    <tableColumn id="516" xr3:uid="{00000000-0010-0000-0000-000004020000}" name="Column516" dataDxfId="515"/>
    <tableColumn id="517" xr3:uid="{00000000-0010-0000-0000-000005020000}" name="Column517" dataDxfId="514"/>
    <tableColumn id="518" xr3:uid="{00000000-0010-0000-0000-000006020000}" name="Column518" dataDxfId="513"/>
    <tableColumn id="519" xr3:uid="{00000000-0010-0000-0000-000007020000}" name="Column519" dataDxfId="512"/>
    <tableColumn id="520" xr3:uid="{00000000-0010-0000-0000-000008020000}" name="Column520" dataDxfId="511"/>
    <tableColumn id="521" xr3:uid="{00000000-0010-0000-0000-000009020000}" name="Column521" dataDxfId="510"/>
    <tableColumn id="522" xr3:uid="{00000000-0010-0000-0000-00000A020000}" name="Column522" dataDxfId="509"/>
    <tableColumn id="523" xr3:uid="{00000000-0010-0000-0000-00000B020000}" name="Column523" dataDxfId="508"/>
    <tableColumn id="524" xr3:uid="{00000000-0010-0000-0000-00000C020000}" name="Column524" dataDxfId="507"/>
    <tableColumn id="525" xr3:uid="{00000000-0010-0000-0000-00000D020000}" name="Column525" dataDxfId="506"/>
    <tableColumn id="526" xr3:uid="{00000000-0010-0000-0000-00000E020000}" name="Column526" dataDxfId="505"/>
    <tableColumn id="527" xr3:uid="{00000000-0010-0000-0000-00000F020000}" name="Column527" dataDxfId="504"/>
    <tableColumn id="528" xr3:uid="{00000000-0010-0000-0000-000010020000}" name="Column528" dataDxfId="503"/>
    <tableColumn id="529" xr3:uid="{00000000-0010-0000-0000-000011020000}" name="Column529" dataDxfId="502"/>
    <tableColumn id="530" xr3:uid="{00000000-0010-0000-0000-000012020000}" name="Column530" dataDxfId="501"/>
    <tableColumn id="531" xr3:uid="{00000000-0010-0000-0000-000013020000}" name="Column531" dataDxfId="500"/>
    <tableColumn id="532" xr3:uid="{00000000-0010-0000-0000-000014020000}" name="Column532" dataDxfId="499"/>
    <tableColumn id="533" xr3:uid="{00000000-0010-0000-0000-000015020000}" name="Column533" dataDxfId="498"/>
    <tableColumn id="534" xr3:uid="{00000000-0010-0000-0000-000016020000}" name="Column534" dataDxfId="497"/>
    <tableColumn id="535" xr3:uid="{00000000-0010-0000-0000-000017020000}" name="Column535" dataDxfId="496"/>
    <tableColumn id="536" xr3:uid="{00000000-0010-0000-0000-000018020000}" name="Column536" dataDxfId="495"/>
    <tableColumn id="537" xr3:uid="{00000000-0010-0000-0000-000019020000}" name="Column537" dataDxfId="494"/>
    <tableColumn id="538" xr3:uid="{00000000-0010-0000-0000-00001A020000}" name="Column538" dataDxfId="493"/>
    <tableColumn id="539" xr3:uid="{00000000-0010-0000-0000-00001B020000}" name="Column539" dataDxfId="492"/>
    <tableColumn id="540" xr3:uid="{00000000-0010-0000-0000-00001C020000}" name="Column540" dataDxfId="491"/>
    <tableColumn id="541" xr3:uid="{00000000-0010-0000-0000-00001D020000}" name="Column541" dataDxfId="490"/>
    <tableColumn id="542" xr3:uid="{00000000-0010-0000-0000-00001E020000}" name="Column542" dataDxfId="489"/>
    <tableColumn id="543" xr3:uid="{00000000-0010-0000-0000-00001F020000}" name="Column543" dataDxfId="488"/>
    <tableColumn id="544" xr3:uid="{00000000-0010-0000-0000-000020020000}" name="Column544" dataDxfId="487"/>
    <tableColumn id="545" xr3:uid="{00000000-0010-0000-0000-000021020000}" name="Column545" dataDxfId="486"/>
    <tableColumn id="546" xr3:uid="{00000000-0010-0000-0000-000022020000}" name="Column546" dataDxfId="485"/>
    <tableColumn id="547" xr3:uid="{00000000-0010-0000-0000-000023020000}" name="Column547" dataDxfId="484"/>
    <tableColumn id="548" xr3:uid="{00000000-0010-0000-0000-000024020000}" name="Column548" dataDxfId="483"/>
    <tableColumn id="549" xr3:uid="{00000000-0010-0000-0000-000025020000}" name="Column549" dataDxfId="482"/>
    <tableColumn id="550" xr3:uid="{00000000-0010-0000-0000-000026020000}" name="Column550" dataDxfId="481"/>
    <tableColumn id="551" xr3:uid="{00000000-0010-0000-0000-000027020000}" name="Column551" dataDxfId="480"/>
    <tableColumn id="552" xr3:uid="{00000000-0010-0000-0000-000028020000}" name="Column552" dataDxfId="479"/>
    <tableColumn id="553" xr3:uid="{00000000-0010-0000-0000-000029020000}" name="Column553" dataDxfId="478"/>
    <tableColumn id="554" xr3:uid="{00000000-0010-0000-0000-00002A020000}" name="Column554" dataDxfId="477"/>
    <tableColumn id="555" xr3:uid="{00000000-0010-0000-0000-00002B020000}" name="Column555" dataDxfId="476"/>
    <tableColumn id="556" xr3:uid="{00000000-0010-0000-0000-00002C020000}" name="Column556" dataDxfId="475"/>
    <tableColumn id="557" xr3:uid="{00000000-0010-0000-0000-00002D020000}" name="Column557" dataDxfId="474"/>
    <tableColumn id="558" xr3:uid="{00000000-0010-0000-0000-00002E020000}" name="Column558" dataDxfId="473"/>
    <tableColumn id="559" xr3:uid="{00000000-0010-0000-0000-00002F020000}" name="Column559" dataDxfId="472"/>
    <tableColumn id="560" xr3:uid="{00000000-0010-0000-0000-000030020000}" name="Column560" dataDxfId="471"/>
    <tableColumn id="561" xr3:uid="{00000000-0010-0000-0000-000031020000}" name="Column561" dataDxfId="470"/>
    <tableColumn id="562" xr3:uid="{00000000-0010-0000-0000-000032020000}" name="Column562" dataDxfId="469"/>
    <tableColumn id="563" xr3:uid="{00000000-0010-0000-0000-000033020000}" name="Column563" dataDxfId="468"/>
    <tableColumn id="564" xr3:uid="{00000000-0010-0000-0000-000034020000}" name="Column564" dataDxfId="467"/>
    <tableColumn id="565" xr3:uid="{00000000-0010-0000-0000-000035020000}" name="Column565" dataDxfId="466"/>
    <tableColumn id="566" xr3:uid="{00000000-0010-0000-0000-000036020000}" name="Column566" dataDxfId="465"/>
    <tableColumn id="567" xr3:uid="{00000000-0010-0000-0000-000037020000}" name="Column567" dataDxfId="464"/>
    <tableColumn id="568" xr3:uid="{00000000-0010-0000-0000-000038020000}" name="Column568" dataDxfId="463"/>
    <tableColumn id="569" xr3:uid="{00000000-0010-0000-0000-000039020000}" name="Column569" dataDxfId="462"/>
    <tableColumn id="570" xr3:uid="{00000000-0010-0000-0000-00003A020000}" name="Column570" dataDxfId="461"/>
    <tableColumn id="571" xr3:uid="{00000000-0010-0000-0000-00003B020000}" name="Column571" dataDxfId="460"/>
    <tableColumn id="572" xr3:uid="{00000000-0010-0000-0000-00003C020000}" name="Column572" dataDxfId="459"/>
    <tableColumn id="573" xr3:uid="{00000000-0010-0000-0000-00003D020000}" name="Column573" dataDxfId="458"/>
    <tableColumn id="574" xr3:uid="{00000000-0010-0000-0000-00003E020000}" name="Column574" dataDxfId="457"/>
    <tableColumn id="575" xr3:uid="{00000000-0010-0000-0000-00003F020000}" name="Column575" dataDxfId="456"/>
    <tableColumn id="576" xr3:uid="{00000000-0010-0000-0000-000040020000}" name="Column576" dataDxfId="455"/>
    <tableColumn id="577" xr3:uid="{00000000-0010-0000-0000-000041020000}" name="Column577" dataDxfId="454"/>
    <tableColumn id="578" xr3:uid="{00000000-0010-0000-0000-000042020000}" name="Column578" dataDxfId="453"/>
    <tableColumn id="579" xr3:uid="{00000000-0010-0000-0000-000043020000}" name="Column579" dataDxfId="452"/>
    <tableColumn id="580" xr3:uid="{00000000-0010-0000-0000-000044020000}" name="Column580" dataDxfId="451"/>
    <tableColumn id="581" xr3:uid="{00000000-0010-0000-0000-000045020000}" name="Column581" dataDxfId="450"/>
    <tableColumn id="582" xr3:uid="{00000000-0010-0000-0000-000046020000}" name="Column582" dataDxfId="449"/>
    <tableColumn id="583" xr3:uid="{00000000-0010-0000-0000-000047020000}" name="Column583" dataDxfId="448"/>
    <tableColumn id="584" xr3:uid="{00000000-0010-0000-0000-000048020000}" name="Column584" dataDxfId="447"/>
    <tableColumn id="585" xr3:uid="{00000000-0010-0000-0000-000049020000}" name="Column585" dataDxfId="446"/>
    <tableColumn id="586" xr3:uid="{00000000-0010-0000-0000-00004A020000}" name="Column586" dataDxfId="445"/>
    <tableColumn id="587" xr3:uid="{00000000-0010-0000-0000-00004B020000}" name="Column587" dataDxfId="444"/>
    <tableColumn id="588" xr3:uid="{00000000-0010-0000-0000-00004C020000}" name="Column588" dataDxfId="443"/>
    <tableColumn id="589" xr3:uid="{00000000-0010-0000-0000-00004D020000}" name="Column589" dataDxfId="442"/>
    <tableColumn id="590" xr3:uid="{00000000-0010-0000-0000-00004E020000}" name="Column590" dataDxfId="441"/>
    <tableColumn id="591" xr3:uid="{00000000-0010-0000-0000-00004F020000}" name="Column591" dataDxfId="440"/>
    <tableColumn id="592" xr3:uid="{00000000-0010-0000-0000-000050020000}" name="Column592" dataDxfId="439"/>
    <tableColumn id="593" xr3:uid="{00000000-0010-0000-0000-000051020000}" name="Column593" dataDxfId="438"/>
    <tableColumn id="594" xr3:uid="{00000000-0010-0000-0000-000052020000}" name="Column594" dataDxfId="437"/>
    <tableColumn id="595" xr3:uid="{00000000-0010-0000-0000-000053020000}" name="Column595" dataDxfId="436"/>
    <tableColumn id="596" xr3:uid="{00000000-0010-0000-0000-000054020000}" name="Column596" dataDxfId="435"/>
    <tableColumn id="597" xr3:uid="{00000000-0010-0000-0000-000055020000}" name="Column597" dataDxfId="434"/>
    <tableColumn id="598" xr3:uid="{00000000-0010-0000-0000-000056020000}" name="Column598" dataDxfId="433"/>
    <tableColumn id="599" xr3:uid="{00000000-0010-0000-0000-000057020000}" name="Column599" dataDxfId="432"/>
    <tableColumn id="600" xr3:uid="{00000000-0010-0000-0000-000058020000}" name="Column600" dataDxfId="431"/>
    <tableColumn id="601" xr3:uid="{00000000-0010-0000-0000-000059020000}" name="Column601" dataDxfId="430"/>
    <tableColumn id="602" xr3:uid="{00000000-0010-0000-0000-00005A020000}" name="Column602" dataDxfId="429"/>
    <tableColumn id="603" xr3:uid="{00000000-0010-0000-0000-00005B020000}" name="Column603" dataDxfId="428"/>
    <tableColumn id="604" xr3:uid="{00000000-0010-0000-0000-00005C020000}" name="Column604" dataDxfId="427"/>
    <tableColumn id="605" xr3:uid="{00000000-0010-0000-0000-00005D020000}" name="Column605" dataDxfId="426"/>
    <tableColumn id="606" xr3:uid="{00000000-0010-0000-0000-00005E020000}" name="Column606" dataDxfId="425"/>
    <tableColumn id="607" xr3:uid="{00000000-0010-0000-0000-00005F020000}" name="Column607" dataDxfId="424"/>
    <tableColumn id="608" xr3:uid="{00000000-0010-0000-0000-000060020000}" name="Column608" dataDxfId="423"/>
    <tableColumn id="609" xr3:uid="{00000000-0010-0000-0000-000061020000}" name="Column609" dataDxfId="422"/>
    <tableColumn id="610" xr3:uid="{00000000-0010-0000-0000-000062020000}" name="Column610" dataDxfId="421"/>
    <tableColumn id="611" xr3:uid="{00000000-0010-0000-0000-000063020000}" name="Column611" dataDxfId="420"/>
    <tableColumn id="612" xr3:uid="{00000000-0010-0000-0000-000064020000}" name="Column612" dataDxfId="419"/>
    <tableColumn id="613" xr3:uid="{00000000-0010-0000-0000-000065020000}" name="Column613" dataDxfId="418"/>
    <tableColumn id="614" xr3:uid="{00000000-0010-0000-0000-000066020000}" name="Column614" dataDxfId="417"/>
    <tableColumn id="615" xr3:uid="{00000000-0010-0000-0000-000067020000}" name="Column615" dataDxfId="416"/>
    <tableColumn id="616" xr3:uid="{00000000-0010-0000-0000-000068020000}" name="Column616" dataDxfId="415"/>
    <tableColumn id="617" xr3:uid="{00000000-0010-0000-0000-000069020000}" name="Column617" dataDxfId="414"/>
    <tableColumn id="618" xr3:uid="{00000000-0010-0000-0000-00006A020000}" name="Column618" dataDxfId="413"/>
    <tableColumn id="619" xr3:uid="{00000000-0010-0000-0000-00006B020000}" name="Column619" dataDxfId="412"/>
    <tableColumn id="620" xr3:uid="{00000000-0010-0000-0000-00006C020000}" name="Column620" dataDxfId="411"/>
    <tableColumn id="621" xr3:uid="{00000000-0010-0000-0000-00006D020000}" name="Column621" dataDxfId="410"/>
    <tableColumn id="622" xr3:uid="{00000000-0010-0000-0000-00006E020000}" name="Column622" dataDxfId="409"/>
    <tableColumn id="623" xr3:uid="{00000000-0010-0000-0000-00006F020000}" name="Column623" dataDxfId="408"/>
    <tableColumn id="624" xr3:uid="{00000000-0010-0000-0000-000070020000}" name="Column624" dataDxfId="407"/>
    <tableColumn id="625" xr3:uid="{00000000-0010-0000-0000-000071020000}" name="Column625" dataDxfId="406"/>
    <tableColumn id="626" xr3:uid="{00000000-0010-0000-0000-000072020000}" name="Column626" dataDxfId="405"/>
    <tableColumn id="627" xr3:uid="{00000000-0010-0000-0000-000073020000}" name="Column627" dataDxfId="404"/>
    <tableColumn id="628" xr3:uid="{00000000-0010-0000-0000-000074020000}" name="Column628" dataDxfId="403"/>
    <tableColumn id="629" xr3:uid="{00000000-0010-0000-0000-000075020000}" name="Column629" dataDxfId="402"/>
    <tableColumn id="630" xr3:uid="{00000000-0010-0000-0000-000076020000}" name="Column630" dataDxfId="401"/>
    <tableColumn id="631" xr3:uid="{00000000-0010-0000-0000-000077020000}" name="Column631" dataDxfId="400"/>
    <tableColumn id="632" xr3:uid="{00000000-0010-0000-0000-000078020000}" name="Column632" dataDxfId="399"/>
    <tableColumn id="633" xr3:uid="{00000000-0010-0000-0000-000079020000}" name="Column633" dataDxfId="398"/>
    <tableColumn id="634" xr3:uid="{00000000-0010-0000-0000-00007A020000}" name="Column634" dataDxfId="397"/>
    <tableColumn id="635" xr3:uid="{00000000-0010-0000-0000-00007B020000}" name="Column635" dataDxfId="396"/>
    <tableColumn id="636" xr3:uid="{00000000-0010-0000-0000-00007C020000}" name="Column636" dataDxfId="395"/>
    <tableColumn id="637" xr3:uid="{00000000-0010-0000-0000-00007D020000}" name="Column637" dataDxfId="394"/>
    <tableColumn id="638" xr3:uid="{00000000-0010-0000-0000-00007E020000}" name="Column638" dataDxfId="393"/>
    <tableColumn id="639" xr3:uid="{00000000-0010-0000-0000-00007F020000}" name="Column639" dataDxfId="392"/>
    <tableColumn id="640" xr3:uid="{00000000-0010-0000-0000-000080020000}" name="Column640" dataDxfId="391"/>
    <tableColumn id="641" xr3:uid="{00000000-0010-0000-0000-000081020000}" name="Column641" dataDxfId="390"/>
    <tableColumn id="642" xr3:uid="{00000000-0010-0000-0000-000082020000}" name="Column642" dataDxfId="389"/>
    <tableColumn id="643" xr3:uid="{00000000-0010-0000-0000-000083020000}" name="Column643" dataDxfId="388"/>
    <tableColumn id="644" xr3:uid="{00000000-0010-0000-0000-000084020000}" name="Column644" dataDxfId="387"/>
    <tableColumn id="645" xr3:uid="{00000000-0010-0000-0000-000085020000}" name="Column645" dataDxfId="386"/>
    <tableColumn id="646" xr3:uid="{00000000-0010-0000-0000-000086020000}" name="Column646" dataDxfId="385"/>
    <tableColumn id="647" xr3:uid="{00000000-0010-0000-0000-000087020000}" name="Column647" dataDxfId="384"/>
    <tableColumn id="648" xr3:uid="{00000000-0010-0000-0000-000088020000}" name="Column648" dataDxfId="383"/>
    <tableColumn id="649" xr3:uid="{00000000-0010-0000-0000-000089020000}" name="Column649" dataDxfId="382"/>
    <tableColumn id="650" xr3:uid="{00000000-0010-0000-0000-00008A020000}" name="Column650" dataDxfId="381"/>
    <tableColumn id="651" xr3:uid="{00000000-0010-0000-0000-00008B020000}" name="Column651" dataDxfId="380"/>
    <tableColumn id="652" xr3:uid="{00000000-0010-0000-0000-00008C020000}" name="Column652" dataDxfId="379"/>
    <tableColumn id="653" xr3:uid="{00000000-0010-0000-0000-00008D020000}" name="Column653" dataDxfId="378"/>
    <tableColumn id="654" xr3:uid="{00000000-0010-0000-0000-00008E020000}" name="Column654" dataDxfId="377"/>
    <tableColumn id="655" xr3:uid="{00000000-0010-0000-0000-00008F020000}" name="Column655" dataDxfId="376"/>
    <tableColumn id="656" xr3:uid="{00000000-0010-0000-0000-000090020000}" name="Column656" dataDxfId="375"/>
    <tableColumn id="657" xr3:uid="{00000000-0010-0000-0000-000091020000}" name="Column657" dataDxfId="374"/>
    <tableColumn id="658" xr3:uid="{00000000-0010-0000-0000-000092020000}" name="Column658" dataDxfId="373"/>
    <tableColumn id="659" xr3:uid="{00000000-0010-0000-0000-000093020000}" name="Column659" dataDxfId="372"/>
    <tableColumn id="660" xr3:uid="{00000000-0010-0000-0000-000094020000}" name="Column660" dataDxfId="371"/>
    <tableColumn id="661" xr3:uid="{00000000-0010-0000-0000-000095020000}" name="Column661" dataDxfId="370"/>
    <tableColumn id="662" xr3:uid="{00000000-0010-0000-0000-000096020000}" name="Column662" dataDxfId="369"/>
    <tableColumn id="663" xr3:uid="{00000000-0010-0000-0000-000097020000}" name="Column663" dataDxfId="368"/>
    <tableColumn id="664" xr3:uid="{00000000-0010-0000-0000-000098020000}" name="Column664" dataDxfId="367"/>
    <tableColumn id="665" xr3:uid="{00000000-0010-0000-0000-000099020000}" name="Column665" dataDxfId="366"/>
    <tableColumn id="666" xr3:uid="{00000000-0010-0000-0000-00009A020000}" name="Column666" dataDxfId="365"/>
    <tableColumn id="667" xr3:uid="{00000000-0010-0000-0000-00009B020000}" name="Column667" dataDxfId="364"/>
    <tableColumn id="668" xr3:uid="{00000000-0010-0000-0000-00009C020000}" name="Column668" dataDxfId="363"/>
    <tableColumn id="669" xr3:uid="{00000000-0010-0000-0000-00009D020000}" name="Column669" dataDxfId="362"/>
    <tableColumn id="670" xr3:uid="{00000000-0010-0000-0000-00009E020000}" name="Column670" dataDxfId="361"/>
    <tableColumn id="671" xr3:uid="{00000000-0010-0000-0000-00009F020000}" name="Column671" dataDxfId="360"/>
    <tableColumn id="672" xr3:uid="{00000000-0010-0000-0000-0000A0020000}" name="Column672" dataDxfId="359"/>
    <tableColumn id="673" xr3:uid="{00000000-0010-0000-0000-0000A1020000}" name="Column673" dataDxfId="358"/>
    <tableColumn id="674" xr3:uid="{00000000-0010-0000-0000-0000A2020000}" name="Column674" dataDxfId="357"/>
    <tableColumn id="675" xr3:uid="{00000000-0010-0000-0000-0000A3020000}" name="Column675" dataDxfId="356"/>
    <tableColumn id="676" xr3:uid="{00000000-0010-0000-0000-0000A4020000}" name="Column676" dataDxfId="355"/>
    <tableColumn id="677" xr3:uid="{00000000-0010-0000-0000-0000A5020000}" name="Column677" dataDxfId="354"/>
    <tableColumn id="678" xr3:uid="{00000000-0010-0000-0000-0000A6020000}" name="Column678" dataDxfId="353"/>
    <tableColumn id="679" xr3:uid="{00000000-0010-0000-0000-0000A7020000}" name="Column679" dataDxfId="352"/>
    <tableColumn id="680" xr3:uid="{00000000-0010-0000-0000-0000A8020000}" name="Column680" dataDxfId="351"/>
    <tableColumn id="681" xr3:uid="{00000000-0010-0000-0000-0000A9020000}" name="Column681" dataDxfId="350"/>
    <tableColumn id="682" xr3:uid="{00000000-0010-0000-0000-0000AA020000}" name="Column682" dataDxfId="349"/>
    <tableColumn id="683" xr3:uid="{00000000-0010-0000-0000-0000AB020000}" name="Column683" dataDxfId="348"/>
    <tableColumn id="684" xr3:uid="{00000000-0010-0000-0000-0000AC020000}" name="Column684" dataDxfId="347"/>
    <tableColumn id="685" xr3:uid="{00000000-0010-0000-0000-0000AD020000}" name="Column685" dataDxfId="346"/>
    <tableColumn id="686" xr3:uid="{00000000-0010-0000-0000-0000AE020000}" name="Column686" dataDxfId="345"/>
    <tableColumn id="687" xr3:uid="{00000000-0010-0000-0000-0000AF020000}" name="Column687" dataDxfId="344"/>
    <tableColumn id="688" xr3:uid="{00000000-0010-0000-0000-0000B0020000}" name="Column688" dataDxfId="343"/>
    <tableColumn id="689" xr3:uid="{00000000-0010-0000-0000-0000B1020000}" name="Column689" dataDxfId="342"/>
    <tableColumn id="690" xr3:uid="{00000000-0010-0000-0000-0000B2020000}" name="Column690" dataDxfId="341"/>
    <tableColumn id="691" xr3:uid="{00000000-0010-0000-0000-0000B3020000}" name="Column691" dataDxfId="340"/>
    <tableColumn id="692" xr3:uid="{00000000-0010-0000-0000-0000B4020000}" name="Column692" dataDxfId="339"/>
    <tableColumn id="693" xr3:uid="{00000000-0010-0000-0000-0000B5020000}" name="Column693" dataDxfId="338"/>
    <tableColumn id="694" xr3:uid="{00000000-0010-0000-0000-0000B6020000}" name="Column694" dataDxfId="337"/>
    <tableColumn id="695" xr3:uid="{00000000-0010-0000-0000-0000B7020000}" name="Column695" dataDxfId="336"/>
    <tableColumn id="696" xr3:uid="{00000000-0010-0000-0000-0000B8020000}" name="Column696" dataDxfId="335"/>
    <tableColumn id="697" xr3:uid="{00000000-0010-0000-0000-0000B9020000}" name="Column697" dataDxfId="334"/>
    <tableColumn id="698" xr3:uid="{00000000-0010-0000-0000-0000BA020000}" name="Column698" dataDxfId="333"/>
    <tableColumn id="699" xr3:uid="{00000000-0010-0000-0000-0000BB020000}" name="Column699" dataDxfId="332"/>
    <tableColumn id="700" xr3:uid="{00000000-0010-0000-0000-0000BC020000}" name="Column700" dataDxfId="331"/>
    <tableColumn id="701" xr3:uid="{00000000-0010-0000-0000-0000BD020000}" name="Column701" dataDxfId="330"/>
    <tableColumn id="702" xr3:uid="{00000000-0010-0000-0000-0000BE020000}" name="Column702" dataDxfId="329"/>
    <tableColumn id="703" xr3:uid="{00000000-0010-0000-0000-0000BF020000}" name="Column703" dataDxfId="328"/>
    <tableColumn id="704" xr3:uid="{00000000-0010-0000-0000-0000C0020000}" name="Column704" dataDxfId="327"/>
    <tableColumn id="705" xr3:uid="{00000000-0010-0000-0000-0000C1020000}" name="Column705" dataDxfId="326"/>
    <tableColumn id="706" xr3:uid="{00000000-0010-0000-0000-0000C2020000}" name="Column706" dataDxfId="325"/>
    <tableColumn id="707" xr3:uid="{00000000-0010-0000-0000-0000C3020000}" name="Column707" dataDxfId="324"/>
    <tableColumn id="708" xr3:uid="{00000000-0010-0000-0000-0000C4020000}" name="Column708" dataDxfId="323"/>
    <tableColumn id="709" xr3:uid="{00000000-0010-0000-0000-0000C5020000}" name="Column709" dataDxfId="322"/>
    <tableColumn id="710" xr3:uid="{00000000-0010-0000-0000-0000C6020000}" name="Column710" dataDxfId="321"/>
    <tableColumn id="711" xr3:uid="{00000000-0010-0000-0000-0000C7020000}" name="Column711" dataDxfId="320"/>
    <tableColumn id="712" xr3:uid="{00000000-0010-0000-0000-0000C8020000}" name="Column712" dataDxfId="319"/>
    <tableColumn id="713" xr3:uid="{00000000-0010-0000-0000-0000C9020000}" name="Column713" dataDxfId="318"/>
    <tableColumn id="714" xr3:uid="{00000000-0010-0000-0000-0000CA020000}" name="Column714" dataDxfId="317"/>
    <tableColumn id="715" xr3:uid="{00000000-0010-0000-0000-0000CB020000}" name="Column715" dataDxfId="316"/>
    <tableColumn id="716" xr3:uid="{00000000-0010-0000-0000-0000CC020000}" name="Column716" dataDxfId="315"/>
    <tableColumn id="717" xr3:uid="{00000000-0010-0000-0000-0000CD020000}" name="Column717" dataDxfId="314"/>
    <tableColumn id="718" xr3:uid="{00000000-0010-0000-0000-0000CE020000}" name="Column718" dataDxfId="313"/>
    <tableColumn id="719" xr3:uid="{00000000-0010-0000-0000-0000CF020000}" name="Column719" dataDxfId="312"/>
    <tableColumn id="720" xr3:uid="{00000000-0010-0000-0000-0000D0020000}" name="Column720" dataDxfId="311"/>
    <tableColumn id="721" xr3:uid="{00000000-0010-0000-0000-0000D1020000}" name="Column721" dataDxfId="310"/>
    <tableColumn id="722" xr3:uid="{00000000-0010-0000-0000-0000D2020000}" name="Column722" dataDxfId="309"/>
    <tableColumn id="723" xr3:uid="{00000000-0010-0000-0000-0000D3020000}" name="Column723" dataDxfId="308"/>
    <tableColumn id="724" xr3:uid="{00000000-0010-0000-0000-0000D4020000}" name="Column724" dataDxfId="307"/>
    <tableColumn id="725" xr3:uid="{00000000-0010-0000-0000-0000D5020000}" name="Column725" dataDxfId="306"/>
    <tableColumn id="726" xr3:uid="{00000000-0010-0000-0000-0000D6020000}" name="Column726" dataDxfId="305"/>
    <tableColumn id="727" xr3:uid="{00000000-0010-0000-0000-0000D7020000}" name="Column727" dataDxfId="304"/>
    <tableColumn id="728" xr3:uid="{00000000-0010-0000-0000-0000D8020000}" name="Column728" dataDxfId="303"/>
    <tableColumn id="729" xr3:uid="{00000000-0010-0000-0000-0000D9020000}" name="Column729" dataDxfId="302"/>
    <tableColumn id="730" xr3:uid="{00000000-0010-0000-0000-0000DA020000}" name="Column730" dataDxfId="301"/>
    <tableColumn id="731" xr3:uid="{00000000-0010-0000-0000-0000DB020000}" name="Column731" dataDxfId="300"/>
    <tableColumn id="732" xr3:uid="{00000000-0010-0000-0000-0000DC020000}" name="Column732" dataDxfId="299"/>
    <tableColumn id="733" xr3:uid="{00000000-0010-0000-0000-0000DD020000}" name="Column733" dataDxfId="298"/>
    <tableColumn id="734" xr3:uid="{00000000-0010-0000-0000-0000DE020000}" name="Column734" dataDxfId="297"/>
    <tableColumn id="735" xr3:uid="{00000000-0010-0000-0000-0000DF020000}" name="Column735" dataDxfId="296"/>
    <tableColumn id="736" xr3:uid="{00000000-0010-0000-0000-0000E0020000}" name="Column736" dataDxfId="295"/>
    <tableColumn id="737" xr3:uid="{00000000-0010-0000-0000-0000E1020000}" name="Column737" dataDxfId="294"/>
    <tableColumn id="738" xr3:uid="{00000000-0010-0000-0000-0000E2020000}" name="Column738" dataDxfId="293"/>
    <tableColumn id="739" xr3:uid="{00000000-0010-0000-0000-0000E3020000}" name="Column739" dataDxfId="292"/>
    <tableColumn id="740" xr3:uid="{00000000-0010-0000-0000-0000E4020000}" name="Column740" dataDxfId="291"/>
    <tableColumn id="741" xr3:uid="{00000000-0010-0000-0000-0000E5020000}" name="Column741" dataDxfId="290"/>
    <tableColumn id="742" xr3:uid="{00000000-0010-0000-0000-0000E6020000}" name="Column742" dataDxfId="289"/>
    <tableColumn id="743" xr3:uid="{00000000-0010-0000-0000-0000E7020000}" name="Column743" dataDxfId="288"/>
    <tableColumn id="744" xr3:uid="{00000000-0010-0000-0000-0000E8020000}" name="Column744" dataDxfId="287"/>
    <tableColumn id="745" xr3:uid="{00000000-0010-0000-0000-0000E9020000}" name="Column745" dataDxfId="286"/>
    <tableColumn id="746" xr3:uid="{00000000-0010-0000-0000-0000EA020000}" name="Column746" dataDxfId="285"/>
    <tableColumn id="747" xr3:uid="{00000000-0010-0000-0000-0000EB020000}" name="Column747" dataDxfId="284"/>
    <tableColumn id="748" xr3:uid="{00000000-0010-0000-0000-0000EC020000}" name="Column748" dataDxfId="283"/>
    <tableColumn id="749" xr3:uid="{00000000-0010-0000-0000-0000ED020000}" name="Column749" dataDxfId="282"/>
    <tableColumn id="750" xr3:uid="{00000000-0010-0000-0000-0000EE020000}" name="Column750" dataDxfId="281"/>
    <tableColumn id="751" xr3:uid="{00000000-0010-0000-0000-0000EF020000}" name="Column751" dataDxfId="280"/>
    <tableColumn id="752" xr3:uid="{00000000-0010-0000-0000-0000F0020000}" name="Column752" dataDxfId="279"/>
    <tableColumn id="753" xr3:uid="{00000000-0010-0000-0000-0000F1020000}" name="Column753" dataDxfId="278"/>
    <tableColumn id="754" xr3:uid="{00000000-0010-0000-0000-0000F2020000}" name="Column754" dataDxfId="277"/>
    <tableColumn id="755" xr3:uid="{00000000-0010-0000-0000-0000F3020000}" name="Column755" dataDxfId="276"/>
    <tableColumn id="756" xr3:uid="{00000000-0010-0000-0000-0000F4020000}" name="Column756" dataDxfId="275"/>
    <tableColumn id="757" xr3:uid="{00000000-0010-0000-0000-0000F5020000}" name="Column757" dataDxfId="274"/>
    <tableColumn id="758" xr3:uid="{00000000-0010-0000-0000-0000F6020000}" name="Column758" dataDxfId="273"/>
    <tableColumn id="759" xr3:uid="{00000000-0010-0000-0000-0000F7020000}" name="Column759" dataDxfId="272"/>
    <tableColumn id="760" xr3:uid="{00000000-0010-0000-0000-0000F8020000}" name="Column760" dataDxfId="271"/>
    <tableColumn id="761" xr3:uid="{00000000-0010-0000-0000-0000F9020000}" name="Column761" dataDxfId="270"/>
    <tableColumn id="762" xr3:uid="{00000000-0010-0000-0000-0000FA020000}" name="Column762" dataDxfId="269"/>
    <tableColumn id="763" xr3:uid="{00000000-0010-0000-0000-0000FB020000}" name="Column763" dataDxfId="268"/>
    <tableColumn id="764" xr3:uid="{00000000-0010-0000-0000-0000FC020000}" name="Column764" dataDxfId="267"/>
    <tableColumn id="765" xr3:uid="{00000000-0010-0000-0000-0000FD020000}" name="Column765" dataDxfId="266"/>
    <tableColumn id="766" xr3:uid="{00000000-0010-0000-0000-0000FE020000}" name="Column766" dataDxfId="265"/>
    <tableColumn id="767" xr3:uid="{00000000-0010-0000-0000-0000FF020000}" name="Column767" dataDxfId="264"/>
    <tableColumn id="768" xr3:uid="{00000000-0010-0000-0000-000000030000}" name="Column768" dataDxfId="263"/>
    <tableColumn id="769" xr3:uid="{00000000-0010-0000-0000-000001030000}" name="Column769" dataDxfId="262"/>
    <tableColumn id="770" xr3:uid="{00000000-0010-0000-0000-000002030000}" name="Column770" dataDxfId="261"/>
    <tableColumn id="771" xr3:uid="{00000000-0010-0000-0000-000003030000}" name="Column771" dataDxfId="260"/>
    <tableColumn id="772" xr3:uid="{00000000-0010-0000-0000-000004030000}" name="Column772" dataDxfId="259"/>
    <tableColumn id="773" xr3:uid="{00000000-0010-0000-0000-000005030000}" name="Column773" dataDxfId="258"/>
    <tableColumn id="774" xr3:uid="{00000000-0010-0000-0000-000006030000}" name="Column774" dataDxfId="257"/>
    <tableColumn id="775" xr3:uid="{00000000-0010-0000-0000-000007030000}" name="Column775" dataDxfId="256"/>
    <tableColumn id="776" xr3:uid="{00000000-0010-0000-0000-000008030000}" name="Column776" dataDxfId="255"/>
    <tableColumn id="777" xr3:uid="{00000000-0010-0000-0000-000009030000}" name="Column777" dataDxfId="254"/>
    <tableColumn id="778" xr3:uid="{00000000-0010-0000-0000-00000A030000}" name="Column778" dataDxfId="253"/>
    <tableColumn id="779" xr3:uid="{00000000-0010-0000-0000-00000B030000}" name="Column779" dataDxfId="252"/>
    <tableColumn id="780" xr3:uid="{00000000-0010-0000-0000-00000C030000}" name="Column780" dataDxfId="251"/>
    <tableColumn id="781" xr3:uid="{00000000-0010-0000-0000-00000D030000}" name="Column781" dataDxfId="250"/>
    <tableColumn id="782" xr3:uid="{00000000-0010-0000-0000-00000E030000}" name="Column782" dataDxfId="249"/>
    <tableColumn id="783" xr3:uid="{00000000-0010-0000-0000-00000F030000}" name="Column783" dataDxfId="248"/>
    <tableColumn id="784" xr3:uid="{00000000-0010-0000-0000-000010030000}" name="Column784" dataDxfId="247"/>
    <tableColumn id="785" xr3:uid="{00000000-0010-0000-0000-000011030000}" name="Column785" dataDxfId="246"/>
    <tableColumn id="786" xr3:uid="{00000000-0010-0000-0000-000012030000}" name="Column786" dataDxfId="245"/>
    <tableColumn id="787" xr3:uid="{00000000-0010-0000-0000-000013030000}" name="Column787" dataDxfId="244"/>
    <tableColumn id="788" xr3:uid="{00000000-0010-0000-0000-000014030000}" name="Column788" dataDxfId="243"/>
    <tableColumn id="789" xr3:uid="{00000000-0010-0000-0000-000015030000}" name="Column789" dataDxfId="242"/>
    <tableColumn id="790" xr3:uid="{00000000-0010-0000-0000-000016030000}" name="Column790" dataDxfId="241"/>
    <tableColumn id="791" xr3:uid="{00000000-0010-0000-0000-000017030000}" name="Column791" dataDxfId="240"/>
    <tableColumn id="792" xr3:uid="{00000000-0010-0000-0000-000018030000}" name="Column792" dataDxfId="239"/>
    <tableColumn id="793" xr3:uid="{00000000-0010-0000-0000-000019030000}" name="Column793" dataDxfId="238"/>
    <tableColumn id="794" xr3:uid="{00000000-0010-0000-0000-00001A030000}" name="Column794" dataDxfId="237"/>
    <tableColumn id="795" xr3:uid="{00000000-0010-0000-0000-00001B030000}" name="Column795" dataDxfId="236"/>
    <tableColumn id="796" xr3:uid="{00000000-0010-0000-0000-00001C030000}" name="Column796" dataDxfId="235"/>
    <tableColumn id="797" xr3:uid="{00000000-0010-0000-0000-00001D030000}" name="Column797" dataDxfId="234"/>
    <tableColumn id="798" xr3:uid="{00000000-0010-0000-0000-00001E030000}" name="Column798" dataDxfId="233"/>
    <tableColumn id="799" xr3:uid="{00000000-0010-0000-0000-00001F030000}" name="Column799" dataDxfId="232"/>
    <tableColumn id="800" xr3:uid="{00000000-0010-0000-0000-000020030000}" name="Column800" dataDxfId="231"/>
    <tableColumn id="801" xr3:uid="{00000000-0010-0000-0000-000021030000}" name="Column801" dataDxfId="230"/>
    <tableColumn id="802" xr3:uid="{00000000-0010-0000-0000-000022030000}" name="Column802" dataDxfId="229"/>
    <tableColumn id="803" xr3:uid="{00000000-0010-0000-0000-000023030000}" name="Column803" dataDxfId="228"/>
    <tableColumn id="804" xr3:uid="{00000000-0010-0000-0000-000024030000}" name="Column804" dataDxfId="227"/>
    <tableColumn id="805" xr3:uid="{00000000-0010-0000-0000-000025030000}" name="Column805" dataDxfId="226"/>
    <tableColumn id="806" xr3:uid="{00000000-0010-0000-0000-000026030000}" name="Column806" dataDxfId="225"/>
    <tableColumn id="807" xr3:uid="{00000000-0010-0000-0000-000027030000}" name="Column807" dataDxfId="224"/>
    <tableColumn id="808" xr3:uid="{00000000-0010-0000-0000-000028030000}" name="Column808" dataDxfId="223"/>
    <tableColumn id="809" xr3:uid="{00000000-0010-0000-0000-000029030000}" name="Column809" dataDxfId="222"/>
    <tableColumn id="810" xr3:uid="{00000000-0010-0000-0000-00002A030000}" name="Column810" dataDxfId="221"/>
    <tableColumn id="811" xr3:uid="{00000000-0010-0000-0000-00002B030000}" name="Column811" dataDxfId="220"/>
    <tableColumn id="812" xr3:uid="{00000000-0010-0000-0000-00002C030000}" name="Column812" dataDxfId="219"/>
    <tableColumn id="813" xr3:uid="{00000000-0010-0000-0000-00002D030000}" name="Column813" dataDxfId="218"/>
    <tableColumn id="814" xr3:uid="{00000000-0010-0000-0000-00002E030000}" name="Column814" dataDxfId="217"/>
    <tableColumn id="815" xr3:uid="{00000000-0010-0000-0000-00002F030000}" name="Column815" dataDxfId="216"/>
    <tableColumn id="816" xr3:uid="{00000000-0010-0000-0000-000030030000}" name="Column816" dataDxfId="215"/>
    <tableColumn id="817" xr3:uid="{00000000-0010-0000-0000-000031030000}" name="Column817" dataDxfId="214"/>
    <tableColumn id="818" xr3:uid="{00000000-0010-0000-0000-000032030000}" name="Column818" dataDxfId="213"/>
    <tableColumn id="819" xr3:uid="{00000000-0010-0000-0000-000033030000}" name="Column819" dataDxfId="212"/>
    <tableColumn id="820" xr3:uid="{00000000-0010-0000-0000-000034030000}" name="Column820" dataDxfId="211"/>
    <tableColumn id="821" xr3:uid="{00000000-0010-0000-0000-000035030000}" name="Column821" dataDxfId="210"/>
    <tableColumn id="822" xr3:uid="{00000000-0010-0000-0000-000036030000}" name="Column822" dataDxfId="209"/>
    <tableColumn id="823" xr3:uid="{00000000-0010-0000-0000-000037030000}" name="Column823" dataDxfId="208"/>
    <tableColumn id="824" xr3:uid="{00000000-0010-0000-0000-000038030000}" name="Column824" dataDxfId="207"/>
    <tableColumn id="825" xr3:uid="{00000000-0010-0000-0000-000039030000}" name="Column825" dataDxfId="206"/>
    <tableColumn id="826" xr3:uid="{00000000-0010-0000-0000-00003A030000}" name="Column826" dataDxfId="205"/>
    <tableColumn id="827" xr3:uid="{00000000-0010-0000-0000-00003B030000}" name="Column827" dataDxfId="204"/>
    <tableColumn id="828" xr3:uid="{00000000-0010-0000-0000-00003C030000}" name="Column828" dataDxfId="203"/>
    <tableColumn id="829" xr3:uid="{00000000-0010-0000-0000-00003D030000}" name="Column829" dataDxfId="202"/>
    <tableColumn id="830" xr3:uid="{00000000-0010-0000-0000-00003E030000}" name="Column830" dataDxfId="201"/>
    <tableColumn id="831" xr3:uid="{00000000-0010-0000-0000-00003F030000}" name="Column831" dataDxfId="200"/>
    <tableColumn id="832" xr3:uid="{00000000-0010-0000-0000-000040030000}" name="Column832" dataDxfId="199"/>
    <tableColumn id="833" xr3:uid="{00000000-0010-0000-0000-000041030000}" name="Column833" dataDxfId="198"/>
    <tableColumn id="834" xr3:uid="{00000000-0010-0000-0000-000042030000}" name="Column834" dataDxfId="197"/>
    <tableColumn id="835" xr3:uid="{00000000-0010-0000-0000-000043030000}" name="Column835" dataDxfId="196"/>
    <tableColumn id="836" xr3:uid="{00000000-0010-0000-0000-000044030000}" name="Column836" dataDxfId="195"/>
    <tableColumn id="837" xr3:uid="{00000000-0010-0000-0000-000045030000}" name="Column837" dataDxfId="194"/>
    <tableColumn id="838" xr3:uid="{00000000-0010-0000-0000-000046030000}" name="Column838" dataDxfId="193"/>
    <tableColumn id="839" xr3:uid="{00000000-0010-0000-0000-000047030000}" name="Column839" dataDxfId="192"/>
    <tableColumn id="840" xr3:uid="{00000000-0010-0000-0000-000048030000}" name="Column840" dataDxfId="191"/>
    <tableColumn id="841" xr3:uid="{00000000-0010-0000-0000-000049030000}" name="Column841" dataDxfId="190"/>
    <tableColumn id="842" xr3:uid="{00000000-0010-0000-0000-00004A030000}" name="Column842" dataDxfId="189"/>
    <tableColumn id="843" xr3:uid="{00000000-0010-0000-0000-00004B030000}" name="Column843" dataDxfId="188"/>
    <tableColumn id="844" xr3:uid="{00000000-0010-0000-0000-00004C030000}" name="Column844" dataDxfId="187"/>
    <tableColumn id="845" xr3:uid="{00000000-0010-0000-0000-00004D030000}" name="Column845" dataDxfId="186"/>
    <tableColumn id="846" xr3:uid="{00000000-0010-0000-0000-00004E030000}" name="Column846" dataDxfId="185"/>
    <tableColumn id="847" xr3:uid="{00000000-0010-0000-0000-00004F030000}" name="Column847" dataDxfId="184"/>
    <tableColumn id="848" xr3:uid="{00000000-0010-0000-0000-000050030000}" name="Column848" dataDxfId="183"/>
    <tableColumn id="849" xr3:uid="{00000000-0010-0000-0000-000051030000}" name="Column849" dataDxfId="182"/>
    <tableColumn id="850" xr3:uid="{00000000-0010-0000-0000-000052030000}" name="Column850" dataDxfId="181"/>
    <tableColumn id="851" xr3:uid="{00000000-0010-0000-0000-000053030000}" name="Column851" dataDxfId="180"/>
    <tableColumn id="852" xr3:uid="{00000000-0010-0000-0000-000054030000}" name="Column852" dataDxfId="179"/>
    <tableColumn id="853" xr3:uid="{00000000-0010-0000-0000-000055030000}" name="Column853" dataDxfId="178"/>
    <tableColumn id="854" xr3:uid="{00000000-0010-0000-0000-000056030000}" name="Column854" dataDxfId="177"/>
    <tableColumn id="855" xr3:uid="{00000000-0010-0000-0000-000057030000}" name="Column855" dataDxfId="176"/>
    <tableColumn id="856" xr3:uid="{00000000-0010-0000-0000-000058030000}" name="Column856" dataDxfId="175"/>
    <tableColumn id="857" xr3:uid="{00000000-0010-0000-0000-000059030000}" name="Column857" dataDxfId="174"/>
    <tableColumn id="858" xr3:uid="{00000000-0010-0000-0000-00005A030000}" name="Column858" dataDxfId="173"/>
    <tableColumn id="859" xr3:uid="{00000000-0010-0000-0000-00005B030000}" name="Column859" dataDxfId="172"/>
    <tableColumn id="860" xr3:uid="{00000000-0010-0000-0000-00005C030000}" name="Column860" dataDxfId="171"/>
    <tableColumn id="861" xr3:uid="{00000000-0010-0000-0000-00005D030000}" name="Column861" dataDxfId="170"/>
    <tableColumn id="862" xr3:uid="{00000000-0010-0000-0000-00005E030000}" name="Column862" dataDxfId="169"/>
    <tableColumn id="863" xr3:uid="{00000000-0010-0000-0000-00005F030000}" name="Column863" dataDxfId="168"/>
    <tableColumn id="864" xr3:uid="{00000000-0010-0000-0000-000060030000}" name="Column864" dataDxfId="167"/>
    <tableColumn id="865" xr3:uid="{00000000-0010-0000-0000-000061030000}" name="Column865" dataDxfId="166"/>
    <tableColumn id="866" xr3:uid="{00000000-0010-0000-0000-000062030000}" name="Column866" dataDxfId="165"/>
    <tableColumn id="867" xr3:uid="{00000000-0010-0000-0000-000063030000}" name="Column867" dataDxfId="164"/>
    <tableColumn id="868" xr3:uid="{00000000-0010-0000-0000-000064030000}" name="Column868" dataDxfId="163"/>
    <tableColumn id="869" xr3:uid="{00000000-0010-0000-0000-000065030000}" name="Column869" dataDxfId="162"/>
    <tableColumn id="870" xr3:uid="{00000000-0010-0000-0000-000066030000}" name="Column870" dataDxfId="161"/>
    <tableColumn id="871" xr3:uid="{00000000-0010-0000-0000-000067030000}" name="Column871" dataDxfId="160"/>
    <tableColumn id="872" xr3:uid="{00000000-0010-0000-0000-000068030000}" name="Column872" dataDxfId="159"/>
    <tableColumn id="873" xr3:uid="{00000000-0010-0000-0000-000069030000}" name="Column873" dataDxfId="158"/>
    <tableColumn id="874" xr3:uid="{00000000-0010-0000-0000-00006A030000}" name="Column874" dataDxfId="157"/>
    <tableColumn id="875" xr3:uid="{00000000-0010-0000-0000-00006B030000}" name="Column875" dataDxfId="156"/>
    <tableColumn id="876" xr3:uid="{00000000-0010-0000-0000-00006C030000}" name="Column876" dataDxfId="155"/>
    <tableColumn id="877" xr3:uid="{00000000-0010-0000-0000-00006D030000}" name="Column877" dataDxfId="154"/>
    <tableColumn id="878" xr3:uid="{00000000-0010-0000-0000-00006E030000}" name="Column878" dataDxfId="153"/>
    <tableColumn id="879" xr3:uid="{00000000-0010-0000-0000-00006F030000}" name="Column879" dataDxfId="152"/>
    <tableColumn id="880" xr3:uid="{00000000-0010-0000-0000-000070030000}" name="Column880" dataDxfId="151"/>
    <tableColumn id="881" xr3:uid="{00000000-0010-0000-0000-000071030000}" name="Column881" dataDxfId="150"/>
    <tableColumn id="882" xr3:uid="{00000000-0010-0000-0000-000072030000}" name="Column882" dataDxfId="149"/>
    <tableColumn id="883" xr3:uid="{00000000-0010-0000-0000-000073030000}" name="Column883" dataDxfId="148"/>
    <tableColumn id="884" xr3:uid="{00000000-0010-0000-0000-000074030000}" name="Column884" dataDxfId="147"/>
    <tableColumn id="885" xr3:uid="{00000000-0010-0000-0000-000075030000}" name="Column885" dataDxfId="146"/>
    <tableColumn id="886" xr3:uid="{00000000-0010-0000-0000-000076030000}" name="Column886" dataDxfId="145"/>
    <tableColumn id="887" xr3:uid="{00000000-0010-0000-0000-000077030000}" name="Column887" dataDxfId="144"/>
    <tableColumn id="888" xr3:uid="{00000000-0010-0000-0000-000078030000}" name="Column888" dataDxfId="143"/>
    <tableColumn id="889" xr3:uid="{00000000-0010-0000-0000-000079030000}" name="Column889" dataDxfId="142"/>
    <tableColumn id="890" xr3:uid="{00000000-0010-0000-0000-00007A030000}" name="Column890" dataDxfId="141"/>
    <tableColumn id="891" xr3:uid="{00000000-0010-0000-0000-00007B030000}" name="Column891" dataDxfId="140"/>
    <tableColumn id="892" xr3:uid="{00000000-0010-0000-0000-00007C030000}" name="Column892" dataDxfId="139"/>
    <tableColumn id="893" xr3:uid="{00000000-0010-0000-0000-00007D030000}" name="Column893" dataDxfId="138"/>
    <tableColumn id="894" xr3:uid="{00000000-0010-0000-0000-00007E030000}" name="Column894" dataDxfId="137"/>
    <tableColumn id="895" xr3:uid="{00000000-0010-0000-0000-00007F030000}" name="Column895" dataDxfId="136"/>
    <tableColumn id="896" xr3:uid="{00000000-0010-0000-0000-000080030000}" name="Column896" dataDxfId="135"/>
    <tableColumn id="897" xr3:uid="{00000000-0010-0000-0000-000081030000}" name="Column897" dataDxfId="134"/>
    <tableColumn id="898" xr3:uid="{00000000-0010-0000-0000-000082030000}" name="Column898" dataDxfId="133"/>
    <tableColumn id="899" xr3:uid="{00000000-0010-0000-0000-000083030000}" name="Column899" dataDxfId="132"/>
    <tableColumn id="900" xr3:uid="{00000000-0010-0000-0000-000084030000}" name="Column900" dataDxfId="131"/>
    <tableColumn id="901" xr3:uid="{00000000-0010-0000-0000-000085030000}" name="Column901" dataDxfId="130"/>
    <tableColumn id="902" xr3:uid="{00000000-0010-0000-0000-000086030000}" name="Column902" dataDxfId="129"/>
    <tableColumn id="903" xr3:uid="{00000000-0010-0000-0000-000087030000}" name="Column903" dataDxfId="128"/>
    <tableColumn id="904" xr3:uid="{00000000-0010-0000-0000-000088030000}" name="Column904" dataDxfId="127"/>
    <tableColumn id="905" xr3:uid="{00000000-0010-0000-0000-000089030000}" name="Column905" dataDxfId="126"/>
    <tableColumn id="906" xr3:uid="{00000000-0010-0000-0000-00008A030000}" name="Column906" dataDxfId="125"/>
    <tableColumn id="907" xr3:uid="{00000000-0010-0000-0000-00008B030000}" name="Column907" dataDxfId="124"/>
    <tableColumn id="908" xr3:uid="{00000000-0010-0000-0000-00008C030000}" name="Column908" dataDxfId="123"/>
    <tableColumn id="909" xr3:uid="{00000000-0010-0000-0000-00008D030000}" name="Column909" dataDxfId="122"/>
    <tableColumn id="910" xr3:uid="{00000000-0010-0000-0000-00008E030000}" name="Column910" dataDxfId="121"/>
    <tableColumn id="911" xr3:uid="{00000000-0010-0000-0000-00008F030000}" name="Column911" dataDxfId="120"/>
    <tableColumn id="912" xr3:uid="{00000000-0010-0000-0000-000090030000}" name="Column912" dataDxfId="119"/>
    <tableColumn id="913" xr3:uid="{00000000-0010-0000-0000-000091030000}" name="Column913" dataDxfId="118"/>
    <tableColumn id="914" xr3:uid="{00000000-0010-0000-0000-000092030000}" name="Column914" dataDxfId="117"/>
    <tableColumn id="915" xr3:uid="{00000000-0010-0000-0000-000093030000}" name="Column915" dataDxfId="116"/>
    <tableColumn id="916" xr3:uid="{00000000-0010-0000-0000-000094030000}" name="Column916" dataDxfId="115"/>
    <tableColumn id="917" xr3:uid="{00000000-0010-0000-0000-000095030000}" name="Column917" dataDxfId="114"/>
    <tableColumn id="918" xr3:uid="{00000000-0010-0000-0000-000096030000}" name="Column918" dataDxfId="113"/>
    <tableColumn id="919" xr3:uid="{00000000-0010-0000-0000-000097030000}" name="Column919" dataDxfId="112"/>
    <tableColumn id="920" xr3:uid="{00000000-0010-0000-0000-000098030000}" name="Column920" dataDxfId="111"/>
    <tableColumn id="921" xr3:uid="{00000000-0010-0000-0000-000099030000}" name="Column921" dataDxfId="110"/>
    <tableColumn id="922" xr3:uid="{00000000-0010-0000-0000-00009A030000}" name="Column922" dataDxfId="109"/>
    <tableColumn id="923" xr3:uid="{00000000-0010-0000-0000-00009B030000}" name="Column923" dataDxfId="108"/>
    <tableColumn id="924" xr3:uid="{00000000-0010-0000-0000-00009C030000}" name="Column924" dataDxfId="107"/>
    <tableColumn id="925" xr3:uid="{00000000-0010-0000-0000-00009D030000}" name="Column925" dataDxfId="106"/>
    <tableColumn id="926" xr3:uid="{00000000-0010-0000-0000-00009E030000}" name="Column926" dataDxfId="105"/>
    <tableColumn id="927" xr3:uid="{00000000-0010-0000-0000-00009F030000}" name="Column927" dataDxfId="104"/>
    <tableColumn id="928" xr3:uid="{00000000-0010-0000-0000-0000A0030000}" name="Column928" dataDxfId="103"/>
    <tableColumn id="929" xr3:uid="{00000000-0010-0000-0000-0000A1030000}" name="Column929" dataDxfId="102"/>
    <tableColumn id="930" xr3:uid="{00000000-0010-0000-0000-0000A2030000}" name="Column930" dataDxfId="101"/>
    <tableColumn id="931" xr3:uid="{00000000-0010-0000-0000-0000A3030000}" name="Column931" dataDxfId="100"/>
    <tableColumn id="932" xr3:uid="{00000000-0010-0000-0000-0000A4030000}" name="Column932" dataDxfId="99"/>
    <tableColumn id="933" xr3:uid="{00000000-0010-0000-0000-0000A5030000}" name="Column933" dataDxfId="98"/>
    <tableColumn id="934" xr3:uid="{00000000-0010-0000-0000-0000A6030000}" name="Column934" dataDxfId="97"/>
    <tableColumn id="935" xr3:uid="{00000000-0010-0000-0000-0000A7030000}" name="Column935" dataDxfId="96"/>
    <tableColumn id="936" xr3:uid="{00000000-0010-0000-0000-0000A8030000}" name="Column936" dataDxfId="95"/>
    <tableColumn id="937" xr3:uid="{00000000-0010-0000-0000-0000A9030000}" name="Column937" dataDxfId="94"/>
    <tableColumn id="938" xr3:uid="{00000000-0010-0000-0000-0000AA030000}" name="Column938" dataDxfId="93"/>
    <tableColumn id="939" xr3:uid="{00000000-0010-0000-0000-0000AB030000}" name="Column939" dataDxfId="92"/>
    <tableColumn id="940" xr3:uid="{00000000-0010-0000-0000-0000AC030000}" name="Column940" dataDxfId="91"/>
    <tableColumn id="941" xr3:uid="{00000000-0010-0000-0000-0000AD030000}" name="Column941" dataDxfId="90"/>
    <tableColumn id="942" xr3:uid="{00000000-0010-0000-0000-0000AE030000}" name="Column942" dataDxfId="89"/>
    <tableColumn id="943" xr3:uid="{00000000-0010-0000-0000-0000AF030000}" name="Column943" dataDxfId="88"/>
    <tableColumn id="944" xr3:uid="{00000000-0010-0000-0000-0000B0030000}" name="Column944" dataDxfId="87"/>
    <tableColumn id="945" xr3:uid="{00000000-0010-0000-0000-0000B1030000}" name="Column945" dataDxfId="86"/>
    <tableColumn id="946" xr3:uid="{00000000-0010-0000-0000-0000B2030000}" name="Column946" dataDxfId="85"/>
    <tableColumn id="947" xr3:uid="{00000000-0010-0000-0000-0000B3030000}" name="Column947" dataDxfId="84"/>
    <tableColumn id="948" xr3:uid="{00000000-0010-0000-0000-0000B4030000}" name="Column948" dataDxfId="83"/>
    <tableColumn id="949" xr3:uid="{00000000-0010-0000-0000-0000B5030000}" name="Column949" dataDxfId="82"/>
    <tableColumn id="950" xr3:uid="{00000000-0010-0000-0000-0000B6030000}" name="Column950" dataDxfId="81"/>
    <tableColumn id="951" xr3:uid="{00000000-0010-0000-0000-0000B7030000}" name="Column951" dataDxfId="80"/>
    <tableColumn id="952" xr3:uid="{00000000-0010-0000-0000-0000B8030000}" name="Column952" dataDxfId="79"/>
    <tableColumn id="953" xr3:uid="{00000000-0010-0000-0000-0000B9030000}" name="Column953" dataDxfId="78"/>
    <tableColumn id="954" xr3:uid="{00000000-0010-0000-0000-0000BA030000}" name="Column954" dataDxfId="77"/>
    <tableColumn id="955" xr3:uid="{00000000-0010-0000-0000-0000BB030000}" name="Column955" dataDxfId="76"/>
    <tableColumn id="956" xr3:uid="{00000000-0010-0000-0000-0000BC030000}" name="Column956" dataDxfId="75"/>
    <tableColumn id="957" xr3:uid="{00000000-0010-0000-0000-0000BD030000}" name="Column957" dataDxfId="74"/>
    <tableColumn id="958" xr3:uid="{00000000-0010-0000-0000-0000BE030000}" name="Column958" dataDxfId="73"/>
    <tableColumn id="959" xr3:uid="{00000000-0010-0000-0000-0000BF030000}" name="Column959" dataDxfId="72"/>
    <tableColumn id="960" xr3:uid="{00000000-0010-0000-0000-0000C0030000}" name="Column960" dataDxfId="71"/>
    <tableColumn id="961" xr3:uid="{00000000-0010-0000-0000-0000C1030000}" name="Column961" dataDxfId="70"/>
    <tableColumn id="962" xr3:uid="{00000000-0010-0000-0000-0000C2030000}" name="Column962" dataDxfId="69"/>
    <tableColumn id="963" xr3:uid="{00000000-0010-0000-0000-0000C3030000}" name="Column963" dataDxfId="68"/>
    <tableColumn id="964" xr3:uid="{00000000-0010-0000-0000-0000C4030000}" name="Column964" dataDxfId="67"/>
    <tableColumn id="965" xr3:uid="{00000000-0010-0000-0000-0000C5030000}" name="Column965" dataDxfId="66"/>
    <tableColumn id="966" xr3:uid="{00000000-0010-0000-0000-0000C6030000}" name="Column966" dataDxfId="65"/>
    <tableColumn id="967" xr3:uid="{00000000-0010-0000-0000-0000C7030000}" name="Column967" dataDxfId="64"/>
    <tableColumn id="968" xr3:uid="{00000000-0010-0000-0000-0000C8030000}" name="Column968" dataDxfId="63"/>
    <tableColumn id="969" xr3:uid="{00000000-0010-0000-0000-0000C9030000}" name="Column969" dataDxfId="62"/>
    <tableColumn id="970" xr3:uid="{00000000-0010-0000-0000-0000CA030000}" name="Column970" dataDxfId="61"/>
    <tableColumn id="971" xr3:uid="{00000000-0010-0000-0000-0000CB030000}" name="Column971" dataDxfId="60"/>
    <tableColumn id="972" xr3:uid="{00000000-0010-0000-0000-0000CC030000}" name="Column972" dataDxfId="59"/>
    <tableColumn id="973" xr3:uid="{00000000-0010-0000-0000-0000CD030000}" name="Column973" dataDxfId="58"/>
    <tableColumn id="974" xr3:uid="{00000000-0010-0000-0000-0000CE030000}" name="Column974" dataDxfId="57"/>
    <tableColumn id="975" xr3:uid="{00000000-0010-0000-0000-0000CF030000}" name="Column975" dataDxfId="56"/>
    <tableColumn id="976" xr3:uid="{00000000-0010-0000-0000-0000D0030000}" name="Column976" dataDxfId="55"/>
    <tableColumn id="977" xr3:uid="{00000000-0010-0000-0000-0000D1030000}" name="Column977" dataDxfId="54"/>
    <tableColumn id="978" xr3:uid="{00000000-0010-0000-0000-0000D2030000}" name="Column978" dataDxfId="53"/>
    <tableColumn id="979" xr3:uid="{00000000-0010-0000-0000-0000D3030000}" name="Column979" dataDxfId="52"/>
    <tableColumn id="980" xr3:uid="{00000000-0010-0000-0000-0000D4030000}" name="Column980" dataDxfId="51"/>
    <tableColumn id="981" xr3:uid="{00000000-0010-0000-0000-0000D5030000}" name="Column981" dataDxfId="50"/>
    <tableColumn id="982" xr3:uid="{00000000-0010-0000-0000-0000D6030000}" name="Column982" dataDxfId="49"/>
    <tableColumn id="983" xr3:uid="{00000000-0010-0000-0000-0000D7030000}" name="Column983" dataDxfId="48"/>
    <tableColumn id="984" xr3:uid="{00000000-0010-0000-0000-0000D8030000}" name="Column984" dataDxfId="47"/>
    <tableColumn id="985" xr3:uid="{00000000-0010-0000-0000-0000D9030000}" name="Column985" dataDxfId="46"/>
    <tableColumn id="986" xr3:uid="{00000000-0010-0000-0000-0000DA030000}" name="Column986" dataDxfId="45"/>
    <tableColumn id="987" xr3:uid="{00000000-0010-0000-0000-0000DB030000}" name="Column987" dataDxfId="44"/>
    <tableColumn id="988" xr3:uid="{00000000-0010-0000-0000-0000DC030000}" name="Column988" dataDxfId="43"/>
    <tableColumn id="989" xr3:uid="{00000000-0010-0000-0000-0000DD030000}" name="Column989" dataDxfId="42"/>
    <tableColumn id="990" xr3:uid="{00000000-0010-0000-0000-0000DE030000}" name="Column990" dataDxfId="41"/>
    <tableColumn id="991" xr3:uid="{00000000-0010-0000-0000-0000DF030000}" name="Column991" dataDxfId="40"/>
    <tableColumn id="992" xr3:uid="{00000000-0010-0000-0000-0000E0030000}" name="Column992" dataDxfId="39"/>
    <tableColumn id="993" xr3:uid="{00000000-0010-0000-0000-0000E1030000}" name="Column993" dataDxfId="38"/>
    <tableColumn id="994" xr3:uid="{00000000-0010-0000-0000-0000E2030000}" name="Column994" dataDxfId="37"/>
    <tableColumn id="995" xr3:uid="{00000000-0010-0000-0000-0000E3030000}" name="Column995" dataDxfId="36"/>
    <tableColumn id="996" xr3:uid="{00000000-0010-0000-0000-0000E4030000}" name="Column996" dataDxfId="35"/>
    <tableColumn id="997" xr3:uid="{00000000-0010-0000-0000-0000E5030000}" name="Column997" dataDxfId="34"/>
    <tableColumn id="998" xr3:uid="{00000000-0010-0000-0000-0000E6030000}" name="Column998" dataDxfId="33"/>
    <tableColumn id="999" xr3:uid="{00000000-0010-0000-0000-0000E7030000}" name="Column999" dataDxfId="32"/>
    <tableColumn id="1000" xr3:uid="{00000000-0010-0000-0000-0000E8030000}" name="Column1000" dataDxfId="31"/>
    <tableColumn id="1001" xr3:uid="{00000000-0010-0000-0000-0000E9030000}" name="Column1001" dataDxfId="30"/>
    <tableColumn id="1002" xr3:uid="{00000000-0010-0000-0000-0000EA030000}" name="Column1002" dataDxfId="29"/>
    <tableColumn id="1003" xr3:uid="{00000000-0010-0000-0000-0000EB030000}" name="Column1003" dataDxfId="28"/>
    <tableColumn id="1004" xr3:uid="{00000000-0010-0000-0000-0000EC030000}" name="Column1004" dataDxfId="27"/>
    <tableColumn id="1005" xr3:uid="{00000000-0010-0000-0000-0000ED030000}" name="Column1005" dataDxfId="26"/>
    <tableColumn id="1006" xr3:uid="{00000000-0010-0000-0000-0000EE030000}" name="Column1006" dataDxfId="25"/>
    <tableColumn id="1007" xr3:uid="{00000000-0010-0000-0000-0000EF030000}" name="Column1007" dataDxfId="24"/>
    <tableColumn id="1008" xr3:uid="{00000000-0010-0000-0000-0000F0030000}" name="Column1008" dataDxfId="23"/>
    <tableColumn id="1009" xr3:uid="{00000000-0010-0000-0000-0000F1030000}" name="Column1009" dataDxfId="22"/>
    <tableColumn id="1010" xr3:uid="{00000000-0010-0000-0000-0000F2030000}" name="Column1010" dataDxfId="21"/>
    <tableColumn id="1011" xr3:uid="{00000000-0010-0000-0000-0000F3030000}" name="Column1011" dataDxfId="20"/>
    <tableColumn id="1012" xr3:uid="{00000000-0010-0000-0000-0000F4030000}" name="Column1012" dataDxfId="19"/>
    <tableColumn id="1013" xr3:uid="{00000000-0010-0000-0000-0000F5030000}" name="Column1013" dataDxfId="18"/>
    <tableColumn id="1014" xr3:uid="{00000000-0010-0000-0000-0000F6030000}" name="Column1014" dataDxfId="17"/>
    <tableColumn id="1015" xr3:uid="{00000000-0010-0000-0000-0000F7030000}" name="Column1015" dataDxfId="16"/>
    <tableColumn id="1016" xr3:uid="{00000000-0010-0000-0000-0000F8030000}" name="Column1016" dataDxfId="15"/>
    <tableColumn id="1017" xr3:uid="{00000000-0010-0000-0000-0000F9030000}" name="Column1017" dataDxfId="14"/>
    <tableColumn id="1018" xr3:uid="{00000000-0010-0000-0000-0000FA030000}" name="Column1018" dataDxfId="13"/>
    <tableColumn id="1019" xr3:uid="{00000000-0010-0000-0000-0000FB030000}" name="Column1019" dataDxfId="12"/>
    <tableColumn id="1020" xr3:uid="{00000000-0010-0000-0000-0000FC030000}" name="Column1020" dataDxfId="11"/>
    <tableColumn id="1021" xr3:uid="{00000000-0010-0000-0000-0000FD030000}" name="Column1021" dataDxfId="10"/>
    <tableColumn id="1022" xr3:uid="{00000000-0010-0000-0000-0000FE030000}" name="Column1022" dataDxfId="9"/>
    <tableColumn id="1023" xr3:uid="{00000000-0010-0000-0000-0000FF030000}" name="Column1023" dataDxfId="8"/>
    <tableColumn id="1024" xr3:uid="{00000000-0010-0000-0000-000000040000}" name="Column1024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luminum-Extrusion-European-Standard-Industrial/dp/B0BMPG2N8Y/" TargetMode="External"/><Relationship Id="rId13" Type="http://schemas.openxmlformats.org/officeDocument/2006/relationships/hyperlink" Target="https://www.amazon.com/dp/B09XD79971" TargetMode="External"/><Relationship Id="rId18" Type="http://schemas.openxmlformats.org/officeDocument/2006/relationships/hyperlink" Target="https://www.amazon.com/dp/B071P4YDNZ" TargetMode="External"/><Relationship Id="rId26" Type="http://schemas.openxmlformats.org/officeDocument/2006/relationships/hyperlink" Target="https://www.amazon.com/gp/product/B01AFF4BQI/" TargetMode="External"/><Relationship Id="rId3" Type="http://schemas.openxmlformats.org/officeDocument/2006/relationships/hyperlink" Target="https://www.amazon.com/608-2RS-Skateboard-Bearing-Rolling-bearings/dp/B073ST742Z/" TargetMode="External"/><Relationship Id="rId21" Type="http://schemas.openxmlformats.org/officeDocument/2006/relationships/hyperlink" Target="https://www.amazon.com/Spring-Carabiner-Keychain-Handbag-Accessories/dp/B0974MJQB8" TargetMode="External"/><Relationship Id="rId7" Type="http://schemas.openxmlformats.org/officeDocument/2006/relationships/hyperlink" Target="https://www.amazon.com/Screw-Stainless-Threaded-SG-TZH/dp/B0BRSPRK67/" TargetMode="External"/><Relationship Id="rId12" Type="http://schemas.openxmlformats.org/officeDocument/2006/relationships/hyperlink" Target="https://www.amazon.com/dp/B07R5JZBX2" TargetMode="External"/><Relationship Id="rId17" Type="http://schemas.openxmlformats.org/officeDocument/2006/relationships/hyperlink" Target="https://www.amazon.com/dp/B0CM6JWTNT" TargetMode="External"/><Relationship Id="rId25" Type="http://schemas.openxmlformats.org/officeDocument/2006/relationships/hyperlink" Target="https://www.amazon.com/gp/product/B0BPM2VTB5" TargetMode="External"/><Relationship Id="rId2" Type="http://schemas.openxmlformats.org/officeDocument/2006/relationships/hyperlink" Target="https://www.amazon.com/Fullerkreg-Self-Locking-Stainless-18-8%EF%BC%8CPlain-Quantity/dp/B078NNFT93/" TargetMode="External"/><Relationship Id="rId16" Type="http://schemas.openxmlformats.org/officeDocument/2006/relationships/hyperlink" Target="https://www.amazon.com/dp/B09YV79Z7K" TargetMode="External"/><Relationship Id="rId20" Type="http://schemas.openxmlformats.org/officeDocument/2006/relationships/hyperlink" Target="https://www.amazon.com/Fullerkreg-Socket-Stainless-Machine-Quantity/dp/B07CK5C5MM" TargetMode="External"/><Relationship Id="rId29" Type="http://schemas.openxmlformats.org/officeDocument/2006/relationships/hyperlink" Target="https://www.amazon.com/dp/B0BYJWBGYK" TargetMode="External"/><Relationship Id="rId1" Type="http://schemas.openxmlformats.org/officeDocument/2006/relationships/hyperlink" Target="https://www.amazon.com/M5-0-8x25mm-Available-Stainless-Eastlo-Fastener/dp/B07VRYM3BX/" TargetMode="External"/><Relationship Id="rId6" Type="http://schemas.openxmlformats.org/officeDocument/2006/relationships/hyperlink" Target="https://www.amazon.com/dp/B098DNBTL4/" TargetMode="External"/><Relationship Id="rId11" Type="http://schemas.openxmlformats.org/officeDocument/2006/relationships/hyperlink" Target="https://www.aliexpress.us/item/2251832605873636.html" TargetMode="External"/><Relationship Id="rId24" Type="http://schemas.openxmlformats.org/officeDocument/2006/relationships/hyperlink" Target="https://www.amazon.com/dp/B0974MJQB8" TargetMode="External"/><Relationship Id="rId5" Type="http://schemas.openxmlformats.org/officeDocument/2006/relationships/hyperlink" Target="https://www.amazon.com/Cutting-Rubber-Bumpers-Stainless-Marking/dp/B08PCJ58S1" TargetMode="External"/><Relationship Id="rId15" Type="http://schemas.openxmlformats.org/officeDocument/2006/relationships/hyperlink" Target="https://www.amazon.com/iExcell-Stainless-Socket-Screws-Wrench/dp/B089N5BT68" TargetMode="External"/><Relationship Id="rId23" Type="http://schemas.openxmlformats.org/officeDocument/2006/relationships/hyperlink" Target="https://www.amazon.com/dp/B0C6K3YHC9" TargetMode="External"/><Relationship Id="rId28" Type="http://schemas.openxmlformats.org/officeDocument/2006/relationships/hyperlink" Target="https://www.amazon.com/M4-0-7-Socket-Screws-Bolts-Threaded/dp/B0881YF3ZH'" TargetMode="External"/><Relationship Id="rId10" Type="http://schemas.openxmlformats.org/officeDocument/2006/relationships/hyperlink" Target="https://www.amazon.com/Elastic-Bracelets-Stretchy-Bracelet-String%EF%BC%88Rainbow%EF%BC%89/dp/B0BZY33R4F" TargetMode="External"/><Relationship Id="rId19" Type="http://schemas.openxmlformats.org/officeDocument/2006/relationships/hyperlink" Target="https://www.amazon.com/gp/product/B0B3LNMLW9" TargetMode="External"/><Relationship Id="rId31" Type="http://schemas.openxmlformats.org/officeDocument/2006/relationships/hyperlink" Target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TargetMode="External"/><Relationship Id="rId4" Type="http://schemas.openxmlformats.org/officeDocument/2006/relationships/hyperlink" Target="https://www.amazon.com/Antrader-European-Connector-Aluminium-Reinforcing/dp/B07GDVV2SR/" TargetMode="External"/><Relationship Id="rId9" Type="http://schemas.openxmlformats.org/officeDocument/2006/relationships/hyperlink" Target="https://www.amazon.com/Souarts-Silver-Color-Closed-500pcs/dp/B00WAUF1CK" TargetMode="External"/><Relationship Id="rId14" Type="http://schemas.openxmlformats.org/officeDocument/2006/relationships/hyperlink" Target="https://www.amazon.com/Hundred-R6-2RS-Sealed-Bearings-Pre-Lubricated/dp/B01CUNP1PI" TargetMode="External"/><Relationship Id="rId22" Type="http://schemas.openxmlformats.org/officeDocument/2006/relationships/hyperlink" Target="https://www.amazon.com/dp/B0B9BSYNBM" TargetMode="External"/><Relationship Id="rId27" Type="http://schemas.openxmlformats.org/officeDocument/2006/relationships/hyperlink" Target="https://www.amazon.com/gp/product/B0BYJWBGYK" TargetMode="External"/><Relationship Id="rId30" Type="http://schemas.openxmlformats.org/officeDocument/2006/relationships/hyperlink" Target="https://www.amazon.com/Double-Transfer-Knitting-Needles-Machine/dp/B08ZHVSNF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om/Polymaker-PA6-GF-Filament-1-75mm-Cardboard/dp/B09MTC2QRT" TargetMode="External"/><Relationship Id="rId1" Type="http://schemas.openxmlformats.org/officeDocument/2006/relationships/hyperlink" Target="https://www.amazon.com/Polymaker-PolyFlex-Filament-Flexible-Printing/dp/B09KZLBKW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 codeName="Sheet1">
    <tabColor rgb="FFED7D31"/>
  </sheetPr>
  <dimension ref="A1:K38"/>
  <sheetViews>
    <sheetView tabSelected="1"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6" width="8.5703125" bestFit="1" customWidth="1"/>
    <col min="7" max="7" width="8" bestFit="1" customWidth="1"/>
    <col min="8" max="8" width="9" bestFit="1" customWidth="1"/>
    <col min="9" max="9" width="9.28515625" customWidth="1"/>
    <col min="10" max="11" width="9" bestFit="1" customWidth="1"/>
    <col min="12" max="1024" width="11.28515625" customWidth="1"/>
  </cols>
  <sheetData>
    <row r="1" spans="1:11" ht="23.25" x14ac:dyDescent="0.25">
      <c r="A1" s="7" t="s">
        <v>0</v>
      </c>
      <c r="B1" s="226" t="s">
        <v>293</v>
      </c>
      <c r="C1" s="226"/>
      <c r="D1" s="226"/>
      <c r="E1" s="6"/>
      <c r="F1" s="63"/>
      <c r="G1" s="63"/>
    </row>
    <row r="2" spans="1:11" ht="18.75" x14ac:dyDescent="0.25">
      <c r="A2" s="227" t="s">
        <v>1</v>
      </c>
      <c r="B2" s="227"/>
      <c r="C2" s="227"/>
      <c r="D2" s="6"/>
      <c r="E2" s="6"/>
      <c r="F2" s="64"/>
      <c r="G2" s="1"/>
    </row>
    <row r="3" spans="1:11" x14ac:dyDescent="0.25">
      <c r="A3" s="8" t="s">
        <v>2</v>
      </c>
      <c r="B3" s="225" t="s">
        <v>51</v>
      </c>
      <c r="C3" s="225"/>
      <c r="D3" s="6"/>
      <c r="E3" s="6"/>
      <c r="F3" s="65"/>
      <c r="G3" s="1"/>
    </row>
    <row r="4" spans="1:11" x14ac:dyDescent="0.25">
      <c r="A4" s="8" t="s">
        <v>3</v>
      </c>
      <c r="B4" s="228" t="s">
        <v>284</v>
      </c>
      <c r="C4" s="228"/>
      <c r="D4" s="6"/>
      <c r="E4" s="6"/>
      <c r="F4" s="2"/>
      <c r="G4" s="1"/>
    </row>
    <row r="5" spans="1:11" ht="15.75" x14ac:dyDescent="0.25">
      <c r="A5" s="8" t="s">
        <v>4</v>
      </c>
      <c r="B5" s="9">
        <f>VLOOKUP(B1,Parts!A2:J189,2,FALSE())</f>
        <v>186.84</v>
      </c>
      <c r="C5" s="10" t="s">
        <v>5</v>
      </c>
      <c r="D5" s="11">
        <f>(B5/VLOOKUP(B4,Materials!A2:I100,5,FALSE()))*4/(VLOOKUP(B4,Materials!A2:I100,2,FALSE())^2*PI())</f>
        <v>61.164602677375626</v>
      </c>
      <c r="E5" s="6" t="s">
        <v>6</v>
      </c>
      <c r="F5" s="66"/>
      <c r="G5" s="1"/>
    </row>
    <row r="6" spans="1:11" x14ac:dyDescent="0.25">
      <c r="A6" s="8" t="s">
        <v>7</v>
      </c>
      <c r="B6" s="12">
        <f>VLOOKUP(B1,Parts!A2:J189,3,FALSE())</f>
        <v>0.82152777777777775</v>
      </c>
      <c r="C6" s="10" t="s">
        <v>8</v>
      </c>
      <c r="D6" s="13">
        <f>SUM(B6+VLOOKUP($B$3,Printers!$A$2:$H$96,7,FALSE()))*1440/60</f>
        <v>19.883333333333333</v>
      </c>
      <c r="E6" s="10" t="s">
        <v>9</v>
      </c>
      <c r="F6" s="224" t="s">
        <v>244</v>
      </c>
      <c r="G6" s="224"/>
      <c r="H6" s="224"/>
      <c r="I6" s="224"/>
      <c r="J6" s="224"/>
      <c r="K6" s="224"/>
    </row>
    <row r="7" spans="1:11" ht="18.600000000000001" customHeight="1" x14ac:dyDescent="0.25">
      <c r="A7" s="227" t="s">
        <v>19</v>
      </c>
      <c r="B7" s="227"/>
      <c r="C7" s="227"/>
      <c r="D7" s="5"/>
      <c r="E7" s="5" t="s">
        <v>11</v>
      </c>
      <c r="F7" s="152">
        <v>2</v>
      </c>
      <c r="G7" s="152">
        <v>4</v>
      </c>
      <c r="H7" s="152">
        <v>6</v>
      </c>
      <c r="I7" s="152">
        <v>8</v>
      </c>
      <c r="J7" s="152">
        <v>15</v>
      </c>
      <c r="K7" s="152">
        <v>20</v>
      </c>
    </row>
    <row r="8" spans="1:11" ht="14.45" customHeight="1" x14ac:dyDescent="0.25">
      <c r="A8" s="8" t="s">
        <v>12</v>
      </c>
      <c r="B8" s="14">
        <f>VLOOKUP(B1,Parts!A2:J189,4,FALSE())</f>
        <v>0</v>
      </c>
      <c r="C8" s="10" t="s">
        <v>13</v>
      </c>
      <c r="D8" s="8" t="s">
        <v>3</v>
      </c>
      <c r="E8" s="135">
        <f>B5/1000*VLOOKUP(B4,Materials!A2:I100,9,FALSE())</f>
        <v>7.05321</v>
      </c>
      <c r="F8" s="136">
        <f>SUM($E8*F$22)</f>
        <v>14.10642</v>
      </c>
      <c r="G8" s="136">
        <f>SUM($E8*G$22)</f>
        <v>28.21284</v>
      </c>
      <c r="H8" s="136">
        <f>SUM($E8*H$22)</f>
        <v>42.31926</v>
      </c>
      <c r="I8" s="136">
        <f>SUM($E8*I$22)</f>
        <v>56.42568</v>
      </c>
      <c r="J8" s="136">
        <f>SUM($E8*J$22)</f>
        <v>105.79814999999999</v>
      </c>
      <c r="K8" s="136">
        <f>SUM($E8*K$22)</f>
        <v>141.0642</v>
      </c>
    </row>
    <row r="9" spans="1:11" x14ac:dyDescent="0.25">
      <c r="A9" s="8" t="s">
        <v>15</v>
      </c>
      <c r="B9" s="14">
        <f>VLOOKUP(B1,Parts!A2:J189,5,FALSE())</f>
        <v>0</v>
      </c>
      <c r="C9" s="10" t="s">
        <v>13</v>
      </c>
      <c r="D9" s="8" t="s">
        <v>16</v>
      </c>
      <c r="E9" s="137">
        <f>D6*VLOOKUP(B3,Printers!A2:H96,6,FALSE())*General!B2</f>
        <v>1.0438749999999999</v>
      </c>
      <c r="F9" s="138">
        <f>SUM($E9*F$22)</f>
        <v>2.0877499999999998</v>
      </c>
      <c r="G9" s="138">
        <f>SUM($E9*G$22)</f>
        <v>4.1754999999999995</v>
      </c>
      <c r="H9" s="138">
        <f>SUM($E9*H$22)</f>
        <v>6.2632499999999993</v>
      </c>
      <c r="I9" s="138">
        <f>SUM($E9*I$22)</f>
        <v>8.3509999999999991</v>
      </c>
      <c r="J9" s="138">
        <f>SUM($E9*J$22)</f>
        <v>15.658124999999998</v>
      </c>
      <c r="K9" s="138">
        <f>SUM($E9*K$22)</f>
        <v>20.877499999999998</v>
      </c>
    </row>
    <row r="10" spans="1:11" x14ac:dyDescent="0.25">
      <c r="A10" s="8" t="s">
        <v>17</v>
      </c>
      <c r="B10" s="16">
        <f>SUM(B7:B9)</f>
        <v>0</v>
      </c>
      <c r="C10" s="10" t="s">
        <v>13</v>
      </c>
      <c r="D10" s="8" t="s">
        <v>18</v>
      </c>
      <c r="E10" s="139">
        <f>D6*VLOOKUP(B3,Printers!A2:H96,6,FALSE())</f>
        <v>6.9591666666666665</v>
      </c>
      <c r="F10" s="140">
        <f>SUM($E10*F$22)</f>
        <v>13.918333333333333</v>
      </c>
      <c r="G10" s="140">
        <f>SUM($E10*G$22)</f>
        <v>27.836666666666666</v>
      </c>
      <c r="H10" s="140">
        <f>SUM($E10*H$22)</f>
        <v>41.754999999999995</v>
      </c>
      <c r="I10" s="140">
        <f>SUM($E10*I$22)</f>
        <v>55.673333333333332</v>
      </c>
      <c r="J10" s="140">
        <f>SUM($E10*J$22)</f>
        <v>104.3875</v>
      </c>
      <c r="K10" s="140">
        <f>SUM($E10*K$22)</f>
        <v>139.18333333333334</v>
      </c>
    </row>
    <row r="11" spans="1:11" ht="18.75" x14ac:dyDescent="0.25">
      <c r="A11" s="227" t="s">
        <v>10</v>
      </c>
      <c r="B11" s="227"/>
      <c r="C11" s="227"/>
      <c r="D11" s="8" t="s">
        <v>118</v>
      </c>
      <c r="E11" s="141">
        <f>SUM(D6*General!B7)</f>
        <v>2.5478976640711903</v>
      </c>
      <c r="F11" s="150">
        <f>SUM($E11*F$22)</f>
        <v>5.0957953281423807</v>
      </c>
      <c r="G11" s="150">
        <f>SUM($E11*G$22)</f>
        <v>10.191590656284761</v>
      </c>
      <c r="H11" s="150">
        <f>SUM($E11*H$22)</f>
        <v>15.287385984427143</v>
      </c>
      <c r="I11" s="150">
        <f>SUM($E11*I$22)</f>
        <v>20.383181312569523</v>
      </c>
      <c r="J11" s="150">
        <f>SUM($E11*J$22)</f>
        <v>38.218464961067852</v>
      </c>
      <c r="K11" s="150">
        <f>SUM($E11*K$22)</f>
        <v>50.957953281423805</v>
      </c>
    </row>
    <row r="12" spans="1:11" x14ac:dyDescent="0.25">
      <c r="A12" s="8" t="s">
        <v>20</v>
      </c>
      <c r="B12" s="14">
        <f>VLOOKUP(B1,Parts!A2:J189,6,FALSE())</f>
        <v>1</v>
      </c>
      <c r="C12" s="10" t="s">
        <v>13</v>
      </c>
      <c r="D12" s="8" t="s">
        <v>52</v>
      </c>
      <c r="E12" s="142">
        <f>C29</f>
        <v>0</v>
      </c>
      <c r="F12" s="143">
        <f>SUM($E12*F$23)</f>
        <v>0</v>
      </c>
      <c r="G12" s="143">
        <f>SUM($E12*G$23)</f>
        <v>0</v>
      </c>
      <c r="H12" s="143">
        <f>SUM($E12*H$23)</f>
        <v>0</v>
      </c>
      <c r="I12" s="143">
        <f>SUM($E12*I$23)</f>
        <v>0</v>
      </c>
      <c r="J12" s="143">
        <f>SUM($E12*J$23)</f>
        <v>0</v>
      </c>
      <c r="K12" s="143">
        <f>SUM($E12*K$23)</f>
        <v>0</v>
      </c>
    </row>
    <row r="13" spans="1:11" x14ac:dyDescent="0.25">
      <c r="A13" s="8" t="s">
        <v>21</v>
      </c>
      <c r="B13" s="14">
        <f>VLOOKUP(B1,Parts!A2:J189,7,FALSE())</f>
        <v>1</v>
      </c>
      <c r="C13" s="10" t="s">
        <v>13</v>
      </c>
      <c r="D13" s="8" t="s">
        <v>10</v>
      </c>
      <c r="E13" s="144">
        <f>B14/60*General!B4</f>
        <v>0.83333333333333337</v>
      </c>
      <c r="F13" s="145">
        <f>SUM($E13*F$24)</f>
        <v>0.83333333333333337</v>
      </c>
      <c r="G13" s="145">
        <f>SUM($E13*G$24)</f>
        <v>0.83333333333333337</v>
      </c>
      <c r="H13" s="145">
        <f>SUM($E13*H$24)</f>
        <v>0.83333333333333337</v>
      </c>
      <c r="I13" s="145">
        <f>SUM($E13*I$24)</f>
        <v>0.83333333333333337</v>
      </c>
      <c r="J13" s="145">
        <f>SUM($E13*J$24)</f>
        <v>0.83333333333333337</v>
      </c>
      <c r="K13" s="145">
        <f>SUM($E13*K$24)</f>
        <v>0.83333333333333337</v>
      </c>
    </row>
    <row r="14" spans="1:11" x14ac:dyDescent="0.25">
      <c r="A14" s="8" t="s">
        <v>17</v>
      </c>
      <c r="B14" s="21">
        <f>SUM(B12:B13)</f>
        <v>2</v>
      </c>
      <c r="C14" s="10" t="s">
        <v>13</v>
      </c>
      <c r="D14" s="8" t="s">
        <v>22</v>
      </c>
      <c r="E14" s="146">
        <f>B19/60*General!B4</f>
        <v>0.41666666666666669</v>
      </c>
      <c r="F14" s="147">
        <f>SUM($E14*F$24)</f>
        <v>0.41666666666666669</v>
      </c>
      <c r="G14" s="147">
        <f>SUM($E14*G$24)</f>
        <v>0.41666666666666669</v>
      </c>
      <c r="H14" s="147">
        <f>SUM($E14*H$24)</f>
        <v>0.41666666666666669</v>
      </c>
      <c r="I14" s="147">
        <f>SUM($E14*I$24)</f>
        <v>0.41666666666666669</v>
      </c>
      <c r="J14" s="147">
        <f>SUM($E14*J$24)</f>
        <v>0.41666666666666669</v>
      </c>
      <c r="K14" s="147">
        <f>SUM($E14*K$24)</f>
        <v>0.41666666666666669</v>
      </c>
    </row>
    <row r="15" spans="1:11" ht="18.75" x14ac:dyDescent="0.25">
      <c r="A15" s="227" t="s">
        <v>22</v>
      </c>
      <c r="B15" s="227"/>
      <c r="C15" s="227"/>
      <c r="D15" s="8" t="s">
        <v>19</v>
      </c>
      <c r="E15" s="148">
        <f>B10/60*General!B3</f>
        <v>0</v>
      </c>
      <c r="F15" s="151">
        <f>SUM($E15*F$24)</f>
        <v>0</v>
      </c>
      <c r="G15" s="151">
        <f>SUM($E15*G$24)</f>
        <v>0</v>
      </c>
      <c r="H15" s="151">
        <f>SUM($E15*H$24)</f>
        <v>0</v>
      </c>
      <c r="I15" s="151">
        <f>SUM($E15*I$24)</f>
        <v>0</v>
      </c>
      <c r="J15" s="151">
        <f>SUM($E15*J$24)</f>
        <v>0</v>
      </c>
      <c r="K15" s="151">
        <f>SUM($E15*K$24)</f>
        <v>0</v>
      </c>
    </row>
    <row r="16" spans="1:11" x14ac:dyDescent="0.25">
      <c r="A16" s="8" t="s">
        <v>26</v>
      </c>
      <c r="B16" s="14">
        <f>VLOOKUP(B1,Parts!A2:J189,8,FALSE())</f>
        <v>1</v>
      </c>
      <c r="C16" s="10" t="s">
        <v>13</v>
      </c>
      <c r="D16" s="8" t="s">
        <v>213</v>
      </c>
      <c r="E16" s="149" cm="1">
        <f t="array" ref="E16">SUM(E8:E14*(General!$B$5))</f>
        <v>1.8854149330737859</v>
      </c>
      <c r="F16" s="149" cm="1">
        <f t="array" ref="F16">SUM(F8:F14*(General!$B$5))</f>
        <v>3.6458298661475719</v>
      </c>
      <c r="G16" s="149" cm="1">
        <f t="array" ref="G16">SUM(G8:G14*(General!$B$5))</f>
        <v>7.1666597322951437</v>
      </c>
      <c r="H16" s="149" cm="1">
        <f t="array" ref="H16">SUM(H8:H14*(General!$B$5))</f>
        <v>10.687489598442715</v>
      </c>
      <c r="I16" s="149" cm="1">
        <f t="array" ref="I16">SUM(I8:I14*(General!$B$5))</f>
        <v>14.208319464590287</v>
      </c>
      <c r="J16" s="149" cm="1">
        <f t="array" ref="J16">SUM(J8:J14*(General!$B$5))</f>
        <v>26.531223996106789</v>
      </c>
      <c r="K16" s="149" cm="1">
        <f t="array" ref="K16">SUM(K8:K14*(General!$B$5))</f>
        <v>35.333298661475716</v>
      </c>
    </row>
    <row r="17" spans="1:11" x14ac:dyDescent="0.25">
      <c r="A17" s="8" t="s">
        <v>27</v>
      </c>
      <c r="B17" s="14">
        <f>VLOOKUP(B1,Parts!A2:J189,9,FALSE())</f>
        <v>0</v>
      </c>
      <c r="C17" s="10" t="s">
        <v>13</v>
      </c>
      <c r="D17" s="8" t="s">
        <v>24</v>
      </c>
      <c r="E17" s="27">
        <f>SUM(E8:E15)</f>
        <v>18.854149330737858</v>
      </c>
      <c r="F17" s="27">
        <f t="shared" ref="F17:K17" si="0">SUM(F8:F15)</f>
        <v>36.458298661475716</v>
      </c>
      <c r="G17" s="27">
        <f t="shared" si="0"/>
        <v>71.666597322951432</v>
      </c>
      <c r="H17" s="27">
        <f t="shared" si="0"/>
        <v>106.87489598442714</v>
      </c>
      <c r="I17" s="27">
        <f t="shared" si="0"/>
        <v>142.08319464590286</v>
      </c>
      <c r="J17" s="27">
        <f t="shared" si="0"/>
        <v>265.31223996106786</v>
      </c>
      <c r="K17" s="27">
        <f t="shared" si="0"/>
        <v>353.33298661475715</v>
      </c>
    </row>
    <row r="18" spans="1:11" x14ac:dyDescent="0.25">
      <c r="A18" s="8" t="s">
        <v>29</v>
      </c>
      <c r="B18" s="14">
        <f>VLOOKUP(B1,Parts!A2:J189,10,FALSE())</f>
        <v>0</v>
      </c>
      <c r="C18" s="10" t="s">
        <v>13</v>
      </c>
      <c r="D18" s="8" t="s">
        <v>288</v>
      </c>
      <c r="E18" s="27"/>
      <c r="F18" s="27">
        <f>F17*General!$B$8+General!$B$9</f>
        <v>1.357290661182796</v>
      </c>
      <c r="G18" s="27">
        <f>G17*General!$B$8+General!$B$9</f>
        <v>2.3783313223655913</v>
      </c>
      <c r="H18" s="27">
        <f>H17*General!$B$8+General!$B$9</f>
        <v>3.3993719835483871</v>
      </c>
      <c r="I18" s="27">
        <f>I17*General!$B$8+General!$B$9</f>
        <v>4.4204126447311829</v>
      </c>
      <c r="J18" s="27">
        <f>J17*General!$B$8+General!$B$9</f>
        <v>7.9940549588709677</v>
      </c>
      <c r="K18" s="27">
        <f>K17*General!$B$8+General!$B$9</f>
        <v>10.546656611827958</v>
      </c>
    </row>
    <row r="19" spans="1:11" x14ac:dyDescent="0.25">
      <c r="A19" s="8" t="s">
        <v>17</v>
      </c>
      <c r="B19" s="24">
        <f>SUM(B16:B18)</f>
        <v>1</v>
      </c>
      <c r="C19" s="10" t="s">
        <v>13</v>
      </c>
      <c r="D19" s="8" t="s">
        <v>25</v>
      </c>
      <c r="E19" s="27">
        <f>SUM(E8:E16)</f>
        <v>20.739564263811644</v>
      </c>
      <c r="F19" s="27">
        <f>SUM((F8:F16,F18))</f>
        <v>41.461419188806083</v>
      </c>
      <c r="G19" s="27">
        <f>SUM((G8:G16,G18))</f>
        <v>81.211588377612173</v>
      </c>
      <c r="H19" s="27">
        <f>SUM((H8:H16,H18))</f>
        <v>120.96175756641824</v>
      </c>
      <c r="I19" s="27">
        <f>SUM((I8:I16,I18))</f>
        <v>160.71192675522434</v>
      </c>
      <c r="J19" s="27">
        <f>SUM((J8:J16,J18))</f>
        <v>299.83751891604561</v>
      </c>
      <c r="K19" s="27">
        <f>SUM((K8:K16,K18))</f>
        <v>399.21294188806087</v>
      </c>
    </row>
    <row r="20" spans="1:11" ht="18.75" x14ac:dyDescent="0.25">
      <c r="A20" s="227" t="s">
        <v>52</v>
      </c>
      <c r="B20" s="227"/>
      <c r="C20" s="227"/>
      <c r="D20" s="6"/>
      <c r="E20" s="6"/>
    </row>
    <row r="21" spans="1:11" ht="18.75" x14ac:dyDescent="0.25">
      <c r="A21" s="3">
        <f>VLOOKUP(B1,Parts!A2:AE189,16,FALSE())</f>
        <v>0</v>
      </c>
      <c r="B21" s="3">
        <f>VLOOKUP(B1,Parts!A2:AE189,17,FALSE())</f>
        <v>0</v>
      </c>
      <c r="C21" s="26" t="e">
        <f>SUM(B21)*(VLOOKUP(A21,'Hardware|Consumables'!A2:D198,2,FALSE()))</f>
        <v>#N/A</v>
      </c>
      <c r="D21" s="5" t="s">
        <v>28</v>
      </c>
      <c r="E21" s="5"/>
    </row>
    <row r="22" spans="1:11" x14ac:dyDescent="0.25">
      <c r="A22" s="3">
        <f>VLOOKUP(B1,Parts!A2:AE189,18,FALSE())</f>
        <v>0</v>
      </c>
      <c r="B22" s="3">
        <f>VLOOKUP(B1,Parts!A2:AE189,19,FALSE())</f>
        <v>0</v>
      </c>
      <c r="C22" s="26" t="e">
        <f>SUM(B22)*(VLOOKUP(A22,'Hardware|Consumables'!A3:D199,2,FALSE()))</f>
        <v>#N/A</v>
      </c>
      <c r="D22" s="8" t="s">
        <v>75</v>
      </c>
      <c r="E22" s="69"/>
      <c r="F22" s="25">
        <v>2</v>
      </c>
      <c r="G22" s="25">
        <v>4</v>
      </c>
      <c r="H22" s="25">
        <v>6</v>
      </c>
      <c r="I22" s="25">
        <v>8</v>
      </c>
      <c r="J22" s="25">
        <v>15</v>
      </c>
      <c r="K22" s="25">
        <v>20</v>
      </c>
    </row>
    <row r="23" spans="1:11" x14ac:dyDescent="0.25">
      <c r="A23" s="3">
        <f>VLOOKUP(B1,Parts!A2:AE189,20,FALSE())</f>
        <v>0</v>
      </c>
      <c r="B23" s="3">
        <f>VLOOKUP(B1,Parts!A2:AE189,21,FALSE())</f>
        <v>0</v>
      </c>
      <c r="C23" s="26" t="e">
        <f>SUM(B23)*(VLOOKUP(A23,'Hardware|Consumables'!A4:D200,2,FALSE()))</f>
        <v>#N/A</v>
      </c>
      <c r="D23" s="8" t="s">
        <v>50</v>
      </c>
      <c r="E23" s="99">
        <f>E12*1.5</f>
        <v>0</v>
      </c>
      <c r="F23" s="25">
        <v>1.5</v>
      </c>
      <c r="G23" s="25">
        <v>1.5</v>
      </c>
      <c r="H23" s="25">
        <v>1.5</v>
      </c>
      <c r="I23" s="25">
        <v>1.5</v>
      </c>
      <c r="J23" s="25">
        <v>1.5</v>
      </c>
      <c r="K23" s="25">
        <v>1.5</v>
      </c>
    </row>
    <row r="24" spans="1:11" x14ac:dyDescent="0.25">
      <c r="A24" s="3">
        <f>VLOOKUP(B1,Parts!A2:AE189,22,FALSE())</f>
        <v>0</v>
      </c>
      <c r="B24" s="3">
        <f>VLOOKUP(B1,Parts!A2:AE189,23,FALSE())</f>
        <v>0</v>
      </c>
      <c r="C24" s="26" t="e">
        <f>SUM(B24)*(VLOOKUP(A24,'Hardware|Consumables'!A5:D201,2,FALSE()))</f>
        <v>#N/A</v>
      </c>
      <c r="D24" s="8" t="s">
        <v>54</v>
      </c>
      <c r="E24" s="99">
        <f>SUM(E13:E15)</f>
        <v>1.25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</row>
    <row r="25" spans="1:11" x14ac:dyDescent="0.25">
      <c r="A25" s="3">
        <f>VLOOKUP(B1,Parts!A2:AE189,24,FALSE())</f>
        <v>0</v>
      </c>
      <c r="B25" s="3">
        <f>VLOOKUP(B1,Parts!A2:AE189,25,FALSE())</f>
        <v>0</v>
      </c>
      <c r="C25" s="26" t="e">
        <f>SUM(B25)*(VLOOKUP(A25,'Hardware|Consumables'!A6:D202,2,FALSE()))</f>
        <v>#N/A</v>
      </c>
      <c r="D25" s="8" t="s">
        <v>105</v>
      </c>
      <c r="E25" s="27">
        <f>VLOOKUP(B1,Parts!A2:AE189,11,FALSE())</f>
        <v>45</v>
      </c>
      <c r="F25" s="27">
        <f>F19</f>
        <v>41.461419188806083</v>
      </c>
      <c r="G25" s="27">
        <f t="shared" ref="G25:K25" si="1">G19</f>
        <v>81.211588377612173</v>
      </c>
      <c r="H25" s="27">
        <f t="shared" si="1"/>
        <v>120.96175756641824</v>
      </c>
      <c r="I25" s="27">
        <f t="shared" si="1"/>
        <v>160.71192675522434</v>
      </c>
      <c r="J25" s="27">
        <f t="shared" si="1"/>
        <v>299.83751891604561</v>
      </c>
      <c r="K25" s="27">
        <f t="shared" si="1"/>
        <v>399.21294188806087</v>
      </c>
    </row>
    <row r="26" spans="1:11" x14ac:dyDescent="0.25">
      <c r="A26" s="3">
        <f>VLOOKUP(B1,Parts!A2:AE189,26,FALSE())</f>
        <v>0</v>
      </c>
      <c r="B26" s="3">
        <f>VLOOKUP(B1,Parts!A2:AE189,27,FALSE())</f>
        <v>0</v>
      </c>
      <c r="C26" s="26" t="e">
        <f>SUM(B26)*(VLOOKUP(A26,'Hardware|Consumables'!A7:D203,2,FALSE()))</f>
        <v>#N/A</v>
      </c>
      <c r="D26" s="29" t="s">
        <v>85</v>
      </c>
      <c r="E26" s="28">
        <f>E25-E19</f>
        <v>24.260435736188356</v>
      </c>
      <c r="F26" s="28">
        <f t="shared" ref="F26:K26" si="2">F25-$E19</f>
        <v>20.721854924994439</v>
      </c>
      <c r="G26" s="28">
        <f t="shared" si="2"/>
        <v>60.472024113800529</v>
      </c>
      <c r="H26" s="28">
        <f t="shared" si="2"/>
        <v>100.2221933026066</v>
      </c>
      <c r="I26" s="28">
        <f t="shared" si="2"/>
        <v>139.9723624914127</v>
      </c>
      <c r="J26" s="28">
        <f t="shared" si="2"/>
        <v>279.09795465223397</v>
      </c>
      <c r="K26" s="28">
        <f t="shared" si="2"/>
        <v>378.47337762424922</v>
      </c>
    </row>
    <row r="27" spans="1:11" x14ac:dyDescent="0.25">
      <c r="A27" s="3">
        <f>VLOOKUP(B1,Parts!A2:AE189,28,FALSE())</f>
        <v>0</v>
      </c>
      <c r="B27" s="3">
        <f>VLOOKUP(B1,Parts!A2:AE189,29,FALSE())</f>
        <v>0</v>
      </c>
      <c r="C27" s="26" t="e">
        <f>SUM(B27)*(VLOOKUP(A27,'Hardware|Consumables'!A8:D204,2,FALSE()))</f>
        <v>#N/A</v>
      </c>
      <c r="D27" s="29" t="s">
        <v>107</v>
      </c>
      <c r="E27" s="30">
        <f t="shared" ref="E27:K27" si="3">SUM(E26/E25)</f>
        <v>0.53912079413751901</v>
      </c>
      <c r="F27" s="30">
        <f t="shared" si="3"/>
        <v>0.49978643593051458</v>
      </c>
      <c r="G27" s="30">
        <f t="shared" si="3"/>
        <v>0.74462309285987349</v>
      </c>
      <c r="H27" s="30">
        <f t="shared" si="3"/>
        <v>0.82854445337879723</v>
      </c>
      <c r="I27" s="30">
        <f t="shared" si="3"/>
        <v>0.87095192819510237</v>
      </c>
      <c r="J27" s="30">
        <f t="shared" si="3"/>
        <v>0.93083065675440468</v>
      </c>
      <c r="K27" s="30">
        <f t="shared" si="3"/>
        <v>0.94804886794069165</v>
      </c>
    </row>
    <row r="28" spans="1:11" x14ac:dyDescent="0.25">
      <c r="A28" s="3">
        <f>VLOOKUP(B1,Parts!A2:AE189,30,FALSE())</f>
        <v>0</v>
      </c>
      <c r="B28" s="3">
        <f>VLOOKUP(B1,Parts!A2:AE189,31,FALSE())</f>
        <v>0</v>
      </c>
      <c r="C28" s="26" t="e">
        <f>SUM(B28)*(VLOOKUP(A28,'Hardware|Consumables'!A9:D205,2,FALSE()))</f>
        <v>#N/A</v>
      </c>
      <c r="D28" s="8" t="s">
        <v>237</v>
      </c>
      <c r="E28" s="67">
        <v>0.33</v>
      </c>
      <c r="F28" s="67"/>
      <c r="G28" s="67"/>
      <c r="H28" s="67"/>
      <c r="I28" s="62"/>
      <c r="J28" s="62"/>
      <c r="K28" s="62"/>
    </row>
    <row r="29" spans="1:11" x14ac:dyDescent="0.25">
      <c r="A29" s="8" t="s">
        <v>23</v>
      </c>
      <c r="B29" s="8"/>
      <c r="C29" s="32">
        <f>SUMIF(C21:C28,"&lt;&gt;#N/A")</f>
        <v>0</v>
      </c>
      <c r="D29" s="8" t="s">
        <v>110</v>
      </c>
      <c r="E29" s="31">
        <f>SUM(E26*(1-E28)+$E$19)</f>
        <v>36.994056207057838</v>
      </c>
      <c r="F29" s="31">
        <f t="shared" ref="F29:K29" si="4">SUM(F26*(1-F28)+$E$19)</f>
        <v>41.461419188806083</v>
      </c>
      <c r="G29" s="31">
        <f t="shared" si="4"/>
        <v>81.211588377612173</v>
      </c>
      <c r="H29" s="31">
        <f t="shared" si="4"/>
        <v>120.96175756641824</v>
      </c>
      <c r="I29" s="31">
        <f t="shared" si="4"/>
        <v>160.71192675522434</v>
      </c>
      <c r="J29" s="31">
        <f t="shared" si="4"/>
        <v>299.83751891604561</v>
      </c>
      <c r="K29" s="31">
        <f t="shared" si="4"/>
        <v>399.21294188806087</v>
      </c>
    </row>
    <row r="30" spans="1:11" x14ac:dyDescent="0.25">
      <c r="A30" s="8"/>
      <c r="B30" s="8"/>
      <c r="C30" s="32"/>
      <c r="D30" s="8" t="s">
        <v>111</v>
      </c>
      <c r="E30" s="31">
        <f>SUM(E26*$E28)</f>
        <v>8.0059437929421584</v>
      </c>
      <c r="F30" s="31">
        <f t="shared" ref="F30:K30" si="5">SUM(F26*$E28)</f>
        <v>6.8382121252481651</v>
      </c>
      <c r="G30" s="31">
        <f t="shared" si="5"/>
        <v>19.955767957554176</v>
      </c>
      <c r="H30" s="31">
        <f t="shared" si="5"/>
        <v>33.073323789860176</v>
      </c>
      <c r="I30" s="31">
        <f t="shared" si="5"/>
        <v>46.190879622166193</v>
      </c>
      <c r="J30" s="31">
        <f t="shared" si="5"/>
        <v>92.102325035237214</v>
      </c>
      <c r="K30" s="31">
        <f t="shared" si="5"/>
        <v>124.89621461600225</v>
      </c>
    </row>
    <row r="31" spans="1:11" x14ac:dyDescent="0.25">
      <c r="A31" s="6"/>
      <c r="B31" s="6"/>
      <c r="C31" s="10"/>
      <c r="D31" s="8"/>
      <c r="E31" s="134">
        <f>SUM(E30/E29)</f>
        <v>0.21641162429262786</v>
      </c>
      <c r="F31" s="134">
        <f t="shared" ref="F31:K31" si="6">SUM(F30/F29)</f>
        <v>0.16492952385706983</v>
      </c>
      <c r="G31" s="134">
        <f t="shared" si="6"/>
        <v>0.24572562064375825</v>
      </c>
      <c r="H31" s="134">
        <f t="shared" si="6"/>
        <v>0.27341966961500308</v>
      </c>
      <c r="I31" s="134">
        <f t="shared" si="6"/>
        <v>0.28741413630438378</v>
      </c>
      <c r="J31" s="134">
        <f t="shared" si="6"/>
        <v>0.30717411672895356</v>
      </c>
      <c r="K31" s="134">
        <f t="shared" si="6"/>
        <v>0.31285612642042826</v>
      </c>
    </row>
    <row r="32" spans="1:11" x14ac:dyDescent="0.25">
      <c r="A32" s="6"/>
      <c r="B32" s="6"/>
      <c r="C32" s="6"/>
      <c r="D32" s="29" t="s">
        <v>115</v>
      </c>
      <c r="E32" s="68">
        <f>SUM($F25/$D6)</f>
        <v>2.0852348292777578</v>
      </c>
      <c r="F32" s="68">
        <f>SUM($F25/$D6)</f>
        <v>2.0852348292777578</v>
      </c>
      <c r="G32" s="68">
        <f>SUM($F25/$D6)</f>
        <v>2.0852348292777578</v>
      </c>
      <c r="H32" s="68">
        <f>SUM($F25/$D6)</f>
        <v>2.0852348292777578</v>
      </c>
      <c r="I32" s="68">
        <f>SUM($F25/$D6)</f>
        <v>2.0852348292777578</v>
      </c>
      <c r="J32" s="68">
        <f>SUM(J25/$D6)</f>
        <v>15.079841688988045</v>
      </c>
      <c r="K32" s="68">
        <f>SUM(K25/$D6)</f>
        <v>20.077767404261234</v>
      </c>
    </row>
    <row r="33" spans="1:11" ht="13.7" customHeight="1" x14ac:dyDescent="0.25">
      <c r="A33" s="6"/>
      <c r="B33" s="6"/>
      <c r="C33" s="6"/>
      <c r="D33" s="29" t="s">
        <v>116</v>
      </c>
      <c r="E33" s="68">
        <f>SUM(E25/$B5)</f>
        <v>0.24084778420038536</v>
      </c>
      <c r="F33" s="68">
        <f>SUM(F25/$B5)</f>
        <v>0.22190868758727297</v>
      </c>
      <c r="G33" s="68">
        <f>SUM(G25/$B5)</f>
        <v>0.43465846915870354</v>
      </c>
      <c r="H33" s="68">
        <f>SUM(H25/$B5)</f>
        <v>0.64740825073013397</v>
      </c>
      <c r="I33" s="68">
        <f>SUM(I25/$B5)</f>
        <v>0.86015803230156462</v>
      </c>
      <c r="J33" s="68">
        <f>SUM(J25/$B5)</f>
        <v>1.6047822678015715</v>
      </c>
      <c r="K33" s="68">
        <f>SUM(K25/$B5)</f>
        <v>2.136656721730148</v>
      </c>
    </row>
    <row r="34" spans="1:11" ht="13.7" customHeight="1" x14ac:dyDescent="0.25">
      <c r="D34" s="6"/>
      <c r="E34" s="6"/>
    </row>
    <row r="35" spans="1:11" ht="13.7" customHeight="1" x14ac:dyDescent="0.25">
      <c r="D35" s="8"/>
      <c r="E35" s="6"/>
    </row>
    <row r="36" spans="1:11" ht="13.7" customHeight="1" x14ac:dyDescent="0.25"/>
    <row r="37" spans="1:11" ht="13.7" customHeight="1" x14ac:dyDescent="0.25"/>
    <row r="38" spans="1:11" ht="13.7" customHeight="1" x14ac:dyDescent="0.25"/>
  </sheetData>
  <mergeCells count="9">
    <mergeCell ref="F6:K6"/>
    <mergeCell ref="B3:C3"/>
    <mergeCell ref="B1:D1"/>
    <mergeCell ref="A2:C2"/>
    <mergeCell ref="A20:C20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CBD1EC30-D439-4E60-ACD4-413F30FFFBAE}">
          <x14:formula1>
            <xm:f>Printers!$A$2:$A$46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Parts!$A$2:$A$189</xm:f>
          </x14:formula1>
          <xm:sqref>B1:D1</xm:sqref>
        </x14:dataValidation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 codeName="Sheet2">
    <tabColor rgb="FFFFFF00"/>
  </sheetPr>
  <dimension ref="A1:AE21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3"/>
    </sheetView>
  </sheetViews>
  <sheetFormatPr defaultColWidth="9.140625" defaultRowHeight="12" x14ac:dyDescent="0.2"/>
  <cols>
    <col min="1" max="1" width="42.7109375" style="41" bestFit="1" customWidth="1"/>
    <col min="2" max="2" width="6.85546875" style="41" customWidth="1"/>
    <col min="3" max="3" width="7" style="41" bestFit="1" customWidth="1"/>
    <col min="4" max="4" width="3.5703125" style="41" bestFit="1" customWidth="1"/>
    <col min="5" max="10" width="3.140625" style="41" bestFit="1" customWidth="1"/>
    <col min="11" max="11" width="7.7109375" style="72" bestFit="1" customWidth="1"/>
    <col min="12" max="12" width="3.5703125" style="59" bestFit="1" customWidth="1"/>
    <col min="13" max="13" width="3.140625" style="59" bestFit="1" customWidth="1"/>
    <col min="14" max="14" width="4.85546875" style="59" bestFit="1" customWidth="1"/>
    <col min="15" max="15" width="9" style="59" bestFit="1" customWidth="1"/>
    <col min="16" max="16" width="26.42578125" style="41" bestFit="1" customWidth="1"/>
    <col min="17" max="17" width="2.7109375" style="41" bestFit="1" customWidth="1"/>
    <col min="18" max="18" width="32.5703125" style="41" bestFit="1" customWidth="1"/>
    <col min="19" max="19" width="2.7109375" style="41" bestFit="1" customWidth="1"/>
    <col min="20" max="20" width="27.5703125" style="41" bestFit="1" customWidth="1"/>
    <col min="21" max="21" width="2.7109375" style="41" bestFit="1" customWidth="1"/>
    <col min="22" max="22" width="9.28515625" style="41" bestFit="1" customWidth="1"/>
    <col min="23" max="23" width="2.42578125" style="41" bestFit="1" customWidth="1"/>
    <col min="24" max="24" width="9.28515625" style="41" bestFit="1" customWidth="1"/>
    <col min="25" max="25" width="2.42578125" style="41" bestFit="1" customWidth="1"/>
    <col min="26" max="26" width="9.28515625" style="41" bestFit="1" customWidth="1"/>
    <col min="27" max="27" width="2.42578125" style="41" bestFit="1" customWidth="1"/>
    <col min="28" max="28" width="9.28515625" style="41" bestFit="1" customWidth="1"/>
    <col min="29" max="29" width="2.42578125" style="41" bestFit="1" customWidth="1"/>
    <col min="30" max="30" width="9.28515625" style="41" bestFit="1" customWidth="1"/>
    <col min="31" max="31" width="2.42578125" style="41" bestFit="1" customWidth="1"/>
    <col min="32" max="16384" width="9.140625" style="41"/>
  </cols>
  <sheetData>
    <row r="1" spans="1:31" ht="67.5" thickBot="1" x14ac:dyDescent="0.25">
      <c r="A1" s="97" t="s">
        <v>31</v>
      </c>
      <c r="B1" s="34" t="s">
        <v>86</v>
      </c>
      <c r="C1" s="34" t="s">
        <v>55</v>
      </c>
      <c r="D1" s="35" t="s">
        <v>83</v>
      </c>
      <c r="E1" s="35" t="s">
        <v>56</v>
      </c>
      <c r="F1" s="36" t="s">
        <v>20</v>
      </c>
      <c r="G1" s="36" t="s">
        <v>21</v>
      </c>
      <c r="H1" s="37" t="s">
        <v>26</v>
      </c>
      <c r="I1" s="37" t="s">
        <v>27</v>
      </c>
      <c r="J1" s="37" t="s">
        <v>29</v>
      </c>
      <c r="K1" s="38" t="s">
        <v>84</v>
      </c>
      <c r="L1" s="39" t="s">
        <v>78</v>
      </c>
      <c r="M1" s="39" t="s">
        <v>79</v>
      </c>
      <c r="N1" s="39" t="s">
        <v>80</v>
      </c>
      <c r="O1" s="39" t="s">
        <v>81</v>
      </c>
      <c r="P1" s="40" t="s">
        <v>67</v>
      </c>
      <c r="Q1" s="40" t="s">
        <v>66</v>
      </c>
      <c r="R1" s="40" t="s">
        <v>68</v>
      </c>
      <c r="S1" s="40" t="s">
        <v>66</v>
      </c>
      <c r="T1" s="40" t="s">
        <v>69</v>
      </c>
      <c r="U1" s="40" t="s">
        <v>66</v>
      </c>
      <c r="V1" s="40" t="s">
        <v>70</v>
      </c>
      <c r="W1" s="40" t="s">
        <v>66</v>
      </c>
      <c r="X1" s="40" t="s">
        <v>71</v>
      </c>
      <c r="Y1" s="40" t="s">
        <v>66</v>
      </c>
      <c r="Z1" s="40" t="s">
        <v>72</v>
      </c>
      <c r="AA1" s="40" t="s">
        <v>66</v>
      </c>
      <c r="AB1" s="40" t="s">
        <v>73</v>
      </c>
      <c r="AC1" s="40" t="s">
        <v>66</v>
      </c>
      <c r="AD1" s="40" t="s">
        <v>74</v>
      </c>
      <c r="AE1" s="40" t="s">
        <v>66</v>
      </c>
    </row>
    <row r="2" spans="1:31" ht="12.75" thickBot="1" x14ac:dyDescent="0.25">
      <c r="A2" s="41" t="s">
        <v>289</v>
      </c>
      <c r="B2" s="41">
        <v>99.59</v>
      </c>
      <c r="C2" s="71">
        <v>0.35694444444444445</v>
      </c>
      <c r="D2" s="53">
        <v>0</v>
      </c>
      <c r="E2" s="53">
        <v>0</v>
      </c>
      <c r="F2" s="54">
        <v>1</v>
      </c>
      <c r="G2" s="54">
        <v>1</v>
      </c>
      <c r="H2" s="55">
        <v>1</v>
      </c>
      <c r="I2" s="55">
        <v>0</v>
      </c>
      <c r="J2" s="55">
        <v>0</v>
      </c>
      <c r="K2" s="56">
        <v>29.99</v>
      </c>
      <c r="L2" s="48">
        <v>0.3</v>
      </c>
      <c r="M2" s="48">
        <v>6</v>
      </c>
      <c r="N2" s="49">
        <v>0.15</v>
      </c>
      <c r="O2" s="48" t="s">
        <v>82</v>
      </c>
      <c r="P2" s="50" t="s">
        <v>104</v>
      </c>
      <c r="Q2" s="51">
        <v>4</v>
      </c>
      <c r="R2" s="50"/>
      <c r="S2" s="51"/>
      <c r="T2" s="50"/>
      <c r="U2" s="51"/>
      <c r="V2" s="50"/>
      <c r="W2" s="51"/>
      <c r="X2" s="50"/>
      <c r="Y2" s="51"/>
      <c r="Z2" s="50"/>
      <c r="AA2" s="51"/>
      <c r="AB2" s="50"/>
      <c r="AC2" s="51"/>
      <c r="AD2" s="50"/>
      <c r="AE2" s="51"/>
    </row>
    <row r="3" spans="1:31" ht="12.75" thickBot="1" x14ac:dyDescent="0.25">
      <c r="A3" s="41" t="s">
        <v>290</v>
      </c>
      <c r="B3" s="42">
        <v>105.15</v>
      </c>
      <c r="C3" s="43">
        <v>0.24861111111111112</v>
      </c>
      <c r="D3" s="44">
        <v>0</v>
      </c>
      <c r="E3" s="44">
        <v>0</v>
      </c>
      <c r="F3" s="45">
        <v>1</v>
      </c>
      <c r="G3" s="45">
        <v>1</v>
      </c>
      <c r="H3" s="46">
        <v>1</v>
      </c>
      <c r="I3" s="46">
        <v>0</v>
      </c>
      <c r="J3" s="46">
        <v>0</v>
      </c>
      <c r="K3" s="47">
        <v>29.99</v>
      </c>
      <c r="L3" s="48">
        <v>0.3</v>
      </c>
      <c r="M3" s="48">
        <v>3</v>
      </c>
      <c r="N3" s="49">
        <v>0.15</v>
      </c>
      <c r="O3" s="48" t="s">
        <v>82</v>
      </c>
      <c r="P3" s="50"/>
      <c r="Q3" s="51"/>
      <c r="R3" s="50"/>
      <c r="S3" s="51"/>
      <c r="T3" s="50"/>
      <c r="U3" s="51"/>
      <c r="V3" s="50"/>
      <c r="W3" s="51"/>
      <c r="X3" s="50"/>
      <c r="Y3" s="51"/>
      <c r="Z3" s="50"/>
      <c r="AA3" s="51"/>
      <c r="AB3" s="50"/>
      <c r="AC3" s="51"/>
      <c r="AD3" s="50"/>
      <c r="AE3" s="51"/>
    </row>
    <row r="4" spans="1:31" ht="12.75" thickBot="1" x14ac:dyDescent="0.25">
      <c r="A4" s="41" t="s">
        <v>291</v>
      </c>
      <c r="B4" s="42">
        <v>178.86</v>
      </c>
      <c r="C4" s="43">
        <v>0.69236111111111109</v>
      </c>
      <c r="D4" s="44">
        <v>0</v>
      </c>
      <c r="E4" s="44">
        <v>0</v>
      </c>
      <c r="F4" s="45">
        <v>1</v>
      </c>
      <c r="G4" s="45">
        <v>1</v>
      </c>
      <c r="H4" s="46">
        <v>1</v>
      </c>
      <c r="I4" s="46">
        <v>0</v>
      </c>
      <c r="J4" s="46">
        <v>0</v>
      </c>
      <c r="K4" s="47">
        <v>45</v>
      </c>
      <c r="L4" s="48">
        <v>0.3</v>
      </c>
      <c r="M4" s="48">
        <v>3</v>
      </c>
      <c r="N4" s="49">
        <v>0.15</v>
      </c>
      <c r="O4" s="48" t="s">
        <v>82</v>
      </c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</row>
    <row r="5" spans="1:31" ht="12.75" thickBot="1" x14ac:dyDescent="0.25">
      <c r="A5" s="41" t="s">
        <v>292</v>
      </c>
      <c r="B5" s="42">
        <v>185.29</v>
      </c>
      <c r="C5" s="43">
        <v>0.73749999999999993</v>
      </c>
      <c r="D5" s="44">
        <v>0</v>
      </c>
      <c r="E5" s="44">
        <v>0</v>
      </c>
      <c r="F5" s="45">
        <v>1</v>
      </c>
      <c r="G5" s="45">
        <v>1</v>
      </c>
      <c r="H5" s="46">
        <v>1</v>
      </c>
      <c r="I5" s="46">
        <v>0</v>
      </c>
      <c r="J5" s="46">
        <v>0</v>
      </c>
      <c r="K5" s="47">
        <v>45</v>
      </c>
      <c r="L5" s="48">
        <v>0.3</v>
      </c>
      <c r="M5" s="48">
        <v>3</v>
      </c>
      <c r="N5" s="49">
        <v>0.15</v>
      </c>
      <c r="O5" s="48" t="s">
        <v>82</v>
      </c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</row>
    <row r="6" spans="1:31" ht="12.75" thickBot="1" x14ac:dyDescent="0.25">
      <c r="A6" s="41" t="s">
        <v>293</v>
      </c>
      <c r="B6" s="42">
        <v>186.84</v>
      </c>
      <c r="C6" s="43">
        <v>0.82152777777777775</v>
      </c>
      <c r="D6" s="44">
        <v>0</v>
      </c>
      <c r="E6" s="44">
        <v>0</v>
      </c>
      <c r="F6" s="45">
        <v>1</v>
      </c>
      <c r="G6" s="45">
        <v>1</v>
      </c>
      <c r="H6" s="46">
        <v>1</v>
      </c>
      <c r="I6" s="46">
        <v>0</v>
      </c>
      <c r="J6" s="46">
        <v>0</v>
      </c>
      <c r="K6" s="47">
        <v>45</v>
      </c>
      <c r="L6" s="48">
        <v>0.3</v>
      </c>
      <c r="M6" s="48">
        <v>3</v>
      </c>
      <c r="N6" s="49">
        <v>0.15</v>
      </c>
      <c r="O6" s="48" t="s">
        <v>82</v>
      </c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</row>
    <row r="7" spans="1:31" ht="12.75" thickBot="1" x14ac:dyDescent="0.25">
      <c r="A7" s="41" t="s">
        <v>294</v>
      </c>
      <c r="B7" s="42">
        <v>171.5</v>
      </c>
      <c r="C7" s="43">
        <v>0.87152777777777779</v>
      </c>
      <c r="D7" s="44">
        <v>0</v>
      </c>
      <c r="E7" s="44">
        <v>0</v>
      </c>
      <c r="F7" s="45">
        <v>1</v>
      </c>
      <c r="G7" s="45">
        <v>1</v>
      </c>
      <c r="H7" s="46">
        <v>1</v>
      </c>
      <c r="I7" s="46">
        <v>0</v>
      </c>
      <c r="J7" s="46">
        <v>0</v>
      </c>
      <c r="K7" s="47">
        <v>45</v>
      </c>
      <c r="L7" s="48">
        <v>0.3</v>
      </c>
      <c r="M7" s="48">
        <v>3</v>
      </c>
      <c r="N7" s="49">
        <v>0.15</v>
      </c>
      <c r="O7" s="48" t="s">
        <v>82</v>
      </c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</row>
    <row r="8" spans="1:31" ht="12.75" thickBot="1" x14ac:dyDescent="0.25">
      <c r="A8" s="41" t="s">
        <v>295</v>
      </c>
      <c r="B8" s="42">
        <v>37.18</v>
      </c>
      <c r="C8" s="52">
        <v>9.4444444444444442E-2</v>
      </c>
      <c r="D8" s="44">
        <v>0</v>
      </c>
      <c r="E8" s="44">
        <v>0</v>
      </c>
      <c r="F8" s="45">
        <v>1</v>
      </c>
      <c r="G8" s="45">
        <v>1</v>
      </c>
      <c r="H8" s="46">
        <v>1</v>
      </c>
      <c r="I8" s="46">
        <v>0</v>
      </c>
      <c r="J8" s="46">
        <v>0</v>
      </c>
      <c r="K8" s="56">
        <v>9.99</v>
      </c>
      <c r="L8" s="48">
        <v>0.3</v>
      </c>
      <c r="M8" s="48">
        <v>3</v>
      </c>
      <c r="N8" s="49">
        <v>0.15</v>
      </c>
      <c r="O8" s="48" t="s">
        <v>82</v>
      </c>
      <c r="P8" s="50"/>
      <c r="Q8" s="51"/>
      <c r="R8" s="50"/>
      <c r="S8" s="51"/>
      <c r="T8" s="50"/>
      <c r="U8" s="51"/>
      <c r="V8" s="50"/>
      <c r="W8" s="51"/>
      <c r="X8" s="50"/>
      <c r="Y8" s="51"/>
      <c r="Z8" s="50"/>
      <c r="AA8" s="51"/>
      <c r="AB8" s="50"/>
      <c r="AC8" s="51"/>
      <c r="AD8" s="50"/>
      <c r="AE8" s="51"/>
    </row>
    <row r="9" spans="1:31" ht="12.75" thickBot="1" x14ac:dyDescent="0.25">
      <c r="A9" s="41" t="s">
        <v>296</v>
      </c>
      <c r="B9" s="42">
        <v>16.34</v>
      </c>
      <c r="C9" s="52">
        <v>3.1944444444444449E-2</v>
      </c>
      <c r="D9" s="44">
        <v>0</v>
      </c>
      <c r="E9" s="44">
        <v>0</v>
      </c>
      <c r="F9" s="45">
        <v>1</v>
      </c>
      <c r="G9" s="45">
        <v>1</v>
      </c>
      <c r="H9" s="46">
        <v>1</v>
      </c>
      <c r="I9" s="46">
        <v>0</v>
      </c>
      <c r="J9" s="46">
        <v>0</v>
      </c>
      <c r="K9" s="56">
        <v>4.99</v>
      </c>
      <c r="L9" s="48">
        <v>0.3</v>
      </c>
      <c r="M9" s="48">
        <v>3</v>
      </c>
      <c r="N9" s="49">
        <v>0.15</v>
      </c>
      <c r="O9" s="48" t="s">
        <v>82</v>
      </c>
      <c r="P9" s="50"/>
      <c r="Q9" s="51"/>
      <c r="R9" s="50"/>
      <c r="S9" s="51"/>
      <c r="T9" s="50"/>
      <c r="U9" s="51"/>
      <c r="V9" s="50"/>
      <c r="W9" s="51"/>
      <c r="X9" s="50"/>
      <c r="Y9" s="51"/>
      <c r="Z9" s="50"/>
      <c r="AA9" s="51"/>
      <c r="AB9" s="50"/>
      <c r="AC9" s="51"/>
      <c r="AD9" s="50"/>
      <c r="AE9" s="51"/>
    </row>
    <row r="10" spans="1:31" ht="12.75" thickBot="1" x14ac:dyDescent="0.25">
      <c r="A10" s="41" t="s">
        <v>297</v>
      </c>
      <c r="B10" s="60">
        <v>46.81</v>
      </c>
      <c r="C10" s="71">
        <v>0.11458333333333333</v>
      </c>
      <c r="D10" s="53">
        <v>0</v>
      </c>
      <c r="E10" s="53">
        <v>0</v>
      </c>
      <c r="F10" s="54">
        <v>1</v>
      </c>
      <c r="G10" s="54">
        <v>1</v>
      </c>
      <c r="H10" s="55">
        <v>1</v>
      </c>
      <c r="I10" s="55">
        <v>0</v>
      </c>
      <c r="J10" s="55">
        <v>0</v>
      </c>
      <c r="K10" s="56">
        <v>9.99</v>
      </c>
      <c r="L10" s="48">
        <v>0.3</v>
      </c>
      <c r="M10" s="48">
        <v>3</v>
      </c>
      <c r="N10" s="49">
        <v>0.15</v>
      </c>
      <c r="O10" s="48" t="s">
        <v>82</v>
      </c>
      <c r="P10" s="73"/>
      <c r="Q10" s="74"/>
      <c r="R10" s="73"/>
      <c r="S10" s="74"/>
      <c r="T10" s="73"/>
      <c r="U10" s="74"/>
      <c r="V10" s="73"/>
      <c r="W10" s="74"/>
      <c r="X10" s="73"/>
      <c r="Y10" s="74"/>
      <c r="Z10" s="73"/>
      <c r="AA10" s="74"/>
      <c r="AB10" s="73"/>
      <c r="AC10" s="74"/>
      <c r="AD10" s="73"/>
      <c r="AE10" s="74"/>
    </row>
    <row r="11" spans="1:31" ht="12.75" thickBot="1" x14ac:dyDescent="0.25">
      <c r="A11" s="41" t="s">
        <v>298</v>
      </c>
      <c r="B11" s="42">
        <v>81.45</v>
      </c>
      <c r="C11" s="52">
        <v>0.16458333333333333</v>
      </c>
      <c r="D11" s="44">
        <v>0</v>
      </c>
      <c r="E11" s="44">
        <v>0</v>
      </c>
      <c r="F11" s="45">
        <v>1</v>
      </c>
      <c r="G11" s="45">
        <v>1</v>
      </c>
      <c r="H11" s="46">
        <v>1</v>
      </c>
      <c r="I11" s="46">
        <v>0</v>
      </c>
      <c r="J11" s="46">
        <v>0</v>
      </c>
      <c r="K11" s="56">
        <v>19.989999999999998</v>
      </c>
      <c r="L11" s="48">
        <v>0.3</v>
      </c>
      <c r="M11" s="48">
        <v>3</v>
      </c>
      <c r="N11" s="49">
        <v>0.15</v>
      </c>
      <c r="O11" s="48" t="s">
        <v>82</v>
      </c>
      <c r="P11" s="50"/>
      <c r="Q11" s="51"/>
      <c r="R11" s="50"/>
      <c r="S11" s="51"/>
      <c r="T11" s="50"/>
      <c r="U11" s="51"/>
      <c r="V11" s="50"/>
      <c r="W11" s="51"/>
      <c r="X11" s="50"/>
      <c r="Y11" s="51"/>
      <c r="Z11" s="50"/>
      <c r="AA11" s="51"/>
      <c r="AB11" s="50"/>
      <c r="AC11" s="51"/>
      <c r="AD11" s="50"/>
      <c r="AE11" s="51"/>
    </row>
    <row r="12" spans="1:31" ht="12.75" thickBot="1" x14ac:dyDescent="0.25">
      <c r="A12" s="41" t="s">
        <v>299</v>
      </c>
      <c r="B12" s="41">
        <v>1.46</v>
      </c>
      <c r="C12" s="71">
        <v>9.7222222222222224E-3</v>
      </c>
      <c r="D12" s="53">
        <v>0</v>
      </c>
      <c r="E12" s="53">
        <v>0</v>
      </c>
      <c r="F12" s="54">
        <v>1</v>
      </c>
      <c r="G12" s="54">
        <v>1</v>
      </c>
      <c r="H12" s="55">
        <v>1</v>
      </c>
      <c r="I12" s="55">
        <v>0</v>
      </c>
      <c r="J12" s="55">
        <v>0</v>
      </c>
      <c r="K12" s="56">
        <v>5.99</v>
      </c>
      <c r="L12" s="48">
        <v>0.3</v>
      </c>
      <c r="M12" s="48">
        <v>3</v>
      </c>
      <c r="N12" s="49">
        <v>0.15</v>
      </c>
      <c r="O12" s="48" t="s">
        <v>82</v>
      </c>
      <c r="P12" s="50" t="s">
        <v>267</v>
      </c>
      <c r="Q12" s="51">
        <v>1</v>
      </c>
      <c r="R12" s="50"/>
      <c r="S12" s="51"/>
      <c r="T12" s="50"/>
      <c r="U12" s="51"/>
      <c r="V12" s="50"/>
      <c r="W12" s="51"/>
      <c r="X12" s="50"/>
      <c r="Y12" s="51"/>
      <c r="Z12" s="50"/>
      <c r="AA12" s="51"/>
      <c r="AB12" s="50"/>
      <c r="AC12" s="51"/>
      <c r="AD12" s="50"/>
      <c r="AE12" s="51"/>
    </row>
    <row r="13" spans="1:31" ht="12.75" thickBot="1" x14ac:dyDescent="0.25">
      <c r="A13" s="41" t="s">
        <v>300</v>
      </c>
      <c r="B13" s="42">
        <v>14.45</v>
      </c>
      <c r="C13" s="52">
        <v>5.347222222222222E-2</v>
      </c>
      <c r="D13" s="53">
        <v>0</v>
      </c>
      <c r="E13" s="53">
        <v>0</v>
      </c>
      <c r="F13" s="54">
        <v>1</v>
      </c>
      <c r="G13" s="54">
        <v>1</v>
      </c>
      <c r="H13" s="55">
        <v>1</v>
      </c>
      <c r="I13" s="46">
        <v>0</v>
      </c>
      <c r="J13" s="55">
        <v>12</v>
      </c>
      <c r="K13" s="56">
        <v>19.989999999999998</v>
      </c>
      <c r="L13" s="48">
        <v>0.3</v>
      </c>
      <c r="M13" s="48">
        <v>3</v>
      </c>
      <c r="N13" s="49">
        <v>0.15</v>
      </c>
      <c r="O13" s="48" t="s">
        <v>82</v>
      </c>
      <c r="P13" s="50" t="s">
        <v>103</v>
      </c>
      <c r="Q13" s="51">
        <v>7</v>
      </c>
      <c r="R13" s="50" t="s">
        <v>97</v>
      </c>
      <c r="S13" s="51">
        <v>1</v>
      </c>
      <c r="T13" s="50"/>
      <c r="U13" s="51"/>
      <c r="V13" s="50"/>
      <c r="W13" s="51"/>
      <c r="X13" s="50"/>
      <c r="Y13" s="51"/>
      <c r="Z13" s="50"/>
      <c r="AA13" s="51"/>
      <c r="AB13" s="50"/>
      <c r="AC13" s="51"/>
      <c r="AD13" s="50"/>
      <c r="AE13" s="51"/>
    </row>
    <row r="14" spans="1:31" ht="12.75" thickBot="1" x14ac:dyDescent="0.25">
      <c r="B14" s="42"/>
      <c r="C14" s="43"/>
      <c r="D14" s="44"/>
      <c r="E14" s="44"/>
      <c r="F14" s="45"/>
      <c r="G14" s="45"/>
      <c r="H14" s="46"/>
      <c r="I14" s="46"/>
      <c r="J14" s="46"/>
      <c r="K14" s="47"/>
      <c r="L14" s="48"/>
      <c r="M14" s="48"/>
      <c r="N14" s="49"/>
      <c r="O14" s="48"/>
      <c r="P14" s="50"/>
      <c r="Q14" s="51"/>
      <c r="R14" s="50"/>
      <c r="S14" s="51"/>
      <c r="T14" s="50"/>
      <c r="U14" s="51"/>
      <c r="V14" s="50"/>
      <c r="W14" s="51"/>
      <c r="X14" s="50"/>
      <c r="Y14" s="51"/>
      <c r="Z14" s="50"/>
      <c r="AA14" s="51"/>
      <c r="AB14" s="50"/>
      <c r="AC14" s="51"/>
      <c r="AD14" s="50"/>
      <c r="AE14" s="51"/>
    </row>
    <row r="15" spans="1:31" ht="12.75" thickBot="1" x14ac:dyDescent="0.25">
      <c r="B15" s="42"/>
      <c r="C15" s="43"/>
      <c r="D15" s="44"/>
      <c r="E15" s="44"/>
      <c r="F15" s="45"/>
      <c r="G15" s="45"/>
      <c r="H15" s="46"/>
      <c r="I15" s="46"/>
      <c r="J15" s="46"/>
      <c r="K15" s="47"/>
      <c r="L15" s="48"/>
      <c r="M15" s="48"/>
      <c r="N15" s="49"/>
      <c r="O15" s="48"/>
      <c r="P15" s="50"/>
      <c r="Q15" s="51"/>
      <c r="R15" s="50"/>
      <c r="S15" s="51"/>
      <c r="T15" s="50"/>
      <c r="U15" s="51"/>
      <c r="V15" s="50"/>
      <c r="W15" s="51"/>
      <c r="X15" s="50"/>
      <c r="Y15" s="51"/>
      <c r="Z15" s="50"/>
      <c r="AA15" s="51"/>
      <c r="AB15" s="50"/>
      <c r="AC15" s="51"/>
      <c r="AD15" s="50"/>
      <c r="AE15" s="51"/>
    </row>
    <row r="16" spans="1:31" ht="12.75" thickBot="1" x14ac:dyDescent="0.25">
      <c r="B16" s="42"/>
      <c r="C16" s="43"/>
      <c r="D16" s="44"/>
      <c r="E16" s="44"/>
      <c r="F16" s="45"/>
      <c r="G16" s="45"/>
      <c r="H16" s="46"/>
      <c r="I16" s="46"/>
      <c r="J16" s="46"/>
      <c r="K16" s="47"/>
      <c r="L16" s="48"/>
      <c r="M16" s="48"/>
      <c r="N16" s="49"/>
      <c r="O16" s="48"/>
      <c r="P16" s="50"/>
      <c r="Q16" s="51"/>
      <c r="R16" s="50"/>
      <c r="S16" s="51"/>
      <c r="T16" s="50"/>
      <c r="U16" s="51"/>
      <c r="V16" s="50"/>
      <c r="W16" s="51"/>
      <c r="X16" s="50"/>
      <c r="Y16" s="51"/>
      <c r="Z16" s="50"/>
      <c r="AA16" s="51"/>
      <c r="AB16" s="50"/>
      <c r="AC16" s="51"/>
      <c r="AD16" s="50"/>
      <c r="AE16" s="51"/>
    </row>
    <row r="17" spans="2:31" ht="12.75" thickBot="1" x14ac:dyDescent="0.25">
      <c r="B17" s="42"/>
      <c r="C17" s="52"/>
      <c r="D17" s="44"/>
      <c r="E17" s="44"/>
      <c r="F17" s="45"/>
      <c r="G17" s="45"/>
      <c r="H17" s="46"/>
      <c r="I17" s="46"/>
      <c r="J17" s="46"/>
      <c r="K17" s="56"/>
      <c r="L17" s="48"/>
      <c r="M17" s="48"/>
      <c r="N17" s="49"/>
      <c r="O17" s="48"/>
      <c r="P17" s="50"/>
      <c r="Q17" s="51"/>
      <c r="R17" s="50"/>
      <c r="S17" s="51"/>
      <c r="T17" s="50"/>
      <c r="U17" s="51"/>
      <c r="V17" s="50"/>
      <c r="W17" s="51"/>
      <c r="X17" s="50"/>
      <c r="Y17" s="51"/>
      <c r="Z17" s="50"/>
      <c r="AA17" s="51"/>
      <c r="AB17" s="50"/>
      <c r="AC17" s="51"/>
      <c r="AD17" s="50"/>
      <c r="AE17" s="51"/>
    </row>
    <row r="18" spans="2:31" ht="12.75" thickBot="1" x14ac:dyDescent="0.25">
      <c r="B18" s="42"/>
      <c r="C18" s="43"/>
      <c r="D18" s="44"/>
      <c r="E18" s="44"/>
      <c r="F18" s="45"/>
      <c r="G18" s="45"/>
      <c r="H18" s="46"/>
      <c r="I18" s="46"/>
      <c r="J18" s="46"/>
      <c r="K18" s="47"/>
      <c r="L18" s="48"/>
      <c r="M18" s="48"/>
      <c r="N18" s="49"/>
      <c r="O18" s="48"/>
      <c r="P18" s="50"/>
      <c r="Q18" s="51"/>
      <c r="R18" s="50"/>
      <c r="S18" s="51"/>
      <c r="T18" s="50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</row>
    <row r="19" spans="2:31" ht="12.75" thickBot="1" x14ac:dyDescent="0.25">
      <c r="B19" s="42"/>
      <c r="C19" s="43"/>
      <c r="D19" s="44"/>
      <c r="E19" s="44"/>
      <c r="F19" s="45"/>
      <c r="G19" s="45"/>
      <c r="H19" s="46"/>
      <c r="I19" s="46"/>
      <c r="J19" s="46"/>
      <c r="K19" s="47"/>
      <c r="L19" s="48"/>
      <c r="M19" s="48"/>
      <c r="N19" s="49"/>
      <c r="O19" s="48"/>
      <c r="P19" s="50"/>
      <c r="Q19" s="51"/>
      <c r="R19" s="50"/>
      <c r="S19" s="51"/>
      <c r="T19" s="50"/>
      <c r="U19" s="51"/>
      <c r="V19" s="50"/>
      <c r="W19" s="51"/>
      <c r="X19" s="50"/>
      <c r="Y19" s="51"/>
      <c r="Z19" s="50"/>
      <c r="AA19" s="51"/>
      <c r="AB19" s="50"/>
      <c r="AC19" s="51"/>
      <c r="AD19" s="50"/>
      <c r="AE19" s="51"/>
    </row>
    <row r="20" spans="2:31" ht="12.75" thickBot="1" x14ac:dyDescent="0.25">
      <c r="B20" s="42"/>
      <c r="C20" s="43"/>
      <c r="D20" s="44"/>
      <c r="E20" s="44"/>
      <c r="F20" s="45"/>
      <c r="G20" s="45"/>
      <c r="H20" s="46"/>
      <c r="I20" s="46"/>
      <c r="J20" s="46"/>
      <c r="K20" s="47"/>
      <c r="L20" s="48"/>
      <c r="M20" s="48"/>
      <c r="N20" s="49"/>
      <c r="O20" s="48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</row>
    <row r="21" spans="2:31" ht="12.75" thickBot="1" x14ac:dyDescent="0.25">
      <c r="B21" s="60"/>
      <c r="C21" s="61"/>
      <c r="D21" s="53"/>
      <c r="E21" s="53"/>
      <c r="F21" s="54"/>
      <c r="G21" s="54"/>
      <c r="H21" s="55"/>
      <c r="I21" s="55"/>
      <c r="J21" s="55"/>
      <c r="K21" s="56"/>
      <c r="L21" s="48"/>
      <c r="M21" s="48"/>
      <c r="N21" s="49"/>
      <c r="O21" s="48"/>
      <c r="P21" s="50"/>
      <c r="Q21" s="51"/>
      <c r="R21" s="50"/>
      <c r="S21" s="51"/>
      <c r="T21" s="50"/>
      <c r="U21" s="51"/>
      <c r="V21" s="50"/>
      <c r="W21" s="51"/>
      <c r="X21" s="50"/>
      <c r="Y21" s="51"/>
      <c r="Z21" s="50"/>
      <c r="AA21" s="51"/>
      <c r="AB21" s="50"/>
      <c r="AC21" s="51"/>
      <c r="AD21" s="50"/>
      <c r="AE21" s="51"/>
    </row>
    <row r="22" spans="2:31" ht="12.75" thickBot="1" x14ac:dyDescent="0.25">
      <c r="B22" s="57"/>
      <c r="C22" s="52"/>
      <c r="D22" s="53"/>
      <c r="E22" s="53"/>
      <c r="F22" s="54"/>
      <c r="G22" s="54"/>
      <c r="H22" s="55"/>
      <c r="I22" s="55"/>
      <c r="J22" s="55"/>
      <c r="K22" s="56"/>
      <c r="L22" s="48"/>
      <c r="M22" s="48"/>
      <c r="N22" s="49"/>
      <c r="O22" s="48"/>
      <c r="P22" s="50"/>
      <c r="Q22" s="51"/>
      <c r="R22" s="50"/>
      <c r="S22" s="51"/>
      <c r="T22" s="50"/>
      <c r="U22" s="51"/>
      <c r="V22" s="50"/>
      <c r="W22" s="51"/>
      <c r="X22" s="50"/>
      <c r="Y22" s="51"/>
      <c r="Z22" s="50"/>
      <c r="AA22" s="51"/>
      <c r="AB22" s="50"/>
      <c r="AC22" s="51"/>
      <c r="AD22" s="50"/>
      <c r="AE22" s="51"/>
    </row>
    <row r="23" spans="2:31" ht="12.75" thickBot="1" x14ac:dyDescent="0.25">
      <c r="B23" s="57"/>
      <c r="C23" s="52"/>
      <c r="D23" s="53"/>
      <c r="E23" s="53"/>
      <c r="F23" s="54"/>
      <c r="G23" s="54"/>
      <c r="H23" s="55"/>
      <c r="I23" s="55"/>
      <c r="J23" s="55"/>
      <c r="K23" s="56"/>
      <c r="L23" s="48"/>
      <c r="M23" s="48"/>
      <c r="N23" s="49"/>
      <c r="O23" s="48"/>
      <c r="P23" s="50"/>
      <c r="Q23" s="51"/>
      <c r="R23" s="50"/>
      <c r="S23" s="51"/>
      <c r="T23" s="50"/>
      <c r="U23" s="51"/>
      <c r="V23" s="50"/>
      <c r="W23" s="51"/>
      <c r="X23" s="50"/>
      <c r="Y23" s="51"/>
      <c r="Z23" s="50"/>
      <c r="AA23" s="51"/>
      <c r="AB23" s="50"/>
      <c r="AC23" s="51"/>
      <c r="AD23" s="50"/>
      <c r="AE23" s="51"/>
    </row>
    <row r="24" spans="2:31" ht="12.75" thickBot="1" x14ac:dyDescent="0.25">
      <c r="C24" s="71"/>
      <c r="D24" s="53"/>
      <c r="E24" s="53"/>
      <c r="F24" s="54"/>
      <c r="G24" s="54"/>
      <c r="H24" s="55"/>
      <c r="I24" s="55"/>
      <c r="J24" s="55"/>
      <c r="K24" s="56"/>
      <c r="L24" s="48"/>
      <c r="M24" s="48"/>
      <c r="N24" s="49"/>
      <c r="O24" s="48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</row>
    <row r="25" spans="2:31" ht="12.75" thickBot="1" x14ac:dyDescent="0.25">
      <c r="C25" s="71"/>
      <c r="D25" s="53"/>
      <c r="E25" s="53"/>
      <c r="F25" s="54"/>
      <c r="G25" s="54"/>
      <c r="H25" s="55"/>
      <c r="I25" s="55"/>
      <c r="J25" s="55"/>
      <c r="K25" s="56"/>
      <c r="L25" s="48"/>
      <c r="M25" s="48"/>
      <c r="N25" s="49"/>
      <c r="O25" s="48"/>
      <c r="P25" s="50"/>
      <c r="Q25" s="51"/>
      <c r="R25" s="50"/>
      <c r="S25" s="51"/>
      <c r="T25" s="50"/>
      <c r="U25" s="51"/>
      <c r="V25" s="50"/>
      <c r="W25" s="51"/>
      <c r="X25" s="50"/>
      <c r="Y25" s="51"/>
      <c r="Z25" s="50"/>
      <c r="AA25" s="51"/>
      <c r="AB25" s="50"/>
      <c r="AC25" s="51"/>
      <c r="AD25" s="50"/>
      <c r="AE25" s="51"/>
    </row>
    <row r="26" spans="2:31" ht="12.75" thickBot="1" x14ac:dyDescent="0.25">
      <c r="B26" s="42"/>
      <c r="C26" s="43"/>
      <c r="D26" s="44"/>
      <c r="E26" s="44"/>
      <c r="F26" s="45"/>
      <c r="G26" s="45"/>
      <c r="H26" s="46"/>
      <c r="I26" s="46"/>
      <c r="J26" s="46"/>
      <c r="K26" s="47"/>
      <c r="L26" s="48"/>
      <c r="M26" s="48"/>
      <c r="N26" s="49"/>
      <c r="O26" s="48"/>
      <c r="P26" s="50"/>
      <c r="Q26" s="51"/>
      <c r="R26" s="50"/>
      <c r="S26" s="51"/>
      <c r="T26" s="50"/>
      <c r="U26" s="51"/>
      <c r="V26" s="50"/>
      <c r="W26" s="51"/>
      <c r="X26" s="50"/>
      <c r="Y26" s="51"/>
      <c r="Z26" s="50"/>
      <c r="AA26" s="51"/>
      <c r="AB26" s="50"/>
      <c r="AC26" s="51"/>
      <c r="AD26" s="50"/>
      <c r="AE26" s="51"/>
    </row>
    <row r="27" spans="2:31" ht="12.75" thickBot="1" x14ac:dyDescent="0.25">
      <c r="C27" s="71"/>
      <c r="D27" s="53"/>
      <c r="E27" s="53"/>
      <c r="F27" s="54"/>
      <c r="G27" s="54"/>
      <c r="H27" s="55"/>
      <c r="I27" s="55"/>
      <c r="J27" s="55"/>
      <c r="K27" s="56"/>
      <c r="L27" s="48"/>
      <c r="M27" s="48"/>
      <c r="N27" s="49"/>
      <c r="O27" s="48"/>
      <c r="P27" s="50"/>
      <c r="Q27" s="51"/>
      <c r="R27" s="50"/>
      <c r="S27" s="51"/>
      <c r="T27" s="50"/>
      <c r="U27" s="51"/>
      <c r="V27" s="50"/>
      <c r="W27" s="51"/>
      <c r="X27" s="50"/>
      <c r="Y27" s="51"/>
      <c r="Z27" s="50"/>
      <c r="AA27" s="51"/>
      <c r="AB27" s="50"/>
      <c r="AC27" s="51"/>
      <c r="AD27" s="50"/>
      <c r="AE27" s="51"/>
    </row>
    <row r="28" spans="2:31" ht="12.75" thickBot="1" x14ac:dyDescent="0.25">
      <c r="C28" s="71"/>
      <c r="D28" s="53"/>
      <c r="E28" s="53"/>
      <c r="F28" s="54"/>
      <c r="G28" s="54"/>
      <c r="H28" s="55"/>
      <c r="I28" s="55"/>
      <c r="J28" s="55"/>
      <c r="K28" s="56"/>
      <c r="L28" s="48"/>
      <c r="M28" s="48"/>
      <c r="N28" s="49"/>
      <c r="O28" s="48"/>
      <c r="P28" s="50"/>
      <c r="Q28" s="51"/>
      <c r="R28" s="50"/>
      <c r="S28" s="51"/>
      <c r="T28" s="50"/>
      <c r="U28" s="51"/>
      <c r="V28" s="50"/>
      <c r="W28" s="51"/>
      <c r="X28" s="50"/>
      <c r="Y28" s="51"/>
      <c r="Z28" s="50"/>
      <c r="AA28" s="51"/>
      <c r="AB28" s="50"/>
      <c r="AC28" s="51"/>
      <c r="AD28" s="50"/>
      <c r="AE28" s="51"/>
    </row>
    <row r="29" spans="2:31" ht="12.75" thickBot="1" x14ac:dyDescent="0.25">
      <c r="B29" s="57"/>
      <c r="C29" s="52"/>
      <c r="D29" s="53"/>
      <c r="E29" s="53"/>
      <c r="F29" s="54"/>
      <c r="G29" s="54"/>
      <c r="H29" s="55"/>
      <c r="I29" s="55"/>
      <c r="J29" s="55"/>
      <c r="K29" s="56"/>
      <c r="L29" s="58"/>
      <c r="M29" s="58"/>
      <c r="N29" s="49"/>
      <c r="O29" s="58"/>
      <c r="P29" s="50"/>
      <c r="Q29" s="51"/>
      <c r="R29" s="50"/>
      <c r="S29" s="51"/>
      <c r="T29" s="50"/>
      <c r="U29" s="51"/>
      <c r="V29" s="50"/>
      <c r="W29" s="51"/>
      <c r="X29" s="50"/>
      <c r="Y29" s="51"/>
      <c r="Z29" s="50"/>
      <c r="AA29" s="51"/>
      <c r="AB29" s="50"/>
      <c r="AC29" s="51"/>
      <c r="AD29" s="50"/>
      <c r="AE29" s="51"/>
    </row>
    <row r="30" spans="2:31" ht="12.75" thickBot="1" x14ac:dyDescent="0.25">
      <c r="B30" s="57"/>
      <c r="C30" s="52"/>
      <c r="D30" s="53"/>
      <c r="E30" s="53"/>
      <c r="F30" s="54"/>
      <c r="G30" s="54"/>
      <c r="H30" s="55"/>
      <c r="I30" s="55"/>
      <c r="J30" s="55"/>
      <c r="K30" s="56"/>
      <c r="L30" s="48"/>
      <c r="M30" s="48"/>
      <c r="N30" s="49"/>
      <c r="O30" s="48"/>
      <c r="P30" s="50"/>
      <c r="Q30" s="51"/>
      <c r="R30" s="50"/>
      <c r="S30" s="51"/>
      <c r="T30" s="50"/>
      <c r="U30" s="51"/>
      <c r="V30" s="50"/>
      <c r="W30" s="51"/>
      <c r="X30" s="50"/>
      <c r="Y30" s="51"/>
      <c r="Z30" s="50"/>
      <c r="AA30" s="51"/>
      <c r="AB30" s="50"/>
      <c r="AC30" s="51"/>
      <c r="AD30" s="50"/>
      <c r="AE30" s="51"/>
    </row>
    <row r="31" spans="2:31" ht="12.75" thickBot="1" x14ac:dyDescent="0.25">
      <c r="B31" s="57"/>
      <c r="C31" s="52"/>
      <c r="D31" s="53"/>
      <c r="E31" s="53"/>
      <c r="F31" s="54"/>
      <c r="G31" s="54"/>
      <c r="H31" s="55"/>
      <c r="I31" s="55"/>
      <c r="J31" s="55"/>
      <c r="K31" s="56"/>
      <c r="L31" s="48"/>
      <c r="M31" s="48"/>
      <c r="N31" s="49"/>
      <c r="O31" s="48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</row>
    <row r="32" spans="2:31" ht="12.75" thickBot="1" x14ac:dyDescent="0.25">
      <c r="B32" s="57"/>
      <c r="C32" s="52"/>
      <c r="D32" s="53"/>
      <c r="E32" s="53"/>
      <c r="F32" s="54"/>
      <c r="G32" s="54"/>
      <c r="H32" s="55"/>
      <c r="I32" s="55"/>
      <c r="J32" s="55"/>
      <c r="K32" s="56"/>
      <c r="L32" s="48"/>
      <c r="M32" s="48"/>
      <c r="N32" s="49"/>
      <c r="O32" s="48"/>
      <c r="P32" s="50"/>
      <c r="Q32" s="51"/>
      <c r="R32" s="50"/>
      <c r="S32" s="51"/>
      <c r="T32" s="50"/>
      <c r="U32" s="51"/>
      <c r="V32" s="50"/>
      <c r="W32" s="51"/>
      <c r="X32" s="50"/>
      <c r="Y32" s="51"/>
      <c r="Z32" s="50"/>
      <c r="AA32" s="51"/>
      <c r="AB32" s="50"/>
      <c r="AC32" s="51"/>
      <c r="AD32" s="50"/>
      <c r="AE32" s="51"/>
    </row>
    <row r="33" spans="2:31" ht="12.75" thickBot="1" x14ac:dyDescent="0.25">
      <c r="B33" s="57"/>
      <c r="C33" s="52"/>
      <c r="D33" s="53"/>
      <c r="E33" s="53"/>
      <c r="F33" s="54"/>
      <c r="G33" s="54"/>
      <c r="H33" s="55"/>
      <c r="I33" s="55"/>
      <c r="J33" s="55"/>
      <c r="K33" s="56"/>
      <c r="L33" s="48"/>
      <c r="M33" s="48"/>
      <c r="N33" s="49"/>
      <c r="O33" s="48"/>
      <c r="P33" s="50"/>
      <c r="Q33" s="51"/>
      <c r="R33" s="50"/>
      <c r="S33" s="51"/>
      <c r="T33" s="50"/>
      <c r="U33" s="51"/>
      <c r="V33" s="50"/>
      <c r="W33" s="51"/>
      <c r="X33" s="50"/>
      <c r="Y33" s="51"/>
      <c r="Z33" s="50"/>
      <c r="AA33" s="51"/>
      <c r="AB33" s="50"/>
      <c r="AC33" s="51"/>
      <c r="AD33" s="50"/>
      <c r="AE33" s="51"/>
    </row>
    <row r="34" spans="2:31" ht="12.75" thickBot="1" x14ac:dyDescent="0.25">
      <c r="B34" s="57"/>
      <c r="C34" s="52"/>
      <c r="D34" s="53"/>
      <c r="E34" s="53"/>
      <c r="F34" s="54"/>
      <c r="G34" s="54"/>
      <c r="H34" s="55"/>
      <c r="I34" s="55"/>
      <c r="J34" s="55"/>
      <c r="K34" s="56"/>
      <c r="L34" s="48"/>
      <c r="M34" s="48"/>
      <c r="N34" s="49"/>
      <c r="O34" s="48"/>
      <c r="P34" s="50"/>
      <c r="Q34" s="51"/>
      <c r="R34" s="50"/>
      <c r="S34" s="51"/>
      <c r="T34" s="50"/>
      <c r="U34" s="51"/>
      <c r="V34" s="50"/>
      <c r="W34" s="51"/>
      <c r="X34" s="50"/>
      <c r="Y34" s="51"/>
      <c r="Z34" s="50"/>
      <c r="AA34" s="51"/>
      <c r="AB34" s="50"/>
      <c r="AC34" s="51"/>
      <c r="AD34" s="50"/>
      <c r="AE34" s="51"/>
    </row>
    <row r="35" spans="2:31" ht="12.75" thickBot="1" x14ac:dyDescent="0.25">
      <c r="B35" s="42"/>
      <c r="C35" s="52"/>
      <c r="D35" s="44"/>
      <c r="E35" s="44"/>
      <c r="F35" s="45"/>
      <c r="G35" s="45"/>
      <c r="H35" s="46"/>
      <c r="I35" s="46"/>
      <c r="J35" s="46"/>
      <c r="K35" s="47"/>
      <c r="L35" s="48"/>
      <c r="M35" s="48"/>
      <c r="N35" s="49"/>
      <c r="O35" s="48"/>
      <c r="P35" s="50"/>
      <c r="Q35" s="51"/>
      <c r="R35" s="50"/>
      <c r="S35" s="51"/>
      <c r="T35" s="50"/>
      <c r="U35" s="51"/>
      <c r="V35" s="50"/>
      <c r="W35" s="51"/>
      <c r="X35" s="50"/>
      <c r="Y35" s="51"/>
      <c r="Z35" s="50"/>
      <c r="AA35" s="51"/>
      <c r="AB35" s="50"/>
      <c r="AC35" s="51"/>
      <c r="AD35" s="50"/>
      <c r="AE35" s="51"/>
    </row>
    <row r="36" spans="2:31" ht="12.75" thickBot="1" x14ac:dyDescent="0.25">
      <c r="B36" s="57"/>
      <c r="C36" s="52"/>
      <c r="D36" s="44"/>
      <c r="E36" s="44"/>
      <c r="F36" s="45"/>
      <c r="G36" s="45"/>
      <c r="H36" s="46"/>
      <c r="I36" s="46"/>
      <c r="J36" s="46"/>
      <c r="K36" s="47"/>
      <c r="L36" s="48"/>
      <c r="M36" s="48"/>
      <c r="N36" s="49"/>
      <c r="O36" s="48"/>
      <c r="P36" s="50"/>
      <c r="Q36" s="51"/>
      <c r="R36" s="50"/>
      <c r="S36" s="51"/>
      <c r="T36" s="50"/>
      <c r="U36" s="51"/>
      <c r="V36" s="50"/>
      <c r="W36" s="51"/>
      <c r="X36" s="50"/>
      <c r="Y36" s="51"/>
      <c r="Z36" s="50"/>
      <c r="AA36" s="51"/>
      <c r="AB36" s="50"/>
      <c r="AC36" s="51"/>
      <c r="AD36" s="50"/>
      <c r="AE36" s="51"/>
    </row>
    <row r="37" spans="2:31" ht="12.75" thickBot="1" x14ac:dyDescent="0.25">
      <c r="B37" s="42"/>
      <c r="C37" s="52"/>
      <c r="D37" s="53"/>
      <c r="E37" s="53"/>
      <c r="F37" s="54"/>
      <c r="G37" s="54"/>
      <c r="H37" s="55"/>
      <c r="I37" s="55"/>
      <c r="J37" s="55"/>
      <c r="K37" s="56"/>
      <c r="L37" s="48"/>
      <c r="M37" s="48"/>
      <c r="N37" s="49"/>
      <c r="O37" s="48"/>
      <c r="P37" s="50"/>
      <c r="Q37" s="51"/>
      <c r="R37" s="50"/>
      <c r="S37" s="51"/>
      <c r="T37" s="50"/>
      <c r="U37" s="51"/>
      <c r="V37" s="50"/>
      <c r="W37" s="51"/>
      <c r="X37" s="50"/>
      <c r="Y37" s="51"/>
      <c r="Z37" s="50"/>
      <c r="AA37" s="51"/>
      <c r="AB37" s="50"/>
      <c r="AC37" s="51"/>
      <c r="AD37" s="50"/>
      <c r="AE37" s="51"/>
    </row>
    <row r="38" spans="2:31" ht="12.75" thickBot="1" x14ac:dyDescent="0.25">
      <c r="B38" s="60"/>
      <c r="C38" s="61"/>
      <c r="D38" s="53"/>
      <c r="E38" s="53"/>
      <c r="F38" s="54"/>
      <c r="G38" s="54"/>
      <c r="H38" s="55"/>
      <c r="I38" s="55"/>
      <c r="J38" s="55"/>
      <c r="K38" s="56"/>
      <c r="L38" s="48"/>
      <c r="M38" s="48"/>
      <c r="N38" s="49"/>
      <c r="O38" s="48"/>
      <c r="P38" s="50"/>
      <c r="Q38" s="51"/>
      <c r="R38" s="50"/>
      <c r="S38" s="51"/>
      <c r="T38" s="50"/>
      <c r="U38" s="51"/>
      <c r="V38" s="50"/>
      <c r="W38" s="51"/>
      <c r="X38" s="50"/>
      <c r="Y38" s="51"/>
      <c r="Z38" s="50"/>
      <c r="AA38" s="51"/>
      <c r="AB38" s="50"/>
      <c r="AC38" s="51"/>
      <c r="AD38" s="50"/>
      <c r="AE38" s="51"/>
    </row>
    <row r="39" spans="2:31" ht="12.75" thickBot="1" x14ac:dyDescent="0.25">
      <c r="B39" s="60"/>
      <c r="C39" s="61"/>
      <c r="D39" s="53"/>
      <c r="E39" s="53"/>
      <c r="F39" s="54"/>
      <c r="G39" s="54"/>
      <c r="H39" s="55"/>
      <c r="I39" s="55"/>
      <c r="J39" s="55"/>
      <c r="K39" s="56"/>
      <c r="L39" s="48"/>
      <c r="M39" s="48"/>
      <c r="N39" s="49"/>
      <c r="O39" s="48"/>
      <c r="P39" s="50"/>
      <c r="Q39" s="51"/>
      <c r="R39" s="50"/>
      <c r="S39" s="51"/>
      <c r="T39" s="50"/>
      <c r="U39" s="51"/>
      <c r="V39" s="50"/>
      <c r="W39" s="51"/>
      <c r="X39" s="50"/>
      <c r="Y39" s="51"/>
      <c r="Z39" s="50"/>
      <c r="AA39" s="51"/>
      <c r="AB39" s="50"/>
      <c r="AC39" s="51"/>
      <c r="AD39" s="50"/>
      <c r="AE39" s="51"/>
    </row>
    <row r="40" spans="2:31" ht="12.75" thickBot="1" x14ac:dyDescent="0.25">
      <c r="B40" s="60"/>
      <c r="C40" s="61"/>
      <c r="D40" s="53"/>
      <c r="E40" s="53"/>
      <c r="F40" s="54"/>
      <c r="G40" s="54"/>
      <c r="H40" s="55"/>
      <c r="I40" s="55"/>
      <c r="J40" s="55"/>
      <c r="K40" s="56"/>
      <c r="L40" s="48"/>
      <c r="M40" s="48"/>
      <c r="N40" s="49"/>
      <c r="O40" s="48"/>
      <c r="P40" s="50"/>
      <c r="Q40" s="51"/>
      <c r="R40" s="50"/>
      <c r="S40" s="51"/>
      <c r="T40" s="50"/>
      <c r="U40" s="51"/>
      <c r="V40" s="50"/>
      <c r="W40" s="51"/>
      <c r="X40" s="50"/>
      <c r="Y40" s="51"/>
      <c r="Z40" s="50"/>
      <c r="AA40" s="51"/>
      <c r="AB40" s="50"/>
      <c r="AC40" s="51"/>
      <c r="AD40" s="50"/>
      <c r="AE40" s="51"/>
    </row>
    <row r="41" spans="2:31" ht="12.75" thickBot="1" x14ac:dyDescent="0.25">
      <c r="B41" s="57"/>
      <c r="C41" s="52"/>
      <c r="D41" s="53"/>
      <c r="E41" s="53"/>
      <c r="F41" s="54"/>
      <c r="G41" s="54"/>
      <c r="H41" s="55"/>
      <c r="I41" s="55"/>
      <c r="J41" s="55"/>
      <c r="K41" s="56"/>
      <c r="L41" s="48"/>
      <c r="M41" s="48"/>
      <c r="N41" s="49"/>
      <c r="O41" s="48"/>
      <c r="P41" s="50"/>
      <c r="Q41" s="51"/>
      <c r="R41" s="50"/>
      <c r="S41" s="51"/>
      <c r="T41" s="50"/>
      <c r="U41" s="51"/>
      <c r="V41" s="50"/>
      <c r="W41" s="51"/>
      <c r="X41" s="50"/>
      <c r="Y41" s="51"/>
      <c r="Z41" s="50"/>
      <c r="AA41" s="51"/>
      <c r="AB41" s="50"/>
      <c r="AC41" s="51"/>
      <c r="AD41" s="50"/>
      <c r="AE41" s="51"/>
    </row>
    <row r="42" spans="2:31" ht="12.75" thickBot="1" x14ac:dyDescent="0.25">
      <c r="B42" s="42"/>
      <c r="C42" s="52"/>
      <c r="D42" s="53"/>
      <c r="E42" s="53"/>
      <c r="F42" s="54"/>
      <c r="G42" s="54"/>
      <c r="H42" s="55"/>
      <c r="I42" s="55"/>
      <c r="J42" s="55"/>
      <c r="K42" s="56"/>
      <c r="L42" s="48"/>
      <c r="M42" s="48"/>
      <c r="N42" s="49"/>
      <c r="O42" s="48"/>
      <c r="P42" s="50"/>
      <c r="Q42" s="51"/>
      <c r="R42" s="50"/>
      <c r="S42" s="51"/>
      <c r="T42" s="50"/>
      <c r="U42" s="51"/>
      <c r="V42" s="50"/>
      <c r="W42" s="51"/>
      <c r="X42" s="50"/>
      <c r="Y42" s="51"/>
      <c r="Z42" s="50"/>
      <c r="AA42" s="51"/>
      <c r="AB42" s="50"/>
      <c r="AC42" s="51"/>
      <c r="AD42" s="50"/>
      <c r="AE42" s="51"/>
    </row>
    <row r="43" spans="2:31" ht="12.75" thickBot="1" x14ac:dyDescent="0.25">
      <c r="B43" s="42"/>
      <c r="C43" s="52"/>
      <c r="D43" s="53"/>
      <c r="E43" s="53"/>
      <c r="F43" s="54"/>
      <c r="G43" s="54"/>
      <c r="H43" s="55"/>
      <c r="I43" s="55"/>
      <c r="J43" s="55"/>
      <c r="K43" s="56"/>
      <c r="L43" s="48"/>
      <c r="M43" s="48"/>
      <c r="N43" s="49"/>
      <c r="O43" s="48"/>
      <c r="P43" s="50"/>
      <c r="Q43" s="51"/>
      <c r="R43" s="50"/>
      <c r="S43" s="51"/>
      <c r="T43" s="50"/>
      <c r="U43" s="51"/>
      <c r="V43" s="50"/>
      <c r="W43" s="51"/>
      <c r="X43" s="50"/>
      <c r="Y43" s="51"/>
      <c r="Z43" s="50"/>
      <c r="AA43" s="51"/>
      <c r="AB43" s="50"/>
      <c r="AC43" s="51"/>
      <c r="AD43" s="50"/>
      <c r="AE43" s="51"/>
    </row>
    <row r="44" spans="2:31" ht="12.75" thickBot="1" x14ac:dyDescent="0.25">
      <c r="C44" s="71"/>
      <c r="D44" s="53"/>
      <c r="E44" s="53"/>
      <c r="F44" s="54"/>
      <c r="G44" s="54"/>
      <c r="H44" s="55"/>
      <c r="I44" s="55"/>
      <c r="J44" s="55"/>
      <c r="K44" s="56"/>
      <c r="L44" s="48"/>
      <c r="M44" s="48"/>
      <c r="N44" s="49"/>
      <c r="O44" s="48"/>
      <c r="P44" s="50"/>
      <c r="Q44" s="51"/>
      <c r="R44" s="50"/>
      <c r="S44" s="51"/>
      <c r="T44" s="50"/>
      <c r="U44" s="51"/>
      <c r="V44" s="50"/>
      <c r="W44" s="51"/>
      <c r="X44" s="50"/>
      <c r="Y44" s="51"/>
      <c r="Z44" s="50"/>
      <c r="AA44" s="51"/>
      <c r="AB44" s="50"/>
      <c r="AC44" s="51"/>
      <c r="AD44" s="50"/>
      <c r="AE44" s="51"/>
    </row>
    <row r="45" spans="2:31" ht="12.75" thickBot="1" x14ac:dyDescent="0.25">
      <c r="B45" s="60"/>
      <c r="C45" s="61"/>
      <c r="D45" s="53"/>
      <c r="E45" s="53"/>
      <c r="F45" s="54"/>
      <c r="G45" s="54"/>
      <c r="H45" s="55"/>
      <c r="I45" s="55"/>
      <c r="J45" s="55"/>
      <c r="K45" s="56"/>
      <c r="L45" s="48"/>
      <c r="M45" s="48"/>
      <c r="N45" s="49"/>
      <c r="O45" s="48"/>
      <c r="P45" s="50"/>
      <c r="Q45" s="51"/>
      <c r="R45" s="50"/>
      <c r="S45" s="51"/>
      <c r="T45" s="50"/>
      <c r="U45" s="51"/>
      <c r="V45" s="50"/>
      <c r="W45" s="51"/>
      <c r="X45" s="50"/>
      <c r="Y45" s="51"/>
      <c r="Z45" s="50"/>
      <c r="AA45" s="51"/>
      <c r="AB45" s="50"/>
      <c r="AC45" s="51"/>
      <c r="AD45" s="50"/>
      <c r="AE45" s="51"/>
    </row>
    <row r="46" spans="2:31" ht="12.75" thickBot="1" x14ac:dyDescent="0.25">
      <c r="B46" s="60"/>
      <c r="C46" s="61"/>
      <c r="D46" s="53"/>
      <c r="E46" s="53"/>
      <c r="F46" s="54"/>
      <c r="G46" s="54"/>
      <c r="H46" s="55"/>
      <c r="I46" s="55"/>
      <c r="J46" s="55"/>
      <c r="K46" s="56"/>
      <c r="L46" s="48"/>
      <c r="M46" s="48"/>
      <c r="N46" s="49"/>
      <c r="O46" s="48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</row>
    <row r="47" spans="2:31" ht="12.75" thickBot="1" x14ac:dyDescent="0.25">
      <c r="B47" s="57"/>
      <c r="C47" s="52"/>
      <c r="D47" s="53"/>
      <c r="E47" s="53"/>
      <c r="F47" s="54"/>
      <c r="G47" s="54"/>
      <c r="H47" s="55"/>
      <c r="I47" s="55"/>
      <c r="J47" s="55"/>
      <c r="K47" s="56"/>
      <c r="L47" s="48"/>
      <c r="M47" s="48"/>
      <c r="N47" s="49"/>
      <c r="O47" s="48"/>
      <c r="P47" s="50"/>
      <c r="Q47" s="51"/>
      <c r="R47" s="50"/>
      <c r="S47" s="51"/>
      <c r="T47" s="50"/>
      <c r="U47" s="51"/>
      <c r="V47" s="50"/>
      <c r="W47" s="51"/>
      <c r="X47" s="50"/>
      <c r="Y47" s="51"/>
      <c r="Z47" s="50"/>
      <c r="AA47" s="51"/>
      <c r="AB47" s="50"/>
      <c r="AC47" s="51"/>
      <c r="AD47" s="50"/>
      <c r="AE47" s="51"/>
    </row>
    <row r="48" spans="2:31" ht="12.75" thickBot="1" x14ac:dyDescent="0.25">
      <c r="C48" s="71"/>
      <c r="D48" s="53"/>
      <c r="E48" s="53"/>
      <c r="F48" s="54"/>
      <c r="G48" s="54"/>
      <c r="H48" s="55"/>
      <c r="I48" s="55"/>
      <c r="J48" s="55"/>
      <c r="K48" s="56"/>
      <c r="L48" s="48"/>
      <c r="M48" s="48"/>
      <c r="N48" s="49"/>
      <c r="O48" s="48"/>
      <c r="P48" s="50"/>
      <c r="Q48" s="51"/>
      <c r="R48" s="50"/>
      <c r="S48" s="51"/>
      <c r="T48" s="50"/>
      <c r="U48" s="51"/>
      <c r="V48" s="50"/>
      <c r="W48" s="51"/>
      <c r="X48" s="50"/>
      <c r="Y48" s="51"/>
      <c r="Z48" s="50"/>
      <c r="AA48" s="51"/>
      <c r="AB48" s="50"/>
      <c r="AC48" s="51"/>
      <c r="AD48" s="50"/>
      <c r="AE48" s="51"/>
    </row>
    <row r="49" spans="2:31" ht="12.75" thickBot="1" x14ac:dyDescent="0.25">
      <c r="C49" s="71"/>
      <c r="D49" s="53"/>
      <c r="E49" s="53"/>
      <c r="F49" s="54"/>
      <c r="G49" s="54"/>
      <c r="H49" s="55"/>
      <c r="I49" s="55"/>
      <c r="J49" s="55"/>
      <c r="K49" s="56"/>
      <c r="L49" s="48"/>
      <c r="M49" s="48"/>
      <c r="N49" s="49"/>
      <c r="O49" s="48"/>
      <c r="P49" s="50"/>
      <c r="Q49" s="51"/>
      <c r="R49" s="50"/>
      <c r="S49" s="51"/>
      <c r="T49" s="50"/>
      <c r="U49" s="51"/>
      <c r="V49" s="50"/>
      <c r="W49" s="51"/>
      <c r="X49" s="50"/>
      <c r="Y49" s="51"/>
      <c r="Z49" s="50"/>
      <c r="AA49" s="51"/>
      <c r="AB49" s="50"/>
      <c r="AC49" s="51"/>
      <c r="AD49" s="50"/>
      <c r="AE49" s="51"/>
    </row>
    <row r="50" spans="2:31" ht="12.75" thickBot="1" x14ac:dyDescent="0.25">
      <c r="C50" s="71"/>
      <c r="D50" s="53"/>
      <c r="E50" s="53"/>
      <c r="F50" s="54"/>
      <c r="G50" s="54"/>
      <c r="H50" s="55"/>
      <c r="I50" s="55"/>
      <c r="J50" s="55"/>
      <c r="K50" s="56"/>
      <c r="L50" s="48"/>
      <c r="M50" s="48"/>
      <c r="N50" s="49"/>
      <c r="O50" s="48"/>
      <c r="P50" s="50"/>
      <c r="Q50" s="51"/>
      <c r="R50" s="50"/>
      <c r="S50" s="51"/>
      <c r="T50" s="50"/>
      <c r="U50" s="51"/>
      <c r="V50" s="50"/>
      <c r="W50" s="51"/>
      <c r="X50" s="50"/>
      <c r="Y50" s="51"/>
      <c r="Z50" s="50"/>
      <c r="AA50" s="51"/>
      <c r="AB50" s="50"/>
      <c r="AC50" s="51"/>
      <c r="AD50" s="50"/>
      <c r="AE50" s="51"/>
    </row>
    <row r="51" spans="2:31" ht="12.75" thickBot="1" x14ac:dyDescent="0.25">
      <c r="C51" s="71"/>
      <c r="D51" s="53"/>
      <c r="E51" s="53"/>
      <c r="F51" s="54"/>
      <c r="G51" s="54"/>
      <c r="H51" s="55"/>
      <c r="I51" s="55"/>
      <c r="J51" s="55"/>
      <c r="K51" s="56"/>
      <c r="L51" s="48"/>
      <c r="M51" s="48"/>
      <c r="N51" s="49"/>
      <c r="O51" s="48"/>
      <c r="P51" s="50"/>
      <c r="Q51" s="51"/>
      <c r="R51" s="50"/>
      <c r="S51" s="51"/>
      <c r="T51" s="50"/>
      <c r="U51" s="51"/>
      <c r="V51" s="50"/>
      <c r="W51" s="51"/>
      <c r="X51" s="50"/>
      <c r="Y51" s="51"/>
      <c r="Z51" s="50"/>
      <c r="AA51" s="51"/>
      <c r="AB51" s="50"/>
      <c r="AC51" s="51"/>
      <c r="AD51" s="50"/>
      <c r="AE51" s="51"/>
    </row>
    <row r="52" spans="2:31" ht="12.75" thickBot="1" x14ac:dyDescent="0.25">
      <c r="C52" s="71"/>
      <c r="D52" s="53"/>
      <c r="E52" s="53"/>
      <c r="F52" s="54"/>
      <c r="G52" s="54"/>
      <c r="H52" s="55"/>
      <c r="I52" s="55"/>
      <c r="J52" s="55"/>
      <c r="K52" s="56"/>
      <c r="L52" s="48"/>
      <c r="M52" s="48"/>
      <c r="N52" s="49"/>
      <c r="O52" s="48"/>
      <c r="P52" s="50"/>
      <c r="Q52" s="51"/>
      <c r="R52" s="50"/>
      <c r="S52" s="51"/>
      <c r="T52" s="50"/>
      <c r="U52" s="51"/>
      <c r="V52" s="50"/>
      <c r="W52" s="51"/>
      <c r="X52" s="50"/>
      <c r="Y52" s="51"/>
      <c r="Z52" s="50"/>
      <c r="AA52" s="51"/>
      <c r="AB52" s="50"/>
      <c r="AC52" s="51"/>
      <c r="AD52" s="50"/>
      <c r="AE52" s="51"/>
    </row>
    <row r="53" spans="2:31" ht="12.75" thickBot="1" x14ac:dyDescent="0.25">
      <c r="B53" s="42"/>
      <c r="C53" s="52"/>
      <c r="D53" s="53"/>
      <c r="E53" s="53"/>
      <c r="F53" s="54"/>
      <c r="G53" s="54"/>
      <c r="H53" s="55"/>
      <c r="I53" s="55"/>
      <c r="J53" s="55"/>
      <c r="K53" s="56"/>
      <c r="L53" s="48"/>
      <c r="M53" s="48"/>
      <c r="N53" s="49"/>
      <c r="O53" s="48"/>
      <c r="P53" s="50"/>
      <c r="Q53" s="51"/>
      <c r="R53" s="50"/>
      <c r="S53" s="51"/>
      <c r="T53" s="50"/>
      <c r="U53" s="51"/>
      <c r="V53" s="50"/>
      <c r="W53" s="51"/>
      <c r="X53" s="50"/>
      <c r="Y53" s="51"/>
      <c r="Z53" s="50"/>
      <c r="AA53" s="51"/>
      <c r="AB53" s="50"/>
      <c r="AC53" s="51"/>
      <c r="AD53" s="50"/>
      <c r="AE53" s="51"/>
    </row>
    <row r="54" spans="2:31" ht="12.75" thickBot="1" x14ac:dyDescent="0.25">
      <c r="B54" s="42"/>
      <c r="C54" s="52"/>
      <c r="D54" s="53"/>
      <c r="E54" s="53"/>
      <c r="F54" s="54"/>
      <c r="G54" s="54"/>
      <c r="H54" s="55"/>
      <c r="I54" s="55"/>
      <c r="J54" s="55"/>
      <c r="K54" s="56"/>
      <c r="L54" s="48"/>
      <c r="M54" s="48"/>
      <c r="N54" s="49"/>
      <c r="O54" s="48"/>
      <c r="P54" s="50"/>
      <c r="Q54" s="51"/>
      <c r="R54" s="50"/>
      <c r="S54" s="51"/>
      <c r="T54" s="50"/>
      <c r="U54" s="51"/>
      <c r="V54" s="50"/>
      <c r="W54" s="51"/>
      <c r="X54" s="50"/>
      <c r="Y54" s="51"/>
      <c r="Z54" s="50"/>
      <c r="AA54" s="51"/>
      <c r="AB54" s="50"/>
      <c r="AC54" s="51"/>
      <c r="AD54" s="50"/>
      <c r="AE54" s="51"/>
    </row>
    <row r="55" spans="2:31" ht="12.75" thickBot="1" x14ac:dyDescent="0.25">
      <c r="B55" s="42"/>
      <c r="C55" s="52"/>
      <c r="D55" s="53"/>
      <c r="E55" s="53"/>
      <c r="F55" s="54"/>
      <c r="G55" s="54"/>
      <c r="H55" s="55"/>
      <c r="I55" s="55"/>
      <c r="J55" s="55"/>
      <c r="K55" s="56"/>
      <c r="L55" s="48"/>
      <c r="M55" s="48"/>
      <c r="N55" s="49"/>
      <c r="O55" s="48"/>
      <c r="P55" s="50"/>
      <c r="Q55" s="51"/>
      <c r="R55" s="50"/>
      <c r="S55" s="51"/>
      <c r="T55" s="50"/>
      <c r="U55" s="51"/>
      <c r="V55" s="50"/>
      <c r="W55" s="51"/>
      <c r="X55" s="50"/>
      <c r="Y55" s="51"/>
      <c r="Z55" s="50"/>
      <c r="AA55" s="51"/>
      <c r="AB55" s="50"/>
      <c r="AC55" s="51"/>
      <c r="AD55" s="50"/>
      <c r="AE55" s="51"/>
    </row>
    <row r="56" spans="2:31" ht="12.75" thickBot="1" x14ac:dyDescent="0.25">
      <c r="B56" s="57"/>
      <c r="C56" s="52"/>
      <c r="D56" s="44"/>
      <c r="E56" s="44"/>
      <c r="F56" s="45"/>
      <c r="G56" s="45"/>
      <c r="H56" s="46"/>
      <c r="I56" s="46"/>
      <c r="J56" s="46"/>
      <c r="K56" s="47"/>
      <c r="L56" s="48"/>
      <c r="M56" s="48"/>
      <c r="N56" s="49"/>
      <c r="O56" s="48"/>
      <c r="P56" s="50"/>
      <c r="Q56" s="51"/>
      <c r="R56" s="50"/>
      <c r="S56" s="51"/>
      <c r="T56" s="50"/>
      <c r="U56" s="51"/>
      <c r="V56" s="50"/>
      <c r="W56" s="51"/>
      <c r="X56" s="50"/>
      <c r="Y56" s="51"/>
      <c r="Z56" s="50"/>
      <c r="AA56" s="51"/>
      <c r="AB56" s="50"/>
      <c r="AC56" s="51"/>
      <c r="AD56" s="50"/>
      <c r="AE56" s="51"/>
    </row>
    <row r="57" spans="2:31" ht="12.75" thickBot="1" x14ac:dyDescent="0.25">
      <c r="B57" s="57"/>
      <c r="C57" s="52"/>
      <c r="D57" s="44"/>
      <c r="E57" s="44"/>
      <c r="F57" s="45"/>
      <c r="G57" s="45"/>
      <c r="H57" s="46"/>
      <c r="I57" s="46"/>
      <c r="J57" s="46"/>
      <c r="K57" s="47"/>
      <c r="L57" s="48"/>
      <c r="M57" s="48"/>
      <c r="N57" s="49"/>
      <c r="O57" s="48"/>
      <c r="P57" s="50"/>
      <c r="Q57" s="51"/>
      <c r="R57" s="50"/>
      <c r="S57" s="51"/>
      <c r="T57" s="50"/>
      <c r="U57" s="51"/>
      <c r="V57" s="50"/>
      <c r="W57" s="51"/>
      <c r="X57" s="50"/>
      <c r="Y57" s="51"/>
      <c r="Z57" s="50"/>
      <c r="AA57" s="51"/>
      <c r="AB57" s="50"/>
      <c r="AC57" s="51"/>
      <c r="AD57" s="50"/>
      <c r="AE57" s="51"/>
    </row>
    <row r="58" spans="2:31" ht="12.75" thickBot="1" x14ac:dyDescent="0.25">
      <c r="B58" s="57"/>
      <c r="C58" s="52"/>
      <c r="D58" s="44"/>
      <c r="E58" s="44"/>
      <c r="F58" s="45"/>
      <c r="G58" s="45"/>
      <c r="H58" s="46"/>
      <c r="I58" s="46"/>
      <c r="J58" s="46"/>
      <c r="K58" s="47"/>
      <c r="L58" s="48"/>
      <c r="M58" s="48"/>
      <c r="N58" s="49"/>
      <c r="O58" s="48"/>
      <c r="P58" s="50"/>
      <c r="Q58" s="51"/>
      <c r="R58" s="50"/>
      <c r="S58" s="51"/>
      <c r="T58" s="50"/>
      <c r="U58" s="51"/>
      <c r="V58" s="50"/>
      <c r="W58" s="51"/>
      <c r="X58" s="50"/>
      <c r="Y58" s="51"/>
      <c r="Z58" s="50"/>
      <c r="AA58" s="51"/>
      <c r="AB58" s="50"/>
      <c r="AC58" s="51"/>
      <c r="AD58" s="50"/>
      <c r="AE58" s="51"/>
    </row>
    <row r="59" spans="2:31" ht="12.75" thickBot="1" x14ac:dyDescent="0.25">
      <c r="B59" s="57"/>
      <c r="C59" s="52"/>
      <c r="D59" s="44"/>
      <c r="E59" s="44"/>
      <c r="F59" s="45"/>
      <c r="G59" s="45"/>
      <c r="H59" s="46"/>
      <c r="I59" s="46"/>
      <c r="J59" s="46"/>
      <c r="K59" s="47"/>
      <c r="L59" s="48"/>
      <c r="M59" s="48"/>
      <c r="N59" s="49"/>
      <c r="O59" s="48"/>
      <c r="P59" s="50"/>
      <c r="Q59" s="51"/>
      <c r="R59" s="50"/>
      <c r="S59" s="51"/>
      <c r="T59" s="50"/>
      <c r="U59" s="51"/>
      <c r="V59" s="50"/>
      <c r="W59" s="51"/>
      <c r="X59" s="50"/>
      <c r="Y59" s="51"/>
      <c r="Z59" s="50"/>
      <c r="AA59" s="51"/>
      <c r="AB59" s="50"/>
      <c r="AC59" s="51"/>
      <c r="AD59" s="50"/>
      <c r="AE59" s="51"/>
    </row>
    <row r="60" spans="2:31" ht="12.75" thickBot="1" x14ac:dyDescent="0.25">
      <c r="B60" s="57"/>
      <c r="C60" s="52"/>
      <c r="D60" s="53"/>
      <c r="E60" s="53"/>
      <c r="F60" s="54"/>
      <c r="G60" s="54"/>
      <c r="H60" s="55"/>
      <c r="I60" s="55"/>
      <c r="J60" s="55"/>
      <c r="K60" s="56"/>
      <c r="L60" s="48"/>
      <c r="M60" s="48"/>
      <c r="N60" s="49"/>
      <c r="O60" s="48"/>
      <c r="P60" s="50"/>
      <c r="Q60" s="51"/>
      <c r="R60" s="50"/>
      <c r="S60" s="51"/>
      <c r="T60" s="50"/>
      <c r="U60" s="51"/>
      <c r="V60" s="50"/>
      <c r="W60" s="51"/>
      <c r="X60" s="50"/>
      <c r="Y60" s="51"/>
      <c r="Z60" s="50"/>
      <c r="AA60" s="51"/>
      <c r="AB60" s="50"/>
      <c r="AC60" s="51"/>
      <c r="AD60" s="50"/>
      <c r="AE60" s="51"/>
    </row>
    <row r="61" spans="2:31" ht="12.75" thickBot="1" x14ac:dyDescent="0.25">
      <c r="B61" s="57"/>
      <c r="C61" s="52"/>
      <c r="D61" s="53"/>
      <c r="E61" s="53"/>
      <c r="F61" s="54"/>
      <c r="G61" s="54"/>
      <c r="H61" s="55"/>
      <c r="I61" s="55"/>
      <c r="J61" s="55"/>
      <c r="K61" s="56"/>
      <c r="L61" s="48"/>
      <c r="M61" s="48"/>
      <c r="N61" s="49"/>
      <c r="O61" s="48"/>
      <c r="P61" s="50"/>
      <c r="Q61" s="51"/>
      <c r="R61" s="50"/>
      <c r="S61" s="51"/>
      <c r="T61" s="50"/>
      <c r="U61" s="51"/>
      <c r="V61" s="50"/>
      <c r="W61" s="51"/>
      <c r="X61" s="50"/>
      <c r="Y61" s="51"/>
      <c r="Z61" s="50"/>
      <c r="AA61" s="51"/>
      <c r="AB61" s="50"/>
      <c r="AC61" s="51"/>
      <c r="AD61" s="50"/>
      <c r="AE61" s="51"/>
    </row>
    <row r="62" spans="2:31" ht="12.75" thickBot="1" x14ac:dyDescent="0.25">
      <c r="B62" s="42"/>
      <c r="C62" s="43"/>
      <c r="D62" s="44"/>
      <c r="E62" s="44"/>
      <c r="F62" s="45"/>
      <c r="G62" s="45"/>
      <c r="H62" s="46"/>
      <c r="I62" s="46"/>
      <c r="J62" s="46"/>
      <c r="K62" s="47"/>
      <c r="L62" s="48"/>
      <c r="M62" s="48"/>
      <c r="N62" s="49"/>
      <c r="O62" s="48"/>
      <c r="P62" s="50"/>
      <c r="Q62" s="51"/>
      <c r="R62" s="50"/>
      <c r="S62" s="51"/>
      <c r="T62" s="50"/>
      <c r="U62" s="51"/>
      <c r="V62" s="50"/>
      <c r="W62" s="51"/>
      <c r="X62" s="50"/>
      <c r="Y62" s="51"/>
      <c r="Z62" s="50"/>
      <c r="AA62" s="51"/>
      <c r="AB62" s="50"/>
      <c r="AC62" s="51"/>
      <c r="AD62" s="50"/>
      <c r="AE62" s="51"/>
    </row>
    <row r="63" spans="2:31" ht="12.75" thickBot="1" x14ac:dyDescent="0.25">
      <c r="B63" s="42"/>
      <c r="C63" s="43"/>
      <c r="D63" s="44"/>
      <c r="E63" s="44"/>
      <c r="F63" s="45"/>
      <c r="G63" s="45"/>
      <c r="H63" s="46"/>
      <c r="I63" s="46"/>
      <c r="J63" s="46"/>
      <c r="K63" s="47"/>
      <c r="L63" s="48"/>
      <c r="M63" s="48"/>
      <c r="N63" s="49"/>
      <c r="O63" s="48"/>
      <c r="P63" s="50"/>
      <c r="Q63" s="51"/>
      <c r="R63" s="50"/>
      <c r="S63" s="51"/>
      <c r="T63" s="50"/>
      <c r="U63" s="51"/>
      <c r="V63" s="50"/>
      <c r="W63" s="51"/>
      <c r="X63" s="50"/>
      <c r="Y63" s="51"/>
      <c r="Z63" s="50"/>
      <c r="AA63" s="51"/>
      <c r="AB63" s="50"/>
      <c r="AC63" s="51"/>
      <c r="AD63" s="50"/>
      <c r="AE63" s="51"/>
    </row>
    <row r="64" spans="2:31" ht="12.75" thickBot="1" x14ac:dyDescent="0.25">
      <c r="C64" s="71"/>
      <c r="D64" s="53"/>
      <c r="E64" s="53"/>
      <c r="F64" s="54"/>
      <c r="G64" s="54"/>
      <c r="H64" s="55"/>
      <c r="I64" s="55"/>
      <c r="J64" s="55"/>
      <c r="K64" s="56"/>
      <c r="L64" s="48"/>
      <c r="M64" s="48"/>
      <c r="N64" s="49"/>
      <c r="O64" s="48"/>
      <c r="P64" s="50"/>
      <c r="Q64" s="51"/>
      <c r="R64" s="50"/>
      <c r="S64" s="51"/>
      <c r="T64" s="50"/>
      <c r="U64" s="51"/>
      <c r="V64" s="50"/>
      <c r="W64" s="51"/>
      <c r="X64" s="50"/>
      <c r="Y64" s="51"/>
      <c r="Z64" s="50"/>
      <c r="AA64" s="51"/>
      <c r="AB64" s="50"/>
      <c r="AC64" s="51"/>
      <c r="AD64" s="50"/>
      <c r="AE64" s="51"/>
    </row>
    <row r="65" spans="2:31" ht="12.75" thickBot="1" x14ac:dyDescent="0.25">
      <c r="B65" s="42"/>
      <c r="C65" s="43"/>
      <c r="D65" s="44"/>
      <c r="E65" s="44"/>
      <c r="F65" s="45"/>
      <c r="G65" s="45"/>
      <c r="H65" s="46"/>
      <c r="I65" s="46"/>
      <c r="J65" s="46"/>
      <c r="K65" s="47"/>
      <c r="L65" s="48"/>
      <c r="M65" s="48"/>
      <c r="N65" s="49"/>
      <c r="O65" s="48"/>
      <c r="P65" s="50"/>
      <c r="Q65" s="51"/>
      <c r="R65" s="50"/>
      <c r="S65" s="51"/>
      <c r="T65" s="50"/>
      <c r="U65" s="51"/>
      <c r="V65" s="50"/>
      <c r="W65" s="51"/>
      <c r="X65" s="50"/>
      <c r="Y65" s="51"/>
      <c r="Z65" s="50"/>
      <c r="AA65" s="51"/>
      <c r="AB65" s="50"/>
      <c r="AC65" s="51"/>
      <c r="AD65" s="50"/>
      <c r="AE65" s="51"/>
    </row>
    <row r="66" spans="2:31" ht="12.75" thickBot="1" x14ac:dyDescent="0.25">
      <c r="B66" s="57"/>
      <c r="C66" s="52"/>
      <c r="D66" s="53"/>
      <c r="E66" s="53"/>
      <c r="F66" s="54"/>
      <c r="G66" s="54"/>
      <c r="H66" s="55"/>
      <c r="I66" s="55"/>
      <c r="J66" s="55"/>
      <c r="K66" s="56"/>
      <c r="L66" s="48"/>
      <c r="M66" s="48"/>
      <c r="N66" s="49"/>
      <c r="O66" s="48"/>
      <c r="P66" s="50"/>
      <c r="Q66" s="51"/>
      <c r="R66" s="50"/>
      <c r="S66" s="51"/>
      <c r="T66" s="50"/>
      <c r="U66" s="51"/>
      <c r="V66" s="50"/>
      <c r="W66" s="51"/>
      <c r="X66" s="50"/>
      <c r="Y66" s="51"/>
      <c r="Z66" s="50"/>
      <c r="AA66" s="51"/>
      <c r="AB66" s="50"/>
      <c r="AC66" s="51"/>
      <c r="AD66" s="50"/>
      <c r="AE66" s="51"/>
    </row>
    <row r="67" spans="2:31" ht="12.75" thickBot="1" x14ac:dyDescent="0.25">
      <c r="B67" s="57"/>
      <c r="C67" s="52"/>
      <c r="D67" s="53"/>
      <c r="E67" s="53"/>
      <c r="F67" s="54"/>
      <c r="G67" s="54"/>
      <c r="H67" s="55"/>
      <c r="I67" s="55"/>
      <c r="J67" s="55"/>
      <c r="K67" s="56"/>
      <c r="L67" s="48"/>
      <c r="M67" s="48"/>
      <c r="N67" s="49"/>
      <c r="O67" s="48"/>
      <c r="P67" s="50"/>
      <c r="Q67" s="51"/>
      <c r="R67" s="50"/>
      <c r="S67" s="51"/>
      <c r="T67" s="50"/>
      <c r="U67" s="51"/>
      <c r="V67" s="50"/>
      <c r="W67" s="51"/>
      <c r="X67" s="50"/>
      <c r="Y67" s="51"/>
      <c r="Z67" s="50"/>
      <c r="AA67" s="51"/>
      <c r="AB67" s="50"/>
      <c r="AC67" s="51"/>
      <c r="AD67" s="50"/>
      <c r="AE67" s="51"/>
    </row>
    <row r="68" spans="2:31" ht="12.75" thickBot="1" x14ac:dyDescent="0.25">
      <c r="B68" s="57"/>
      <c r="C68" s="52"/>
      <c r="D68" s="53"/>
      <c r="E68" s="53"/>
      <c r="F68" s="54"/>
      <c r="G68" s="54"/>
      <c r="H68" s="55"/>
      <c r="I68" s="55"/>
      <c r="J68" s="55"/>
      <c r="K68" s="56"/>
      <c r="L68" s="48"/>
      <c r="M68" s="48"/>
      <c r="N68" s="49"/>
      <c r="O68" s="48"/>
      <c r="P68" s="50"/>
      <c r="Q68" s="51"/>
      <c r="R68" s="50"/>
      <c r="S68" s="51"/>
      <c r="T68" s="50"/>
      <c r="U68" s="51"/>
      <c r="V68" s="50"/>
      <c r="W68" s="51"/>
      <c r="X68" s="50"/>
      <c r="Y68" s="51"/>
      <c r="Z68" s="50"/>
      <c r="AA68" s="51"/>
      <c r="AB68" s="50"/>
      <c r="AC68" s="51"/>
      <c r="AD68" s="50"/>
      <c r="AE68" s="51"/>
    </row>
    <row r="69" spans="2:31" ht="12.75" thickBot="1" x14ac:dyDescent="0.25">
      <c r="B69" s="57"/>
      <c r="C69" s="52"/>
      <c r="D69" s="53"/>
      <c r="E69" s="53"/>
      <c r="F69" s="54"/>
      <c r="G69" s="54"/>
      <c r="H69" s="55"/>
      <c r="I69" s="55"/>
      <c r="J69" s="55"/>
      <c r="K69" s="56"/>
      <c r="L69" s="48"/>
      <c r="M69" s="48"/>
      <c r="N69" s="49"/>
      <c r="O69" s="48"/>
      <c r="P69" s="50"/>
      <c r="Q69" s="51"/>
      <c r="R69" s="50"/>
      <c r="S69" s="51"/>
      <c r="T69" s="50"/>
      <c r="U69" s="51"/>
      <c r="V69" s="50"/>
      <c r="W69" s="51"/>
      <c r="X69" s="50"/>
      <c r="Y69" s="51"/>
      <c r="Z69" s="50"/>
      <c r="AA69" s="51"/>
      <c r="AB69" s="50"/>
      <c r="AC69" s="51"/>
      <c r="AD69" s="50"/>
      <c r="AE69" s="51"/>
    </row>
    <row r="70" spans="2:31" ht="12.75" thickBot="1" x14ac:dyDescent="0.25">
      <c r="B70" s="42"/>
      <c r="C70" s="43"/>
      <c r="D70" s="44"/>
      <c r="E70" s="44"/>
      <c r="F70" s="45"/>
      <c r="G70" s="45"/>
      <c r="H70" s="46"/>
      <c r="I70" s="46"/>
      <c r="J70" s="46"/>
      <c r="K70" s="47"/>
      <c r="L70" s="48"/>
      <c r="M70" s="48"/>
      <c r="N70" s="49"/>
      <c r="O70" s="48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</row>
    <row r="71" spans="2:31" ht="12.75" thickBot="1" x14ac:dyDescent="0.25">
      <c r="B71" s="42"/>
      <c r="C71" s="43"/>
      <c r="D71" s="44"/>
      <c r="E71" s="44"/>
      <c r="F71" s="45"/>
      <c r="G71" s="45"/>
      <c r="H71" s="46"/>
      <c r="I71" s="46"/>
      <c r="J71" s="46"/>
      <c r="K71" s="47"/>
      <c r="L71" s="48"/>
      <c r="M71" s="48"/>
      <c r="N71" s="49"/>
      <c r="O71" s="48"/>
      <c r="P71" s="50"/>
      <c r="Q71" s="51"/>
      <c r="R71" s="50"/>
      <c r="S71" s="51"/>
      <c r="T71" s="50"/>
      <c r="U71" s="51"/>
      <c r="V71" s="50"/>
      <c r="W71" s="51"/>
      <c r="X71" s="50"/>
      <c r="Y71" s="51"/>
      <c r="Z71" s="50"/>
      <c r="AA71" s="51"/>
      <c r="AB71" s="50"/>
      <c r="AC71" s="51"/>
      <c r="AD71" s="50"/>
      <c r="AE71" s="51"/>
    </row>
    <row r="72" spans="2:31" ht="12.75" thickBot="1" x14ac:dyDescent="0.25">
      <c r="B72" s="42"/>
      <c r="C72" s="43"/>
      <c r="D72" s="44"/>
      <c r="E72" s="44"/>
      <c r="F72" s="45"/>
      <c r="G72" s="45"/>
      <c r="H72" s="46"/>
      <c r="I72" s="46"/>
      <c r="J72" s="46"/>
      <c r="K72" s="47"/>
      <c r="L72" s="48"/>
      <c r="M72" s="48"/>
      <c r="N72" s="49"/>
      <c r="O72" s="48"/>
      <c r="P72" s="50"/>
      <c r="Q72" s="51"/>
      <c r="R72" s="50"/>
      <c r="S72" s="51"/>
      <c r="T72" s="50"/>
      <c r="U72" s="51"/>
      <c r="V72" s="50"/>
      <c r="W72" s="51"/>
      <c r="X72" s="50"/>
      <c r="Y72" s="51"/>
      <c r="Z72" s="50"/>
      <c r="AA72" s="51"/>
      <c r="AB72" s="50"/>
      <c r="AC72" s="51"/>
      <c r="AD72" s="50"/>
      <c r="AE72" s="51"/>
    </row>
    <row r="73" spans="2:31" ht="12.75" thickBot="1" x14ac:dyDescent="0.25">
      <c r="B73" s="42"/>
      <c r="C73" s="43"/>
      <c r="D73" s="44"/>
      <c r="E73" s="44"/>
      <c r="F73" s="45"/>
      <c r="G73" s="45"/>
      <c r="H73" s="46"/>
      <c r="I73" s="46"/>
      <c r="J73" s="46"/>
      <c r="K73" s="47"/>
      <c r="L73" s="48"/>
      <c r="M73" s="48"/>
      <c r="N73" s="49"/>
      <c r="O73" s="48"/>
      <c r="P73" s="50"/>
      <c r="Q73" s="51"/>
      <c r="R73" s="50"/>
      <c r="S73" s="51"/>
      <c r="T73" s="50"/>
      <c r="U73" s="51"/>
      <c r="V73" s="50"/>
      <c r="W73" s="51"/>
      <c r="X73" s="50"/>
      <c r="Y73" s="51"/>
      <c r="Z73" s="50"/>
      <c r="AA73" s="51"/>
      <c r="AB73" s="50"/>
      <c r="AC73" s="51"/>
      <c r="AD73" s="50"/>
      <c r="AE73" s="51"/>
    </row>
    <row r="74" spans="2:31" ht="12.75" thickBot="1" x14ac:dyDescent="0.25">
      <c r="B74" s="42"/>
      <c r="C74" s="43"/>
      <c r="D74" s="44"/>
      <c r="E74" s="44"/>
      <c r="F74" s="45"/>
      <c r="G74" s="45"/>
      <c r="H74" s="46"/>
      <c r="I74" s="46"/>
      <c r="J74" s="46"/>
      <c r="K74" s="47"/>
      <c r="L74" s="48"/>
      <c r="M74" s="48"/>
      <c r="N74" s="49"/>
      <c r="O74" s="48"/>
      <c r="P74" s="50"/>
      <c r="Q74" s="51"/>
      <c r="R74" s="50"/>
      <c r="S74" s="51"/>
      <c r="T74" s="50"/>
      <c r="U74" s="51"/>
      <c r="V74" s="50"/>
      <c r="W74" s="51"/>
      <c r="X74" s="50"/>
      <c r="Y74" s="51"/>
      <c r="Z74" s="50"/>
      <c r="AA74" s="51"/>
      <c r="AB74" s="50"/>
      <c r="AC74" s="51"/>
      <c r="AD74" s="50"/>
      <c r="AE74" s="51"/>
    </row>
    <row r="75" spans="2:31" ht="12.75" thickBot="1" x14ac:dyDescent="0.25">
      <c r="C75" s="71"/>
      <c r="D75" s="53"/>
      <c r="E75" s="53"/>
      <c r="F75" s="54"/>
      <c r="G75" s="54"/>
      <c r="H75" s="55"/>
      <c r="I75" s="55"/>
      <c r="J75" s="55"/>
      <c r="K75" s="56"/>
      <c r="L75" s="48"/>
      <c r="M75" s="48"/>
      <c r="N75" s="49"/>
      <c r="O75" s="48"/>
      <c r="P75" s="50"/>
      <c r="Q75" s="51"/>
      <c r="R75" s="50"/>
      <c r="S75" s="51"/>
      <c r="T75" s="50"/>
      <c r="U75" s="51"/>
      <c r="V75" s="50"/>
      <c r="W75" s="51"/>
      <c r="X75" s="50"/>
      <c r="Y75" s="51"/>
      <c r="Z75" s="50"/>
      <c r="AA75" s="51"/>
      <c r="AB75" s="50"/>
      <c r="AC75" s="51"/>
      <c r="AD75" s="50"/>
      <c r="AE75" s="51"/>
    </row>
    <row r="76" spans="2:31" ht="12.75" thickBot="1" x14ac:dyDescent="0.25">
      <c r="B76" s="42"/>
      <c r="C76" s="43"/>
      <c r="D76" s="44"/>
      <c r="E76" s="44"/>
      <c r="F76" s="45"/>
      <c r="G76" s="45"/>
      <c r="H76" s="46"/>
      <c r="I76" s="46"/>
      <c r="J76" s="46"/>
      <c r="K76" s="47"/>
      <c r="L76" s="48"/>
      <c r="M76" s="48"/>
      <c r="N76" s="49"/>
      <c r="O76" s="48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</row>
    <row r="77" spans="2:31" ht="12.75" thickBot="1" x14ac:dyDescent="0.25">
      <c r="B77" s="42"/>
      <c r="C77" s="43"/>
      <c r="D77" s="44"/>
      <c r="E77" s="44"/>
      <c r="F77" s="45"/>
      <c r="G77" s="45"/>
      <c r="H77" s="46"/>
      <c r="I77" s="46"/>
      <c r="J77" s="46"/>
      <c r="K77" s="47"/>
      <c r="L77" s="48"/>
      <c r="M77" s="48"/>
      <c r="N77" s="49"/>
      <c r="O77" s="48"/>
      <c r="P77" s="50"/>
      <c r="Q77" s="51"/>
      <c r="R77" s="50"/>
      <c r="S77" s="51"/>
      <c r="T77" s="50"/>
      <c r="U77" s="51"/>
      <c r="V77" s="50"/>
      <c r="W77" s="51"/>
      <c r="X77" s="50"/>
      <c r="Y77" s="51"/>
      <c r="Z77" s="50"/>
      <c r="AA77" s="51"/>
      <c r="AB77" s="50"/>
      <c r="AC77" s="51"/>
      <c r="AD77" s="50"/>
      <c r="AE77" s="51"/>
    </row>
    <row r="78" spans="2:31" ht="12.75" thickBot="1" x14ac:dyDescent="0.25">
      <c r="B78" s="42"/>
      <c r="C78" s="43"/>
      <c r="D78" s="44"/>
      <c r="E78" s="44"/>
      <c r="F78" s="45"/>
      <c r="G78" s="45"/>
      <c r="H78" s="46"/>
      <c r="I78" s="46"/>
      <c r="J78" s="46"/>
      <c r="K78" s="47"/>
      <c r="L78" s="48"/>
      <c r="M78" s="48"/>
      <c r="N78" s="49"/>
      <c r="O78" s="48"/>
      <c r="P78" s="50"/>
      <c r="Q78" s="51"/>
      <c r="R78" s="50"/>
      <c r="S78" s="51"/>
      <c r="T78" s="50"/>
      <c r="U78" s="51"/>
      <c r="V78" s="50"/>
      <c r="W78" s="51"/>
      <c r="X78" s="50"/>
      <c r="Y78" s="51"/>
      <c r="Z78" s="50"/>
      <c r="AA78" s="51"/>
      <c r="AB78" s="50"/>
      <c r="AC78" s="51"/>
      <c r="AD78" s="50"/>
      <c r="AE78" s="51"/>
    </row>
    <row r="79" spans="2:31" ht="12.75" thickBot="1" x14ac:dyDescent="0.25">
      <c r="B79" s="42"/>
      <c r="C79" s="43"/>
      <c r="D79" s="44"/>
      <c r="E79" s="44"/>
      <c r="F79" s="45"/>
      <c r="G79" s="45"/>
      <c r="H79" s="46"/>
      <c r="I79" s="46"/>
      <c r="J79" s="46"/>
      <c r="K79" s="47"/>
      <c r="L79" s="48"/>
      <c r="M79" s="48"/>
      <c r="N79" s="49"/>
      <c r="O79" s="48"/>
      <c r="P79" s="50"/>
      <c r="Q79" s="51"/>
      <c r="R79" s="50"/>
      <c r="S79" s="51"/>
      <c r="T79" s="50"/>
      <c r="U79" s="51"/>
      <c r="V79" s="50"/>
      <c r="W79" s="51"/>
      <c r="X79" s="50"/>
      <c r="Y79" s="51"/>
      <c r="Z79" s="50"/>
      <c r="AA79" s="51"/>
      <c r="AB79" s="50"/>
      <c r="AC79" s="51"/>
      <c r="AD79" s="50"/>
      <c r="AE79" s="51"/>
    </row>
    <row r="80" spans="2:31" ht="12.75" thickBot="1" x14ac:dyDescent="0.25">
      <c r="B80" s="57"/>
      <c r="C80" s="52"/>
      <c r="D80" s="53"/>
      <c r="E80" s="53"/>
      <c r="F80" s="54"/>
      <c r="G80" s="54"/>
      <c r="H80" s="55"/>
      <c r="I80" s="55"/>
      <c r="J80" s="55"/>
      <c r="K80" s="56"/>
      <c r="L80" s="48"/>
      <c r="M80" s="48"/>
      <c r="N80" s="49"/>
      <c r="O80" s="48"/>
      <c r="P80" s="50"/>
      <c r="Q80" s="51"/>
      <c r="R80" s="50"/>
      <c r="S80" s="51"/>
      <c r="T80" s="50"/>
      <c r="U80" s="51"/>
      <c r="V80" s="50"/>
      <c r="W80" s="51"/>
      <c r="X80" s="50"/>
      <c r="Y80" s="51"/>
      <c r="Z80" s="50"/>
      <c r="AA80" s="51"/>
      <c r="AB80" s="50"/>
      <c r="AC80" s="51"/>
      <c r="AD80" s="50"/>
      <c r="AE80" s="51"/>
    </row>
    <row r="81" spans="2:31" ht="12.75" thickBot="1" x14ac:dyDescent="0.25">
      <c r="B81" s="42"/>
      <c r="C81" s="43"/>
      <c r="D81" s="44"/>
      <c r="E81" s="44"/>
      <c r="F81" s="45"/>
      <c r="G81" s="45"/>
      <c r="H81" s="46"/>
      <c r="I81" s="46"/>
      <c r="J81" s="46"/>
      <c r="K81" s="47"/>
      <c r="L81" s="48"/>
      <c r="M81" s="48"/>
      <c r="N81" s="49"/>
      <c r="O81" s="48"/>
      <c r="P81" s="50"/>
      <c r="Q81" s="51"/>
      <c r="R81" s="50"/>
      <c r="S81" s="51"/>
      <c r="T81" s="50"/>
      <c r="U81" s="51"/>
      <c r="V81" s="50"/>
      <c r="W81" s="51"/>
      <c r="X81" s="50"/>
      <c r="Y81" s="51"/>
      <c r="Z81" s="50"/>
      <c r="AA81" s="51"/>
      <c r="AB81" s="50"/>
      <c r="AC81" s="51"/>
      <c r="AD81" s="50"/>
      <c r="AE81" s="51"/>
    </row>
    <row r="82" spans="2:31" ht="12.75" thickBot="1" x14ac:dyDescent="0.25">
      <c r="C82" s="71"/>
      <c r="D82" s="53"/>
      <c r="E82" s="53"/>
      <c r="F82" s="54"/>
      <c r="G82" s="54"/>
      <c r="H82" s="55"/>
      <c r="I82" s="55"/>
      <c r="J82" s="55"/>
      <c r="K82" s="56"/>
      <c r="L82" s="48"/>
      <c r="M82" s="48"/>
      <c r="N82" s="49"/>
      <c r="O82" s="48"/>
      <c r="P82" s="50"/>
      <c r="Q82" s="51"/>
      <c r="R82" s="50"/>
      <c r="S82" s="51"/>
      <c r="T82" s="50"/>
      <c r="U82" s="51"/>
      <c r="V82" s="50"/>
      <c r="W82" s="51"/>
      <c r="X82" s="50"/>
      <c r="Y82" s="51"/>
      <c r="Z82" s="50"/>
      <c r="AA82" s="51"/>
      <c r="AB82" s="50"/>
      <c r="AC82" s="51"/>
      <c r="AD82" s="50"/>
      <c r="AE82" s="51"/>
    </row>
    <row r="83" spans="2:31" ht="12.75" thickBot="1" x14ac:dyDescent="0.25">
      <c r="B83" s="42"/>
      <c r="C83" s="43"/>
      <c r="D83" s="44"/>
      <c r="E83" s="44"/>
      <c r="F83" s="45"/>
      <c r="G83" s="45"/>
      <c r="H83" s="46"/>
      <c r="I83" s="46"/>
      <c r="J83" s="46"/>
      <c r="K83" s="47"/>
      <c r="L83" s="48"/>
      <c r="M83" s="48"/>
      <c r="N83" s="49"/>
      <c r="O83" s="48"/>
      <c r="P83" s="50"/>
      <c r="Q83" s="51"/>
      <c r="R83" s="50"/>
      <c r="S83" s="51"/>
      <c r="T83" s="50"/>
      <c r="U83" s="51"/>
      <c r="V83" s="50"/>
      <c r="W83" s="51"/>
      <c r="X83" s="50"/>
      <c r="Y83" s="51"/>
      <c r="Z83" s="50"/>
      <c r="AA83" s="51"/>
      <c r="AB83" s="50"/>
      <c r="AC83" s="51"/>
      <c r="AD83" s="50"/>
      <c r="AE83" s="51"/>
    </row>
    <row r="84" spans="2:31" ht="12.75" thickBot="1" x14ac:dyDescent="0.25">
      <c r="C84" s="71"/>
      <c r="D84" s="53"/>
      <c r="E84" s="53"/>
      <c r="F84" s="54"/>
      <c r="G84" s="54"/>
      <c r="H84" s="55"/>
      <c r="I84" s="55"/>
      <c r="J84" s="55"/>
      <c r="K84" s="56"/>
      <c r="L84" s="48"/>
      <c r="M84" s="48"/>
      <c r="N84" s="49"/>
      <c r="O84" s="48"/>
      <c r="P84" s="50"/>
      <c r="Q84" s="51"/>
      <c r="R84" s="50"/>
      <c r="S84" s="51"/>
      <c r="T84" s="50"/>
      <c r="U84" s="51"/>
      <c r="V84" s="50"/>
      <c r="W84" s="51"/>
      <c r="X84" s="50"/>
      <c r="Y84" s="51"/>
      <c r="Z84" s="50"/>
      <c r="AA84" s="51"/>
      <c r="AB84" s="50"/>
      <c r="AC84" s="51"/>
      <c r="AD84" s="50"/>
      <c r="AE84" s="51"/>
    </row>
    <row r="85" spans="2:31" ht="12.75" thickBot="1" x14ac:dyDescent="0.25">
      <c r="B85" s="57"/>
      <c r="C85" s="52"/>
      <c r="D85" s="53"/>
      <c r="E85" s="53"/>
      <c r="F85" s="54"/>
      <c r="G85" s="54"/>
      <c r="H85" s="55"/>
      <c r="I85" s="55"/>
      <c r="J85" s="55"/>
      <c r="K85" s="56"/>
      <c r="L85" s="48"/>
      <c r="M85" s="48"/>
      <c r="N85" s="49"/>
      <c r="O85" s="48"/>
      <c r="P85" s="50"/>
      <c r="Q85" s="51"/>
      <c r="R85" s="50"/>
      <c r="S85" s="51"/>
      <c r="T85" s="50"/>
      <c r="U85" s="51"/>
      <c r="V85" s="50"/>
      <c r="W85" s="51"/>
      <c r="X85" s="50"/>
      <c r="Y85" s="51"/>
      <c r="Z85" s="50"/>
      <c r="AA85" s="51"/>
      <c r="AB85" s="50"/>
      <c r="AC85" s="51"/>
      <c r="AD85" s="50"/>
      <c r="AE85" s="51"/>
    </row>
    <row r="86" spans="2:31" ht="12.75" thickBot="1" x14ac:dyDescent="0.25">
      <c r="B86" s="42"/>
      <c r="C86" s="43"/>
      <c r="D86" s="44"/>
      <c r="E86" s="44"/>
      <c r="F86" s="45"/>
      <c r="G86" s="45"/>
      <c r="H86" s="46"/>
      <c r="I86" s="46"/>
      <c r="J86" s="46"/>
      <c r="K86" s="47"/>
      <c r="L86" s="48"/>
      <c r="M86" s="48"/>
      <c r="N86" s="49"/>
      <c r="O86" s="48"/>
      <c r="P86" s="50"/>
      <c r="Q86" s="51"/>
      <c r="R86" s="50"/>
      <c r="S86" s="51"/>
      <c r="T86" s="50"/>
      <c r="U86" s="51"/>
      <c r="V86" s="50"/>
      <c r="W86" s="51"/>
      <c r="X86" s="50"/>
      <c r="Y86" s="51"/>
      <c r="Z86" s="50"/>
      <c r="AA86" s="51"/>
      <c r="AB86" s="50"/>
      <c r="AC86" s="51"/>
      <c r="AD86" s="50"/>
      <c r="AE86" s="51"/>
    </row>
    <row r="87" spans="2:31" ht="12.75" thickBot="1" x14ac:dyDescent="0.25">
      <c r="C87" s="71"/>
      <c r="D87" s="53"/>
      <c r="E87" s="53"/>
      <c r="F87" s="54"/>
      <c r="G87" s="54"/>
      <c r="H87" s="55"/>
      <c r="I87" s="55"/>
      <c r="J87" s="55"/>
      <c r="K87" s="56"/>
      <c r="L87" s="48"/>
      <c r="M87" s="48"/>
      <c r="N87" s="49"/>
      <c r="O87" s="48"/>
      <c r="P87" s="50"/>
      <c r="Q87" s="51"/>
      <c r="R87" s="50"/>
      <c r="S87" s="51"/>
      <c r="T87" s="50"/>
      <c r="U87" s="51"/>
      <c r="V87" s="50"/>
      <c r="W87" s="51"/>
      <c r="X87" s="50"/>
      <c r="Y87" s="51"/>
      <c r="Z87" s="50"/>
      <c r="AA87" s="51"/>
      <c r="AB87" s="50"/>
      <c r="AC87" s="51"/>
      <c r="AD87" s="50"/>
      <c r="AE87" s="51"/>
    </row>
    <row r="88" spans="2:31" ht="12.75" thickBot="1" x14ac:dyDescent="0.25">
      <c r="C88" s="71"/>
      <c r="D88" s="53"/>
      <c r="E88" s="53"/>
      <c r="F88" s="54"/>
      <c r="G88" s="54"/>
      <c r="H88" s="55"/>
      <c r="I88" s="55"/>
      <c r="J88" s="55"/>
      <c r="K88" s="56"/>
      <c r="L88" s="48"/>
      <c r="M88" s="48"/>
      <c r="N88" s="49"/>
      <c r="O88" s="48"/>
      <c r="P88" s="50"/>
      <c r="Q88" s="51"/>
      <c r="R88" s="50"/>
      <c r="S88" s="51"/>
      <c r="T88" s="50"/>
      <c r="U88" s="51"/>
      <c r="V88" s="50"/>
      <c r="W88" s="51"/>
      <c r="X88" s="50"/>
      <c r="Y88" s="51"/>
      <c r="Z88" s="50"/>
      <c r="AA88" s="51"/>
      <c r="AB88" s="50"/>
      <c r="AC88" s="51"/>
      <c r="AD88" s="50"/>
      <c r="AE88" s="51"/>
    </row>
    <row r="89" spans="2:31" ht="12.75" thickBot="1" x14ac:dyDescent="0.25">
      <c r="B89" s="57"/>
      <c r="C89" s="52"/>
      <c r="D89" s="53"/>
      <c r="E89" s="53"/>
      <c r="F89" s="54"/>
      <c r="G89" s="54"/>
      <c r="H89" s="55"/>
      <c r="I89" s="55"/>
      <c r="J89" s="55"/>
      <c r="K89" s="56"/>
      <c r="L89" s="48"/>
      <c r="M89" s="48"/>
      <c r="N89" s="49"/>
      <c r="O89" s="48"/>
      <c r="P89" s="50"/>
      <c r="Q89" s="51"/>
      <c r="R89" s="50"/>
      <c r="S89" s="51"/>
      <c r="T89" s="50"/>
      <c r="U89" s="51"/>
      <c r="V89" s="50"/>
      <c r="W89" s="51"/>
      <c r="X89" s="50"/>
      <c r="Y89" s="51"/>
      <c r="Z89" s="50"/>
      <c r="AA89" s="51"/>
      <c r="AB89" s="50"/>
      <c r="AC89" s="51"/>
      <c r="AD89" s="50"/>
      <c r="AE89" s="51"/>
    </row>
    <row r="90" spans="2:31" ht="12.75" thickBot="1" x14ac:dyDescent="0.25">
      <c r="B90" s="57"/>
      <c r="C90" s="52"/>
      <c r="D90" s="53"/>
      <c r="E90" s="53"/>
      <c r="F90" s="54"/>
      <c r="G90" s="54"/>
      <c r="H90" s="55"/>
      <c r="I90" s="55"/>
      <c r="J90" s="55"/>
      <c r="K90" s="56"/>
      <c r="L90" s="48"/>
      <c r="M90" s="48"/>
      <c r="N90" s="49"/>
      <c r="O90" s="48"/>
      <c r="P90" s="50"/>
      <c r="Q90" s="51"/>
      <c r="R90" s="50"/>
      <c r="S90" s="51"/>
      <c r="T90" s="50"/>
      <c r="U90" s="51"/>
      <c r="V90" s="50"/>
      <c r="W90" s="51"/>
      <c r="X90" s="50"/>
      <c r="Y90" s="51"/>
      <c r="Z90" s="50"/>
      <c r="AA90" s="51"/>
      <c r="AB90" s="50"/>
      <c r="AC90" s="51"/>
      <c r="AD90" s="50"/>
      <c r="AE90" s="51"/>
    </row>
    <row r="91" spans="2:31" ht="12.75" thickBot="1" x14ac:dyDescent="0.25">
      <c r="B91" s="57"/>
      <c r="C91" s="52"/>
      <c r="D91" s="53"/>
      <c r="E91" s="53"/>
      <c r="F91" s="54"/>
      <c r="G91" s="54"/>
      <c r="H91" s="55"/>
      <c r="I91" s="55"/>
      <c r="J91" s="55"/>
      <c r="K91" s="56"/>
      <c r="L91" s="48"/>
      <c r="M91" s="48"/>
      <c r="N91" s="49"/>
      <c r="O91" s="48"/>
      <c r="P91" s="50"/>
      <c r="Q91" s="51"/>
      <c r="R91" s="50"/>
      <c r="S91" s="51"/>
      <c r="T91" s="50"/>
      <c r="U91" s="51"/>
      <c r="V91" s="50"/>
      <c r="W91" s="51"/>
      <c r="X91" s="50"/>
      <c r="Y91" s="51"/>
      <c r="Z91" s="50"/>
      <c r="AA91" s="51"/>
      <c r="AB91" s="50"/>
      <c r="AC91" s="51"/>
      <c r="AD91" s="50"/>
      <c r="AE91" s="51"/>
    </row>
    <row r="92" spans="2:31" ht="12.75" thickBot="1" x14ac:dyDescent="0.25">
      <c r="B92" s="42"/>
      <c r="C92" s="52"/>
      <c r="D92" s="44"/>
      <c r="E92" s="44"/>
      <c r="F92" s="45"/>
      <c r="G92" s="45"/>
      <c r="H92" s="46"/>
      <c r="I92" s="46"/>
      <c r="J92" s="46"/>
      <c r="K92" s="56"/>
      <c r="L92" s="48"/>
      <c r="M92" s="48"/>
      <c r="N92" s="49"/>
      <c r="O92" s="48"/>
      <c r="P92" s="50"/>
      <c r="Q92" s="51"/>
      <c r="R92" s="50"/>
      <c r="S92" s="51"/>
      <c r="T92" s="50"/>
      <c r="U92" s="51"/>
      <c r="V92" s="50"/>
      <c r="W92" s="51"/>
      <c r="X92" s="50"/>
      <c r="Y92" s="51"/>
      <c r="Z92" s="50"/>
      <c r="AA92" s="51"/>
      <c r="AB92" s="50"/>
      <c r="AC92" s="51"/>
      <c r="AD92" s="50"/>
      <c r="AE92" s="51"/>
    </row>
    <row r="93" spans="2:31" ht="12.75" thickBot="1" x14ac:dyDescent="0.25">
      <c r="B93" s="42"/>
      <c r="C93" s="52"/>
      <c r="D93" s="44"/>
      <c r="E93" s="44"/>
      <c r="F93" s="45"/>
      <c r="G93" s="45"/>
      <c r="H93" s="46"/>
      <c r="I93" s="46"/>
      <c r="J93" s="46"/>
      <c r="K93" s="56"/>
      <c r="L93" s="48"/>
      <c r="M93" s="48"/>
      <c r="N93" s="49"/>
      <c r="O93" s="48"/>
      <c r="P93" s="50"/>
      <c r="Q93" s="51"/>
      <c r="R93" s="50"/>
      <c r="S93" s="51"/>
      <c r="T93" s="50"/>
      <c r="U93" s="51"/>
      <c r="V93" s="50"/>
      <c r="W93" s="51"/>
      <c r="X93" s="50"/>
      <c r="Y93" s="51"/>
      <c r="Z93" s="50"/>
      <c r="AA93" s="51"/>
      <c r="AB93" s="50"/>
      <c r="AC93" s="51"/>
      <c r="AD93" s="50"/>
      <c r="AE93" s="51"/>
    </row>
    <row r="94" spans="2:31" ht="12.75" thickBot="1" x14ac:dyDescent="0.25">
      <c r="B94" s="42"/>
      <c r="C94" s="43"/>
      <c r="D94" s="44"/>
      <c r="E94" s="44"/>
      <c r="F94" s="45"/>
      <c r="G94" s="45"/>
      <c r="H94" s="46"/>
      <c r="I94" s="46"/>
      <c r="J94" s="46"/>
      <c r="K94" s="47"/>
      <c r="L94" s="48"/>
      <c r="M94" s="48"/>
      <c r="N94" s="49"/>
      <c r="O94" s="48"/>
      <c r="P94" s="50"/>
      <c r="Q94" s="51"/>
      <c r="R94" s="50"/>
      <c r="S94" s="51"/>
      <c r="T94" s="50"/>
      <c r="U94" s="51"/>
      <c r="V94" s="50"/>
      <c r="W94" s="51"/>
      <c r="X94" s="50"/>
      <c r="Y94" s="51"/>
      <c r="Z94" s="50"/>
      <c r="AA94" s="51"/>
      <c r="AB94" s="50"/>
      <c r="AC94" s="51"/>
      <c r="AD94" s="50"/>
      <c r="AE94" s="51"/>
    </row>
    <row r="95" spans="2:31" ht="12.75" thickBot="1" x14ac:dyDescent="0.25">
      <c r="B95" s="57"/>
      <c r="C95" s="52"/>
      <c r="D95" s="53"/>
      <c r="E95" s="53"/>
      <c r="F95" s="54"/>
      <c r="G95" s="54"/>
      <c r="H95" s="55"/>
      <c r="I95" s="55"/>
      <c r="J95" s="55"/>
      <c r="K95" s="56"/>
      <c r="L95" s="48"/>
      <c r="M95" s="48"/>
      <c r="N95" s="49"/>
      <c r="O95" s="48"/>
      <c r="P95" s="50"/>
      <c r="Q95" s="51"/>
      <c r="R95" s="50"/>
      <c r="S95" s="51"/>
      <c r="T95" s="50"/>
      <c r="U95" s="51"/>
      <c r="V95" s="50"/>
      <c r="W95" s="51"/>
      <c r="X95" s="50"/>
      <c r="Y95" s="51"/>
      <c r="Z95" s="50"/>
      <c r="AA95" s="51"/>
      <c r="AB95" s="50"/>
      <c r="AC95" s="51"/>
      <c r="AD95" s="50"/>
      <c r="AE95" s="51"/>
    </row>
    <row r="96" spans="2:31" ht="12.75" thickBot="1" x14ac:dyDescent="0.25">
      <c r="B96" s="57"/>
      <c r="C96" s="52"/>
      <c r="D96" s="53"/>
      <c r="E96" s="53"/>
      <c r="F96" s="54"/>
      <c r="G96" s="54"/>
      <c r="H96" s="55"/>
      <c r="I96" s="55"/>
      <c r="J96" s="55"/>
      <c r="K96" s="56"/>
      <c r="L96" s="48"/>
      <c r="M96" s="48"/>
      <c r="N96" s="49"/>
      <c r="O96" s="48"/>
      <c r="P96" s="50"/>
      <c r="Q96" s="51"/>
      <c r="R96" s="50"/>
      <c r="S96" s="51"/>
      <c r="T96" s="50"/>
      <c r="U96" s="51"/>
      <c r="V96" s="50"/>
      <c r="W96" s="51"/>
      <c r="X96" s="50"/>
      <c r="Y96" s="51"/>
      <c r="Z96" s="50"/>
      <c r="AA96" s="51"/>
      <c r="AB96" s="50"/>
      <c r="AC96" s="51"/>
      <c r="AD96" s="50"/>
      <c r="AE96" s="51"/>
    </row>
    <row r="97" spans="2:31" ht="12.75" thickBot="1" x14ac:dyDescent="0.25">
      <c r="B97" s="42"/>
      <c r="C97" s="43"/>
      <c r="D97" s="44"/>
      <c r="E97" s="44"/>
      <c r="F97" s="45"/>
      <c r="G97" s="45"/>
      <c r="H97" s="46"/>
      <c r="I97" s="46"/>
      <c r="J97" s="46"/>
      <c r="K97" s="47"/>
      <c r="L97" s="48"/>
      <c r="M97" s="48"/>
      <c r="N97" s="49"/>
      <c r="O97" s="48"/>
      <c r="P97" s="50"/>
      <c r="Q97" s="51"/>
      <c r="R97" s="50"/>
      <c r="S97" s="51"/>
      <c r="T97" s="50"/>
      <c r="U97" s="51"/>
      <c r="V97" s="50"/>
      <c r="W97" s="51"/>
      <c r="X97" s="50"/>
      <c r="Y97" s="51"/>
      <c r="Z97" s="50"/>
      <c r="AA97" s="51"/>
      <c r="AB97" s="50"/>
      <c r="AC97" s="51"/>
      <c r="AD97" s="50"/>
      <c r="AE97" s="51"/>
    </row>
    <row r="98" spans="2:31" ht="12.75" thickBot="1" x14ac:dyDescent="0.25">
      <c r="B98" s="42"/>
      <c r="C98" s="43"/>
      <c r="D98" s="44"/>
      <c r="E98" s="44"/>
      <c r="F98" s="45"/>
      <c r="G98" s="45"/>
      <c r="H98" s="46"/>
      <c r="I98" s="46"/>
      <c r="J98" s="46"/>
      <c r="K98" s="47"/>
      <c r="L98" s="48"/>
      <c r="M98" s="48"/>
      <c r="N98" s="49"/>
      <c r="O98" s="48"/>
      <c r="P98" s="50"/>
      <c r="Q98" s="51"/>
      <c r="R98" s="50"/>
      <c r="S98" s="51"/>
      <c r="T98" s="50"/>
      <c r="U98" s="51"/>
      <c r="V98" s="50"/>
      <c r="W98" s="51"/>
      <c r="X98" s="50"/>
      <c r="Y98" s="51"/>
      <c r="Z98" s="50"/>
      <c r="AA98" s="51"/>
      <c r="AB98" s="50"/>
      <c r="AC98" s="51"/>
      <c r="AD98" s="50"/>
      <c r="AE98" s="51"/>
    </row>
    <row r="99" spans="2:31" ht="12.75" thickBot="1" x14ac:dyDescent="0.25">
      <c r="B99" s="42"/>
      <c r="C99" s="43"/>
      <c r="D99" s="44"/>
      <c r="E99" s="44"/>
      <c r="F99" s="45"/>
      <c r="G99" s="45"/>
      <c r="H99" s="46"/>
      <c r="I99" s="46"/>
      <c r="J99" s="46"/>
      <c r="K99" s="47"/>
      <c r="L99" s="48"/>
      <c r="M99" s="48"/>
      <c r="N99" s="49"/>
      <c r="O99" s="48"/>
      <c r="P99" s="50"/>
      <c r="Q99" s="51"/>
      <c r="R99" s="50"/>
      <c r="S99" s="51"/>
      <c r="T99" s="50"/>
      <c r="U99" s="51"/>
      <c r="V99" s="50"/>
      <c r="W99" s="51"/>
      <c r="X99" s="50"/>
      <c r="Y99" s="51"/>
      <c r="Z99" s="50"/>
      <c r="AA99" s="51"/>
      <c r="AB99" s="50"/>
      <c r="AC99" s="51"/>
      <c r="AD99" s="50"/>
      <c r="AE99" s="51"/>
    </row>
    <row r="100" spans="2:31" ht="12.75" thickBot="1" x14ac:dyDescent="0.25">
      <c r="B100" s="57"/>
      <c r="C100" s="52"/>
      <c r="D100" s="53"/>
      <c r="E100" s="53"/>
      <c r="F100" s="54"/>
      <c r="G100" s="54"/>
      <c r="H100" s="55"/>
      <c r="I100" s="55"/>
      <c r="J100" s="55"/>
      <c r="K100" s="56"/>
      <c r="L100" s="48"/>
      <c r="M100" s="48"/>
      <c r="N100" s="49"/>
      <c r="O100" s="48"/>
      <c r="P100" s="50"/>
      <c r="Q100" s="51"/>
      <c r="R100" s="50"/>
      <c r="S100" s="51"/>
      <c r="T100" s="50"/>
      <c r="U100" s="51"/>
      <c r="V100" s="50"/>
      <c r="W100" s="51"/>
      <c r="X100" s="50"/>
      <c r="Y100" s="51"/>
      <c r="Z100" s="50"/>
      <c r="AA100" s="51"/>
      <c r="AB100" s="50"/>
      <c r="AC100" s="51"/>
      <c r="AD100" s="50"/>
      <c r="AE100" s="51"/>
    </row>
    <row r="101" spans="2:31" ht="12.75" thickBot="1" x14ac:dyDescent="0.25">
      <c r="B101" s="57"/>
      <c r="C101" s="52"/>
      <c r="D101" s="53"/>
      <c r="E101" s="53"/>
      <c r="F101" s="54"/>
      <c r="G101" s="54"/>
      <c r="H101" s="55"/>
      <c r="I101" s="55"/>
      <c r="J101" s="55"/>
      <c r="K101" s="56"/>
      <c r="L101" s="48"/>
      <c r="M101" s="48"/>
      <c r="N101" s="49"/>
      <c r="O101" s="48"/>
      <c r="P101" s="50"/>
      <c r="Q101" s="51"/>
      <c r="R101" s="50"/>
      <c r="S101" s="51"/>
      <c r="T101" s="50"/>
      <c r="U101" s="51"/>
      <c r="V101" s="50"/>
      <c r="W101" s="51"/>
      <c r="X101" s="50"/>
      <c r="Y101" s="51"/>
      <c r="Z101" s="50"/>
      <c r="AA101" s="51"/>
      <c r="AB101" s="50"/>
      <c r="AC101" s="51"/>
      <c r="AD101" s="50"/>
      <c r="AE101" s="51"/>
    </row>
    <row r="102" spans="2:31" ht="12.75" thickBot="1" x14ac:dyDescent="0.25">
      <c r="B102" s="57"/>
      <c r="C102" s="52"/>
      <c r="D102" s="53"/>
      <c r="E102" s="53"/>
      <c r="F102" s="54"/>
      <c r="G102" s="54"/>
      <c r="H102" s="55"/>
      <c r="I102" s="55"/>
      <c r="J102" s="55"/>
      <c r="K102" s="56"/>
      <c r="L102" s="58"/>
      <c r="M102" s="58"/>
      <c r="N102" s="49"/>
      <c r="O102" s="58"/>
      <c r="P102" s="50"/>
      <c r="Q102" s="51"/>
      <c r="R102" s="50"/>
      <c r="S102" s="51"/>
      <c r="T102" s="50"/>
      <c r="U102" s="51"/>
      <c r="V102" s="50"/>
      <c r="W102" s="51"/>
      <c r="X102" s="50"/>
      <c r="Y102" s="51"/>
      <c r="Z102" s="50"/>
      <c r="AA102" s="51"/>
      <c r="AB102" s="50"/>
      <c r="AC102" s="51"/>
      <c r="AD102" s="50"/>
      <c r="AE102" s="51"/>
    </row>
    <row r="103" spans="2:31" ht="12.75" thickBot="1" x14ac:dyDescent="0.25">
      <c r="B103" s="57"/>
      <c r="C103" s="52"/>
      <c r="D103" s="53"/>
      <c r="E103" s="53"/>
      <c r="F103" s="54"/>
      <c r="G103" s="54"/>
      <c r="H103" s="55"/>
      <c r="I103" s="55"/>
      <c r="J103" s="55"/>
      <c r="K103" s="56"/>
      <c r="L103" s="58"/>
      <c r="M103" s="58"/>
      <c r="N103" s="49"/>
      <c r="O103" s="58"/>
      <c r="P103" s="50"/>
      <c r="Q103" s="51"/>
      <c r="R103" s="50"/>
      <c r="S103" s="51"/>
      <c r="T103" s="50"/>
      <c r="U103" s="51"/>
      <c r="V103" s="50"/>
      <c r="W103" s="51"/>
      <c r="X103" s="50"/>
      <c r="Y103" s="51"/>
      <c r="Z103" s="50"/>
      <c r="AA103" s="51"/>
      <c r="AB103" s="50"/>
      <c r="AC103" s="51"/>
      <c r="AD103" s="50"/>
      <c r="AE103" s="51"/>
    </row>
    <row r="104" spans="2:31" ht="12.75" thickBot="1" x14ac:dyDescent="0.25">
      <c r="B104" s="57"/>
      <c r="C104" s="52"/>
      <c r="D104" s="53"/>
      <c r="E104" s="53"/>
      <c r="F104" s="54"/>
      <c r="G104" s="54"/>
      <c r="H104" s="55"/>
      <c r="I104" s="55"/>
      <c r="J104" s="55"/>
      <c r="K104" s="56"/>
      <c r="L104" s="58"/>
      <c r="M104" s="58"/>
      <c r="N104" s="49"/>
      <c r="O104" s="58"/>
      <c r="P104" s="50"/>
      <c r="Q104" s="51"/>
      <c r="R104" s="50"/>
      <c r="S104" s="51"/>
      <c r="T104" s="50"/>
      <c r="U104" s="51"/>
      <c r="V104" s="50"/>
      <c r="W104" s="51"/>
      <c r="X104" s="50"/>
      <c r="Y104" s="51"/>
      <c r="Z104" s="50"/>
      <c r="AA104" s="51"/>
      <c r="AB104" s="50"/>
      <c r="AC104" s="51"/>
      <c r="AD104" s="50"/>
      <c r="AE104" s="51"/>
    </row>
    <row r="105" spans="2:31" ht="12.75" thickBot="1" x14ac:dyDescent="0.25">
      <c r="B105" s="57"/>
      <c r="C105" s="52"/>
      <c r="D105" s="53"/>
      <c r="E105" s="53"/>
      <c r="F105" s="54"/>
      <c r="G105" s="54"/>
      <c r="H105" s="55"/>
      <c r="I105" s="55"/>
      <c r="J105" s="55"/>
      <c r="K105" s="56"/>
      <c r="L105" s="58"/>
      <c r="M105" s="58"/>
      <c r="N105" s="49"/>
      <c r="O105" s="58"/>
      <c r="P105" s="50"/>
      <c r="Q105" s="51"/>
      <c r="R105" s="50"/>
      <c r="S105" s="51"/>
      <c r="T105" s="50"/>
      <c r="U105" s="51"/>
      <c r="V105" s="50"/>
      <c r="W105" s="51"/>
      <c r="X105" s="50"/>
      <c r="Y105" s="51"/>
      <c r="Z105" s="50"/>
      <c r="AA105" s="51"/>
      <c r="AB105" s="50"/>
      <c r="AC105" s="51"/>
      <c r="AD105" s="50"/>
      <c r="AE105" s="51"/>
    </row>
    <row r="106" spans="2:31" ht="12.75" thickBot="1" x14ac:dyDescent="0.25">
      <c r="B106" s="57"/>
      <c r="C106" s="52"/>
      <c r="D106" s="53"/>
      <c r="E106" s="53"/>
      <c r="F106" s="54"/>
      <c r="G106" s="54"/>
      <c r="H106" s="55"/>
      <c r="I106" s="55"/>
      <c r="J106" s="55"/>
      <c r="K106" s="56"/>
      <c r="L106" s="48"/>
      <c r="M106" s="48"/>
      <c r="N106" s="49"/>
      <c r="O106" s="48"/>
      <c r="P106" s="50"/>
      <c r="Q106" s="51"/>
      <c r="R106" s="50"/>
      <c r="S106" s="51"/>
      <c r="T106" s="50"/>
      <c r="U106" s="51"/>
      <c r="V106" s="50"/>
      <c r="W106" s="51"/>
      <c r="X106" s="50"/>
      <c r="Y106" s="51"/>
      <c r="Z106" s="50"/>
      <c r="AA106" s="51"/>
      <c r="AB106" s="50"/>
      <c r="AC106" s="51"/>
      <c r="AD106" s="50"/>
      <c r="AE106" s="51"/>
    </row>
    <row r="107" spans="2:31" ht="12.75" thickBot="1" x14ac:dyDescent="0.25">
      <c r="B107" s="42"/>
      <c r="C107" s="43"/>
      <c r="D107" s="44"/>
      <c r="E107" s="44"/>
      <c r="F107" s="45"/>
      <c r="G107" s="45"/>
      <c r="H107" s="46"/>
      <c r="I107" s="46"/>
      <c r="J107" s="46"/>
      <c r="K107" s="47"/>
      <c r="L107" s="48"/>
      <c r="M107" s="48"/>
      <c r="N107" s="49"/>
      <c r="O107" s="48"/>
      <c r="P107" s="50"/>
      <c r="Q107" s="51"/>
      <c r="R107" s="50"/>
      <c r="S107" s="51"/>
      <c r="T107" s="50"/>
      <c r="U107" s="51"/>
      <c r="V107" s="50"/>
      <c r="W107" s="51"/>
      <c r="X107" s="50"/>
      <c r="Y107" s="51"/>
      <c r="Z107" s="50"/>
      <c r="AA107" s="51"/>
      <c r="AB107" s="50"/>
      <c r="AC107" s="51"/>
      <c r="AD107" s="50"/>
      <c r="AE107" s="51"/>
    </row>
    <row r="108" spans="2:31" ht="12.75" thickBot="1" x14ac:dyDescent="0.25">
      <c r="B108" s="57"/>
      <c r="C108" s="52"/>
      <c r="D108" s="53"/>
      <c r="E108" s="53"/>
      <c r="F108" s="54"/>
      <c r="G108" s="54"/>
      <c r="H108" s="55"/>
      <c r="I108" s="55"/>
      <c r="J108" s="55"/>
      <c r="K108" s="56"/>
      <c r="L108" s="48"/>
      <c r="M108" s="48"/>
      <c r="N108" s="49"/>
      <c r="O108" s="48"/>
      <c r="P108" s="50"/>
      <c r="Q108" s="51"/>
      <c r="R108" s="50"/>
      <c r="S108" s="51"/>
      <c r="T108" s="50"/>
      <c r="U108" s="51"/>
      <c r="V108" s="50"/>
      <c r="W108" s="51"/>
      <c r="X108" s="50"/>
      <c r="Y108" s="51"/>
      <c r="Z108" s="50"/>
      <c r="AA108" s="51"/>
      <c r="AB108" s="50"/>
      <c r="AC108" s="51"/>
      <c r="AD108" s="50"/>
      <c r="AE108" s="51"/>
    </row>
    <row r="109" spans="2:31" ht="12.75" thickBot="1" x14ac:dyDescent="0.25">
      <c r="B109" s="57"/>
      <c r="C109" s="52"/>
      <c r="D109" s="53"/>
      <c r="E109" s="53"/>
      <c r="F109" s="54"/>
      <c r="G109" s="54"/>
      <c r="H109" s="55"/>
      <c r="I109" s="55"/>
      <c r="J109" s="55"/>
      <c r="K109" s="56"/>
      <c r="L109" s="58"/>
      <c r="M109" s="58"/>
      <c r="N109" s="49"/>
      <c r="O109" s="58"/>
      <c r="P109" s="50"/>
      <c r="Q109" s="51"/>
      <c r="R109" s="50"/>
      <c r="S109" s="51"/>
      <c r="T109" s="50"/>
      <c r="U109" s="51"/>
      <c r="V109" s="50"/>
      <c r="W109" s="51"/>
      <c r="X109" s="50"/>
      <c r="Y109" s="51"/>
      <c r="Z109" s="50"/>
      <c r="AA109" s="51"/>
      <c r="AB109" s="50"/>
      <c r="AC109" s="51"/>
      <c r="AD109" s="50"/>
      <c r="AE109" s="51"/>
    </row>
    <row r="110" spans="2:31" ht="12.75" thickBot="1" x14ac:dyDescent="0.25">
      <c r="B110" s="42"/>
      <c r="C110" s="43"/>
      <c r="D110" s="44"/>
      <c r="E110" s="44"/>
      <c r="F110" s="45"/>
      <c r="G110" s="45"/>
      <c r="H110" s="46"/>
      <c r="I110" s="46"/>
      <c r="J110" s="46"/>
      <c r="K110" s="47"/>
      <c r="L110" s="48"/>
      <c r="M110" s="48"/>
      <c r="N110" s="49"/>
      <c r="O110" s="48"/>
      <c r="P110" s="50"/>
      <c r="Q110" s="51"/>
      <c r="R110" s="50"/>
      <c r="S110" s="51"/>
      <c r="T110" s="50"/>
      <c r="U110" s="51"/>
      <c r="V110" s="50"/>
      <c r="W110" s="51"/>
      <c r="X110" s="50"/>
      <c r="Y110" s="51"/>
      <c r="Z110" s="50"/>
      <c r="AA110" s="51"/>
      <c r="AB110" s="50"/>
      <c r="AC110" s="51"/>
      <c r="AD110" s="50"/>
      <c r="AE110" s="51"/>
    </row>
    <row r="111" spans="2:31" ht="12.75" thickBot="1" x14ac:dyDescent="0.25">
      <c r="B111" s="42"/>
      <c r="C111" s="43"/>
      <c r="D111" s="44"/>
      <c r="E111" s="44"/>
      <c r="F111" s="45"/>
      <c r="G111" s="45"/>
      <c r="H111" s="46"/>
      <c r="I111" s="46"/>
      <c r="J111" s="46"/>
      <c r="K111" s="47"/>
      <c r="L111" s="48"/>
      <c r="M111" s="48"/>
      <c r="N111" s="49"/>
      <c r="O111" s="48"/>
      <c r="P111" s="50"/>
      <c r="Q111" s="51"/>
      <c r="R111" s="50"/>
      <c r="S111" s="51"/>
      <c r="T111" s="50"/>
      <c r="U111" s="51"/>
      <c r="V111" s="50"/>
      <c r="W111" s="51"/>
      <c r="X111" s="50"/>
      <c r="Y111" s="51"/>
      <c r="Z111" s="50"/>
      <c r="AA111" s="51"/>
      <c r="AB111" s="50"/>
      <c r="AC111" s="51"/>
      <c r="AD111" s="50"/>
      <c r="AE111" s="51"/>
    </row>
    <row r="112" spans="2:31" ht="12.75" thickBot="1" x14ac:dyDescent="0.25">
      <c r="B112" s="42"/>
      <c r="C112" s="43"/>
      <c r="D112" s="44"/>
      <c r="E112" s="44"/>
      <c r="F112" s="45"/>
      <c r="G112" s="45"/>
      <c r="H112" s="46"/>
      <c r="I112" s="46"/>
      <c r="J112" s="46"/>
      <c r="K112" s="47"/>
      <c r="L112" s="48"/>
      <c r="M112" s="48"/>
      <c r="N112" s="49"/>
      <c r="O112" s="48"/>
      <c r="P112" s="50"/>
      <c r="Q112" s="51"/>
      <c r="R112" s="50"/>
      <c r="S112" s="51"/>
      <c r="T112" s="50"/>
      <c r="U112" s="51"/>
      <c r="V112" s="50"/>
      <c r="W112" s="51"/>
      <c r="X112" s="50"/>
      <c r="Y112" s="51"/>
      <c r="Z112" s="50"/>
      <c r="AA112" s="51"/>
      <c r="AB112" s="50"/>
      <c r="AC112" s="51"/>
      <c r="AD112" s="50"/>
      <c r="AE112" s="51"/>
    </row>
    <row r="113" spans="2:31" ht="12.75" thickBot="1" x14ac:dyDescent="0.25">
      <c r="B113" s="57"/>
      <c r="C113" s="52"/>
      <c r="D113" s="53"/>
      <c r="E113" s="53"/>
      <c r="F113" s="54"/>
      <c r="G113" s="54"/>
      <c r="H113" s="55"/>
      <c r="I113" s="55"/>
      <c r="J113" s="55"/>
      <c r="K113" s="56"/>
      <c r="L113" s="48"/>
      <c r="M113" s="48"/>
      <c r="N113" s="49"/>
      <c r="O113" s="48"/>
      <c r="P113" s="50"/>
      <c r="Q113" s="51"/>
      <c r="R113" s="50"/>
      <c r="S113" s="51"/>
      <c r="T113" s="50"/>
      <c r="U113" s="51"/>
      <c r="V113" s="50"/>
      <c r="W113" s="51"/>
      <c r="X113" s="50"/>
      <c r="Y113" s="51"/>
      <c r="Z113" s="50"/>
      <c r="AA113" s="51"/>
      <c r="AB113" s="50"/>
      <c r="AC113" s="51"/>
      <c r="AD113" s="50"/>
      <c r="AE113" s="51"/>
    </row>
    <row r="114" spans="2:31" ht="12.75" thickBot="1" x14ac:dyDescent="0.25">
      <c r="C114" s="71"/>
      <c r="D114" s="53"/>
      <c r="E114" s="53"/>
      <c r="F114" s="54"/>
      <c r="G114" s="54"/>
      <c r="H114" s="55"/>
      <c r="I114" s="55"/>
      <c r="J114" s="55"/>
      <c r="K114" s="56"/>
      <c r="L114" s="48"/>
      <c r="M114" s="48"/>
      <c r="N114" s="49"/>
      <c r="O114" s="48"/>
      <c r="P114" s="50"/>
      <c r="Q114" s="51"/>
      <c r="R114" s="50"/>
      <c r="S114" s="51"/>
      <c r="T114" s="50"/>
      <c r="U114" s="51"/>
      <c r="V114" s="50"/>
      <c r="W114" s="51"/>
      <c r="X114" s="50"/>
      <c r="Y114" s="51"/>
      <c r="Z114" s="50"/>
      <c r="AA114" s="51"/>
      <c r="AB114" s="50"/>
      <c r="AC114" s="51"/>
      <c r="AD114" s="50"/>
      <c r="AE114" s="51"/>
    </row>
    <row r="115" spans="2:31" ht="12.75" thickBot="1" x14ac:dyDescent="0.25">
      <c r="C115" s="71"/>
      <c r="D115" s="53"/>
      <c r="E115" s="53"/>
      <c r="F115" s="54"/>
      <c r="G115" s="54"/>
      <c r="H115" s="55"/>
      <c r="I115" s="55"/>
      <c r="J115" s="55"/>
      <c r="K115" s="56"/>
      <c r="P115" s="50"/>
      <c r="Q115" s="51"/>
      <c r="R115" s="50"/>
      <c r="S115" s="51"/>
      <c r="T115" s="50"/>
      <c r="U115" s="51"/>
      <c r="V115" s="50"/>
      <c r="W115" s="51"/>
      <c r="X115" s="50"/>
      <c r="Y115" s="51"/>
      <c r="Z115" s="50"/>
      <c r="AA115" s="51"/>
      <c r="AB115" s="50"/>
      <c r="AC115" s="51"/>
      <c r="AD115" s="50"/>
      <c r="AE115" s="51"/>
    </row>
    <row r="116" spans="2:31" ht="12.75" thickBot="1" x14ac:dyDescent="0.25">
      <c r="C116" s="71"/>
      <c r="D116" s="53"/>
      <c r="E116" s="53"/>
      <c r="F116" s="54"/>
      <c r="G116" s="54"/>
      <c r="H116" s="55"/>
      <c r="I116" s="55"/>
      <c r="J116" s="55"/>
      <c r="K116" s="56"/>
      <c r="P116" s="50"/>
      <c r="Q116" s="51"/>
      <c r="R116" s="50"/>
      <c r="S116" s="51"/>
      <c r="T116" s="50"/>
      <c r="U116" s="51"/>
      <c r="V116" s="50"/>
      <c r="W116" s="51"/>
      <c r="X116" s="50"/>
      <c r="Y116" s="51"/>
      <c r="Z116" s="50"/>
      <c r="AA116" s="51"/>
      <c r="AB116" s="50"/>
      <c r="AC116" s="51"/>
      <c r="AD116" s="50"/>
      <c r="AE116" s="51"/>
    </row>
    <row r="117" spans="2:31" ht="12.75" thickBot="1" x14ac:dyDescent="0.25">
      <c r="C117" s="71"/>
      <c r="D117" s="53"/>
      <c r="E117" s="53"/>
      <c r="F117" s="54"/>
      <c r="G117" s="54"/>
      <c r="H117" s="55"/>
      <c r="I117" s="55"/>
      <c r="J117" s="55"/>
      <c r="K117" s="56"/>
      <c r="P117" s="50"/>
      <c r="Q117" s="51"/>
      <c r="R117" s="50"/>
      <c r="S117" s="51"/>
      <c r="T117" s="50"/>
      <c r="U117" s="51"/>
      <c r="V117" s="50"/>
      <c r="W117" s="51"/>
      <c r="X117" s="50"/>
      <c r="Y117" s="51"/>
      <c r="Z117" s="50"/>
      <c r="AA117" s="51"/>
      <c r="AB117" s="50"/>
      <c r="AC117" s="51"/>
      <c r="AD117" s="50"/>
      <c r="AE117" s="51"/>
    </row>
    <row r="118" spans="2:31" ht="12.75" thickBot="1" x14ac:dyDescent="0.25">
      <c r="C118" s="71"/>
      <c r="D118" s="53"/>
      <c r="E118" s="53"/>
      <c r="F118" s="54"/>
      <c r="G118" s="54"/>
      <c r="H118" s="55"/>
      <c r="I118" s="55"/>
      <c r="J118" s="55"/>
      <c r="K118" s="56"/>
      <c r="P118" s="50"/>
      <c r="Q118" s="51"/>
      <c r="R118" s="50"/>
      <c r="S118" s="51"/>
      <c r="T118" s="50"/>
      <c r="U118" s="51"/>
      <c r="V118" s="50"/>
      <c r="W118" s="51"/>
      <c r="X118" s="50"/>
      <c r="Y118" s="51"/>
      <c r="Z118" s="50"/>
      <c r="AA118" s="51"/>
      <c r="AB118" s="50"/>
      <c r="AC118" s="51"/>
      <c r="AD118" s="50"/>
      <c r="AE118" s="51"/>
    </row>
    <row r="119" spans="2:31" ht="12.75" thickBot="1" x14ac:dyDescent="0.25">
      <c r="D119" s="53"/>
      <c r="E119" s="53"/>
      <c r="F119" s="54"/>
      <c r="G119" s="54"/>
      <c r="H119" s="55"/>
      <c r="I119" s="55"/>
      <c r="J119" s="55"/>
      <c r="K119" s="56"/>
      <c r="P119" s="50"/>
      <c r="Q119" s="51"/>
      <c r="R119" s="50"/>
      <c r="S119" s="51"/>
      <c r="T119" s="50"/>
      <c r="U119" s="51"/>
      <c r="V119" s="50"/>
      <c r="W119" s="51"/>
      <c r="X119" s="50"/>
      <c r="Y119" s="51"/>
      <c r="Z119" s="50"/>
      <c r="AA119" s="51"/>
      <c r="AB119" s="50"/>
      <c r="AC119" s="51"/>
      <c r="AD119" s="50"/>
      <c r="AE119" s="51"/>
    </row>
    <row r="120" spans="2:31" ht="12.75" thickBot="1" x14ac:dyDescent="0.25">
      <c r="D120" s="53"/>
      <c r="E120" s="53"/>
      <c r="F120" s="54"/>
      <c r="G120" s="54"/>
      <c r="H120" s="55"/>
      <c r="I120" s="55"/>
      <c r="J120" s="55"/>
      <c r="K120" s="56"/>
      <c r="P120" s="50"/>
      <c r="Q120" s="51"/>
      <c r="R120" s="50"/>
      <c r="S120" s="51"/>
      <c r="T120" s="50"/>
      <c r="U120" s="51"/>
      <c r="V120" s="50"/>
      <c r="W120" s="51"/>
      <c r="X120" s="50"/>
      <c r="Y120" s="51"/>
      <c r="Z120" s="50"/>
      <c r="AA120" s="51"/>
      <c r="AB120" s="50"/>
      <c r="AC120" s="51"/>
      <c r="AD120" s="50"/>
      <c r="AE120" s="51"/>
    </row>
    <row r="121" spans="2:31" ht="12.75" thickBot="1" x14ac:dyDescent="0.25">
      <c r="D121" s="53"/>
      <c r="E121" s="53"/>
      <c r="F121" s="54"/>
      <c r="G121" s="54"/>
      <c r="H121" s="55"/>
      <c r="I121" s="55"/>
      <c r="J121" s="55"/>
      <c r="K121" s="56"/>
      <c r="P121" s="50"/>
      <c r="Q121" s="51"/>
      <c r="R121" s="50"/>
      <c r="S121" s="51"/>
      <c r="T121" s="50"/>
      <c r="U121" s="51"/>
      <c r="V121" s="50"/>
      <c r="W121" s="51"/>
      <c r="X121" s="50"/>
      <c r="Y121" s="51"/>
      <c r="Z121" s="50"/>
      <c r="AA121" s="51"/>
      <c r="AB121" s="50"/>
      <c r="AC121" s="51"/>
      <c r="AD121" s="50"/>
      <c r="AE121" s="51"/>
    </row>
    <row r="122" spans="2:31" ht="12.75" thickBot="1" x14ac:dyDescent="0.25">
      <c r="D122" s="53"/>
      <c r="E122" s="53"/>
      <c r="F122" s="54"/>
      <c r="G122" s="54"/>
      <c r="H122" s="55"/>
      <c r="I122" s="55"/>
      <c r="J122" s="55"/>
      <c r="K122" s="56"/>
      <c r="P122" s="50"/>
      <c r="Q122" s="51"/>
      <c r="R122" s="50"/>
      <c r="S122" s="51"/>
      <c r="T122" s="50"/>
      <c r="U122" s="51"/>
      <c r="V122" s="50"/>
      <c r="W122" s="51"/>
      <c r="X122" s="50"/>
      <c r="Y122" s="51"/>
      <c r="Z122" s="50"/>
      <c r="AA122" s="51"/>
      <c r="AB122" s="50"/>
      <c r="AC122" s="51"/>
      <c r="AD122" s="50"/>
      <c r="AE122" s="51"/>
    </row>
    <row r="123" spans="2:31" ht="12.75" thickBot="1" x14ac:dyDescent="0.25">
      <c r="D123" s="53"/>
      <c r="E123" s="53"/>
      <c r="F123" s="54"/>
      <c r="G123" s="54"/>
      <c r="H123" s="55"/>
      <c r="I123" s="55"/>
      <c r="J123" s="55"/>
      <c r="K123" s="56"/>
      <c r="P123" s="50"/>
      <c r="Q123" s="51"/>
      <c r="R123" s="50"/>
      <c r="S123" s="51"/>
      <c r="T123" s="50"/>
      <c r="U123" s="51"/>
      <c r="V123" s="50"/>
      <c r="W123" s="51"/>
      <c r="X123" s="50"/>
      <c r="Y123" s="51"/>
      <c r="Z123" s="50"/>
      <c r="AA123" s="51"/>
      <c r="AB123" s="50"/>
      <c r="AC123" s="51"/>
      <c r="AD123" s="50"/>
      <c r="AE123" s="51"/>
    </row>
    <row r="124" spans="2:31" ht="12.75" thickBot="1" x14ac:dyDescent="0.25">
      <c r="D124" s="53"/>
      <c r="E124" s="53"/>
      <c r="F124" s="54"/>
      <c r="G124" s="54"/>
      <c r="H124" s="55"/>
      <c r="I124" s="55"/>
      <c r="J124" s="55"/>
      <c r="K124" s="56"/>
      <c r="P124" s="50"/>
      <c r="Q124" s="51"/>
      <c r="R124" s="50"/>
      <c r="S124" s="51"/>
      <c r="T124" s="50"/>
      <c r="U124" s="51"/>
      <c r="V124" s="50"/>
      <c r="W124" s="51"/>
      <c r="X124" s="50"/>
      <c r="Y124" s="51"/>
      <c r="Z124" s="50"/>
      <c r="AA124" s="51"/>
      <c r="AB124" s="50"/>
      <c r="AC124" s="51"/>
      <c r="AD124" s="50"/>
      <c r="AE124" s="51"/>
    </row>
    <row r="125" spans="2:31" ht="12.75" thickBot="1" x14ac:dyDescent="0.25">
      <c r="D125" s="53"/>
      <c r="E125" s="53"/>
      <c r="F125" s="54"/>
      <c r="G125" s="54"/>
      <c r="H125" s="55"/>
      <c r="I125" s="55"/>
      <c r="J125" s="55"/>
      <c r="K125" s="56"/>
      <c r="P125" s="50"/>
      <c r="Q125" s="51"/>
      <c r="R125" s="50"/>
      <c r="S125" s="51"/>
      <c r="T125" s="50"/>
      <c r="U125" s="51"/>
      <c r="V125" s="50"/>
      <c r="W125" s="51"/>
      <c r="X125" s="50"/>
      <c r="Y125" s="51"/>
      <c r="Z125" s="50"/>
      <c r="AA125" s="51"/>
      <c r="AB125" s="50"/>
      <c r="AC125" s="51"/>
      <c r="AD125" s="50"/>
      <c r="AE125" s="51"/>
    </row>
    <row r="126" spans="2:31" ht="12.75" thickBot="1" x14ac:dyDescent="0.25">
      <c r="D126" s="53"/>
      <c r="E126" s="53"/>
      <c r="F126" s="54"/>
      <c r="G126" s="54"/>
      <c r="H126" s="55"/>
      <c r="I126" s="55"/>
      <c r="J126" s="55"/>
      <c r="K126" s="56"/>
      <c r="P126" s="50"/>
      <c r="Q126" s="51"/>
      <c r="R126" s="50"/>
      <c r="S126" s="51"/>
      <c r="T126" s="50"/>
      <c r="U126" s="51"/>
      <c r="V126" s="50"/>
      <c r="W126" s="51"/>
      <c r="X126" s="50"/>
      <c r="Y126" s="51"/>
      <c r="Z126" s="50"/>
      <c r="AA126" s="51"/>
      <c r="AB126" s="50"/>
      <c r="AC126" s="51"/>
      <c r="AD126" s="50"/>
      <c r="AE126" s="51"/>
    </row>
    <row r="127" spans="2:31" ht="12.75" thickBot="1" x14ac:dyDescent="0.25">
      <c r="D127" s="53"/>
      <c r="E127" s="53"/>
      <c r="F127" s="54"/>
      <c r="G127" s="54"/>
      <c r="H127" s="55"/>
      <c r="I127" s="55"/>
      <c r="J127" s="55"/>
      <c r="K127" s="56"/>
      <c r="P127" s="50"/>
      <c r="Q127" s="51"/>
      <c r="R127" s="50"/>
      <c r="S127" s="51"/>
      <c r="T127" s="50"/>
      <c r="U127" s="51"/>
      <c r="V127" s="50"/>
      <c r="W127" s="51"/>
      <c r="X127" s="50"/>
      <c r="Y127" s="51"/>
      <c r="Z127" s="50"/>
      <c r="AA127" s="51"/>
      <c r="AB127" s="50"/>
      <c r="AC127" s="51"/>
      <c r="AD127" s="50"/>
      <c r="AE127" s="51"/>
    </row>
    <row r="128" spans="2:31" ht="12.75" thickBot="1" x14ac:dyDescent="0.25">
      <c r="D128" s="53"/>
      <c r="E128" s="53"/>
      <c r="F128" s="54"/>
      <c r="G128" s="54"/>
      <c r="H128" s="55"/>
      <c r="I128" s="55"/>
      <c r="J128" s="55"/>
      <c r="K128" s="56"/>
      <c r="P128" s="50"/>
      <c r="Q128" s="51"/>
      <c r="R128" s="50"/>
      <c r="S128" s="51"/>
      <c r="T128" s="50"/>
      <c r="U128" s="51"/>
      <c r="V128" s="50"/>
      <c r="W128" s="51"/>
      <c r="X128" s="50"/>
      <c r="Y128" s="51"/>
      <c r="Z128" s="50"/>
      <c r="AA128" s="51"/>
      <c r="AB128" s="50"/>
      <c r="AC128" s="51"/>
      <c r="AD128" s="50"/>
      <c r="AE128" s="51"/>
    </row>
    <row r="129" spans="4:31" ht="12.75" thickBot="1" x14ac:dyDescent="0.25">
      <c r="D129" s="53"/>
      <c r="E129" s="53"/>
      <c r="F129" s="54"/>
      <c r="G129" s="54"/>
      <c r="H129" s="55"/>
      <c r="I129" s="55"/>
      <c r="J129" s="55"/>
      <c r="K129" s="56"/>
      <c r="P129" s="50"/>
      <c r="Q129" s="51"/>
      <c r="R129" s="50"/>
      <c r="S129" s="51"/>
      <c r="T129" s="50"/>
      <c r="U129" s="51"/>
      <c r="V129" s="50"/>
      <c r="W129" s="51"/>
      <c r="X129" s="50"/>
      <c r="Y129" s="51"/>
      <c r="Z129" s="50"/>
      <c r="AA129" s="51"/>
      <c r="AB129" s="50"/>
      <c r="AC129" s="51"/>
      <c r="AD129" s="50"/>
      <c r="AE129" s="51"/>
    </row>
    <row r="130" spans="4:31" ht="12.75" thickBot="1" x14ac:dyDescent="0.25">
      <c r="D130" s="53"/>
      <c r="E130" s="53"/>
      <c r="F130" s="54"/>
      <c r="G130" s="54"/>
      <c r="H130" s="55"/>
      <c r="I130" s="55"/>
      <c r="J130" s="55"/>
      <c r="K130" s="56"/>
      <c r="P130" s="50"/>
      <c r="Q130" s="51"/>
      <c r="R130" s="50"/>
      <c r="S130" s="51"/>
      <c r="T130" s="50"/>
      <c r="U130" s="51"/>
      <c r="V130" s="50"/>
      <c r="W130" s="51"/>
      <c r="X130" s="50"/>
      <c r="Y130" s="51"/>
      <c r="Z130" s="50"/>
      <c r="AA130" s="51"/>
      <c r="AB130" s="50"/>
      <c r="AC130" s="51"/>
      <c r="AD130" s="50"/>
      <c r="AE130" s="51"/>
    </row>
    <row r="131" spans="4:31" ht="12.75" thickBot="1" x14ac:dyDescent="0.25">
      <c r="D131" s="53"/>
      <c r="E131" s="53"/>
      <c r="F131" s="54"/>
      <c r="G131" s="54"/>
      <c r="H131" s="55"/>
      <c r="I131" s="55"/>
      <c r="J131" s="55"/>
      <c r="K131" s="56"/>
      <c r="P131" s="50"/>
      <c r="Q131" s="51"/>
      <c r="R131" s="50"/>
      <c r="S131" s="51"/>
      <c r="T131" s="50"/>
      <c r="U131" s="51"/>
      <c r="V131" s="50"/>
      <c r="W131" s="51"/>
      <c r="X131" s="50"/>
      <c r="Y131" s="51"/>
      <c r="Z131" s="50"/>
      <c r="AA131" s="51"/>
      <c r="AB131" s="50"/>
      <c r="AC131" s="51"/>
      <c r="AD131" s="50"/>
      <c r="AE131" s="51"/>
    </row>
    <row r="132" spans="4:31" ht="12.75" thickBot="1" x14ac:dyDescent="0.25">
      <c r="D132" s="53"/>
      <c r="E132" s="53"/>
      <c r="F132" s="54"/>
      <c r="G132" s="54"/>
      <c r="H132" s="55"/>
      <c r="I132" s="55"/>
      <c r="J132" s="55"/>
      <c r="K132" s="56"/>
      <c r="P132" s="50"/>
      <c r="Q132" s="51"/>
      <c r="R132" s="50"/>
      <c r="S132" s="51"/>
      <c r="T132" s="50"/>
      <c r="U132" s="51"/>
      <c r="V132" s="50"/>
      <c r="W132" s="51"/>
      <c r="X132" s="50"/>
      <c r="Y132" s="51"/>
      <c r="Z132" s="50"/>
      <c r="AA132" s="51"/>
      <c r="AB132" s="50"/>
      <c r="AC132" s="51"/>
      <c r="AD132" s="50"/>
      <c r="AE132" s="51"/>
    </row>
    <row r="133" spans="4:31" ht="12.75" thickBot="1" x14ac:dyDescent="0.25">
      <c r="D133" s="53"/>
      <c r="E133" s="53"/>
      <c r="F133" s="54"/>
      <c r="G133" s="54"/>
      <c r="H133" s="55"/>
      <c r="I133" s="55"/>
      <c r="J133" s="55"/>
      <c r="K133" s="56"/>
      <c r="P133" s="50"/>
      <c r="Q133" s="51"/>
      <c r="R133" s="50"/>
      <c r="S133" s="51"/>
      <c r="T133" s="50"/>
      <c r="U133" s="51"/>
      <c r="V133" s="50"/>
      <c r="W133" s="51"/>
      <c r="X133" s="50"/>
      <c r="Y133" s="51"/>
      <c r="Z133" s="50"/>
      <c r="AA133" s="51"/>
      <c r="AB133" s="50"/>
      <c r="AC133" s="51"/>
      <c r="AD133" s="50"/>
      <c r="AE133" s="51"/>
    </row>
    <row r="134" spans="4:31" ht="12.75" thickBot="1" x14ac:dyDescent="0.25">
      <c r="D134" s="53"/>
      <c r="E134" s="53"/>
      <c r="F134" s="54"/>
      <c r="G134" s="54"/>
      <c r="H134" s="55"/>
      <c r="I134" s="55"/>
      <c r="J134" s="55"/>
      <c r="K134" s="56"/>
      <c r="P134" s="50"/>
      <c r="Q134" s="51"/>
      <c r="R134" s="50"/>
      <c r="S134" s="51"/>
      <c r="T134" s="50"/>
      <c r="U134" s="51"/>
      <c r="V134" s="50"/>
      <c r="W134" s="51"/>
      <c r="X134" s="50"/>
      <c r="Y134" s="51"/>
      <c r="Z134" s="50"/>
      <c r="AA134" s="51"/>
      <c r="AB134" s="50"/>
      <c r="AC134" s="51"/>
      <c r="AD134" s="50"/>
      <c r="AE134" s="51"/>
    </row>
    <row r="135" spans="4:31" ht="12.75" thickBot="1" x14ac:dyDescent="0.25">
      <c r="D135" s="53"/>
      <c r="E135" s="53"/>
      <c r="F135" s="54"/>
      <c r="G135" s="54"/>
      <c r="H135" s="55"/>
      <c r="I135" s="55"/>
      <c r="J135" s="55"/>
      <c r="K135" s="56"/>
      <c r="P135" s="50"/>
      <c r="Q135" s="51"/>
      <c r="R135" s="50"/>
      <c r="S135" s="51"/>
      <c r="T135" s="50"/>
      <c r="U135" s="51"/>
      <c r="V135" s="50"/>
      <c r="W135" s="51"/>
      <c r="X135" s="50"/>
      <c r="Y135" s="51"/>
      <c r="Z135" s="50"/>
      <c r="AA135" s="51"/>
      <c r="AB135" s="50"/>
      <c r="AC135" s="51"/>
      <c r="AD135" s="50"/>
      <c r="AE135" s="51"/>
    </row>
    <row r="136" spans="4:31" ht="12.75" thickBot="1" x14ac:dyDescent="0.25">
      <c r="D136" s="53"/>
      <c r="E136" s="53"/>
      <c r="F136" s="54"/>
      <c r="G136" s="54"/>
      <c r="H136" s="55"/>
      <c r="I136" s="55"/>
      <c r="J136" s="55"/>
      <c r="K136" s="56"/>
      <c r="P136" s="50"/>
      <c r="Q136" s="51"/>
      <c r="R136" s="50"/>
      <c r="S136" s="51"/>
      <c r="T136" s="50"/>
      <c r="U136" s="51"/>
      <c r="V136" s="50"/>
      <c r="W136" s="51"/>
      <c r="X136" s="50"/>
      <c r="Y136" s="51"/>
      <c r="Z136" s="50"/>
      <c r="AA136" s="51"/>
      <c r="AB136" s="50"/>
      <c r="AC136" s="51"/>
      <c r="AD136" s="50"/>
      <c r="AE136" s="51"/>
    </row>
    <row r="137" spans="4:31" ht="12.75" thickBot="1" x14ac:dyDescent="0.25">
      <c r="D137" s="53"/>
      <c r="E137" s="53"/>
      <c r="F137" s="54"/>
      <c r="G137" s="54"/>
      <c r="H137" s="55"/>
      <c r="I137" s="55"/>
      <c r="J137" s="55"/>
      <c r="K137" s="56"/>
      <c r="P137" s="50"/>
      <c r="Q137" s="51"/>
      <c r="R137" s="50"/>
      <c r="S137" s="51"/>
      <c r="T137" s="50"/>
      <c r="U137" s="51"/>
      <c r="V137" s="50"/>
      <c r="W137" s="51"/>
      <c r="X137" s="50"/>
      <c r="Y137" s="51"/>
      <c r="Z137" s="50"/>
      <c r="AA137" s="51"/>
      <c r="AB137" s="50"/>
      <c r="AC137" s="51"/>
      <c r="AD137" s="50"/>
      <c r="AE137" s="51"/>
    </row>
    <row r="138" spans="4:31" ht="12.75" thickBot="1" x14ac:dyDescent="0.25">
      <c r="D138" s="53"/>
      <c r="E138" s="53"/>
      <c r="F138" s="54"/>
      <c r="G138" s="54"/>
      <c r="H138" s="55"/>
      <c r="I138" s="55"/>
      <c r="J138" s="55"/>
      <c r="K138" s="56"/>
      <c r="P138" s="50"/>
      <c r="Q138" s="51"/>
      <c r="R138" s="50"/>
      <c r="S138" s="51"/>
      <c r="T138" s="50"/>
      <c r="U138" s="51"/>
      <c r="V138" s="50"/>
      <c r="W138" s="51"/>
      <c r="X138" s="50"/>
      <c r="Y138" s="51"/>
      <c r="Z138" s="50"/>
      <c r="AA138" s="51"/>
      <c r="AB138" s="50"/>
      <c r="AC138" s="51"/>
      <c r="AD138" s="50"/>
      <c r="AE138" s="51"/>
    </row>
    <row r="139" spans="4:31" ht="12.75" thickBot="1" x14ac:dyDescent="0.25">
      <c r="D139" s="53"/>
      <c r="E139" s="53"/>
      <c r="F139" s="54"/>
      <c r="G139" s="54"/>
      <c r="H139" s="55"/>
      <c r="I139" s="55"/>
      <c r="J139" s="55"/>
      <c r="K139" s="56"/>
      <c r="P139" s="50"/>
      <c r="Q139" s="51"/>
      <c r="R139" s="50"/>
      <c r="S139" s="51"/>
      <c r="T139" s="50"/>
      <c r="U139" s="51"/>
      <c r="V139" s="50"/>
      <c r="W139" s="51"/>
      <c r="X139" s="50"/>
      <c r="Y139" s="51"/>
      <c r="Z139" s="50"/>
      <c r="AA139" s="51"/>
      <c r="AB139" s="50"/>
      <c r="AC139" s="51"/>
      <c r="AD139" s="50"/>
      <c r="AE139" s="51"/>
    </row>
    <row r="140" spans="4:31" ht="12.75" thickBot="1" x14ac:dyDescent="0.25">
      <c r="D140" s="53"/>
      <c r="E140" s="53"/>
      <c r="F140" s="54"/>
      <c r="G140" s="54"/>
      <c r="H140" s="55"/>
      <c r="I140" s="55"/>
      <c r="J140" s="55"/>
      <c r="K140" s="56"/>
      <c r="P140" s="50"/>
      <c r="Q140" s="51"/>
      <c r="R140" s="50"/>
      <c r="S140" s="51"/>
      <c r="T140" s="50"/>
      <c r="U140" s="51"/>
      <c r="V140" s="50"/>
      <c r="W140" s="51"/>
      <c r="X140" s="50"/>
      <c r="Y140" s="51"/>
      <c r="Z140" s="50"/>
      <c r="AA140" s="51"/>
      <c r="AB140" s="50"/>
      <c r="AC140" s="51"/>
      <c r="AD140" s="50"/>
      <c r="AE140" s="51"/>
    </row>
    <row r="141" spans="4:31" ht="12.75" thickBot="1" x14ac:dyDescent="0.25">
      <c r="D141" s="53"/>
      <c r="E141" s="53"/>
      <c r="F141" s="54"/>
      <c r="G141" s="54"/>
      <c r="H141" s="55"/>
      <c r="I141" s="55"/>
      <c r="J141" s="55"/>
      <c r="K141" s="56"/>
      <c r="P141" s="50"/>
      <c r="Q141" s="51"/>
      <c r="R141" s="50"/>
      <c r="S141" s="51"/>
      <c r="T141" s="50"/>
      <c r="U141" s="51"/>
      <c r="V141" s="50"/>
      <c r="W141" s="51"/>
      <c r="X141" s="50"/>
      <c r="Y141" s="51"/>
      <c r="Z141" s="50"/>
      <c r="AA141" s="51"/>
      <c r="AB141" s="50"/>
      <c r="AC141" s="51"/>
      <c r="AD141" s="50"/>
      <c r="AE141" s="51"/>
    </row>
    <row r="142" spans="4:31" ht="12.75" thickBot="1" x14ac:dyDescent="0.25">
      <c r="D142" s="53"/>
      <c r="E142" s="53"/>
      <c r="F142" s="54"/>
      <c r="G142" s="54"/>
      <c r="H142" s="55"/>
      <c r="I142" s="55"/>
      <c r="J142" s="55"/>
      <c r="K142" s="56"/>
      <c r="P142" s="50"/>
      <c r="Q142" s="51"/>
      <c r="R142" s="50"/>
      <c r="S142" s="51"/>
      <c r="T142" s="50"/>
      <c r="U142" s="51"/>
      <c r="V142" s="50"/>
      <c r="W142" s="51"/>
      <c r="X142" s="50"/>
      <c r="Y142" s="51"/>
      <c r="Z142" s="50"/>
      <c r="AA142" s="51"/>
      <c r="AB142" s="50"/>
      <c r="AC142" s="51"/>
      <c r="AD142" s="50"/>
      <c r="AE142" s="51"/>
    </row>
    <row r="143" spans="4:31" ht="12.75" thickBot="1" x14ac:dyDescent="0.25">
      <c r="D143" s="53"/>
      <c r="E143" s="53"/>
      <c r="F143" s="54"/>
      <c r="G143" s="54"/>
      <c r="H143" s="55"/>
      <c r="I143" s="55"/>
      <c r="J143" s="55"/>
      <c r="K143" s="56"/>
      <c r="P143" s="50"/>
      <c r="Q143" s="51"/>
      <c r="R143" s="50"/>
      <c r="S143" s="51"/>
      <c r="T143" s="50"/>
      <c r="U143" s="51"/>
      <c r="V143" s="50"/>
      <c r="W143" s="51"/>
      <c r="X143" s="50"/>
      <c r="Y143" s="51"/>
      <c r="Z143" s="50"/>
      <c r="AA143" s="51"/>
      <c r="AB143" s="50"/>
      <c r="AC143" s="51"/>
      <c r="AD143" s="50"/>
      <c r="AE143" s="51"/>
    </row>
    <row r="144" spans="4:31" ht="12.75" thickBot="1" x14ac:dyDescent="0.25">
      <c r="D144" s="53"/>
      <c r="E144" s="53"/>
      <c r="F144" s="54"/>
      <c r="G144" s="54"/>
      <c r="H144" s="55"/>
      <c r="I144" s="55"/>
      <c r="J144" s="55"/>
      <c r="K144" s="56"/>
      <c r="P144" s="50"/>
      <c r="Q144" s="51"/>
      <c r="R144" s="50"/>
      <c r="S144" s="51"/>
      <c r="T144" s="50"/>
      <c r="U144" s="51"/>
      <c r="V144" s="50"/>
      <c r="W144" s="51"/>
      <c r="X144" s="50"/>
      <c r="Y144" s="51"/>
      <c r="Z144" s="50"/>
      <c r="AA144" s="51"/>
      <c r="AB144" s="50"/>
      <c r="AC144" s="51"/>
      <c r="AD144" s="50"/>
      <c r="AE144" s="51"/>
    </row>
    <row r="145" spans="4:31" ht="12.75" thickBot="1" x14ac:dyDescent="0.25">
      <c r="D145" s="53"/>
      <c r="E145" s="53"/>
      <c r="F145" s="54"/>
      <c r="G145" s="54"/>
      <c r="H145" s="55"/>
      <c r="I145" s="55"/>
      <c r="J145" s="55"/>
      <c r="K145" s="56"/>
      <c r="P145" s="50"/>
      <c r="Q145" s="51"/>
      <c r="R145" s="50"/>
      <c r="S145" s="51"/>
      <c r="T145" s="50"/>
      <c r="U145" s="51"/>
      <c r="V145" s="50"/>
      <c r="W145" s="51"/>
      <c r="X145" s="50"/>
      <c r="Y145" s="51"/>
      <c r="Z145" s="50"/>
      <c r="AA145" s="51"/>
      <c r="AB145" s="50"/>
      <c r="AC145" s="51"/>
      <c r="AD145" s="50"/>
      <c r="AE145" s="51"/>
    </row>
    <row r="146" spans="4:31" ht="12.75" thickBot="1" x14ac:dyDescent="0.25">
      <c r="D146" s="53"/>
      <c r="E146" s="53"/>
      <c r="F146" s="54"/>
      <c r="G146" s="54"/>
      <c r="H146" s="55"/>
      <c r="I146" s="55"/>
      <c r="J146" s="55"/>
      <c r="K146" s="56"/>
      <c r="P146" s="50"/>
      <c r="Q146" s="51"/>
      <c r="R146" s="50"/>
      <c r="S146" s="51"/>
      <c r="T146" s="50"/>
      <c r="U146" s="51"/>
      <c r="V146" s="50"/>
      <c r="W146" s="51"/>
      <c r="X146" s="50"/>
      <c r="Y146" s="51"/>
      <c r="Z146" s="50"/>
      <c r="AA146" s="51"/>
      <c r="AB146" s="50"/>
      <c r="AC146" s="51"/>
      <c r="AD146" s="50"/>
      <c r="AE146" s="51"/>
    </row>
    <row r="147" spans="4:31" ht="12.75" thickBot="1" x14ac:dyDescent="0.25">
      <c r="D147" s="53"/>
      <c r="E147" s="53"/>
      <c r="F147" s="54"/>
      <c r="G147" s="54"/>
      <c r="H147" s="55"/>
      <c r="I147" s="55"/>
      <c r="J147" s="55"/>
      <c r="K147" s="56"/>
      <c r="P147" s="50"/>
      <c r="Q147" s="51"/>
      <c r="R147" s="50"/>
      <c r="S147" s="51"/>
      <c r="T147" s="50"/>
      <c r="U147" s="51"/>
      <c r="V147" s="50"/>
      <c r="W147" s="51"/>
      <c r="X147" s="50"/>
      <c r="Y147" s="51"/>
      <c r="Z147" s="50"/>
      <c r="AA147" s="51"/>
      <c r="AB147" s="50"/>
      <c r="AC147" s="51"/>
      <c r="AD147" s="50"/>
      <c r="AE147" s="51"/>
    </row>
    <row r="148" spans="4:31" ht="12.75" thickBot="1" x14ac:dyDescent="0.25">
      <c r="D148" s="53"/>
      <c r="E148" s="53"/>
      <c r="F148" s="54"/>
      <c r="G148" s="54"/>
      <c r="H148" s="55"/>
      <c r="I148" s="55"/>
      <c r="J148" s="55"/>
      <c r="K148" s="56"/>
      <c r="P148" s="50"/>
      <c r="Q148" s="51"/>
      <c r="R148" s="50"/>
      <c r="S148" s="51"/>
      <c r="T148" s="50"/>
      <c r="U148" s="51"/>
      <c r="V148" s="50"/>
      <c r="W148" s="51"/>
      <c r="X148" s="50"/>
      <c r="Y148" s="51"/>
      <c r="Z148" s="50"/>
      <c r="AA148" s="51"/>
      <c r="AB148" s="50"/>
      <c r="AC148" s="51"/>
      <c r="AD148" s="50"/>
      <c r="AE148" s="51"/>
    </row>
    <row r="149" spans="4:31" ht="12.75" thickBot="1" x14ac:dyDescent="0.25">
      <c r="D149" s="53"/>
      <c r="E149" s="53"/>
      <c r="F149" s="54"/>
      <c r="G149" s="54"/>
      <c r="H149" s="55"/>
      <c r="I149" s="55"/>
      <c r="J149" s="55"/>
      <c r="K149" s="56"/>
      <c r="P149" s="50"/>
      <c r="Q149" s="51"/>
      <c r="R149" s="50"/>
      <c r="S149" s="51"/>
      <c r="T149" s="50"/>
      <c r="U149" s="51"/>
      <c r="V149" s="50"/>
      <c r="W149" s="51"/>
      <c r="X149" s="50"/>
      <c r="Y149" s="51"/>
      <c r="Z149" s="50"/>
      <c r="AA149" s="51"/>
      <c r="AB149" s="50"/>
      <c r="AC149" s="51"/>
      <c r="AD149" s="50"/>
      <c r="AE149" s="51"/>
    </row>
    <row r="150" spans="4:31" ht="12.75" thickBot="1" x14ac:dyDescent="0.25">
      <c r="D150" s="53"/>
      <c r="E150" s="53"/>
      <c r="F150" s="54"/>
      <c r="G150" s="54"/>
      <c r="H150" s="55"/>
      <c r="I150" s="55"/>
      <c r="J150" s="55"/>
      <c r="K150" s="56"/>
      <c r="P150" s="50"/>
      <c r="Q150" s="51"/>
      <c r="R150" s="50"/>
      <c r="S150" s="51"/>
      <c r="T150" s="50"/>
      <c r="U150" s="51"/>
      <c r="V150" s="50"/>
      <c r="W150" s="51"/>
      <c r="X150" s="50"/>
      <c r="Y150" s="51"/>
      <c r="Z150" s="50"/>
      <c r="AA150" s="51"/>
      <c r="AB150" s="50"/>
      <c r="AC150" s="51"/>
      <c r="AD150" s="50"/>
      <c r="AE150" s="51"/>
    </row>
    <row r="151" spans="4:31" ht="12.75" thickBot="1" x14ac:dyDescent="0.25">
      <c r="D151" s="53"/>
      <c r="E151" s="53"/>
      <c r="F151" s="54"/>
      <c r="G151" s="54"/>
      <c r="H151" s="55"/>
      <c r="I151" s="55"/>
      <c r="J151" s="55"/>
      <c r="K151" s="56"/>
      <c r="P151" s="50"/>
      <c r="Q151" s="51"/>
      <c r="R151" s="50"/>
      <c r="S151" s="51"/>
      <c r="T151" s="50"/>
      <c r="U151" s="51"/>
      <c r="V151" s="50"/>
      <c r="W151" s="51"/>
      <c r="X151" s="50"/>
      <c r="Y151" s="51"/>
      <c r="Z151" s="50"/>
      <c r="AA151" s="51"/>
      <c r="AB151" s="50"/>
      <c r="AC151" s="51"/>
      <c r="AD151" s="50"/>
      <c r="AE151" s="51"/>
    </row>
    <row r="152" spans="4:31" ht="12.75" thickBot="1" x14ac:dyDescent="0.25">
      <c r="D152" s="53"/>
      <c r="E152" s="53"/>
      <c r="F152" s="54"/>
      <c r="G152" s="54"/>
      <c r="H152" s="55"/>
      <c r="I152" s="55"/>
      <c r="J152" s="55"/>
      <c r="K152" s="56"/>
      <c r="P152" s="50"/>
      <c r="Q152" s="51"/>
      <c r="R152" s="50"/>
      <c r="S152" s="51"/>
      <c r="T152" s="50"/>
      <c r="U152" s="51"/>
      <c r="V152" s="50"/>
      <c r="W152" s="51"/>
      <c r="X152" s="50"/>
      <c r="Y152" s="51"/>
      <c r="Z152" s="50"/>
      <c r="AA152" s="51"/>
      <c r="AB152" s="50"/>
      <c r="AC152" s="51"/>
      <c r="AD152" s="50"/>
      <c r="AE152" s="51"/>
    </row>
    <row r="153" spans="4:31" ht="12.75" thickBot="1" x14ac:dyDescent="0.25">
      <c r="D153" s="53"/>
      <c r="E153" s="53"/>
      <c r="F153" s="54"/>
      <c r="G153" s="54"/>
      <c r="H153" s="55"/>
      <c r="I153" s="55"/>
      <c r="J153" s="55"/>
      <c r="K153" s="56"/>
      <c r="P153" s="50"/>
      <c r="Q153" s="51"/>
      <c r="R153" s="50"/>
      <c r="S153" s="51"/>
      <c r="T153" s="50"/>
      <c r="U153" s="51"/>
      <c r="V153" s="50"/>
      <c r="W153" s="51"/>
      <c r="X153" s="50"/>
      <c r="Y153" s="51"/>
      <c r="Z153" s="50"/>
      <c r="AA153" s="51"/>
      <c r="AB153" s="50"/>
      <c r="AC153" s="51"/>
      <c r="AD153" s="50"/>
      <c r="AE153" s="51"/>
    </row>
    <row r="154" spans="4:31" ht="12.75" thickBot="1" x14ac:dyDescent="0.25">
      <c r="D154" s="53"/>
      <c r="E154" s="53"/>
      <c r="F154" s="54"/>
      <c r="G154" s="54"/>
      <c r="H154" s="55"/>
      <c r="I154" s="55"/>
      <c r="J154" s="55"/>
      <c r="K154" s="56"/>
      <c r="P154" s="50"/>
      <c r="Q154" s="51"/>
      <c r="R154" s="50"/>
      <c r="S154" s="51"/>
      <c r="T154" s="50"/>
      <c r="U154" s="51"/>
      <c r="V154" s="50"/>
      <c r="W154" s="51"/>
      <c r="X154" s="50"/>
      <c r="Y154" s="51"/>
      <c r="Z154" s="50"/>
      <c r="AA154" s="51"/>
      <c r="AB154" s="50"/>
      <c r="AC154" s="51"/>
      <c r="AD154" s="50"/>
      <c r="AE154" s="51"/>
    </row>
    <row r="155" spans="4:31" ht="12.75" thickBot="1" x14ac:dyDescent="0.25">
      <c r="D155" s="53"/>
      <c r="E155" s="53"/>
      <c r="F155" s="54"/>
      <c r="G155" s="54"/>
      <c r="H155" s="55"/>
      <c r="I155" s="55"/>
      <c r="J155" s="55"/>
      <c r="K155" s="56"/>
      <c r="P155" s="50"/>
      <c r="Q155" s="51"/>
      <c r="R155" s="50"/>
      <c r="S155" s="51"/>
      <c r="T155" s="50"/>
      <c r="U155" s="51"/>
      <c r="V155" s="50"/>
      <c r="W155" s="51"/>
      <c r="X155" s="50"/>
      <c r="Y155" s="51"/>
      <c r="Z155" s="50"/>
      <c r="AA155" s="51"/>
      <c r="AB155" s="50"/>
      <c r="AC155" s="51"/>
      <c r="AD155" s="50"/>
      <c r="AE155" s="51"/>
    </row>
    <row r="156" spans="4:31" ht="12.75" thickBot="1" x14ac:dyDescent="0.25">
      <c r="D156" s="53"/>
      <c r="E156" s="53"/>
      <c r="F156" s="54"/>
      <c r="G156" s="54"/>
      <c r="H156" s="55"/>
      <c r="I156" s="55"/>
      <c r="J156" s="55"/>
      <c r="K156" s="56"/>
      <c r="P156" s="50"/>
      <c r="Q156" s="51"/>
      <c r="R156" s="50"/>
      <c r="S156" s="51"/>
      <c r="T156" s="50"/>
      <c r="U156" s="51"/>
      <c r="V156" s="50"/>
      <c r="W156" s="51"/>
      <c r="X156" s="50"/>
      <c r="Y156" s="51"/>
      <c r="Z156" s="50"/>
      <c r="AA156" s="51"/>
      <c r="AB156" s="50"/>
      <c r="AC156" s="51"/>
      <c r="AD156" s="50"/>
      <c r="AE156" s="51"/>
    </row>
    <row r="157" spans="4:31" ht="12.75" thickBot="1" x14ac:dyDescent="0.25">
      <c r="D157" s="53"/>
      <c r="E157" s="53"/>
      <c r="F157" s="54"/>
      <c r="G157" s="54"/>
      <c r="H157" s="55"/>
      <c r="I157" s="55"/>
      <c r="J157" s="55"/>
      <c r="K157" s="56"/>
      <c r="P157" s="50"/>
      <c r="Q157" s="51"/>
      <c r="R157" s="50"/>
      <c r="S157" s="51"/>
      <c r="T157" s="50"/>
      <c r="U157" s="51"/>
      <c r="V157" s="50"/>
      <c r="W157" s="51"/>
      <c r="X157" s="50"/>
      <c r="Y157" s="51"/>
      <c r="Z157" s="50"/>
      <c r="AA157" s="51"/>
      <c r="AB157" s="50"/>
      <c r="AC157" s="51"/>
      <c r="AD157" s="50"/>
      <c r="AE157" s="51"/>
    </row>
    <row r="158" spans="4:31" ht="12.75" thickBot="1" x14ac:dyDescent="0.25">
      <c r="D158" s="53"/>
      <c r="E158" s="53"/>
      <c r="F158" s="54"/>
      <c r="G158" s="54"/>
      <c r="H158" s="55"/>
      <c r="I158" s="55"/>
      <c r="J158" s="55"/>
      <c r="K158" s="56"/>
      <c r="P158" s="50"/>
      <c r="Q158" s="51"/>
      <c r="R158" s="50"/>
      <c r="S158" s="51"/>
      <c r="T158" s="50"/>
      <c r="U158" s="51"/>
      <c r="V158" s="50"/>
      <c r="W158" s="51"/>
      <c r="X158" s="50"/>
      <c r="Y158" s="51"/>
      <c r="Z158" s="50"/>
      <c r="AA158" s="51"/>
      <c r="AB158" s="50"/>
      <c r="AC158" s="51"/>
      <c r="AD158" s="50"/>
      <c r="AE158" s="51"/>
    </row>
    <row r="159" spans="4:31" ht="12.75" thickBot="1" x14ac:dyDescent="0.25">
      <c r="D159" s="53"/>
      <c r="E159" s="53"/>
      <c r="F159" s="54"/>
      <c r="G159" s="54"/>
      <c r="H159" s="55"/>
      <c r="I159" s="55"/>
      <c r="J159" s="55"/>
      <c r="K159" s="56"/>
      <c r="P159" s="50"/>
      <c r="Q159" s="51"/>
      <c r="R159" s="50"/>
      <c r="S159" s="51"/>
      <c r="T159" s="50"/>
      <c r="U159" s="51"/>
      <c r="V159" s="50"/>
      <c r="W159" s="51"/>
      <c r="X159" s="50"/>
      <c r="Y159" s="51"/>
      <c r="Z159" s="50"/>
      <c r="AA159" s="51"/>
      <c r="AB159" s="50"/>
      <c r="AC159" s="51"/>
      <c r="AD159" s="50"/>
      <c r="AE159" s="51"/>
    </row>
    <row r="160" spans="4:31" ht="12.75" thickBot="1" x14ac:dyDescent="0.25">
      <c r="D160" s="53"/>
      <c r="E160" s="53"/>
      <c r="F160" s="54"/>
      <c r="G160" s="54"/>
      <c r="H160" s="55"/>
      <c r="I160" s="55"/>
      <c r="J160" s="55"/>
      <c r="K160" s="56"/>
      <c r="P160" s="50"/>
      <c r="Q160" s="51"/>
      <c r="R160" s="50"/>
      <c r="S160" s="51"/>
      <c r="T160" s="50"/>
      <c r="U160" s="51"/>
      <c r="V160" s="50"/>
      <c r="W160" s="51"/>
      <c r="X160" s="50"/>
      <c r="Y160" s="51"/>
      <c r="Z160" s="50"/>
      <c r="AA160" s="51"/>
      <c r="AB160" s="50"/>
      <c r="AC160" s="51"/>
      <c r="AD160" s="50"/>
      <c r="AE160" s="51"/>
    </row>
    <row r="161" spans="4:31" ht="12.75" thickBot="1" x14ac:dyDescent="0.25">
      <c r="D161" s="53"/>
      <c r="E161" s="53"/>
      <c r="F161" s="54"/>
      <c r="G161" s="54"/>
      <c r="H161" s="55"/>
      <c r="I161" s="55"/>
      <c r="J161" s="55"/>
      <c r="K161" s="56"/>
      <c r="P161" s="50"/>
      <c r="Q161" s="51"/>
      <c r="R161" s="50"/>
      <c r="S161" s="51"/>
      <c r="T161" s="50"/>
      <c r="U161" s="51"/>
      <c r="V161" s="50"/>
      <c r="W161" s="51"/>
      <c r="X161" s="50"/>
      <c r="Y161" s="51"/>
      <c r="Z161" s="50"/>
      <c r="AA161" s="51"/>
      <c r="AB161" s="50"/>
      <c r="AC161" s="51"/>
      <c r="AD161" s="50"/>
      <c r="AE161" s="51"/>
    </row>
    <row r="162" spans="4:31" ht="12.75" thickBot="1" x14ac:dyDescent="0.25">
      <c r="D162" s="53"/>
      <c r="E162" s="53"/>
      <c r="F162" s="54"/>
      <c r="G162" s="54"/>
      <c r="H162" s="55"/>
      <c r="I162" s="55"/>
      <c r="J162" s="55"/>
      <c r="K162" s="56"/>
      <c r="P162" s="50"/>
      <c r="Q162" s="51"/>
      <c r="R162" s="50"/>
      <c r="S162" s="51"/>
      <c r="T162" s="50"/>
      <c r="U162" s="51"/>
      <c r="V162" s="50"/>
      <c r="W162" s="51"/>
      <c r="X162" s="50"/>
      <c r="Y162" s="51"/>
      <c r="Z162" s="50"/>
      <c r="AA162" s="51"/>
      <c r="AB162" s="50"/>
      <c r="AC162" s="51"/>
      <c r="AD162" s="50"/>
      <c r="AE162" s="51"/>
    </row>
    <row r="163" spans="4:31" ht="12.75" thickBot="1" x14ac:dyDescent="0.25">
      <c r="D163" s="53"/>
      <c r="E163" s="53"/>
      <c r="F163" s="54"/>
      <c r="G163" s="54"/>
      <c r="H163" s="55"/>
      <c r="I163" s="55"/>
      <c r="J163" s="55"/>
      <c r="K163" s="56"/>
      <c r="P163" s="50"/>
      <c r="Q163" s="51"/>
      <c r="R163" s="50"/>
      <c r="S163" s="51"/>
      <c r="T163" s="50"/>
      <c r="U163" s="51"/>
      <c r="V163" s="50"/>
      <c r="W163" s="51"/>
      <c r="X163" s="50"/>
      <c r="Y163" s="51"/>
      <c r="Z163" s="50"/>
      <c r="AA163" s="51"/>
      <c r="AB163" s="50"/>
      <c r="AC163" s="51"/>
      <c r="AD163" s="50"/>
      <c r="AE163" s="51"/>
    </row>
    <row r="164" spans="4:31" ht="12.75" thickBot="1" x14ac:dyDescent="0.25">
      <c r="D164" s="53"/>
      <c r="E164" s="53"/>
      <c r="F164" s="54"/>
      <c r="G164" s="54"/>
      <c r="H164" s="55"/>
      <c r="I164" s="55"/>
      <c r="J164" s="55"/>
      <c r="K164" s="56"/>
      <c r="P164" s="50"/>
      <c r="Q164" s="51"/>
      <c r="R164" s="50"/>
      <c r="S164" s="51"/>
      <c r="T164" s="50"/>
      <c r="U164" s="51"/>
      <c r="V164" s="50"/>
      <c r="W164" s="51"/>
      <c r="X164" s="50"/>
      <c r="Y164" s="51"/>
      <c r="Z164" s="50"/>
      <c r="AA164" s="51"/>
      <c r="AB164" s="50"/>
      <c r="AC164" s="51"/>
      <c r="AD164" s="50"/>
      <c r="AE164" s="51"/>
    </row>
    <row r="165" spans="4:31" ht="12.75" thickBot="1" x14ac:dyDescent="0.25">
      <c r="D165" s="53"/>
      <c r="E165" s="53"/>
      <c r="F165" s="54"/>
      <c r="G165" s="54"/>
      <c r="H165" s="55"/>
      <c r="I165" s="55"/>
      <c r="J165" s="55"/>
      <c r="K165" s="56"/>
      <c r="P165" s="50"/>
      <c r="Q165" s="51"/>
      <c r="R165" s="50"/>
      <c r="S165" s="51"/>
      <c r="T165" s="50"/>
      <c r="U165" s="51"/>
      <c r="V165" s="50"/>
      <c r="W165" s="51"/>
      <c r="X165" s="50"/>
      <c r="Y165" s="51"/>
      <c r="Z165" s="50"/>
      <c r="AA165" s="51"/>
      <c r="AB165" s="50"/>
      <c r="AC165" s="51"/>
      <c r="AD165" s="50"/>
      <c r="AE165" s="51"/>
    </row>
    <row r="166" spans="4:31" ht="12.75" thickBot="1" x14ac:dyDescent="0.25">
      <c r="D166" s="53"/>
      <c r="E166" s="53"/>
      <c r="F166" s="54"/>
      <c r="G166" s="54"/>
      <c r="H166" s="55"/>
      <c r="I166" s="55"/>
      <c r="J166" s="55"/>
      <c r="K166" s="56"/>
      <c r="P166" s="50"/>
      <c r="Q166" s="51"/>
      <c r="R166" s="50"/>
      <c r="S166" s="51"/>
      <c r="T166" s="50"/>
      <c r="U166" s="51"/>
      <c r="V166" s="50"/>
      <c r="W166" s="51"/>
      <c r="X166" s="50"/>
      <c r="Y166" s="51"/>
      <c r="Z166" s="50"/>
      <c r="AA166" s="51"/>
      <c r="AB166" s="50"/>
      <c r="AC166" s="51"/>
      <c r="AD166" s="50"/>
      <c r="AE166" s="51"/>
    </row>
    <row r="167" spans="4:31" ht="12.75" thickBot="1" x14ac:dyDescent="0.25">
      <c r="D167" s="53"/>
      <c r="E167" s="53"/>
      <c r="F167" s="54"/>
      <c r="G167" s="54"/>
      <c r="H167" s="55"/>
      <c r="I167" s="55"/>
      <c r="J167" s="55"/>
      <c r="K167" s="56"/>
      <c r="P167" s="50"/>
      <c r="Q167" s="51"/>
      <c r="R167" s="50"/>
      <c r="S167" s="51"/>
      <c r="T167" s="50"/>
      <c r="U167" s="51"/>
      <c r="V167" s="50"/>
      <c r="W167" s="51"/>
      <c r="X167" s="50"/>
      <c r="Y167" s="51"/>
      <c r="Z167" s="50"/>
      <c r="AA167" s="51"/>
      <c r="AB167" s="50"/>
      <c r="AC167" s="51"/>
      <c r="AD167" s="50"/>
      <c r="AE167" s="51"/>
    </row>
    <row r="168" spans="4:31" ht="12.75" thickBot="1" x14ac:dyDescent="0.25">
      <c r="D168" s="53"/>
      <c r="E168" s="53"/>
      <c r="F168" s="54"/>
      <c r="G168" s="54"/>
      <c r="H168" s="55"/>
      <c r="I168" s="55"/>
      <c r="J168" s="55"/>
      <c r="K168" s="56"/>
      <c r="P168" s="50"/>
      <c r="Q168" s="51"/>
      <c r="R168" s="50"/>
      <c r="S168" s="51"/>
      <c r="T168" s="50"/>
      <c r="U168" s="51"/>
      <c r="V168" s="50"/>
      <c r="W168" s="51"/>
      <c r="X168" s="50"/>
      <c r="Y168" s="51"/>
      <c r="Z168" s="50"/>
      <c r="AA168" s="51"/>
      <c r="AB168" s="50"/>
      <c r="AC168" s="51"/>
      <c r="AD168" s="50"/>
      <c r="AE168" s="51"/>
    </row>
    <row r="169" spans="4:31" ht="12.75" thickBot="1" x14ac:dyDescent="0.25">
      <c r="D169" s="53"/>
      <c r="E169" s="53"/>
      <c r="F169" s="54"/>
      <c r="G169" s="54"/>
      <c r="H169" s="55"/>
      <c r="I169" s="55"/>
      <c r="J169" s="55"/>
      <c r="K169" s="56"/>
      <c r="P169" s="50"/>
      <c r="Q169" s="51"/>
      <c r="R169" s="50"/>
      <c r="S169" s="51"/>
      <c r="T169" s="50"/>
      <c r="U169" s="51"/>
      <c r="V169" s="50"/>
      <c r="W169" s="51"/>
      <c r="X169" s="50"/>
      <c r="Y169" s="51"/>
      <c r="Z169" s="50"/>
      <c r="AA169" s="51"/>
      <c r="AB169" s="50"/>
      <c r="AC169" s="51"/>
      <c r="AD169" s="50"/>
      <c r="AE169" s="51"/>
    </row>
    <row r="170" spans="4:31" ht="12.75" thickBot="1" x14ac:dyDescent="0.25">
      <c r="D170" s="53"/>
      <c r="E170" s="53"/>
      <c r="F170" s="54"/>
      <c r="G170" s="54"/>
      <c r="H170" s="55"/>
      <c r="I170" s="55"/>
      <c r="J170" s="55"/>
      <c r="K170" s="56"/>
      <c r="P170" s="50"/>
      <c r="Q170" s="51"/>
      <c r="R170" s="50"/>
      <c r="S170" s="51"/>
      <c r="T170" s="50"/>
      <c r="U170" s="51"/>
      <c r="V170" s="50"/>
      <c r="W170" s="51"/>
      <c r="X170" s="50"/>
      <c r="Y170" s="51"/>
      <c r="Z170" s="50"/>
      <c r="AA170" s="51"/>
      <c r="AB170" s="50"/>
      <c r="AC170" s="51"/>
      <c r="AD170" s="50"/>
      <c r="AE170" s="51"/>
    </row>
    <row r="171" spans="4:31" ht="12.75" thickBot="1" x14ac:dyDescent="0.25">
      <c r="D171" s="53"/>
      <c r="E171" s="53"/>
      <c r="F171" s="54"/>
      <c r="G171" s="54"/>
      <c r="H171" s="55"/>
      <c r="I171" s="55"/>
      <c r="J171" s="55"/>
      <c r="K171" s="56"/>
      <c r="P171" s="50"/>
      <c r="Q171" s="51"/>
      <c r="R171" s="50"/>
      <c r="S171" s="51"/>
      <c r="T171" s="50"/>
      <c r="U171" s="51"/>
      <c r="V171" s="50"/>
      <c r="W171" s="51"/>
      <c r="X171" s="50"/>
      <c r="Y171" s="51"/>
      <c r="Z171" s="50"/>
      <c r="AA171" s="51"/>
      <c r="AB171" s="50"/>
      <c r="AC171" s="51"/>
      <c r="AD171" s="50"/>
      <c r="AE171" s="51"/>
    </row>
    <row r="172" spans="4:31" ht="12.75" thickBot="1" x14ac:dyDescent="0.25">
      <c r="D172" s="53"/>
      <c r="E172" s="53"/>
      <c r="F172" s="54"/>
      <c r="G172" s="54"/>
      <c r="H172" s="55"/>
      <c r="I172" s="55"/>
      <c r="J172" s="55"/>
      <c r="K172" s="56"/>
      <c r="P172" s="50"/>
      <c r="Q172" s="51"/>
      <c r="R172" s="50"/>
      <c r="S172" s="51"/>
      <c r="T172" s="50"/>
      <c r="U172" s="51"/>
      <c r="V172" s="50"/>
      <c r="W172" s="51"/>
      <c r="X172" s="50"/>
      <c r="Y172" s="51"/>
      <c r="Z172" s="50"/>
      <c r="AA172" s="51"/>
      <c r="AB172" s="50"/>
      <c r="AC172" s="51"/>
      <c r="AD172" s="50"/>
      <c r="AE172" s="51"/>
    </row>
    <row r="173" spans="4:31" ht="12.75" thickBot="1" x14ac:dyDescent="0.25">
      <c r="D173" s="53"/>
      <c r="E173" s="53"/>
      <c r="F173" s="54"/>
      <c r="G173" s="54"/>
      <c r="H173" s="55"/>
      <c r="I173" s="55"/>
      <c r="J173" s="55"/>
      <c r="K173" s="56"/>
      <c r="P173" s="50"/>
      <c r="Q173" s="51"/>
      <c r="R173" s="50"/>
      <c r="S173" s="51"/>
      <c r="T173" s="50"/>
      <c r="U173" s="51"/>
      <c r="V173" s="50"/>
      <c r="W173" s="51"/>
      <c r="X173" s="50"/>
      <c r="Y173" s="51"/>
      <c r="Z173" s="50"/>
      <c r="AA173" s="51"/>
      <c r="AB173" s="50"/>
      <c r="AC173" s="51"/>
      <c r="AD173" s="50"/>
      <c r="AE173" s="51"/>
    </row>
    <row r="174" spans="4:31" ht="12.75" thickBot="1" x14ac:dyDescent="0.25">
      <c r="D174" s="53"/>
      <c r="E174" s="53"/>
      <c r="F174" s="54"/>
      <c r="G174" s="54"/>
      <c r="H174" s="55"/>
      <c r="I174" s="55"/>
      <c r="J174" s="55"/>
      <c r="K174" s="56"/>
      <c r="P174" s="50"/>
      <c r="Q174" s="51"/>
      <c r="R174" s="50"/>
      <c r="S174" s="51"/>
      <c r="T174" s="50"/>
      <c r="U174" s="51"/>
      <c r="V174" s="50"/>
      <c r="W174" s="51"/>
      <c r="X174" s="50"/>
      <c r="Y174" s="51"/>
      <c r="Z174" s="50"/>
      <c r="AA174" s="51"/>
      <c r="AB174" s="50"/>
      <c r="AC174" s="51"/>
      <c r="AD174" s="50"/>
      <c r="AE174" s="51"/>
    </row>
    <row r="175" spans="4:31" ht="12.75" thickBot="1" x14ac:dyDescent="0.25">
      <c r="D175" s="53"/>
      <c r="E175" s="53"/>
      <c r="F175" s="54"/>
      <c r="G175" s="54"/>
      <c r="H175" s="55"/>
      <c r="I175" s="55"/>
      <c r="J175" s="55"/>
      <c r="K175" s="56"/>
      <c r="P175" s="50"/>
      <c r="Q175" s="51"/>
      <c r="R175" s="50"/>
      <c r="S175" s="51"/>
      <c r="T175" s="50"/>
      <c r="U175" s="51"/>
      <c r="V175" s="50"/>
      <c r="W175" s="51"/>
      <c r="X175" s="50"/>
      <c r="Y175" s="51"/>
      <c r="Z175" s="50"/>
      <c r="AA175" s="51"/>
      <c r="AB175" s="50"/>
      <c r="AC175" s="51"/>
      <c r="AD175" s="50"/>
      <c r="AE175" s="51"/>
    </row>
    <row r="176" spans="4:31" ht="12.75" thickBot="1" x14ac:dyDescent="0.25">
      <c r="D176" s="53"/>
      <c r="E176" s="53"/>
      <c r="F176" s="54"/>
      <c r="G176" s="54"/>
      <c r="H176" s="55"/>
      <c r="I176" s="55"/>
      <c r="J176" s="55"/>
      <c r="K176" s="56"/>
      <c r="P176" s="50"/>
      <c r="Q176" s="51"/>
      <c r="R176" s="50"/>
      <c r="S176" s="51"/>
      <c r="T176" s="50"/>
      <c r="U176" s="51"/>
      <c r="V176" s="50"/>
      <c r="W176" s="51"/>
      <c r="X176" s="50"/>
      <c r="Y176" s="51"/>
      <c r="Z176" s="50"/>
      <c r="AA176" s="51"/>
      <c r="AB176" s="50"/>
      <c r="AC176" s="51"/>
      <c r="AD176" s="50"/>
      <c r="AE176" s="51"/>
    </row>
    <row r="177" spans="4:31" ht="12.75" thickBot="1" x14ac:dyDescent="0.25">
      <c r="D177" s="53"/>
      <c r="E177" s="53"/>
      <c r="F177" s="54"/>
      <c r="G177" s="54"/>
      <c r="H177" s="55"/>
      <c r="I177" s="55"/>
      <c r="J177" s="55"/>
      <c r="K177" s="56"/>
      <c r="P177" s="50"/>
      <c r="Q177" s="51"/>
      <c r="R177" s="50"/>
      <c r="S177" s="51"/>
      <c r="T177" s="50"/>
      <c r="U177" s="51"/>
      <c r="V177" s="50"/>
      <c r="W177" s="51"/>
      <c r="X177" s="50"/>
      <c r="Y177" s="51"/>
      <c r="Z177" s="50"/>
      <c r="AA177" s="51"/>
      <c r="AB177" s="50"/>
      <c r="AC177" s="51"/>
      <c r="AD177" s="50"/>
      <c r="AE177" s="51"/>
    </row>
    <row r="178" spans="4:31" ht="12.75" thickBot="1" x14ac:dyDescent="0.25">
      <c r="D178" s="53"/>
      <c r="E178" s="53"/>
      <c r="F178" s="54"/>
      <c r="G178" s="54"/>
      <c r="H178" s="55"/>
      <c r="I178" s="55"/>
      <c r="J178" s="55"/>
      <c r="K178" s="56"/>
      <c r="P178" s="50"/>
      <c r="Q178" s="51"/>
      <c r="R178" s="50"/>
      <c r="S178" s="51"/>
      <c r="T178" s="50"/>
      <c r="U178" s="51"/>
      <c r="V178" s="50"/>
      <c r="W178" s="51"/>
      <c r="X178" s="50"/>
      <c r="Y178" s="51"/>
      <c r="Z178" s="50"/>
      <c r="AA178" s="51"/>
      <c r="AB178" s="50"/>
      <c r="AC178" s="51"/>
      <c r="AD178" s="50"/>
      <c r="AE178" s="51"/>
    </row>
    <row r="179" spans="4:31" ht="12.75" thickBot="1" x14ac:dyDescent="0.25">
      <c r="D179" s="53"/>
      <c r="E179" s="53"/>
      <c r="F179" s="54"/>
      <c r="G179" s="54"/>
      <c r="H179" s="55"/>
      <c r="I179" s="55"/>
      <c r="J179" s="55"/>
      <c r="K179" s="56"/>
      <c r="P179" s="50"/>
      <c r="Q179" s="51"/>
      <c r="R179" s="50"/>
      <c r="S179" s="51"/>
      <c r="T179" s="50"/>
      <c r="U179" s="51"/>
      <c r="V179" s="50"/>
      <c r="W179" s="51"/>
      <c r="X179" s="50"/>
      <c r="Y179" s="51"/>
      <c r="Z179" s="50"/>
      <c r="AA179" s="51"/>
      <c r="AB179" s="50"/>
      <c r="AC179" s="51"/>
      <c r="AD179" s="50"/>
      <c r="AE179" s="51"/>
    </row>
    <row r="180" spans="4:31" ht="12.75" thickBot="1" x14ac:dyDescent="0.25">
      <c r="D180" s="53"/>
      <c r="E180" s="53"/>
      <c r="F180" s="54"/>
      <c r="G180" s="54"/>
      <c r="H180" s="55"/>
      <c r="I180" s="55"/>
      <c r="J180" s="55"/>
      <c r="K180" s="56"/>
      <c r="P180" s="50"/>
      <c r="Q180" s="51"/>
      <c r="R180" s="50"/>
      <c r="S180" s="51"/>
      <c r="T180" s="50"/>
      <c r="U180" s="51"/>
      <c r="V180" s="50"/>
      <c r="W180" s="51"/>
      <c r="X180" s="50"/>
      <c r="Y180" s="51"/>
      <c r="Z180" s="50"/>
      <c r="AA180" s="51"/>
      <c r="AB180" s="50"/>
      <c r="AC180" s="51"/>
      <c r="AD180" s="50"/>
      <c r="AE180" s="51"/>
    </row>
    <row r="181" spans="4:31" ht="12.75" thickBot="1" x14ac:dyDescent="0.25">
      <c r="D181" s="53"/>
      <c r="E181" s="53"/>
      <c r="F181" s="54"/>
      <c r="G181" s="54"/>
      <c r="H181" s="55"/>
      <c r="I181" s="55"/>
      <c r="J181" s="55"/>
      <c r="K181" s="56"/>
      <c r="P181" s="50"/>
      <c r="Q181" s="51"/>
      <c r="R181" s="50"/>
      <c r="S181" s="51"/>
      <c r="T181" s="50"/>
      <c r="U181" s="51"/>
      <c r="V181" s="50"/>
      <c r="W181" s="51"/>
      <c r="X181" s="50"/>
      <c r="Y181" s="51"/>
      <c r="Z181" s="50"/>
      <c r="AA181" s="51"/>
      <c r="AB181" s="50"/>
      <c r="AC181" s="51"/>
      <c r="AD181" s="50"/>
      <c r="AE181" s="51"/>
    </row>
    <row r="182" spans="4:31" ht="12.75" thickBot="1" x14ac:dyDescent="0.25">
      <c r="D182" s="53"/>
      <c r="E182" s="53"/>
      <c r="F182" s="54"/>
      <c r="G182" s="54"/>
      <c r="H182" s="55"/>
      <c r="I182" s="55"/>
      <c r="J182" s="55"/>
      <c r="K182" s="56"/>
      <c r="P182" s="50"/>
      <c r="Q182" s="51"/>
      <c r="R182" s="50"/>
      <c r="S182" s="51"/>
      <c r="T182" s="50"/>
      <c r="U182" s="51"/>
      <c r="V182" s="50"/>
      <c r="W182" s="51"/>
      <c r="X182" s="50"/>
      <c r="Y182" s="51"/>
      <c r="Z182" s="50"/>
      <c r="AA182" s="51"/>
      <c r="AB182" s="50"/>
      <c r="AC182" s="51"/>
      <c r="AD182" s="50"/>
      <c r="AE182" s="51"/>
    </row>
    <row r="183" spans="4:31" ht="12.75" thickBot="1" x14ac:dyDescent="0.25">
      <c r="D183" s="53"/>
      <c r="E183" s="53"/>
      <c r="F183" s="54"/>
      <c r="G183" s="54"/>
      <c r="H183" s="55"/>
      <c r="I183" s="55"/>
      <c r="J183" s="55"/>
      <c r="K183" s="56"/>
      <c r="P183" s="50"/>
      <c r="Q183" s="51"/>
      <c r="R183" s="50"/>
      <c r="S183" s="51"/>
      <c r="T183" s="50"/>
      <c r="U183" s="51"/>
      <c r="V183" s="50"/>
      <c r="W183" s="51"/>
      <c r="X183" s="50"/>
      <c r="Y183" s="51"/>
      <c r="Z183" s="50"/>
      <c r="AA183" s="51"/>
      <c r="AB183" s="50"/>
      <c r="AC183" s="51"/>
      <c r="AD183" s="50"/>
      <c r="AE183" s="51"/>
    </row>
    <row r="184" spans="4:31" ht="12.75" thickBot="1" x14ac:dyDescent="0.25">
      <c r="D184" s="53"/>
      <c r="E184" s="53"/>
      <c r="F184" s="54"/>
      <c r="G184" s="54"/>
      <c r="H184" s="55"/>
      <c r="I184" s="55"/>
      <c r="J184" s="55"/>
      <c r="K184" s="56"/>
      <c r="P184" s="50"/>
      <c r="Q184" s="51"/>
      <c r="R184" s="50"/>
      <c r="S184" s="51"/>
      <c r="T184" s="50"/>
      <c r="U184" s="51"/>
      <c r="V184" s="50"/>
      <c r="W184" s="51"/>
      <c r="X184" s="50"/>
      <c r="Y184" s="51"/>
      <c r="Z184" s="50"/>
      <c r="AA184" s="51"/>
      <c r="AB184" s="50"/>
      <c r="AC184" s="51"/>
      <c r="AD184" s="50"/>
      <c r="AE184" s="51"/>
    </row>
    <row r="185" spans="4:31" ht="12.75" thickBot="1" x14ac:dyDescent="0.25">
      <c r="D185" s="53"/>
      <c r="E185" s="53"/>
      <c r="F185" s="54"/>
      <c r="G185" s="54"/>
      <c r="H185" s="55"/>
      <c r="I185" s="55"/>
      <c r="J185" s="55"/>
      <c r="K185" s="56"/>
      <c r="P185" s="50"/>
      <c r="Q185" s="51"/>
      <c r="R185" s="50"/>
      <c r="S185" s="51"/>
      <c r="T185" s="50"/>
      <c r="U185" s="51"/>
      <c r="V185" s="50"/>
      <c r="W185" s="51"/>
      <c r="X185" s="50"/>
      <c r="Y185" s="51"/>
      <c r="Z185" s="50"/>
      <c r="AA185" s="51"/>
      <c r="AB185" s="50"/>
      <c r="AC185" s="51"/>
      <c r="AD185" s="50"/>
      <c r="AE185" s="51"/>
    </row>
    <row r="186" spans="4:31" ht="12.75" thickBot="1" x14ac:dyDescent="0.25">
      <c r="D186" s="53"/>
      <c r="E186" s="53"/>
      <c r="F186" s="54"/>
      <c r="G186" s="54"/>
      <c r="H186" s="55"/>
      <c r="I186" s="55"/>
      <c r="J186" s="55"/>
      <c r="K186" s="56"/>
      <c r="P186" s="50"/>
      <c r="Q186" s="51"/>
      <c r="R186" s="50"/>
      <c r="S186" s="51"/>
      <c r="T186" s="50"/>
      <c r="U186" s="51"/>
      <c r="V186" s="50"/>
      <c r="W186" s="51"/>
      <c r="X186" s="50"/>
      <c r="Y186" s="51"/>
      <c r="Z186" s="50"/>
      <c r="AA186" s="51"/>
      <c r="AB186" s="50"/>
      <c r="AC186" s="51"/>
      <c r="AD186" s="50"/>
      <c r="AE186" s="51"/>
    </row>
    <row r="187" spans="4:31" ht="12.75" thickBot="1" x14ac:dyDescent="0.25">
      <c r="D187" s="53"/>
      <c r="E187" s="53"/>
      <c r="F187" s="54"/>
      <c r="G187" s="54"/>
      <c r="H187" s="55"/>
      <c r="I187" s="55"/>
      <c r="J187" s="55"/>
      <c r="K187" s="56"/>
      <c r="P187" s="50"/>
      <c r="Q187" s="51"/>
      <c r="R187" s="50"/>
      <c r="S187" s="51"/>
      <c r="T187" s="50"/>
      <c r="U187" s="51"/>
      <c r="V187" s="50"/>
      <c r="W187" s="51"/>
      <c r="X187" s="50"/>
      <c r="Y187" s="51"/>
      <c r="Z187" s="50"/>
      <c r="AA187" s="51"/>
      <c r="AB187" s="50"/>
      <c r="AC187" s="51"/>
      <c r="AD187" s="50"/>
      <c r="AE187" s="51"/>
    </row>
    <row r="188" spans="4:31" ht="12.75" thickBot="1" x14ac:dyDescent="0.25">
      <c r="D188" s="53"/>
      <c r="E188" s="53"/>
      <c r="F188" s="54"/>
      <c r="G188" s="54"/>
      <c r="H188" s="55"/>
      <c r="I188" s="55"/>
      <c r="J188" s="55"/>
      <c r="K188" s="56"/>
      <c r="P188" s="50"/>
      <c r="Q188" s="51"/>
      <c r="R188" s="50"/>
      <c r="S188" s="51"/>
      <c r="T188" s="50"/>
      <c r="U188" s="51"/>
      <c r="V188" s="50"/>
      <c r="W188" s="51"/>
      <c r="X188" s="50"/>
      <c r="Y188" s="51"/>
      <c r="Z188" s="50"/>
      <c r="AA188" s="51"/>
      <c r="AB188" s="50"/>
      <c r="AC188" s="51"/>
      <c r="AD188" s="50"/>
      <c r="AE188" s="51"/>
    </row>
    <row r="189" spans="4:31" ht="12.75" thickBot="1" x14ac:dyDescent="0.25">
      <c r="D189" s="53"/>
      <c r="E189" s="53"/>
      <c r="F189" s="54"/>
      <c r="G189" s="54"/>
      <c r="H189" s="55"/>
      <c r="I189" s="55"/>
      <c r="J189" s="55"/>
      <c r="K189" s="56"/>
      <c r="P189" s="50"/>
      <c r="Q189" s="51"/>
      <c r="R189" s="50"/>
      <c r="S189" s="51"/>
      <c r="T189" s="50"/>
      <c r="U189" s="51"/>
      <c r="V189" s="50"/>
      <c r="W189" s="51"/>
      <c r="X189" s="50"/>
      <c r="Y189" s="51"/>
      <c r="Z189" s="50"/>
      <c r="AA189" s="51"/>
      <c r="AB189" s="50"/>
      <c r="AC189" s="51"/>
      <c r="AD189" s="50"/>
      <c r="AE189" s="51"/>
    </row>
    <row r="190" spans="4:31" ht="12.75" thickBot="1" x14ac:dyDescent="0.25">
      <c r="D190" s="53"/>
      <c r="E190" s="53"/>
      <c r="F190" s="54"/>
      <c r="G190" s="54"/>
      <c r="H190" s="55"/>
      <c r="I190" s="55"/>
      <c r="J190" s="55"/>
      <c r="K190" s="56"/>
      <c r="P190" s="50"/>
      <c r="Q190" s="51"/>
      <c r="R190" s="50"/>
      <c r="S190" s="51"/>
      <c r="T190" s="50"/>
      <c r="U190" s="51"/>
      <c r="V190" s="50"/>
      <c r="W190" s="51"/>
      <c r="X190" s="50"/>
      <c r="Y190" s="51"/>
      <c r="Z190" s="50"/>
      <c r="AA190" s="51"/>
      <c r="AB190" s="50"/>
      <c r="AC190" s="51"/>
      <c r="AD190" s="50"/>
      <c r="AE190" s="51"/>
    </row>
    <row r="191" spans="4:31" ht="12.75" thickBot="1" x14ac:dyDescent="0.25">
      <c r="D191" s="53"/>
      <c r="E191" s="53"/>
      <c r="F191" s="54"/>
      <c r="G191" s="54"/>
      <c r="H191" s="55"/>
      <c r="I191" s="55"/>
      <c r="J191" s="55"/>
      <c r="K191" s="56"/>
      <c r="P191" s="50"/>
      <c r="Q191" s="51"/>
      <c r="R191" s="50"/>
      <c r="S191" s="51"/>
      <c r="T191" s="50"/>
      <c r="U191" s="51"/>
      <c r="V191" s="50"/>
      <c r="W191" s="51"/>
      <c r="X191" s="50"/>
      <c r="Y191" s="51"/>
      <c r="Z191" s="50"/>
      <c r="AA191" s="51"/>
      <c r="AB191" s="50"/>
      <c r="AC191" s="51"/>
      <c r="AD191" s="50"/>
      <c r="AE191" s="51"/>
    </row>
    <row r="192" spans="4:31" ht="12.75" thickBot="1" x14ac:dyDescent="0.25">
      <c r="D192" s="53"/>
      <c r="E192" s="53"/>
      <c r="F192" s="54"/>
      <c r="G192" s="54"/>
      <c r="H192" s="55"/>
      <c r="I192" s="55"/>
      <c r="J192" s="55"/>
      <c r="K192" s="56"/>
      <c r="P192" s="50"/>
      <c r="Q192" s="51"/>
      <c r="R192" s="50"/>
      <c r="S192" s="51"/>
      <c r="T192" s="50"/>
      <c r="U192" s="51"/>
      <c r="V192" s="50"/>
      <c r="W192" s="51"/>
      <c r="X192" s="50"/>
      <c r="Y192" s="51"/>
      <c r="Z192" s="50"/>
      <c r="AA192" s="51"/>
      <c r="AB192" s="50"/>
      <c r="AC192" s="51"/>
      <c r="AD192" s="50"/>
      <c r="AE192" s="51"/>
    </row>
    <row r="193" spans="4:31" ht="12.75" thickBot="1" x14ac:dyDescent="0.25">
      <c r="D193" s="53"/>
      <c r="E193" s="53"/>
      <c r="F193" s="54"/>
      <c r="G193" s="54"/>
      <c r="H193" s="55"/>
      <c r="I193" s="55"/>
      <c r="J193" s="55"/>
      <c r="K193" s="56"/>
      <c r="P193" s="50"/>
      <c r="Q193" s="51"/>
      <c r="R193" s="50"/>
      <c r="S193" s="51"/>
      <c r="T193" s="50"/>
      <c r="U193" s="51"/>
      <c r="V193" s="50"/>
      <c r="W193" s="51"/>
      <c r="X193" s="50"/>
      <c r="Y193" s="51"/>
      <c r="Z193" s="50"/>
      <c r="AA193" s="51"/>
      <c r="AB193" s="50"/>
      <c r="AC193" s="51"/>
      <c r="AD193" s="50"/>
      <c r="AE193" s="51"/>
    </row>
    <row r="194" spans="4:31" ht="12.75" thickBot="1" x14ac:dyDescent="0.25">
      <c r="D194" s="53"/>
      <c r="E194" s="53"/>
      <c r="F194" s="54"/>
      <c r="G194" s="54"/>
      <c r="H194" s="55"/>
      <c r="I194" s="55"/>
      <c r="J194" s="55"/>
      <c r="K194" s="56"/>
      <c r="P194" s="50"/>
      <c r="Q194" s="51"/>
      <c r="R194" s="50"/>
      <c r="S194" s="51"/>
      <c r="T194" s="50"/>
      <c r="U194" s="51"/>
      <c r="V194" s="50"/>
      <c r="W194" s="51"/>
      <c r="X194" s="50"/>
      <c r="Y194" s="51"/>
      <c r="Z194" s="50"/>
      <c r="AA194" s="51"/>
      <c r="AB194" s="50"/>
      <c r="AC194" s="51"/>
      <c r="AD194" s="50"/>
      <c r="AE194" s="51"/>
    </row>
    <row r="195" spans="4:31" ht="12.75" thickBot="1" x14ac:dyDescent="0.25">
      <c r="D195" s="53"/>
      <c r="E195" s="53"/>
      <c r="F195" s="54"/>
      <c r="G195" s="54"/>
      <c r="H195" s="55"/>
      <c r="I195" s="55"/>
      <c r="J195" s="55"/>
      <c r="K195" s="56"/>
      <c r="P195" s="50"/>
      <c r="Q195" s="51"/>
      <c r="R195" s="50"/>
      <c r="S195" s="51"/>
      <c r="T195" s="50"/>
      <c r="U195" s="51"/>
      <c r="V195" s="50"/>
      <c r="W195" s="51"/>
      <c r="X195" s="50"/>
      <c r="Y195" s="51"/>
      <c r="Z195" s="50"/>
      <c r="AA195" s="51"/>
      <c r="AB195" s="50"/>
      <c r="AC195" s="51"/>
      <c r="AD195" s="50"/>
      <c r="AE195" s="51"/>
    </row>
    <row r="196" spans="4:31" ht="12.75" thickBot="1" x14ac:dyDescent="0.25">
      <c r="D196" s="53"/>
      <c r="E196" s="53"/>
      <c r="F196" s="54"/>
      <c r="G196" s="54"/>
      <c r="H196" s="55"/>
      <c r="I196" s="55"/>
      <c r="J196" s="55"/>
      <c r="K196" s="56"/>
      <c r="P196" s="50"/>
      <c r="Q196" s="51"/>
      <c r="R196" s="50"/>
      <c r="S196" s="51"/>
      <c r="T196" s="50"/>
      <c r="U196" s="51"/>
      <c r="V196" s="50"/>
      <c r="W196" s="51"/>
      <c r="X196" s="50"/>
      <c r="Y196" s="51"/>
      <c r="Z196" s="50"/>
      <c r="AA196" s="51"/>
      <c r="AB196" s="50"/>
      <c r="AC196" s="51"/>
      <c r="AD196" s="50"/>
      <c r="AE196" s="51"/>
    </row>
    <row r="197" spans="4:31" ht="12.75" thickBot="1" x14ac:dyDescent="0.25">
      <c r="D197" s="53"/>
      <c r="E197" s="53"/>
      <c r="F197" s="54"/>
      <c r="G197" s="54"/>
      <c r="H197" s="55"/>
      <c r="I197" s="55"/>
      <c r="J197" s="55"/>
      <c r="K197" s="56"/>
      <c r="P197" s="50"/>
      <c r="Q197" s="51"/>
      <c r="R197" s="50"/>
      <c r="S197" s="51"/>
      <c r="T197" s="50"/>
      <c r="U197" s="51"/>
      <c r="V197" s="50"/>
      <c r="W197" s="51"/>
      <c r="X197" s="50"/>
      <c r="Y197" s="51"/>
      <c r="Z197" s="50"/>
      <c r="AA197" s="51"/>
      <c r="AB197" s="50"/>
      <c r="AC197" s="51"/>
      <c r="AD197" s="50"/>
      <c r="AE197" s="51"/>
    </row>
    <row r="198" spans="4:31" ht="12.75" thickBot="1" x14ac:dyDescent="0.25">
      <c r="D198" s="53"/>
      <c r="E198" s="53"/>
      <c r="F198" s="54"/>
      <c r="G198" s="54"/>
      <c r="H198" s="55"/>
      <c r="I198" s="55"/>
      <c r="J198" s="55"/>
      <c r="K198" s="56"/>
      <c r="P198" s="50"/>
      <c r="Q198" s="51"/>
      <c r="R198" s="50"/>
      <c r="S198" s="51"/>
      <c r="T198" s="50"/>
      <c r="U198" s="51"/>
      <c r="V198" s="50"/>
      <c r="W198" s="51"/>
      <c r="X198" s="50"/>
      <c r="Y198" s="51"/>
      <c r="Z198" s="50"/>
      <c r="AA198" s="51"/>
      <c r="AB198" s="50"/>
      <c r="AC198" s="51"/>
      <c r="AD198" s="50"/>
      <c r="AE198" s="51"/>
    </row>
    <row r="199" spans="4:31" ht="12.75" thickBot="1" x14ac:dyDescent="0.25">
      <c r="D199" s="53"/>
      <c r="E199" s="53"/>
      <c r="F199" s="54"/>
      <c r="G199" s="54"/>
      <c r="H199" s="55"/>
      <c r="I199" s="55"/>
      <c r="J199" s="55"/>
      <c r="K199" s="56"/>
      <c r="P199" s="50"/>
      <c r="Q199" s="51"/>
      <c r="R199" s="50"/>
      <c r="S199" s="51"/>
      <c r="T199" s="50"/>
      <c r="U199" s="51"/>
      <c r="V199" s="50"/>
      <c r="W199" s="51"/>
      <c r="X199" s="50"/>
      <c r="Y199" s="51"/>
      <c r="Z199" s="50"/>
      <c r="AA199" s="51"/>
      <c r="AB199" s="50"/>
      <c r="AC199" s="51"/>
      <c r="AD199" s="50"/>
      <c r="AE199" s="51"/>
    </row>
    <row r="200" spans="4:31" ht="12.75" thickBot="1" x14ac:dyDescent="0.25">
      <c r="D200" s="53"/>
      <c r="E200" s="53"/>
      <c r="F200" s="54"/>
      <c r="G200" s="54"/>
      <c r="H200" s="55"/>
      <c r="I200" s="55"/>
      <c r="J200" s="55"/>
      <c r="K200" s="56"/>
      <c r="P200" s="50"/>
      <c r="Q200" s="51"/>
      <c r="R200" s="50"/>
      <c r="S200" s="51"/>
      <c r="T200" s="50"/>
      <c r="U200" s="51"/>
      <c r="V200" s="50"/>
      <c r="W200" s="51"/>
      <c r="X200" s="50"/>
      <c r="Y200" s="51"/>
      <c r="Z200" s="50"/>
      <c r="AA200" s="51"/>
      <c r="AB200" s="50"/>
      <c r="AC200" s="51"/>
      <c r="AD200" s="50"/>
      <c r="AE200" s="51"/>
    </row>
    <row r="201" spans="4:31" ht="12.75" thickBot="1" x14ac:dyDescent="0.25">
      <c r="D201" s="53"/>
      <c r="E201" s="53"/>
      <c r="F201" s="54"/>
      <c r="G201" s="54"/>
      <c r="H201" s="55"/>
      <c r="I201" s="55"/>
      <c r="J201" s="55"/>
      <c r="K201" s="56"/>
      <c r="P201" s="50"/>
      <c r="Q201" s="51"/>
      <c r="R201" s="50"/>
      <c r="S201" s="51"/>
      <c r="T201" s="50"/>
      <c r="U201" s="51"/>
      <c r="V201" s="50"/>
      <c r="W201" s="51"/>
      <c r="X201" s="50"/>
      <c r="Y201" s="51"/>
      <c r="Z201" s="50"/>
      <c r="AA201" s="51"/>
      <c r="AB201" s="50"/>
      <c r="AC201" s="51"/>
      <c r="AD201" s="50"/>
      <c r="AE201" s="51"/>
    </row>
    <row r="202" spans="4:31" ht="12.75" thickBot="1" x14ac:dyDescent="0.25">
      <c r="D202" s="53"/>
      <c r="E202" s="53"/>
      <c r="F202" s="54"/>
      <c r="G202" s="54"/>
      <c r="H202" s="55"/>
      <c r="I202" s="55"/>
      <c r="J202" s="55"/>
      <c r="K202" s="56"/>
      <c r="P202" s="50"/>
      <c r="Q202" s="51"/>
      <c r="R202" s="50"/>
      <c r="S202" s="51"/>
      <c r="T202" s="50"/>
      <c r="U202" s="51"/>
      <c r="V202" s="50"/>
      <c r="W202" s="51"/>
      <c r="X202" s="50"/>
      <c r="Y202" s="51"/>
      <c r="Z202" s="50"/>
      <c r="AA202" s="51"/>
      <c r="AB202" s="50"/>
      <c r="AC202" s="51"/>
      <c r="AD202" s="50"/>
      <c r="AE202" s="51"/>
    </row>
    <row r="203" spans="4:31" ht="12.75" thickBot="1" x14ac:dyDescent="0.25">
      <c r="D203" s="53"/>
      <c r="E203" s="53"/>
      <c r="F203" s="54"/>
      <c r="G203" s="54"/>
      <c r="H203" s="55"/>
      <c r="I203" s="55"/>
      <c r="J203" s="55"/>
      <c r="K203" s="56"/>
      <c r="P203" s="50"/>
      <c r="Q203" s="51"/>
      <c r="R203" s="50"/>
      <c r="S203" s="51"/>
      <c r="T203" s="50"/>
      <c r="U203" s="51"/>
      <c r="V203" s="50"/>
      <c r="W203" s="51"/>
      <c r="X203" s="50"/>
      <c r="Y203" s="51"/>
      <c r="Z203" s="50"/>
      <c r="AA203" s="51"/>
      <c r="AB203" s="50"/>
      <c r="AC203" s="51"/>
      <c r="AD203" s="50"/>
      <c r="AE203" s="51"/>
    </row>
    <row r="204" spans="4:31" ht="12.75" thickBot="1" x14ac:dyDescent="0.25">
      <c r="D204" s="53"/>
      <c r="E204" s="53"/>
      <c r="F204" s="54"/>
      <c r="G204" s="54"/>
      <c r="H204" s="55"/>
      <c r="I204" s="55"/>
      <c r="J204" s="55"/>
      <c r="K204" s="56"/>
      <c r="P204" s="50"/>
      <c r="Q204" s="51"/>
      <c r="R204" s="50"/>
      <c r="S204" s="51"/>
      <c r="T204" s="50"/>
      <c r="U204" s="51"/>
      <c r="V204" s="50"/>
      <c r="W204" s="51"/>
      <c r="X204" s="50"/>
      <c r="Y204" s="51"/>
      <c r="Z204" s="50"/>
      <c r="AA204" s="51"/>
      <c r="AB204" s="50"/>
      <c r="AC204" s="51"/>
      <c r="AD204" s="50"/>
      <c r="AE204" s="51"/>
    </row>
    <row r="205" spans="4:31" ht="12.75" thickBot="1" x14ac:dyDescent="0.25">
      <c r="D205" s="53"/>
      <c r="E205" s="53"/>
      <c r="F205" s="54"/>
      <c r="G205" s="54"/>
      <c r="H205" s="55"/>
      <c r="I205" s="55"/>
      <c r="J205" s="55"/>
      <c r="K205" s="56"/>
      <c r="P205" s="50"/>
      <c r="Q205" s="51"/>
      <c r="R205" s="50"/>
      <c r="S205" s="51"/>
      <c r="T205" s="50"/>
      <c r="U205" s="51"/>
      <c r="V205" s="50"/>
      <c r="W205" s="51"/>
      <c r="X205" s="50"/>
      <c r="Y205" s="51"/>
      <c r="Z205" s="50"/>
      <c r="AA205" s="51"/>
      <c r="AB205" s="50"/>
      <c r="AC205" s="51"/>
      <c r="AD205" s="50"/>
      <c r="AE205" s="51"/>
    </row>
    <row r="206" spans="4:31" ht="12.75" thickBot="1" x14ac:dyDescent="0.25">
      <c r="D206" s="53"/>
      <c r="E206" s="53"/>
      <c r="F206" s="54"/>
      <c r="G206" s="54"/>
      <c r="H206" s="55"/>
      <c r="I206" s="55"/>
      <c r="J206" s="55"/>
      <c r="K206" s="56"/>
      <c r="P206" s="50"/>
      <c r="Q206" s="51"/>
      <c r="R206" s="50"/>
      <c r="S206" s="51"/>
      <c r="T206" s="50"/>
      <c r="U206" s="51"/>
      <c r="V206" s="50"/>
      <c r="W206" s="51"/>
      <c r="X206" s="50"/>
      <c r="Y206" s="51"/>
      <c r="Z206" s="50"/>
      <c r="AA206" s="51"/>
      <c r="AB206" s="50"/>
      <c r="AC206" s="51"/>
      <c r="AD206" s="50"/>
      <c r="AE206" s="51"/>
    </row>
    <row r="207" spans="4:31" ht="12.75" thickBot="1" x14ac:dyDescent="0.25">
      <c r="D207" s="53"/>
      <c r="E207" s="53"/>
      <c r="F207" s="54"/>
      <c r="G207" s="54"/>
      <c r="H207" s="55"/>
      <c r="I207" s="55"/>
      <c r="J207" s="55"/>
      <c r="K207" s="56"/>
      <c r="P207" s="50"/>
      <c r="Q207" s="51"/>
      <c r="R207" s="50"/>
      <c r="S207" s="51"/>
      <c r="T207" s="50"/>
      <c r="U207" s="51"/>
      <c r="V207" s="50"/>
      <c r="W207" s="51"/>
      <c r="X207" s="50"/>
      <c r="Y207" s="51"/>
      <c r="Z207" s="50"/>
      <c r="AA207" s="51"/>
      <c r="AB207" s="50"/>
      <c r="AC207" s="51"/>
      <c r="AD207" s="50"/>
      <c r="AE207" s="51"/>
    </row>
    <row r="208" spans="4:31" ht="12.75" thickBot="1" x14ac:dyDescent="0.25">
      <c r="D208" s="53"/>
      <c r="E208" s="53"/>
      <c r="F208" s="54"/>
      <c r="G208" s="54"/>
      <c r="H208" s="55"/>
      <c r="I208" s="55"/>
      <c r="J208" s="55"/>
      <c r="K208" s="56"/>
      <c r="P208" s="50"/>
      <c r="Q208" s="51"/>
      <c r="R208" s="50"/>
      <c r="S208" s="51"/>
      <c r="T208" s="50"/>
      <c r="U208" s="51"/>
      <c r="V208" s="50"/>
      <c r="W208" s="51"/>
      <c r="X208" s="50"/>
      <c r="Y208" s="51"/>
      <c r="Z208" s="50"/>
      <c r="AA208" s="51"/>
      <c r="AB208" s="50"/>
      <c r="AC208" s="51"/>
      <c r="AD208" s="50"/>
      <c r="AE208" s="51"/>
    </row>
    <row r="209" spans="4:31" ht="12.75" thickBot="1" x14ac:dyDescent="0.25">
      <c r="D209" s="53"/>
      <c r="E209" s="53"/>
      <c r="F209" s="54"/>
      <c r="G209" s="54"/>
      <c r="H209" s="55"/>
      <c r="I209" s="55"/>
      <c r="J209" s="55"/>
      <c r="K209" s="56"/>
      <c r="P209" s="50"/>
      <c r="Q209" s="51"/>
      <c r="R209" s="50"/>
      <c r="S209" s="51"/>
      <c r="T209" s="50"/>
      <c r="U209" s="51"/>
      <c r="V209" s="50"/>
      <c r="W209" s="51"/>
      <c r="X209" s="50"/>
      <c r="Y209" s="51"/>
      <c r="Z209" s="50"/>
      <c r="AA209" s="51"/>
      <c r="AB209" s="50"/>
      <c r="AC209" s="51"/>
      <c r="AD209" s="50"/>
      <c r="AE209" s="51"/>
    </row>
    <row r="210" spans="4:31" ht="12.75" thickBot="1" x14ac:dyDescent="0.25">
      <c r="D210" s="53"/>
      <c r="E210" s="53"/>
      <c r="F210" s="54"/>
      <c r="G210" s="54"/>
      <c r="H210" s="55"/>
      <c r="I210" s="55"/>
      <c r="J210" s="55"/>
      <c r="K210" s="56"/>
      <c r="P210" s="50"/>
      <c r="Q210" s="51"/>
      <c r="R210" s="50"/>
      <c r="S210" s="51"/>
      <c r="T210" s="50"/>
      <c r="U210" s="51"/>
      <c r="V210" s="50"/>
      <c r="W210" s="51"/>
      <c r="X210" s="50"/>
      <c r="Y210" s="51"/>
      <c r="Z210" s="50"/>
      <c r="AA210" s="51"/>
      <c r="AB210" s="50"/>
      <c r="AC210" s="51"/>
      <c r="AD210" s="50"/>
      <c r="AE210" s="51"/>
    </row>
    <row r="211" spans="4:31" ht="12.75" thickBot="1" x14ac:dyDescent="0.25">
      <c r="D211" s="53"/>
      <c r="E211" s="53"/>
      <c r="F211" s="54"/>
      <c r="G211" s="54"/>
      <c r="H211" s="55"/>
      <c r="I211" s="55"/>
      <c r="J211" s="55"/>
      <c r="K211" s="56"/>
      <c r="P211" s="50"/>
      <c r="Q211" s="51"/>
      <c r="R211" s="50"/>
      <c r="S211" s="51"/>
      <c r="T211" s="50"/>
      <c r="U211" s="51"/>
      <c r="V211" s="50"/>
      <c r="W211" s="51"/>
      <c r="X211" s="50"/>
      <c r="Y211" s="51"/>
      <c r="Z211" s="50"/>
      <c r="AA211" s="51"/>
      <c r="AB211" s="50"/>
      <c r="AC211" s="51"/>
      <c r="AD211" s="50"/>
      <c r="AE211" s="51"/>
    </row>
    <row r="212" spans="4:31" ht="12.75" thickBot="1" x14ac:dyDescent="0.25">
      <c r="D212" s="53"/>
      <c r="E212" s="53"/>
      <c r="F212" s="54"/>
      <c r="G212" s="54"/>
      <c r="H212" s="55"/>
      <c r="I212" s="55"/>
      <c r="J212" s="55"/>
      <c r="K212" s="56"/>
      <c r="P212" s="50"/>
      <c r="Q212" s="51"/>
      <c r="R212" s="50"/>
      <c r="S212" s="51"/>
      <c r="T212" s="50"/>
      <c r="U212" s="51"/>
      <c r="V212" s="50"/>
      <c r="W212" s="51"/>
      <c r="X212" s="50"/>
      <c r="Y212" s="51"/>
      <c r="Z212" s="50"/>
      <c r="AA212" s="51"/>
      <c r="AB212" s="50"/>
      <c r="AC212" s="51"/>
      <c r="AD212" s="50"/>
      <c r="AE212" s="51"/>
    </row>
    <row r="213" spans="4:31" ht="12.75" thickBot="1" x14ac:dyDescent="0.25">
      <c r="D213" s="53"/>
      <c r="E213" s="53"/>
      <c r="F213" s="54"/>
      <c r="G213" s="54"/>
      <c r="H213" s="55"/>
      <c r="I213" s="55"/>
      <c r="J213" s="55"/>
      <c r="K213" s="56"/>
      <c r="P213" s="50"/>
      <c r="Q213" s="51"/>
      <c r="R213" s="50"/>
      <c r="S213" s="51"/>
      <c r="T213" s="50"/>
      <c r="U213" s="51"/>
      <c r="V213" s="50"/>
      <c r="W213" s="51"/>
      <c r="X213" s="50"/>
      <c r="Y213" s="51"/>
      <c r="Z213" s="50"/>
      <c r="AA213" s="51"/>
      <c r="AB213" s="50"/>
      <c r="AC213" s="51"/>
      <c r="AD213" s="50"/>
      <c r="AE213" s="51"/>
    </row>
    <row r="214" spans="4:31" ht="12.75" thickBot="1" x14ac:dyDescent="0.25">
      <c r="D214" s="53"/>
      <c r="E214" s="53"/>
      <c r="F214" s="54"/>
      <c r="G214" s="54"/>
      <c r="H214" s="55"/>
      <c r="I214" s="55"/>
      <c r="J214" s="55"/>
      <c r="K214" s="56"/>
      <c r="P214" s="50"/>
      <c r="Q214" s="51"/>
      <c r="R214" s="50"/>
      <c r="S214" s="51"/>
      <c r="T214" s="50"/>
      <c r="U214" s="51"/>
      <c r="V214" s="50"/>
      <c r="W214" s="51"/>
      <c r="X214" s="50"/>
      <c r="Y214" s="51"/>
      <c r="Z214" s="50"/>
      <c r="AA214" s="51"/>
      <c r="AB214" s="50"/>
      <c r="AC214" s="51"/>
      <c r="AD214" s="50"/>
      <c r="AE214" s="51"/>
    </row>
  </sheetData>
  <sortState xmlns:xlrd2="http://schemas.microsoft.com/office/spreadsheetml/2017/richdata2" ref="A2:AE215">
    <sortCondition ref="A1:A215"/>
  </sortState>
  <phoneticPr fontId="3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'Hardware|Consumables'!$A$2:$A$98</xm:f>
          </x14:formula1>
          <xm:sqref>R2:R214 X2:X214 Z2:Z214 AB2:AB214 AD2:AD214 V2:V214 P2:P214 T2:T214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 codeName="Sheet3">
    <tabColor rgb="FFED7D31"/>
  </sheetPr>
  <dimension ref="A1:K37"/>
  <sheetViews>
    <sheetView zoomScaleNormal="100" workbookViewId="0">
      <selection activeCell="B1" sqref="B1:D1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9" width="10" bestFit="1" customWidth="1"/>
    <col min="10" max="10" width="10.5703125" bestFit="1" customWidth="1"/>
    <col min="11" max="1024" width="11.28515625" customWidth="1"/>
  </cols>
  <sheetData>
    <row r="1" spans="1:11" ht="23.25" x14ac:dyDescent="0.25">
      <c r="A1" s="7" t="s">
        <v>0</v>
      </c>
      <c r="B1" s="226" t="s">
        <v>309</v>
      </c>
      <c r="C1" s="226"/>
      <c r="D1" s="226"/>
      <c r="E1" s="6"/>
      <c r="F1" s="63"/>
      <c r="G1" s="63"/>
    </row>
    <row r="2" spans="1:11" ht="18.75" x14ac:dyDescent="0.25">
      <c r="A2" s="227" t="s">
        <v>1</v>
      </c>
      <c r="B2" s="227"/>
      <c r="C2" s="227"/>
      <c r="D2" s="6"/>
      <c r="E2" s="6"/>
      <c r="F2" s="64"/>
      <c r="G2" s="1"/>
    </row>
    <row r="3" spans="1:11" x14ac:dyDescent="0.25">
      <c r="A3" s="8" t="s">
        <v>2</v>
      </c>
      <c r="B3" s="225" t="s">
        <v>51</v>
      </c>
      <c r="C3" s="225"/>
      <c r="D3" s="6"/>
      <c r="E3" s="6"/>
      <c r="F3" s="65"/>
      <c r="G3" s="1"/>
    </row>
    <row r="4" spans="1:11" x14ac:dyDescent="0.25">
      <c r="A4" s="8" t="s">
        <v>3</v>
      </c>
      <c r="B4" s="228" t="s">
        <v>112</v>
      </c>
      <c r="C4" s="228"/>
      <c r="D4" s="6"/>
      <c r="E4" s="6"/>
      <c r="F4" s="2"/>
      <c r="G4" s="1"/>
    </row>
    <row r="5" spans="1:11" ht="15.75" x14ac:dyDescent="0.25">
      <c r="A5" s="8" t="s">
        <v>4</v>
      </c>
      <c r="B5" s="9">
        <f>VLOOKUP(B1,'Client Parts'!A2:J191,2,FALSE())</f>
        <v>231.49</v>
      </c>
      <c r="C5" s="10" t="s">
        <v>5</v>
      </c>
      <c r="D5" s="11">
        <f>(B5/VLOOKUP(B4,Materials!A2:I100,5,FALSE()))*4/(VLOOKUP(B4,Materials!A2:I100,2,FALSE())^2*PI())</f>
        <v>75.781384466846944</v>
      </c>
      <c r="E5" s="6" t="s">
        <v>6</v>
      </c>
      <c r="F5" s="66"/>
      <c r="G5" s="1"/>
    </row>
    <row r="6" spans="1:11" x14ac:dyDescent="0.25">
      <c r="A6" s="8" t="s">
        <v>7</v>
      </c>
      <c r="B6" s="12">
        <f>VLOOKUP(B1,'Client Parts'!A2:J191,3,FALSE())</f>
        <v>0.55277777777777781</v>
      </c>
      <c r="C6" s="10" t="s">
        <v>8</v>
      </c>
      <c r="D6" s="13">
        <f>SUM(B6+VLOOKUP($B$3,Printers!$A$2:$H$96,7,FALSE()))*1440/60</f>
        <v>13.433333333333334</v>
      </c>
      <c r="E6" s="10" t="s">
        <v>9</v>
      </c>
      <c r="F6" s="224" t="s">
        <v>244</v>
      </c>
      <c r="G6" s="224"/>
      <c r="H6" s="224"/>
      <c r="I6" s="224"/>
      <c r="J6" s="224"/>
      <c r="K6" s="224"/>
    </row>
    <row r="7" spans="1:11" ht="18.600000000000001" customHeight="1" x14ac:dyDescent="0.25">
      <c r="A7" s="227" t="s">
        <v>19</v>
      </c>
      <c r="B7" s="227"/>
      <c r="C7" s="227"/>
      <c r="D7" s="5" t="s">
        <v>11</v>
      </c>
      <c r="E7" s="5"/>
      <c r="F7" s="152">
        <v>2</v>
      </c>
      <c r="G7" s="152">
        <v>4</v>
      </c>
      <c r="H7" s="152">
        <v>6</v>
      </c>
      <c r="I7" s="152">
        <v>8</v>
      </c>
      <c r="J7" s="152">
        <v>15</v>
      </c>
      <c r="K7" s="152">
        <v>20</v>
      </c>
    </row>
    <row r="8" spans="1:11" ht="14.45" customHeight="1" x14ac:dyDescent="0.25">
      <c r="A8" s="8" t="s">
        <v>12</v>
      </c>
      <c r="B8" s="14">
        <f>VLOOKUP(B1,'Client Parts'!A2:J191,4,FALSE())</f>
        <v>1</v>
      </c>
      <c r="C8" s="10" t="s">
        <v>13</v>
      </c>
      <c r="D8" s="8" t="s">
        <v>3</v>
      </c>
      <c r="E8" s="4">
        <f>B5/1000*VLOOKUP(B4,Materials!A2:I100,9,FALSE())</f>
        <v>3.47235</v>
      </c>
      <c r="F8" s="136">
        <f>SUM($E8*F$22)</f>
        <v>6.9447000000000001</v>
      </c>
      <c r="G8" s="136">
        <f>SUM($E8*G$22)</f>
        <v>13.8894</v>
      </c>
      <c r="H8" s="136">
        <f>SUM($E8*H$22)</f>
        <v>20.834099999999999</v>
      </c>
      <c r="I8" s="136">
        <f>SUM($E8*I$22)</f>
        <v>27.7788</v>
      </c>
      <c r="J8" s="136">
        <f>SUM($E8*J$22)</f>
        <v>52.085250000000002</v>
      </c>
      <c r="K8" s="136">
        <f>SUM($E8*K$22)</f>
        <v>69.447000000000003</v>
      </c>
    </row>
    <row r="9" spans="1:11" x14ac:dyDescent="0.25">
      <c r="A9" s="8" t="s">
        <v>15</v>
      </c>
      <c r="B9" s="14">
        <f>VLOOKUP(B1,'Client Parts'!A2:J191,5,FALSE())</f>
        <v>1</v>
      </c>
      <c r="C9" s="10" t="s">
        <v>13</v>
      </c>
      <c r="D9" s="8" t="s">
        <v>16</v>
      </c>
      <c r="E9" s="15">
        <f>D6*VLOOKUP(B3,Printers!A2:H96,6,FALSE())*General!B2</f>
        <v>0.70524999999999993</v>
      </c>
      <c r="F9" s="138">
        <f>SUM($E9*F$22)</f>
        <v>1.4104999999999999</v>
      </c>
      <c r="G9" s="138">
        <f>SUM($E9*G$22)</f>
        <v>2.8209999999999997</v>
      </c>
      <c r="H9" s="138">
        <f>SUM($E9*H$22)</f>
        <v>4.2314999999999996</v>
      </c>
      <c r="I9" s="138">
        <f>SUM($E9*I$22)</f>
        <v>5.6419999999999995</v>
      </c>
      <c r="J9" s="138">
        <f>SUM($E9*J$22)</f>
        <v>10.578749999999999</v>
      </c>
      <c r="K9" s="138">
        <f>SUM($E9*K$22)</f>
        <v>14.104999999999999</v>
      </c>
    </row>
    <row r="10" spans="1:11" x14ac:dyDescent="0.25">
      <c r="A10" s="8" t="s">
        <v>17</v>
      </c>
      <c r="B10" s="16">
        <f>SUM(B7:B9)</f>
        <v>2</v>
      </c>
      <c r="C10" s="10" t="s">
        <v>13</v>
      </c>
      <c r="D10" s="8" t="s">
        <v>18</v>
      </c>
      <c r="E10" s="17">
        <f>D6*VLOOKUP(B3,Printers!A2:H96,6,FALSE())</f>
        <v>4.7016666666666662</v>
      </c>
      <c r="F10" s="140">
        <f>SUM($E10*F$22)</f>
        <v>9.4033333333333324</v>
      </c>
      <c r="G10" s="140">
        <f>SUM($E10*G$22)</f>
        <v>18.806666666666665</v>
      </c>
      <c r="H10" s="140">
        <f>SUM($E10*H$22)</f>
        <v>28.209999999999997</v>
      </c>
      <c r="I10" s="140">
        <f>SUM($E10*I$22)</f>
        <v>37.61333333333333</v>
      </c>
      <c r="J10" s="140">
        <f>SUM($E10*J$22)</f>
        <v>70.524999999999991</v>
      </c>
      <c r="K10" s="140">
        <f>SUM($E10*K$22)</f>
        <v>94.033333333333331</v>
      </c>
    </row>
    <row r="11" spans="1:11" ht="18.75" x14ac:dyDescent="0.25">
      <c r="A11" s="227" t="s">
        <v>10</v>
      </c>
      <c r="B11" s="227"/>
      <c r="C11" s="227"/>
      <c r="D11" s="8" t="s">
        <v>118</v>
      </c>
      <c r="E11" s="70">
        <f>SUM(D6*General!B7)</f>
        <v>1.7213793103448276</v>
      </c>
      <c r="F11" s="150">
        <f>SUM($E11*F$22)</f>
        <v>3.4427586206896552</v>
      </c>
      <c r="G11" s="150">
        <f>SUM($E11*G$22)</f>
        <v>6.8855172413793104</v>
      </c>
      <c r="H11" s="150">
        <f>SUM($E11*H$22)</f>
        <v>10.328275862068965</v>
      </c>
      <c r="I11" s="150">
        <f>SUM($E11*I$22)</f>
        <v>13.771034482758621</v>
      </c>
      <c r="J11" s="150">
        <f>SUM($E11*J$22)</f>
        <v>25.820689655172416</v>
      </c>
      <c r="K11" s="150">
        <f>SUM($E11*K$22)</f>
        <v>34.427586206896549</v>
      </c>
    </row>
    <row r="12" spans="1:11" x14ac:dyDescent="0.25">
      <c r="A12" s="8" t="s">
        <v>20</v>
      </c>
      <c r="B12" s="14">
        <f>VLOOKUP(B1,'Client Parts'!A2:J191,6,FALSE())</f>
        <v>1</v>
      </c>
      <c r="C12" s="10" t="s">
        <v>13</v>
      </c>
      <c r="D12" s="8" t="s">
        <v>52</v>
      </c>
      <c r="E12" s="18">
        <f>C29</f>
        <v>0</v>
      </c>
      <c r="F12" s="143">
        <f>SUM($E12*F$23)</f>
        <v>0</v>
      </c>
      <c r="G12" s="143">
        <f>SUM($E12*G$23)</f>
        <v>0</v>
      </c>
      <c r="H12" s="143">
        <f>SUM($E12*H$23)</f>
        <v>0</v>
      </c>
      <c r="I12" s="143">
        <f>SUM($E12*I$23)</f>
        <v>0</v>
      </c>
      <c r="J12" s="143">
        <f>SUM($E12*J$23)</f>
        <v>0</v>
      </c>
      <c r="K12" s="143">
        <f>SUM($E12*K$23)</f>
        <v>0</v>
      </c>
    </row>
    <row r="13" spans="1:11" x14ac:dyDescent="0.25">
      <c r="A13" s="8" t="s">
        <v>21</v>
      </c>
      <c r="B13" s="14">
        <f>VLOOKUP(B1,'Client Parts'!A2:J191,7,FALSE())</f>
        <v>1</v>
      </c>
      <c r="C13" s="10" t="s">
        <v>13</v>
      </c>
      <c r="D13" s="8" t="s">
        <v>10</v>
      </c>
      <c r="E13" s="19">
        <f>B14/60*General!B4</f>
        <v>0.83333333333333337</v>
      </c>
      <c r="F13" s="145">
        <f>SUM($E13*F$24)</f>
        <v>0.83333333333333337</v>
      </c>
      <c r="G13" s="145">
        <f>SUM($E13*G$24)</f>
        <v>0.83333333333333337</v>
      </c>
      <c r="H13" s="145">
        <f>SUM($E13*H$24)</f>
        <v>0.83333333333333337</v>
      </c>
      <c r="I13" s="145">
        <f>SUM($E13*I$24)</f>
        <v>0.83333333333333337</v>
      </c>
      <c r="J13" s="145">
        <f>SUM($E13*J$24)</f>
        <v>0.83333333333333337</v>
      </c>
      <c r="K13" s="145">
        <f>SUM($E13*K$24)</f>
        <v>0.83333333333333337</v>
      </c>
    </row>
    <row r="14" spans="1:11" x14ac:dyDescent="0.25">
      <c r="A14" s="8" t="s">
        <v>17</v>
      </c>
      <c r="B14" s="21">
        <f>SUM(B12:B13)</f>
        <v>2</v>
      </c>
      <c r="C14" s="10" t="s">
        <v>13</v>
      </c>
      <c r="D14" s="8" t="s">
        <v>22</v>
      </c>
      <c r="E14" s="20">
        <f>B19/60*General!B4</f>
        <v>0.83333333333333337</v>
      </c>
      <c r="F14" s="147">
        <f>SUM($E14*F$24)</f>
        <v>0.83333333333333337</v>
      </c>
      <c r="G14" s="147">
        <f>SUM($E14*G$24)</f>
        <v>0.83333333333333337</v>
      </c>
      <c r="H14" s="147">
        <f>SUM($E14*H$24)</f>
        <v>0.83333333333333337</v>
      </c>
      <c r="I14" s="147">
        <f>SUM($E14*I$24)</f>
        <v>0.83333333333333337</v>
      </c>
      <c r="J14" s="147">
        <f>SUM($E14*J$24)</f>
        <v>0.83333333333333337</v>
      </c>
      <c r="K14" s="147">
        <f>SUM($E14*K$24)</f>
        <v>0.83333333333333337</v>
      </c>
    </row>
    <row r="15" spans="1:11" ht="18.75" x14ac:dyDescent="0.25">
      <c r="A15" s="227" t="s">
        <v>22</v>
      </c>
      <c r="B15" s="227"/>
      <c r="C15" s="227"/>
      <c r="D15" s="8" t="s">
        <v>19</v>
      </c>
      <c r="E15" s="22">
        <f>B10/60*General!B3</f>
        <v>2.1666666666666665</v>
      </c>
      <c r="F15" s="151">
        <f>SUM($E15*F$24)</f>
        <v>2.1666666666666665</v>
      </c>
      <c r="G15" s="151">
        <f>SUM($E15*G$24)</f>
        <v>2.1666666666666665</v>
      </c>
      <c r="H15" s="151">
        <f>SUM($E15*H$24)</f>
        <v>2.1666666666666665</v>
      </c>
      <c r="I15" s="151">
        <f>SUM($E15*I$24)</f>
        <v>2.1666666666666665</v>
      </c>
      <c r="J15" s="151">
        <f>SUM($E15*J$24)</f>
        <v>2.1666666666666665</v>
      </c>
      <c r="K15" s="151">
        <f>SUM($E15*K$24)</f>
        <v>2.1666666666666665</v>
      </c>
    </row>
    <row r="16" spans="1:11" x14ac:dyDescent="0.25">
      <c r="A16" s="8" t="s">
        <v>26</v>
      </c>
      <c r="B16" s="14">
        <f>VLOOKUP(B1,'Client Parts'!A2:J191,8,FALSE())</f>
        <v>1</v>
      </c>
      <c r="C16" s="10" t="s">
        <v>13</v>
      </c>
      <c r="D16" s="8" t="s">
        <v>213</v>
      </c>
      <c r="E16" s="100" cm="1">
        <f t="array" ref="E16">SUM(E8:E14*(General!B5))</f>
        <v>1.2267312643678159</v>
      </c>
      <c r="F16" s="149" cm="1">
        <f t="array" ref="F16">SUM(F8:F14*(General!$B$5))</f>
        <v>2.2867958620689657</v>
      </c>
      <c r="G16" s="149" cm="1">
        <f t="array" ref="G16">SUM(G8:G14*(General!$B$5))</f>
        <v>4.4069250574712635</v>
      </c>
      <c r="H16" s="149" cm="1">
        <f t="array" ref="H16">SUM(H8:H14*(General!$B$5))</f>
        <v>6.5270542528735627</v>
      </c>
      <c r="I16" s="149" cm="1">
        <f t="array" ref="I16">SUM(I8:I14*(General!$B$5))</f>
        <v>8.6471834482758627</v>
      </c>
      <c r="J16" s="149" cm="1">
        <f t="array" ref="J16">SUM(J8:J14*(General!$B$5))</f>
        <v>16.067635632183908</v>
      </c>
      <c r="K16" s="149" cm="1">
        <f t="array" ref="K16">SUM(K8:K14*(General!$B$5))</f>
        <v>21.367958620689652</v>
      </c>
    </row>
    <row r="17" spans="1:11" x14ac:dyDescent="0.25">
      <c r="A17" s="8" t="s">
        <v>27</v>
      </c>
      <c r="B17" s="14">
        <f>VLOOKUP(B1,'Client Parts'!A2:J191,9,FALSE())</f>
        <v>1</v>
      </c>
      <c r="C17" s="10" t="s">
        <v>13</v>
      </c>
      <c r="D17" s="8" t="s">
        <v>24</v>
      </c>
      <c r="E17" s="23">
        <f>SUM(E8:E15)</f>
        <v>14.433979310344828</v>
      </c>
      <c r="F17" s="27">
        <f t="shared" ref="F17:K17" si="0">SUM(F8:F15)</f>
        <v>25.03462528735632</v>
      </c>
      <c r="G17" s="27">
        <f t="shared" si="0"/>
        <v>46.235917241379312</v>
      </c>
      <c r="H17" s="27">
        <f t="shared" si="0"/>
        <v>67.437209195402289</v>
      </c>
      <c r="I17" s="27">
        <f t="shared" si="0"/>
        <v>88.638501149425281</v>
      </c>
      <c r="J17" s="27">
        <f t="shared" si="0"/>
        <v>162.84302298850574</v>
      </c>
      <c r="K17" s="27">
        <f t="shared" si="0"/>
        <v>215.8462528735632</v>
      </c>
    </row>
    <row r="18" spans="1:11" x14ac:dyDescent="0.25">
      <c r="A18" s="8" t="s">
        <v>29</v>
      </c>
      <c r="B18" s="14">
        <f>VLOOKUP(B1,'Client Parts'!A2:J191,10,FALSE())</f>
        <v>0</v>
      </c>
      <c r="C18" s="10" t="s">
        <v>13</v>
      </c>
      <c r="D18" s="8" t="s">
        <v>288</v>
      </c>
      <c r="E18" s="27"/>
      <c r="F18" s="27">
        <f>F17*General!$B$8+General!$B$9</f>
        <v>1.0260041333333334</v>
      </c>
      <c r="G18" s="27">
        <f>G17*General!$B$8+General!$B$9</f>
        <v>1.6408416000000001</v>
      </c>
      <c r="H18" s="27">
        <f>H17*General!$B$8+General!$B$9</f>
        <v>2.2556790666666666</v>
      </c>
      <c r="I18" s="27">
        <f>I17*General!$B$8+General!$B$9</f>
        <v>2.8705165333333329</v>
      </c>
      <c r="J18" s="27">
        <f>J17*General!$B$8+General!$B$9</f>
        <v>5.0224476666666664</v>
      </c>
      <c r="K18" s="27">
        <f>K17*General!$B$8+General!$B$9</f>
        <v>6.5595413333333328</v>
      </c>
    </row>
    <row r="19" spans="1:11" x14ac:dyDescent="0.25">
      <c r="A19" s="8" t="s">
        <v>17</v>
      </c>
      <c r="B19" s="24">
        <f>SUM(B16:B18)</f>
        <v>2</v>
      </c>
      <c r="C19" s="10" t="s">
        <v>13</v>
      </c>
      <c r="D19" s="8" t="s">
        <v>25</v>
      </c>
      <c r="E19" s="23">
        <f>SUM(E8:E16)</f>
        <v>15.660710574712644</v>
      </c>
      <c r="F19" s="27">
        <f>SUM(F8:F16,F18)</f>
        <v>28.347425282758621</v>
      </c>
      <c r="G19" s="27">
        <f t="shared" ref="G19:K19" si="1">SUM(G8:G16,G18)</f>
        <v>52.283683898850576</v>
      </c>
      <c r="H19" s="27">
        <f t="shared" si="1"/>
        <v>76.219942514942531</v>
      </c>
      <c r="I19" s="27">
        <f t="shared" si="1"/>
        <v>100.15620113103448</v>
      </c>
      <c r="J19" s="27">
        <f t="shared" si="1"/>
        <v>183.93310628735631</v>
      </c>
      <c r="K19" s="27">
        <f t="shared" si="1"/>
        <v>243.77375282758618</v>
      </c>
    </row>
    <row r="20" spans="1:11" ht="18.75" x14ac:dyDescent="0.25">
      <c r="A20" s="227" t="s">
        <v>52</v>
      </c>
      <c r="B20" s="227"/>
      <c r="C20" s="227"/>
      <c r="D20" s="6"/>
      <c r="E20" s="6"/>
    </row>
    <row r="21" spans="1:11" ht="18.75" x14ac:dyDescent="0.25">
      <c r="A21" s="3">
        <f>VLOOKUP(B1,'Client Parts'!A2:AE191,16,FALSE())</f>
        <v>0</v>
      </c>
      <c r="B21" s="3">
        <f>VLOOKUP(B1,'Client Parts'!A2:AE191,17,FALSE())</f>
        <v>0</v>
      </c>
      <c r="C21" s="26" t="e">
        <f>SUM(B21)*(VLOOKUP(A21,'Hardware|Consumables'!A2:D198,2,FALSE()))</f>
        <v>#N/A</v>
      </c>
      <c r="D21" s="5" t="s">
        <v>28</v>
      </c>
      <c r="E21" s="5"/>
    </row>
    <row r="22" spans="1:11" x14ac:dyDescent="0.25">
      <c r="A22" s="3">
        <f>VLOOKUP(B1,'Client Parts'!A2:AE191,18,FALSE())</f>
        <v>0</v>
      </c>
      <c r="B22" s="3">
        <f>VLOOKUP(B1,'Client Parts'!A2:AE191,19,FALSE())</f>
        <v>0</v>
      </c>
      <c r="C22" s="26" t="e">
        <f>SUM(B22)*(VLOOKUP(A22,'Hardware|Consumables'!A3:D199,2,FALSE()))</f>
        <v>#N/A</v>
      </c>
      <c r="D22" s="8" t="s">
        <v>75</v>
      </c>
      <c r="E22" s="217"/>
      <c r="F22" s="25">
        <v>2</v>
      </c>
      <c r="G22" s="25">
        <v>4</v>
      </c>
      <c r="H22" s="25">
        <v>6</v>
      </c>
      <c r="I22" s="25">
        <v>8</v>
      </c>
      <c r="J22" s="25">
        <v>15</v>
      </c>
      <c r="K22" s="25">
        <v>20</v>
      </c>
    </row>
    <row r="23" spans="1:11" x14ac:dyDescent="0.25">
      <c r="A23" s="3">
        <f>VLOOKUP(B1,'Client Parts'!A2:AE191,20,FALSE())</f>
        <v>0</v>
      </c>
      <c r="B23" s="3">
        <f>VLOOKUP(B1,'Client Parts'!A2:AE191,21,FALSE())</f>
        <v>0</v>
      </c>
      <c r="C23" s="26" t="e">
        <f>SUM(B23)*(VLOOKUP(A23,'Hardware|Consumables'!A4:D200,2,FALSE()))</f>
        <v>#N/A</v>
      </c>
      <c r="D23" s="8" t="s">
        <v>50</v>
      </c>
      <c r="E23" s="218">
        <f>E12*1.5</f>
        <v>0</v>
      </c>
      <c r="F23" s="25">
        <v>1.5</v>
      </c>
      <c r="G23" s="25">
        <v>1.5</v>
      </c>
      <c r="H23" s="25">
        <v>1.5</v>
      </c>
      <c r="I23" s="25">
        <v>1.5</v>
      </c>
      <c r="J23" s="25">
        <v>1.5</v>
      </c>
      <c r="K23" s="25">
        <v>1.5</v>
      </c>
    </row>
    <row r="24" spans="1:11" x14ac:dyDescent="0.25">
      <c r="A24" s="3">
        <f>VLOOKUP(B1,'Client Parts'!A2:AE191,22,FALSE())</f>
        <v>0</v>
      </c>
      <c r="B24" s="3">
        <f>VLOOKUP(B1,'Client Parts'!A2:AE191,23,FALSE())</f>
        <v>0</v>
      </c>
      <c r="C24" s="26" t="e">
        <f>SUM(B24)*(VLOOKUP(A24,'Hardware|Consumables'!A5:D201,2,FALSE()))</f>
        <v>#N/A</v>
      </c>
      <c r="D24" s="8" t="s">
        <v>54</v>
      </c>
      <c r="E24" s="218">
        <f>SUM(E13:E15)</f>
        <v>3.833333333333333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</row>
    <row r="25" spans="1:11" x14ac:dyDescent="0.25">
      <c r="A25" s="3">
        <f>VLOOKUP(B1,'Client Parts'!A2:AE191,24,FALSE())</f>
        <v>0</v>
      </c>
      <c r="B25" s="3">
        <f>VLOOKUP(B1,'Client Parts'!A2:AE191,25,FALSE())</f>
        <v>0</v>
      </c>
      <c r="C25" s="26" t="e">
        <f>SUM(B25)*(VLOOKUP(A25,'Hardware|Consumables'!A6:D202,2,FALSE()))</f>
        <v>#N/A</v>
      </c>
      <c r="D25" s="8" t="s">
        <v>105</v>
      </c>
      <c r="E25" s="27">
        <f>VLOOKUP(B1,'Client Parts'!A2:AE188,11,FALSE())</f>
        <v>0</v>
      </c>
      <c r="F25" s="27">
        <f>F19</f>
        <v>28.347425282758621</v>
      </c>
      <c r="G25" s="27">
        <f t="shared" ref="G25:K25" si="2">G19</f>
        <v>52.283683898850576</v>
      </c>
      <c r="H25" s="27">
        <f t="shared" si="2"/>
        <v>76.219942514942531</v>
      </c>
      <c r="I25" s="27">
        <f t="shared" si="2"/>
        <v>100.15620113103448</v>
      </c>
      <c r="J25" s="27">
        <f t="shared" si="2"/>
        <v>183.93310628735631</v>
      </c>
      <c r="K25" s="27">
        <f t="shared" si="2"/>
        <v>243.77375282758618</v>
      </c>
    </row>
    <row r="26" spans="1:11" x14ac:dyDescent="0.25">
      <c r="A26" s="3">
        <f>VLOOKUP(B1,'Client Parts'!A2:AE191,26,FALSE())</f>
        <v>0</v>
      </c>
      <c r="B26" s="3">
        <f>VLOOKUP(B1,'Client Parts'!A2:AE191,27,FALSE())</f>
        <v>0</v>
      </c>
      <c r="C26" s="26" t="e">
        <f>SUM(B26)*(VLOOKUP(A26,'Hardware|Consumables'!A7:D203,2,FALSE()))</f>
        <v>#N/A</v>
      </c>
      <c r="D26" s="29" t="s">
        <v>85</v>
      </c>
      <c r="E26" s="28">
        <f>E25-E19</f>
        <v>-15.660710574712644</v>
      </c>
      <c r="F26" s="28">
        <f t="shared" ref="F26:K26" si="3">F25-$E19</f>
        <v>12.686714708045978</v>
      </c>
      <c r="G26" s="28">
        <f t="shared" si="3"/>
        <v>36.622973324137931</v>
      </c>
      <c r="H26" s="28">
        <f t="shared" si="3"/>
        <v>60.559231940229886</v>
      </c>
      <c r="I26" s="28">
        <f t="shared" si="3"/>
        <v>84.49549055632184</v>
      </c>
      <c r="J26" s="28">
        <f t="shared" si="3"/>
        <v>168.27239571264366</v>
      </c>
      <c r="K26" s="28">
        <f t="shared" si="3"/>
        <v>228.11304225287353</v>
      </c>
    </row>
    <row r="27" spans="1:11" x14ac:dyDescent="0.25">
      <c r="A27" s="3">
        <f>VLOOKUP(B1,'Client Parts'!A2:AE191,28,FALSE())</f>
        <v>0</v>
      </c>
      <c r="B27" s="3">
        <f>VLOOKUP(B1,'Client Parts'!A2:AE191,29,FALSE())</f>
        <v>0</v>
      </c>
      <c r="C27" s="26" t="e">
        <f>SUM(B27)*(VLOOKUP(A27,'Hardware|Consumables'!A8:D204,2,FALSE()))</f>
        <v>#N/A</v>
      </c>
      <c r="D27" s="29" t="s">
        <v>107</v>
      </c>
      <c r="E27" s="30" t="e">
        <f t="shared" ref="E27" si="4">SUM(E26/E25)</f>
        <v>#DIV/0!</v>
      </c>
      <c r="F27" s="30">
        <f t="shared" ref="F27:K27" si="5">SUM(F26/F25)</f>
        <v>0.44754380976399466</v>
      </c>
      <c r="G27" s="30">
        <f t="shared" si="5"/>
        <v>0.70046658140978979</v>
      </c>
      <c r="H27" s="30">
        <f t="shared" si="5"/>
        <v>0.79453263728659407</v>
      </c>
      <c r="I27" s="30">
        <f t="shared" si="5"/>
        <v>0.84363713481680769</v>
      </c>
      <c r="J27" s="30">
        <f t="shared" si="5"/>
        <v>0.91485648836786282</v>
      </c>
      <c r="K27" s="30">
        <f t="shared" si="5"/>
        <v>0.93575719127649892</v>
      </c>
    </row>
    <row r="28" spans="1:11" x14ac:dyDescent="0.25">
      <c r="A28" s="3">
        <f>VLOOKUP(B1,'Client Parts'!A2:AE191,30,FALSE())</f>
        <v>0</v>
      </c>
      <c r="B28" s="3">
        <f>VLOOKUP(B1,'Client Parts'!A2:AE191,31,FALSE())</f>
        <v>0</v>
      </c>
      <c r="C28" s="26" t="e">
        <f>SUM(B28)*(VLOOKUP(A28,'Hardware|Consumables'!A9:D205,2,FALSE()))</f>
        <v>#N/A</v>
      </c>
      <c r="D28" s="8" t="s">
        <v>237</v>
      </c>
      <c r="E28" s="67">
        <v>0.5</v>
      </c>
      <c r="F28" s="67"/>
      <c r="G28" s="67"/>
      <c r="H28" s="67"/>
      <c r="I28" s="62"/>
      <c r="J28" s="62"/>
      <c r="K28" s="62"/>
    </row>
    <row r="29" spans="1:11" x14ac:dyDescent="0.25">
      <c r="A29" s="8" t="s">
        <v>23</v>
      </c>
      <c r="B29" s="8"/>
      <c r="C29" s="32">
        <f>SUMIF(C21:C28,"&lt;&gt;#N/A")</f>
        <v>0</v>
      </c>
      <c r="D29" s="8" t="s">
        <v>110</v>
      </c>
      <c r="E29" s="31">
        <f>SUM(E26*(1-E28)+$E$19)</f>
        <v>7.8303552873563218</v>
      </c>
      <c r="F29" s="31">
        <f t="shared" ref="F29:K29" si="6">SUM(F26*(1-F28)+$E$19)</f>
        <v>28.347425282758621</v>
      </c>
      <c r="G29" s="31">
        <f t="shared" si="6"/>
        <v>52.283683898850576</v>
      </c>
      <c r="H29" s="31">
        <f t="shared" si="6"/>
        <v>76.219942514942531</v>
      </c>
      <c r="I29" s="31">
        <f t="shared" si="6"/>
        <v>100.15620113103448</v>
      </c>
      <c r="J29" s="31">
        <f t="shared" si="6"/>
        <v>183.93310628735631</v>
      </c>
      <c r="K29" s="31">
        <f t="shared" si="6"/>
        <v>243.77375282758618</v>
      </c>
    </row>
    <row r="30" spans="1:11" x14ac:dyDescent="0.25">
      <c r="A30" s="6"/>
      <c r="B30" s="6"/>
      <c r="C30" s="10"/>
      <c r="D30" s="8" t="s">
        <v>111</v>
      </c>
      <c r="E30" s="31">
        <f>SUM(E26*$E28)</f>
        <v>-7.8303552873563218</v>
      </c>
      <c r="F30" s="31">
        <f t="shared" ref="F30:K30" si="7">SUM(F26*$E28)</f>
        <v>6.3433573540229888</v>
      </c>
      <c r="G30" s="31">
        <f t="shared" si="7"/>
        <v>18.311486662068965</v>
      </c>
      <c r="H30" s="31">
        <f t="shared" si="7"/>
        <v>30.279615970114943</v>
      </c>
      <c r="I30" s="31">
        <f t="shared" si="7"/>
        <v>42.24774527816092</v>
      </c>
      <c r="J30" s="31">
        <f t="shared" si="7"/>
        <v>84.136197856321829</v>
      </c>
      <c r="K30" s="31">
        <f t="shared" si="7"/>
        <v>114.05652112643676</v>
      </c>
    </row>
    <row r="31" spans="1:11" x14ac:dyDescent="0.25">
      <c r="A31" s="6"/>
      <c r="B31" s="6"/>
      <c r="C31" s="6"/>
      <c r="D31" s="8"/>
      <c r="E31" s="134">
        <f>SUM(E30/E29)</f>
        <v>-1</v>
      </c>
      <c r="F31" s="134">
        <f t="shared" ref="F31:K31" si="8">SUM(F30/F29)</f>
        <v>0.22377190488199733</v>
      </c>
      <c r="G31" s="134">
        <f t="shared" si="8"/>
        <v>0.3502332907048949</v>
      </c>
      <c r="H31" s="134">
        <f t="shared" si="8"/>
        <v>0.39726631864329703</v>
      </c>
      <c r="I31" s="134">
        <f t="shared" si="8"/>
        <v>0.42181856740840384</v>
      </c>
      <c r="J31" s="134">
        <f t="shared" si="8"/>
        <v>0.45742824418393141</v>
      </c>
      <c r="K31" s="134">
        <f t="shared" si="8"/>
        <v>0.46787859563824946</v>
      </c>
    </row>
    <row r="32" spans="1:11" ht="13.7" customHeight="1" x14ac:dyDescent="0.25">
      <c r="A32" s="6"/>
      <c r="B32" s="6"/>
      <c r="C32" s="6"/>
      <c r="D32" s="29" t="s">
        <v>115</v>
      </c>
      <c r="E32" s="68">
        <f>SUM($F25/$D6)</f>
        <v>2.1102301699324033</v>
      </c>
      <c r="F32" s="68">
        <f>SUM($F25/$D6)</f>
        <v>2.1102301699324033</v>
      </c>
      <c r="G32" s="68">
        <f>SUM($F25/$D6)</f>
        <v>2.1102301699324033</v>
      </c>
      <c r="H32" s="68">
        <f>SUM($F25/$D6)</f>
        <v>2.1102301699324033</v>
      </c>
      <c r="I32" s="68">
        <f>SUM($F25/$D6)</f>
        <v>2.1102301699324033</v>
      </c>
      <c r="J32" s="68">
        <f>SUM(J25/$D6)</f>
        <v>13.692290790622058</v>
      </c>
      <c r="K32" s="68">
        <f>SUM(K25/$D6)</f>
        <v>18.14692949088731</v>
      </c>
    </row>
    <row r="33" spans="4:11" ht="13.7" customHeight="1" x14ac:dyDescent="0.25">
      <c r="D33" s="29" t="s">
        <v>116</v>
      </c>
      <c r="E33" s="68">
        <f>SUM(E25/$B5)</f>
        <v>0</v>
      </c>
      <c r="F33" s="68">
        <f>SUM(F25/$B5)</f>
        <v>0.12245637082707081</v>
      </c>
      <c r="G33" s="68">
        <f>SUM(G25/$B5)</f>
        <v>0.22585720289796785</v>
      </c>
      <c r="H33" s="68">
        <f>SUM(H25/$B5)</f>
        <v>0.32925803496886485</v>
      </c>
      <c r="I33" s="68">
        <f>SUM(I25/$B5)</f>
        <v>0.43265886703976186</v>
      </c>
      <c r="J33" s="68">
        <f>SUM(J25/$B5)</f>
        <v>0.79456177928790139</v>
      </c>
      <c r="K33" s="68">
        <f>SUM(K25/$B5)</f>
        <v>1.053063859465144</v>
      </c>
    </row>
    <row r="34" spans="4:11" ht="13.7" customHeight="1" x14ac:dyDescent="0.25">
      <c r="D34" s="8"/>
      <c r="E34" s="6"/>
    </row>
    <row r="35" spans="4:11" ht="13.7" customHeight="1" x14ac:dyDescent="0.25"/>
    <row r="36" spans="4:11" ht="13.7" customHeight="1" x14ac:dyDescent="0.25"/>
    <row r="37" spans="4:11" ht="13.7" customHeight="1" x14ac:dyDescent="0.25"/>
  </sheetData>
  <mergeCells count="9">
    <mergeCell ref="F6:K6"/>
    <mergeCell ref="A15:C15"/>
    <mergeCell ref="A20:C20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7405A84-8C22-4827-AA80-3A0BB384C94E}">
          <x14:formula1>
            <xm:f>Printers!$A$2:$A$46</xm:f>
          </x14:formula1>
          <xm:sqref>B3:C3</xm:sqref>
        </x14:dataValidation>
        <x14:dataValidation type="list" allowBlank="1" showInputMessage="1" showErrorMessage="1" xr:uid="{20EDC242-BF5B-444D-8E32-2A9C616B46B8}">
          <x14:formula1>
            <xm:f>'Client Parts'!$A$2:$A$136</xm:f>
          </x14:formula1>
          <xm:sqref>B1:D1</xm:sqref>
        </x14:dataValidation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 codeName="Sheet4">
    <tabColor rgb="FFFFFF00"/>
  </sheetPr>
  <dimension ref="A1:AE21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defaultColWidth="9.140625" defaultRowHeight="12" x14ac:dyDescent="0.2"/>
  <cols>
    <col min="1" max="1" width="42.7109375" style="41" bestFit="1" customWidth="1"/>
    <col min="2" max="2" width="6.85546875" style="41" customWidth="1"/>
    <col min="3" max="3" width="7" style="41" bestFit="1" customWidth="1"/>
    <col min="4" max="4" width="3.5703125" style="41" bestFit="1" customWidth="1"/>
    <col min="5" max="10" width="3.140625" style="41" bestFit="1" customWidth="1"/>
    <col min="11" max="11" width="7.7109375" style="72" bestFit="1" customWidth="1"/>
    <col min="12" max="12" width="3.5703125" style="59" bestFit="1" customWidth="1"/>
    <col min="13" max="13" width="3.140625" style="59" bestFit="1" customWidth="1"/>
    <col min="14" max="14" width="4" style="59" bestFit="1" customWidth="1"/>
    <col min="15" max="15" width="9" style="59" bestFit="1" customWidth="1"/>
    <col min="16" max="16" width="26.42578125" style="41" bestFit="1" customWidth="1"/>
    <col min="17" max="17" width="2.42578125" style="41" bestFit="1" customWidth="1"/>
    <col min="18" max="18" width="32.5703125" style="41" bestFit="1" customWidth="1"/>
    <col min="19" max="19" width="2.7109375" style="41" bestFit="1" customWidth="1"/>
    <col min="20" max="20" width="27.5703125" style="41" bestFit="1" customWidth="1"/>
    <col min="21" max="21" width="2.42578125" style="41" bestFit="1" customWidth="1"/>
    <col min="22" max="22" width="9.28515625" style="41" bestFit="1" customWidth="1"/>
    <col min="23" max="23" width="2.42578125" style="41" bestFit="1" customWidth="1"/>
    <col min="24" max="24" width="9.28515625" style="41" bestFit="1" customWidth="1"/>
    <col min="25" max="25" width="2.42578125" style="41" bestFit="1" customWidth="1"/>
    <col min="26" max="26" width="9.28515625" style="41" bestFit="1" customWidth="1"/>
    <col min="27" max="27" width="2.42578125" style="41" bestFit="1" customWidth="1"/>
    <col min="28" max="28" width="9.28515625" style="41" bestFit="1" customWidth="1"/>
    <col min="29" max="29" width="2.42578125" style="41" bestFit="1" customWidth="1"/>
    <col min="30" max="30" width="9.28515625" style="41" bestFit="1" customWidth="1"/>
    <col min="31" max="31" width="2.42578125" style="41" bestFit="1" customWidth="1"/>
    <col min="32" max="16384" width="9.140625" style="41"/>
  </cols>
  <sheetData>
    <row r="1" spans="1:31" ht="67.5" thickBot="1" x14ac:dyDescent="0.25">
      <c r="A1" s="97" t="s">
        <v>31</v>
      </c>
      <c r="B1" s="34" t="s">
        <v>86</v>
      </c>
      <c r="C1" s="34" t="s">
        <v>55</v>
      </c>
      <c r="D1" s="35" t="s">
        <v>83</v>
      </c>
      <c r="E1" s="35" t="s">
        <v>56</v>
      </c>
      <c r="F1" s="36" t="s">
        <v>20</v>
      </c>
      <c r="G1" s="36" t="s">
        <v>21</v>
      </c>
      <c r="H1" s="37" t="s">
        <v>26</v>
      </c>
      <c r="I1" s="37" t="s">
        <v>27</v>
      </c>
      <c r="J1" s="37" t="s">
        <v>29</v>
      </c>
      <c r="K1" s="38" t="s">
        <v>84</v>
      </c>
      <c r="L1" s="39" t="s">
        <v>78</v>
      </c>
      <c r="M1" s="39" t="s">
        <v>79</v>
      </c>
      <c r="N1" s="39" t="s">
        <v>80</v>
      </c>
      <c r="O1" s="39" t="s">
        <v>81</v>
      </c>
      <c r="P1" s="40" t="s">
        <v>67</v>
      </c>
      <c r="Q1" s="40" t="s">
        <v>66</v>
      </c>
      <c r="R1" s="40" t="s">
        <v>68</v>
      </c>
      <c r="S1" s="40" t="s">
        <v>66</v>
      </c>
      <c r="T1" s="40" t="s">
        <v>69</v>
      </c>
      <c r="U1" s="40" t="s">
        <v>66</v>
      </c>
      <c r="V1" s="40" t="s">
        <v>70</v>
      </c>
      <c r="W1" s="40" t="s">
        <v>66</v>
      </c>
      <c r="X1" s="40" t="s">
        <v>71</v>
      </c>
      <c r="Y1" s="40" t="s">
        <v>66</v>
      </c>
      <c r="Z1" s="40" t="s">
        <v>72</v>
      </c>
      <c r="AA1" s="40" t="s">
        <v>66</v>
      </c>
      <c r="AB1" s="40" t="s">
        <v>73</v>
      </c>
      <c r="AC1" s="40" t="s">
        <v>66</v>
      </c>
      <c r="AD1" s="40" t="s">
        <v>74</v>
      </c>
      <c r="AE1" s="40" t="s">
        <v>66</v>
      </c>
    </row>
    <row r="2" spans="1:31" ht="12.75" thickBot="1" x14ac:dyDescent="0.25">
      <c r="A2" s="41" t="s">
        <v>301</v>
      </c>
      <c r="B2" s="41">
        <v>42.11</v>
      </c>
      <c r="C2" s="71">
        <v>0.14930555555555555</v>
      </c>
      <c r="D2" s="41">
        <v>0</v>
      </c>
      <c r="E2" s="41">
        <v>0</v>
      </c>
      <c r="F2" s="41">
        <v>1</v>
      </c>
      <c r="G2" s="41">
        <v>1</v>
      </c>
      <c r="H2" s="41">
        <v>1</v>
      </c>
      <c r="I2" s="41">
        <v>5</v>
      </c>
      <c r="J2" s="41">
        <v>0</v>
      </c>
      <c r="L2" s="48"/>
      <c r="M2" s="48"/>
      <c r="N2" s="49"/>
      <c r="O2" s="48"/>
      <c r="P2" s="50"/>
      <c r="Q2" s="51"/>
      <c r="R2" s="50"/>
      <c r="S2" s="51"/>
      <c r="T2" s="50"/>
      <c r="U2" s="51"/>
      <c r="V2" s="50"/>
      <c r="W2" s="51"/>
      <c r="X2" s="50"/>
      <c r="Y2" s="51"/>
      <c r="Z2" s="50"/>
      <c r="AA2" s="51"/>
      <c r="AB2" s="50"/>
      <c r="AC2" s="51"/>
      <c r="AD2" s="50"/>
      <c r="AE2" s="51"/>
    </row>
    <row r="3" spans="1:31" ht="12.75" thickBot="1" x14ac:dyDescent="0.25">
      <c r="A3" s="41" t="s">
        <v>302</v>
      </c>
      <c r="B3" s="42">
        <v>7.84</v>
      </c>
      <c r="C3" s="43">
        <v>2.4999999999999998E-2</v>
      </c>
      <c r="D3" s="44">
        <v>0</v>
      </c>
      <c r="E3" s="44">
        <v>1</v>
      </c>
      <c r="F3" s="45">
        <v>1</v>
      </c>
      <c r="G3" s="45">
        <v>1</v>
      </c>
      <c r="H3" s="46">
        <v>1</v>
      </c>
      <c r="I3" s="46">
        <v>1</v>
      </c>
      <c r="J3" s="46">
        <v>0</v>
      </c>
      <c r="K3" s="47"/>
      <c r="L3" s="48"/>
      <c r="M3" s="48"/>
      <c r="N3" s="49"/>
      <c r="O3" s="48"/>
      <c r="P3" s="50"/>
      <c r="Q3" s="51"/>
      <c r="R3" s="50"/>
      <c r="S3" s="51"/>
      <c r="T3" s="50"/>
      <c r="U3" s="51"/>
      <c r="V3" s="50"/>
      <c r="W3" s="51"/>
      <c r="X3" s="50"/>
      <c r="Y3" s="51"/>
      <c r="Z3" s="50"/>
      <c r="AA3" s="51"/>
      <c r="AB3" s="50"/>
      <c r="AC3" s="51"/>
      <c r="AD3" s="50"/>
      <c r="AE3" s="51"/>
    </row>
    <row r="4" spans="1:31" ht="12.75" thickBot="1" x14ac:dyDescent="0.25">
      <c r="A4" s="41" t="s">
        <v>303</v>
      </c>
      <c r="B4" s="42">
        <v>685.83</v>
      </c>
      <c r="C4" s="43">
        <v>3.1805555555555554</v>
      </c>
      <c r="D4" s="44">
        <v>0</v>
      </c>
      <c r="E4" s="44">
        <v>10</v>
      </c>
      <c r="F4" s="45">
        <v>1</v>
      </c>
      <c r="G4" s="45">
        <v>1</v>
      </c>
      <c r="H4" s="46">
        <v>2</v>
      </c>
      <c r="I4" s="46">
        <v>0</v>
      </c>
      <c r="J4" s="46">
        <v>0</v>
      </c>
      <c r="K4" s="47"/>
      <c r="L4" s="48"/>
      <c r="M4" s="48"/>
      <c r="N4" s="49"/>
      <c r="O4" s="48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</row>
    <row r="5" spans="1:31" ht="12.75" thickBot="1" x14ac:dyDescent="0.25">
      <c r="A5" s="41" t="s">
        <v>304</v>
      </c>
      <c r="B5" s="42">
        <v>48.13</v>
      </c>
      <c r="C5" s="43">
        <v>0.19375000000000001</v>
      </c>
      <c r="D5" s="44">
        <v>0</v>
      </c>
      <c r="E5" s="44">
        <v>5</v>
      </c>
      <c r="F5" s="45">
        <v>1</v>
      </c>
      <c r="G5" s="45">
        <v>1</v>
      </c>
      <c r="H5" s="46">
        <v>1</v>
      </c>
      <c r="I5" s="46">
        <v>0</v>
      </c>
      <c r="J5" s="46">
        <v>0</v>
      </c>
      <c r="K5" s="47"/>
      <c r="L5" s="48"/>
      <c r="M5" s="48"/>
      <c r="N5" s="49"/>
      <c r="O5" s="48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</row>
    <row r="6" spans="1:31" ht="12.75" thickBot="1" x14ac:dyDescent="0.25">
      <c r="A6" s="41" t="s">
        <v>305</v>
      </c>
      <c r="B6" s="42">
        <v>89.95</v>
      </c>
      <c r="C6" s="43">
        <v>0.37013888888888885</v>
      </c>
      <c r="D6" s="44">
        <v>0</v>
      </c>
      <c r="E6" s="44">
        <v>5</v>
      </c>
      <c r="F6" s="45">
        <v>1</v>
      </c>
      <c r="G6" s="45">
        <v>1</v>
      </c>
      <c r="H6" s="46">
        <v>1</v>
      </c>
      <c r="I6" s="46">
        <v>0</v>
      </c>
      <c r="J6" s="46">
        <v>0</v>
      </c>
      <c r="K6" s="47"/>
      <c r="L6" s="48"/>
      <c r="M6" s="48"/>
      <c r="N6" s="49"/>
      <c r="O6" s="48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</row>
    <row r="7" spans="1:31" ht="12.75" thickBot="1" x14ac:dyDescent="0.25">
      <c r="A7" s="41" t="s">
        <v>306</v>
      </c>
      <c r="B7" s="42">
        <v>54.51</v>
      </c>
      <c r="C7" s="52">
        <v>9.7916666666666666E-2</v>
      </c>
      <c r="D7" s="53">
        <v>0</v>
      </c>
      <c r="E7" s="53">
        <v>0</v>
      </c>
      <c r="F7" s="54">
        <v>1</v>
      </c>
      <c r="G7" s="54">
        <v>1</v>
      </c>
      <c r="H7" s="55">
        <v>1</v>
      </c>
      <c r="I7" s="46">
        <v>0</v>
      </c>
      <c r="J7" s="55">
        <v>0</v>
      </c>
      <c r="K7" s="56"/>
      <c r="L7" s="48"/>
      <c r="M7" s="48"/>
      <c r="N7" s="49"/>
      <c r="O7" s="48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</row>
    <row r="8" spans="1:31" ht="12.75" thickBot="1" x14ac:dyDescent="0.25">
      <c r="A8" s="41" t="s">
        <v>307</v>
      </c>
      <c r="B8" s="42">
        <v>21.56</v>
      </c>
      <c r="C8" s="52">
        <v>6.5277777777777782E-2</v>
      </c>
      <c r="D8" s="44">
        <v>0</v>
      </c>
      <c r="E8" s="44">
        <v>2</v>
      </c>
      <c r="F8" s="45">
        <v>1</v>
      </c>
      <c r="G8" s="45">
        <v>1</v>
      </c>
      <c r="H8" s="46">
        <v>1</v>
      </c>
      <c r="I8" s="46">
        <v>0</v>
      </c>
      <c r="J8" s="46">
        <v>10</v>
      </c>
      <c r="K8" s="56"/>
      <c r="L8" s="48"/>
      <c r="M8" s="48"/>
      <c r="N8" s="49"/>
      <c r="O8" s="48"/>
      <c r="P8" s="50" t="s">
        <v>221</v>
      </c>
      <c r="Q8" s="51">
        <v>1</v>
      </c>
      <c r="R8" s="50"/>
      <c r="S8" s="51"/>
      <c r="T8" s="50"/>
      <c r="U8" s="51"/>
      <c r="V8" s="50"/>
      <c r="W8" s="51"/>
      <c r="X8" s="50"/>
      <c r="Y8" s="51"/>
      <c r="Z8" s="50"/>
      <c r="AA8" s="51"/>
      <c r="AB8" s="50"/>
      <c r="AC8" s="51"/>
      <c r="AD8" s="50"/>
      <c r="AE8" s="51"/>
    </row>
    <row r="9" spans="1:31" ht="12.75" thickBot="1" x14ac:dyDescent="0.25">
      <c r="A9" s="41" t="s">
        <v>308</v>
      </c>
      <c r="B9" s="60">
        <v>1145.55</v>
      </c>
      <c r="C9" s="71">
        <v>4.1069444444444443</v>
      </c>
      <c r="D9" s="53">
        <v>0</v>
      </c>
      <c r="E9" s="53">
        <v>0</v>
      </c>
      <c r="F9" s="54">
        <v>1</v>
      </c>
      <c r="G9" s="54">
        <v>1</v>
      </c>
      <c r="H9" s="55">
        <v>1</v>
      </c>
      <c r="I9" s="55">
        <v>0</v>
      </c>
      <c r="J9" s="55">
        <v>0</v>
      </c>
      <c r="K9" s="56"/>
      <c r="L9" s="48"/>
      <c r="M9" s="48"/>
      <c r="N9" s="49"/>
      <c r="O9" s="48"/>
      <c r="P9" s="73"/>
      <c r="Q9" s="74"/>
      <c r="R9" s="73"/>
      <c r="S9" s="74"/>
      <c r="T9" s="73"/>
      <c r="U9" s="74"/>
      <c r="V9" s="73"/>
      <c r="W9" s="74"/>
      <c r="X9" s="73"/>
      <c r="Y9" s="74"/>
      <c r="Z9" s="73"/>
      <c r="AA9" s="74"/>
      <c r="AB9" s="73"/>
      <c r="AC9" s="74"/>
      <c r="AD9" s="73"/>
      <c r="AE9" s="74"/>
    </row>
    <row r="10" spans="1:31" ht="12.75" thickBot="1" x14ac:dyDescent="0.25">
      <c r="A10" s="41" t="s">
        <v>309</v>
      </c>
      <c r="B10" s="42">
        <v>231.49</v>
      </c>
      <c r="C10" s="52">
        <v>0.55277777777777781</v>
      </c>
      <c r="D10" s="44">
        <v>1</v>
      </c>
      <c r="E10" s="44">
        <v>1</v>
      </c>
      <c r="F10" s="45">
        <v>1</v>
      </c>
      <c r="G10" s="45">
        <v>1</v>
      </c>
      <c r="H10" s="46">
        <v>1</v>
      </c>
      <c r="I10" s="46">
        <v>1</v>
      </c>
      <c r="J10" s="46">
        <v>0</v>
      </c>
      <c r="K10" s="56"/>
      <c r="L10" s="48"/>
      <c r="M10" s="48"/>
      <c r="N10" s="49"/>
      <c r="O10" s="48"/>
      <c r="P10" s="50"/>
      <c r="Q10" s="51"/>
      <c r="R10" s="50"/>
      <c r="S10" s="51"/>
      <c r="T10" s="50"/>
      <c r="U10" s="51"/>
      <c r="V10" s="50"/>
      <c r="W10" s="51"/>
      <c r="X10" s="50"/>
      <c r="Y10" s="51"/>
      <c r="Z10" s="50"/>
      <c r="AA10" s="51"/>
      <c r="AB10" s="50"/>
      <c r="AC10" s="51"/>
      <c r="AD10" s="50"/>
      <c r="AE10" s="51"/>
    </row>
    <row r="11" spans="1:31" ht="12.75" thickBot="1" x14ac:dyDescent="0.25">
      <c r="A11" s="41" t="s">
        <v>310</v>
      </c>
      <c r="B11" s="42">
        <v>1480.14</v>
      </c>
      <c r="C11" s="43">
        <v>7.8590277777777775</v>
      </c>
      <c r="D11" s="44">
        <v>0</v>
      </c>
      <c r="E11" s="44">
        <v>0</v>
      </c>
      <c r="F11" s="45">
        <v>1</v>
      </c>
      <c r="G11" s="45">
        <v>1</v>
      </c>
      <c r="H11" s="46">
        <v>1</v>
      </c>
      <c r="I11" s="46">
        <v>0</v>
      </c>
      <c r="J11" s="46">
        <v>0</v>
      </c>
      <c r="K11" s="47"/>
      <c r="L11" s="48"/>
      <c r="M11" s="48"/>
      <c r="N11" s="49"/>
      <c r="O11" s="48"/>
      <c r="P11" s="50"/>
      <c r="Q11" s="51"/>
      <c r="R11" s="50"/>
      <c r="S11" s="51"/>
      <c r="T11" s="50"/>
      <c r="U11" s="51"/>
      <c r="V11" s="50"/>
      <c r="W11" s="51"/>
      <c r="X11" s="50"/>
      <c r="Y11" s="51"/>
      <c r="Z11" s="50"/>
      <c r="AA11" s="51"/>
      <c r="AB11" s="50"/>
      <c r="AC11" s="51"/>
      <c r="AD11" s="50"/>
      <c r="AE11" s="51"/>
    </row>
    <row r="12" spans="1:31" ht="12.75" thickBot="1" x14ac:dyDescent="0.25">
      <c r="A12" s="41" t="s">
        <v>311</v>
      </c>
      <c r="B12" s="42">
        <v>135.37</v>
      </c>
      <c r="C12" s="43">
        <v>0.32569444444444445</v>
      </c>
      <c r="D12" s="44">
        <v>0</v>
      </c>
      <c r="E12" s="44">
        <v>1</v>
      </c>
      <c r="F12" s="45">
        <v>1</v>
      </c>
      <c r="G12" s="45">
        <v>1</v>
      </c>
      <c r="H12" s="46">
        <v>1</v>
      </c>
      <c r="I12" s="46">
        <v>0</v>
      </c>
      <c r="J12" s="46">
        <v>0</v>
      </c>
      <c r="K12" s="47">
        <v>16.989999999999998</v>
      </c>
      <c r="L12" s="48"/>
      <c r="M12" s="48"/>
      <c r="N12" s="49"/>
      <c r="O12" s="48"/>
      <c r="P12" s="50"/>
      <c r="Q12" s="51"/>
      <c r="R12" s="50"/>
      <c r="S12" s="51"/>
      <c r="T12" s="50"/>
      <c r="U12" s="51"/>
      <c r="V12" s="50"/>
      <c r="W12" s="51"/>
      <c r="X12" s="50"/>
      <c r="Y12" s="51"/>
      <c r="Z12" s="50"/>
      <c r="AA12" s="51"/>
      <c r="AB12" s="50"/>
      <c r="AC12" s="51"/>
      <c r="AD12" s="50"/>
      <c r="AE12" s="51"/>
    </row>
    <row r="13" spans="1:31" ht="12.75" thickBot="1" x14ac:dyDescent="0.25">
      <c r="A13" s="41" t="s">
        <v>312</v>
      </c>
      <c r="B13" s="42">
        <v>42.51</v>
      </c>
      <c r="C13" s="52">
        <v>0.26527777777777778</v>
      </c>
      <c r="D13" s="44">
        <v>2</v>
      </c>
      <c r="E13" s="44">
        <v>1</v>
      </c>
      <c r="F13" s="45">
        <v>1</v>
      </c>
      <c r="G13" s="45">
        <v>1</v>
      </c>
      <c r="H13" s="46">
        <v>1</v>
      </c>
      <c r="I13" s="46">
        <v>1</v>
      </c>
      <c r="J13" s="46">
        <v>0</v>
      </c>
      <c r="K13" s="56"/>
      <c r="L13" s="48"/>
      <c r="M13" s="48"/>
      <c r="N13" s="49"/>
      <c r="O13" s="48"/>
      <c r="P13" s="50"/>
      <c r="Q13" s="51"/>
      <c r="R13" s="50"/>
      <c r="S13" s="51"/>
      <c r="T13" s="50"/>
      <c r="U13" s="51"/>
      <c r="V13" s="50"/>
      <c r="W13" s="51"/>
      <c r="X13" s="50"/>
      <c r="Y13" s="51"/>
      <c r="Z13" s="50"/>
      <c r="AA13" s="51"/>
      <c r="AB13" s="50"/>
      <c r="AC13" s="51"/>
      <c r="AD13" s="50"/>
      <c r="AE13" s="51"/>
    </row>
    <row r="14" spans="1:31" ht="12.75" thickBot="1" x14ac:dyDescent="0.25">
      <c r="A14" s="41" t="s">
        <v>313</v>
      </c>
      <c r="B14" s="42">
        <v>848.16</v>
      </c>
      <c r="C14" s="43">
        <v>3.7680555555555557</v>
      </c>
      <c r="D14" s="44">
        <v>0</v>
      </c>
      <c r="E14" s="44">
        <v>0</v>
      </c>
      <c r="F14" s="45">
        <v>2</v>
      </c>
      <c r="G14" s="45">
        <v>2</v>
      </c>
      <c r="H14" s="46">
        <v>2</v>
      </c>
      <c r="I14" s="46">
        <v>20</v>
      </c>
      <c r="J14" s="46">
        <v>0</v>
      </c>
      <c r="K14" s="47"/>
      <c r="L14" s="48"/>
      <c r="M14" s="48"/>
      <c r="N14" s="49"/>
      <c r="O14" s="48"/>
      <c r="P14" s="50"/>
      <c r="Q14" s="51"/>
      <c r="R14" s="50"/>
      <c r="S14" s="51"/>
      <c r="T14" s="50"/>
      <c r="U14" s="51"/>
      <c r="V14" s="50"/>
      <c r="W14" s="51"/>
      <c r="X14" s="50"/>
      <c r="Y14" s="51"/>
      <c r="Z14" s="50"/>
      <c r="AA14" s="51"/>
      <c r="AB14" s="50"/>
      <c r="AC14" s="51"/>
      <c r="AD14" s="50"/>
      <c r="AE14" s="51"/>
    </row>
    <row r="15" spans="1:31" ht="12.75" thickBot="1" x14ac:dyDescent="0.25">
      <c r="A15" s="41" t="s">
        <v>314</v>
      </c>
      <c r="B15" s="42">
        <v>689.38</v>
      </c>
      <c r="C15" s="43">
        <v>0.80347222222222225</v>
      </c>
      <c r="D15" s="44">
        <v>0</v>
      </c>
      <c r="E15" s="44">
        <v>0</v>
      </c>
      <c r="F15" s="45">
        <v>2</v>
      </c>
      <c r="G15" s="45">
        <v>2</v>
      </c>
      <c r="H15" s="46">
        <v>2</v>
      </c>
      <c r="I15" s="46">
        <v>20</v>
      </c>
      <c r="J15" s="46">
        <v>0</v>
      </c>
      <c r="K15" s="47"/>
      <c r="L15" s="48"/>
      <c r="M15" s="48"/>
      <c r="N15" s="49"/>
      <c r="O15" s="48"/>
      <c r="P15" s="50"/>
      <c r="Q15" s="51"/>
      <c r="R15" s="50"/>
      <c r="S15" s="51"/>
      <c r="T15" s="50"/>
      <c r="U15" s="51"/>
      <c r="V15" s="50"/>
      <c r="W15" s="51"/>
      <c r="X15" s="50"/>
      <c r="Y15" s="51"/>
      <c r="Z15" s="50"/>
      <c r="AA15" s="51"/>
      <c r="AB15" s="50"/>
      <c r="AC15" s="51"/>
      <c r="AD15" s="50"/>
      <c r="AE15" s="51"/>
    </row>
    <row r="16" spans="1:31" ht="12.75" thickBot="1" x14ac:dyDescent="0.25">
      <c r="A16" s="41" t="s">
        <v>315</v>
      </c>
      <c r="B16" s="60">
        <v>125.09</v>
      </c>
      <c r="C16" s="61">
        <v>0.6020833333333333</v>
      </c>
      <c r="D16" s="53">
        <v>0</v>
      </c>
      <c r="E16" s="53">
        <v>0</v>
      </c>
      <c r="F16" s="54">
        <v>1</v>
      </c>
      <c r="G16" s="54">
        <v>1</v>
      </c>
      <c r="H16" s="55">
        <v>1</v>
      </c>
      <c r="I16" s="55">
        <v>5</v>
      </c>
      <c r="J16" s="55">
        <v>0</v>
      </c>
      <c r="K16" s="56"/>
      <c r="L16" s="48"/>
      <c r="M16" s="48"/>
      <c r="N16" s="49"/>
      <c r="O16" s="48"/>
      <c r="P16" s="50"/>
      <c r="Q16" s="51"/>
      <c r="R16" s="50"/>
      <c r="S16" s="51"/>
      <c r="T16" s="50"/>
      <c r="U16" s="51"/>
      <c r="V16" s="50"/>
      <c r="W16" s="51"/>
      <c r="X16" s="50"/>
      <c r="Y16" s="51"/>
      <c r="Z16" s="50"/>
      <c r="AA16" s="51"/>
      <c r="AB16" s="50"/>
      <c r="AC16" s="51"/>
      <c r="AD16" s="50"/>
      <c r="AE16" s="51"/>
    </row>
    <row r="17" spans="2:31" ht="12.75" thickBot="1" x14ac:dyDescent="0.25">
      <c r="B17" s="57"/>
      <c r="C17" s="52"/>
      <c r="D17" s="44"/>
      <c r="E17" s="44"/>
      <c r="F17" s="45"/>
      <c r="G17" s="45"/>
      <c r="H17" s="46"/>
      <c r="I17" s="46"/>
      <c r="J17" s="46"/>
      <c r="K17" s="56"/>
      <c r="L17" s="48"/>
      <c r="M17" s="48"/>
      <c r="N17" s="49"/>
      <c r="O17" s="48"/>
      <c r="P17" s="50"/>
      <c r="Q17" s="51"/>
      <c r="R17" s="50"/>
      <c r="S17" s="51"/>
      <c r="T17" s="50"/>
      <c r="U17" s="51"/>
      <c r="V17" s="50"/>
      <c r="W17" s="51"/>
      <c r="X17" s="50"/>
      <c r="Y17" s="51"/>
      <c r="Z17" s="50"/>
      <c r="AA17" s="51"/>
      <c r="AB17" s="50"/>
      <c r="AC17" s="51"/>
      <c r="AD17" s="50"/>
      <c r="AE17" s="51"/>
    </row>
    <row r="18" spans="2:31" ht="12.75" thickBot="1" x14ac:dyDescent="0.25">
      <c r="B18" s="57"/>
      <c r="C18" s="52"/>
      <c r="D18" s="53"/>
      <c r="E18" s="53"/>
      <c r="F18" s="54"/>
      <c r="G18" s="54"/>
      <c r="H18" s="55"/>
      <c r="I18" s="55"/>
      <c r="J18" s="55"/>
      <c r="K18" s="56"/>
      <c r="L18" s="48"/>
      <c r="M18" s="48"/>
      <c r="N18" s="49"/>
      <c r="O18" s="48"/>
      <c r="P18" s="50"/>
      <c r="Q18" s="51"/>
      <c r="R18" s="50"/>
      <c r="S18" s="51"/>
      <c r="T18" s="50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</row>
    <row r="19" spans="2:31" ht="12.75" thickBot="1" x14ac:dyDescent="0.25">
      <c r="B19" s="42"/>
      <c r="C19" s="43"/>
      <c r="D19" s="44"/>
      <c r="E19" s="44"/>
      <c r="F19" s="45"/>
      <c r="G19" s="45"/>
      <c r="H19" s="46"/>
      <c r="I19" s="46"/>
      <c r="J19" s="46"/>
      <c r="K19" s="47"/>
      <c r="L19" s="48"/>
      <c r="M19" s="48"/>
      <c r="N19" s="49"/>
      <c r="O19" s="48"/>
      <c r="P19" s="50"/>
      <c r="Q19" s="51"/>
      <c r="R19" s="50"/>
      <c r="S19" s="51"/>
      <c r="T19" s="50"/>
      <c r="U19" s="51"/>
      <c r="V19" s="50"/>
      <c r="W19" s="51"/>
      <c r="X19" s="50"/>
      <c r="Y19" s="51"/>
      <c r="Z19" s="50"/>
      <c r="AA19" s="51"/>
      <c r="AB19" s="50"/>
      <c r="AC19" s="51"/>
      <c r="AD19" s="50"/>
      <c r="AE19" s="51"/>
    </row>
    <row r="20" spans="2:31" ht="12.75" thickBot="1" x14ac:dyDescent="0.25">
      <c r="B20" s="57"/>
      <c r="C20" s="52"/>
      <c r="D20" s="53"/>
      <c r="E20" s="53"/>
      <c r="F20" s="54"/>
      <c r="G20" s="54"/>
      <c r="H20" s="55"/>
      <c r="I20" s="55"/>
      <c r="J20" s="55"/>
      <c r="K20" s="56"/>
      <c r="L20" s="48"/>
      <c r="M20" s="48"/>
      <c r="N20" s="49"/>
      <c r="O20" s="48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</row>
    <row r="21" spans="2:31" ht="12.75" thickBot="1" x14ac:dyDescent="0.25">
      <c r="B21" s="57"/>
      <c r="C21" s="52"/>
      <c r="D21" s="53"/>
      <c r="E21" s="53"/>
      <c r="F21" s="54"/>
      <c r="G21" s="54"/>
      <c r="H21" s="55"/>
      <c r="I21" s="55"/>
      <c r="J21" s="55"/>
      <c r="K21" s="56"/>
      <c r="L21" s="58"/>
      <c r="M21" s="58"/>
      <c r="N21" s="49"/>
      <c r="O21" s="58"/>
      <c r="P21" s="50"/>
      <c r="Q21" s="51"/>
      <c r="R21" s="50"/>
      <c r="S21" s="51"/>
      <c r="T21" s="50"/>
      <c r="U21" s="51"/>
      <c r="V21" s="50"/>
      <c r="W21" s="51"/>
      <c r="X21" s="50"/>
      <c r="Y21" s="51"/>
      <c r="Z21" s="50"/>
      <c r="AA21" s="51"/>
      <c r="AB21" s="50"/>
      <c r="AC21" s="51"/>
      <c r="AD21" s="50"/>
      <c r="AE21" s="51"/>
    </row>
    <row r="22" spans="2:31" ht="12.75" thickBot="1" x14ac:dyDescent="0.25">
      <c r="B22" s="42"/>
      <c r="C22" s="43"/>
      <c r="D22" s="44"/>
      <c r="E22" s="44"/>
      <c r="F22" s="45"/>
      <c r="G22" s="45"/>
      <c r="H22" s="46"/>
      <c r="I22" s="46"/>
      <c r="J22" s="46"/>
      <c r="K22" s="47"/>
      <c r="L22" s="48"/>
      <c r="M22" s="48"/>
      <c r="N22" s="49"/>
      <c r="O22" s="48"/>
      <c r="P22" s="50"/>
      <c r="Q22" s="51"/>
      <c r="R22" s="50"/>
      <c r="S22" s="51"/>
      <c r="T22" s="50"/>
      <c r="U22" s="51"/>
      <c r="V22" s="50"/>
      <c r="W22" s="51"/>
      <c r="X22" s="50"/>
      <c r="Y22" s="51"/>
      <c r="Z22" s="50"/>
      <c r="AA22" s="51"/>
      <c r="AB22" s="50"/>
      <c r="AC22" s="51"/>
      <c r="AD22" s="50"/>
      <c r="AE22" s="51"/>
    </row>
    <row r="23" spans="2:31" ht="12.75" thickBot="1" x14ac:dyDescent="0.25">
      <c r="B23" s="60"/>
      <c r="C23" s="98"/>
      <c r="D23" s="53"/>
      <c r="E23" s="53"/>
      <c r="F23" s="54"/>
      <c r="G23" s="54"/>
      <c r="H23" s="55"/>
      <c r="I23" s="55"/>
      <c r="J23" s="55"/>
      <c r="L23" s="48"/>
      <c r="M23" s="48"/>
      <c r="N23" s="49"/>
      <c r="O23" s="48"/>
      <c r="P23" s="50"/>
      <c r="Q23" s="51"/>
      <c r="R23" s="50"/>
      <c r="S23" s="51"/>
      <c r="T23" s="50"/>
      <c r="U23" s="51"/>
      <c r="V23" s="50"/>
      <c r="W23" s="51"/>
      <c r="X23" s="50"/>
      <c r="Y23" s="51"/>
      <c r="Z23" s="50"/>
      <c r="AA23" s="51"/>
      <c r="AB23" s="50"/>
      <c r="AC23" s="51"/>
      <c r="AD23" s="50"/>
      <c r="AE23" s="51"/>
    </row>
    <row r="24" spans="2:31" ht="12.75" thickBot="1" x14ac:dyDescent="0.25">
      <c r="B24" s="57"/>
      <c r="C24" s="52"/>
      <c r="D24" s="53"/>
      <c r="E24" s="53"/>
      <c r="F24" s="54"/>
      <c r="G24" s="54"/>
      <c r="H24" s="55"/>
      <c r="I24" s="55"/>
      <c r="J24" s="55"/>
      <c r="K24" s="56"/>
      <c r="L24" s="48"/>
      <c r="M24" s="48"/>
      <c r="N24" s="49"/>
      <c r="O24" s="48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</row>
    <row r="25" spans="2:31" ht="12.75" thickBot="1" x14ac:dyDescent="0.25">
      <c r="B25" s="57"/>
      <c r="C25" s="52"/>
      <c r="D25" s="53"/>
      <c r="E25" s="53"/>
      <c r="F25" s="54"/>
      <c r="G25" s="54"/>
      <c r="H25" s="55"/>
      <c r="I25" s="55"/>
      <c r="J25" s="55"/>
      <c r="K25" s="56"/>
      <c r="L25" s="48"/>
      <c r="M25" s="48"/>
      <c r="N25" s="49"/>
      <c r="O25" s="48"/>
      <c r="P25" s="50"/>
      <c r="Q25" s="51"/>
      <c r="R25" s="50"/>
      <c r="S25" s="51"/>
      <c r="T25" s="50"/>
      <c r="U25" s="51"/>
      <c r="V25" s="50"/>
      <c r="W25" s="51"/>
      <c r="X25" s="50"/>
      <c r="Y25" s="51"/>
      <c r="Z25" s="50"/>
      <c r="AA25" s="51"/>
      <c r="AB25" s="50"/>
      <c r="AC25" s="51"/>
      <c r="AD25" s="50"/>
      <c r="AE25" s="51"/>
    </row>
    <row r="26" spans="2:31" ht="12.75" thickBot="1" x14ac:dyDescent="0.25">
      <c r="B26" s="57"/>
      <c r="C26" s="52"/>
      <c r="D26" s="53"/>
      <c r="E26" s="53"/>
      <c r="F26" s="54"/>
      <c r="G26" s="54"/>
      <c r="H26" s="55"/>
      <c r="I26" s="55"/>
      <c r="J26" s="55"/>
      <c r="K26" s="56"/>
      <c r="L26" s="48"/>
      <c r="M26" s="48"/>
      <c r="N26" s="49"/>
      <c r="O26" s="48"/>
      <c r="P26" s="50"/>
      <c r="Q26" s="51"/>
      <c r="R26" s="50"/>
      <c r="S26" s="51"/>
      <c r="T26" s="50"/>
      <c r="U26" s="51"/>
      <c r="V26" s="50"/>
      <c r="W26" s="51"/>
      <c r="X26" s="50"/>
      <c r="Y26" s="51"/>
      <c r="Z26" s="50"/>
      <c r="AA26" s="51"/>
      <c r="AB26" s="50"/>
      <c r="AC26" s="51"/>
      <c r="AD26" s="50"/>
      <c r="AE26" s="51"/>
    </row>
    <row r="27" spans="2:31" ht="12.75" thickBot="1" x14ac:dyDescent="0.25">
      <c r="B27" s="57"/>
      <c r="C27" s="52"/>
      <c r="D27" s="53"/>
      <c r="E27" s="53"/>
      <c r="F27" s="54"/>
      <c r="G27" s="54"/>
      <c r="H27" s="55"/>
      <c r="I27" s="55"/>
      <c r="J27" s="55"/>
      <c r="K27" s="56"/>
      <c r="L27" s="48"/>
      <c r="M27" s="48"/>
      <c r="N27" s="49"/>
      <c r="O27" s="48"/>
      <c r="P27" s="50"/>
      <c r="Q27" s="51"/>
      <c r="R27" s="50"/>
      <c r="S27" s="51"/>
      <c r="T27" s="50"/>
      <c r="U27" s="51"/>
      <c r="V27" s="50"/>
      <c r="W27" s="51"/>
      <c r="X27" s="50"/>
      <c r="Y27" s="51"/>
      <c r="Z27" s="50"/>
      <c r="AA27" s="51"/>
      <c r="AB27" s="50"/>
      <c r="AC27" s="51"/>
      <c r="AD27" s="50"/>
      <c r="AE27" s="51"/>
    </row>
    <row r="28" spans="2:31" ht="12.75" thickBot="1" x14ac:dyDescent="0.25">
      <c r="B28" s="57"/>
      <c r="C28" s="52"/>
      <c r="D28" s="53"/>
      <c r="E28" s="53"/>
      <c r="F28" s="54"/>
      <c r="G28" s="54"/>
      <c r="H28" s="55"/>
      <c r="I28" s="55"/>
      <c r="J28" s="55"/>
      <c r="K28" s="56"/>
      <c r="L28" s="48"/>
      <c r="M28" s="48"/>
      <c r="N28" s="49"/>
      <c r="O28" s="48"/>
      <c r="P28" s="50"/>
      <c r="Q28" s="51"/>
      <c r="R28" s="50"/>
      <c r="S28" s="51"/>
      <c r="T28" s="50"/>
      <c r="U28" s="51"/>
      <c r="V28" s="50"/>
      <c r="W28" s="51"/>
      <c r="X28" s="50"/>
      <c r="Y28" s="51"/>
      <c r="Z28" s="50"/>
      <c r="AA28" s="51"/>
      <c r="AB28" s="50"/>
      <c r="AC28" s="51"/>
      <c r="AD28" s="50"/>
      <c r="AE28" s="51"/>
    </row>
    <row r="29" spans="2:31" ht="12.75" thickBot="1" x14ac:dyDescent="0.25">
      <c r="B29" s="42"/>
      <c r="C29" s="52"/>
      <c r="D29" s="44"/>
      <c r="E29" s="44"/>
      <c r="F29" s="45"/>
      <c r="G29" s="45"/>
      <c r="H29" s="46"/>
      <c r="I29" s="46"/>
      <c r="J29" s="46"/>
      <c r="K29" s="47"/>
      <c r="L29" s="48"/>
      <c r="M29" s="48"/>
      <c r="N29" s="49"/>
      <c r="O29" s="48"/>
      <c r="P29" s="50"/>
      <c r="Q29" s="51"/>
      <c r="R29" s="50"/>
      <c r="S29" s="51"/>
      <c r="T29" s="50"/>
      <c r="U29" s="51"/>
      <c r="V29" s="50"/>
      <c r="W29" s="51"/>
      <c r="X29" s="50"/>
      <c r="Y29" s="51"/>
      <c r="Z29" s="50"/>
      <c r="AA29" s="51"/>
      <c r="AB29" s="50"/>
      <c r="AC29" s="51"/>
      <c r="AD29" s="50"/>
      <c r="AE29" s="51"/>
    </row>
    <row r="30" spans="2:31" ht="12.75" thickBot="1" x14ac:dyDescent="0.25">
      <c r="B30" s="57"/>
      <c r="C30" s="52"/>
      <c r="D30" s="44"/>
      <c r="E30" s="44"/>
      <c r="F30" s="45"/>
      <c r="G30" s="45"/>
      <c r="H30" s="46"/>
      <c r="I30" s="46"/>
      <c r="J30" s="46"/>
      <c r="K30" s="47"/>
      <c r="L30" s="48"/>
      <c r="M30" s="48"/>
      <c r="N30" s="49"/>
      <c r="O30" s="48"/>
      <c r="P30" s="50"/>
      <c r="Q30" s="51"/>
      <c r="R30" s="50"/>
      <c r="S30" s="51"/>
      <c r="T30" s="50"/>
      <c r="U30" s="51"/>
      <c r="V30" s="50"/>
      <c r="W30" s="51"/>
      <c r="X30" s="50"/>
      <c r="Y30" s="51"/>
      <c r="Z30" s="50"/>
      <c r="AA30" s="51"/>
      <c r="AB30" s="50"/>
      <c r="AC30" s="51"/>
      <c r="AD30" s="50"/>
      <c r="AE30" s="51"/>
    </row>
    <row r="31" spans="2:31" ht="12.75" thickBot="1" x14ac:dyDescent="0.25">
      <c r="B31" s="57"/>
      <c r="C31" s="52"/>
      <c r="D31" s="44"/>
      <c r="E31" s="44"/>
      <c r="F31" s="45"/>
      <c r="G31" s="45"/>
      <c r="H31" s="46"/>
      <c r="I31" s="46"/>
      <c r="J31" s="46"/>
      <c r="K31" s="47"/>
      <c r="L31" s="48"/>
      <c r="M31" s="48"/>
      <c r="N31" s="49"/>
      <c r="O31" s="48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</row>
    <row r="32" spans="2:31" ht="12.75" thickBot="1" x14ac:dyDescent="0.25">
      <c r="B32" s="42"/>
      <c r="C32" s="52"/>
      <c r="D32" s="53"/>
      <c r="E32" s="53"/>
      <c r="F32" s="54"/>
      <c r="G32" s="54"/>
      <c r="H32" s="55"/>
      <c r="I32" s="55"/>
      <c r="J32" s="55"/>
      <c r="K32" s="56"/>
      <c r="L32" s="48"/>
      <c r="M32" s="48"/>
      <c r="N32" s="49"/>
      <c r="O32" s="48"/>
      <c r="P32" s="50"/>
      <c r="Q32" s="51"/>
      <c r="R32" s="50"/>
      <c r="S32" s="51"/>
      <c r="T32" s="50"/>
      <c r="U32" s="51"/>
      <c r="V32" s="50"/>
      <c r="W32" s="51"/>
      <c r="X32" s="50"/>
      <c r="Y32" s="51"/>
      <c r="Z32" s="50"/>
      <c r="AA32" s="51"/>
      <c r="AB32" s="50"/>
      <c r="AC32" s="51"/>
      <c r="AD32" s="50"/>
      <c r="AE32" s="51"/>
    </row>
    <row r="33" spans="2:31" ht="12.75" thickBot="1" x14ac:dyDescent="0.25">
      <c r="B33" s="60"/>
      <c r="C33" s="61"/>
      <c r="D33" s="53"/>
      <c r="E33" s="53"/>
      <c r="F33" s="54"/>
      <c r="G33" s="54"/>
      <c r="H33" s="55"/>
      <c r="I33" s="55"/>
      <c r="J33" s="55"/>
      <c r="K33" s="56"/>
      <c r="L33" s="48"/>
      <c r="M33" s="48"/>
      <c r="N33" s="49"/>
      <c r="O33" s="48"/>
      <c r="P33" s="50"/>
      <c r="Q33" s="51"/>
      <c r="R33" s="50"/>
      <c r="S33" s="51"/>
      <c r="T33" s="50"/>
      <c r="U33" s="51"/>
      <c r="V33" s="50"/>
      <c r="W33" s="51"/>
      <c r="X33" s="50"/>
      <c r="Y33" s="51"/>
      <c r="Z33" s="50"/>
      <c r="AA33" s="51"/>
      <c r="AB33" s="50"/>
      <c r="AC33" s="51"/>
      <c r="AD33" s="50"/>
      <c r="AE33" s="51"/>
    </row>
    <row r="34" spans="2:31" ht="12.75" thickBot="1" x14ac:dyDescent="0.25">
      <c r="B34" s="60"/>
      <c r="C34" s="61"/>
      <c r="D34" s="53"/>
      <c r="E34" s="53"/>
      <c r="F34" s="54"/>
      <c r="G34" s="54"/>
      <c r="H34" s="55"/>
      <c r="I34" s="55"/>
      <c r="J34" s="55"/>
      <c r="K34" s="56"/>
      <c r="L34" s="48"/>
      <c r="M34" s="48"/>
      <c r="N34" s="49"/>
      <c r="O34" s="48"/>
      <c r="P34" s="50"/>
      <c r="Q34" s="51"/>
      <c r="R34" s="50"/>
      <c r="S34" s="51"/>
      <c r="T34" s="50"/>
      <c r="U34" s="51"/>
      <c r="V34" s="50"/>
      <c r="W34" s="51"/>
      <c r="X34" s="50"/>
      <c r="Y34" s="51"/>
      <c r="Z34" s="50"/>
      <c r="AA34" s="51"/>
      <c r="AB34" s="50"/>
      <c r="AC34" s="51"/>
      <c r="AD34" s="50"/>
      <c r="AE34" s="51"/>
    </row>
    <row r="35" spans="2:31" ht="12.75" thickBot="1" x14ac:dyDescent="0.25">
      <c r="B35" s="60"/>
      <c r="C35" s="61"/>
      <c r="D35" s="53"/>
      <c r="E35" s="53"/>
      <c r="F35" s="54"/>
      <c r="G35" s="54"/>
      <c r="H35" s="55"/>
      <c r="I35" s="55"/>
      <c r="J35" s="55"/>
      <c r="K35" s="56"/>
      <c r="L35" s="48"/>
      <c r="M35" s="48"/>
      <c r="N35" s="49"/>
      <c r="O35" s="48"/>
      <c r="P35" s="50"/>
      <c r="Q35" s="51"/>
      <c r="R35" s="50"/>
      <c r="S35" s="51"/>
      <c r="T35" s="50"/>
      <c r="U35" s="51"/>
      <c r="V35" s="50"/>
      <c r="W35" s="51"/>
      <c r="X35" s="50"/>
      <c r="Y35" s="51"/>
      <c r="Z35" s="50"/>
      <c r="AA35" s="51"/>
      <c r="AB35" s="50"/>
      <c r="AC35" s="51"/>
      <c r="AD35" s="50"/>
      <c r="AE35" s="51"/>
    </row>
    <row r="36" spans="2:31" ht="12.75" thickBot="1" x14ac:dyDescent="0.25">
      <c r="B36" s="57"/>
      <c r="C36" s="52"/>
      <c r="D36" s="53"/>
      <c r="E36" s="53"/>
      <c r="F36" s="54"/>
      <c r="G36" s="54"/>
      <c r="H36" s="55"/>
      <c r="I36" s="55"/>
      <c r="J36" s="55"/>
      <c r="K36" s="56"/>
      <c r="L36" s="48"/>
      <c r="M36" s="48"/>
      <c r="N36" s="49"/>
      <c r="O36" s="48"/>
      <c r="P36" s="50"/>
      <c r="Q36" s="51"/>
      <c r="R36" s="50"/>
      <c r="S36" s="51"/>
      <c r="T36" s="50"/>
      <c r="U36" s="51"/>
      <c r="V36" s="50"/>
      <c r="W36" s="51"/>
      <c r="X36" s="50"/>
      <c r="Y36" s="51"/>
      <c r="Z36" s="50"/>
      <c r="AA36" s="51"/>
      <c r="AB36" s="50"/>
      <c r="AC36" s="51"/>
      <c r="AD36" s="50"/>
      <c r="AE36" s="51"/>
    </row>
    <row r="37" spans="2:31" ht="12.75" thickBot="1" x14ac:dyDescent="0.25">
      <c r="B37" s="42"/>
      <c r="C37" s="52"/>
      <c r="D37" s="53"/>
      <c r="E37" s="53"/>
      <c r="F37" s="54"/>
      <c r="G37" s="54"/>
      <c r="H37" s="55"/>
      <c r="I37" s="55"/>
      <c r="J37" s="55"/>
      <c r="K37" s="56"/>
      <c r="L37" s="48"/>
      <c r="M37" s="48"/>
      <c r="N37" s="49"/>
      <c r="O37" s="48"/>
      <c r="P37" s="50"/>
      <c r="Q37" s="51"/>
      <c r="R37" s="50"/>
      <c r="S37" s="51"/>
      <c r="T37" s="50"/>
      <c r="U37" s="51"/>
      <c r="V37" s="50"/>
      <c r="W37" s="51"/>
      <c r="X37" s="50"/>
      <c r="Y37" s="51"/>
      <c r="Z37" s="50"/>
      <c r="AA37" s="51"/>
      <c r="AB37" s="50"/>
      <c r="AC37" s="51"/>
      <c r="AD37" s="50"/>
      <c r="AE37" s="51"/>
    </row>
    <row r="38" spans="2:31" ht="12.75" thickBot="1" x14ac:dyDescent="0.25">
      <c r="B38" s="42"/>
      <c r="C38" s="52"/>
      <c r="D38" s="53"/>
      <c r="E38" s="53"/>
      <c r="F38" s="54"/>
      <c r="G38" s="54"/>
      <c r="H38" s="55"/>
      <c r="I38" s="55"/>
      <c r="J38" s="55"/>
      <c r="K38" s="56"/>
      <c r="L38" s="48"/>
      <c r="M38" s="48"/>
      <c r="N38" s="49"/>
      <c r="O38" s="48"/>
      <c r="P38" s="50"/>
      <c r="Q38" s="51"/>
      <c r="R38" s="50"/>
      <c r="S38" s="51"/>
      <c r="T38" s="50"/>
      <c r="U38" s="51"/>
      <c r="V38" s="50"/>
      <c r="W38" s="51"/>
      <c r="X38" s="50"/>
      <c r="Y38" s="51"/>
      <c r="Z38" s="50"/>
      <c r="AA38" s="51"/>
      <c r="AB38" s="50"/>
      <c r="AC38" s="51"/>
      <c r="AD38" s="50"/>
      <c r="AE38" s="51"/>
    </row>
    <row r="39" spans="2:31" ht="12.75" thickBot="1" x14ac:dyDescent="0.25">
      <c r="C39" s="71"/>
      <c r="D39" s="53"/>
      <c r="E39" s="53"/>
      <c r="F39" s="54"/>
      <c r="G39" s="54"/>
      <c r="H39" s="55"/>
      <c r="I39" s="55"/>
      <c r="J39" s="55"/>
      <c r="L39" s="48"/>
      <c r="M39" s="48"/>
      <c r="N39" s="49"/>
      <c r="O39" s="48"/>
      <c r="P39" s="50"/>
      <c r="Q39" s="51"/>
      <c r="R39" s="50"/>
      <c r="S39" s="51"/>
      <c r="T39" s="50"/>
      <c r="U39" s="51"/>
      <c r="V39" s="50"/>
      <c r="W39" s="51"/>
      <c r="X39" s="50"/>
      <c r="Y39" s="51"/>
      <c r="Z39" s="50"/>
      <c r="AA39" s="51"/>
      <c r="AB39" s="50"/>
      <c r="AC39" s="51"/>
      <c r="AD39" s="50"/>
      <c r="AE39" s="51"/>
    </row>
    <row r="40" spans="2:31" ht="12.75" thickBot="1" x14ac:dyDescent="0.25">
      <c r="B40" s="60"/>
      <c r="C40" s="61"/>
      <c r="D40" s="53"/>
      <c r="E40" s="53"/>
      <c r="F40" s="54"/>
      <c r="G40" s="54"/>
      <c r="H40" s="55"/>
      <c r="I40" s="55"/>
      <c r="J40" s="55"/>
      <c r="K40" s="56"/>
      <c r="L40" s="48"/>
      <c r="M40" s="48"/>
      <c r="N40" s="49"/>
      <c r="O40" s="48"/>
      <c r="P40" s="50"/>
      <c r="Q40" s="51"/>
      <c r="R40" s="50"/>
      <c r="S40" s="51"/>
      <c r="T40" s="50"/>
      <c r="U40" s="51"/>
      <c r="V40" s="50"/>
      <c r="W40" s="51"/>
      <c r="X40" s="50"/>
      <c r="Y40" s="51"/>
      <c r="Z40" s="50"/>
      <c r="AA40" s="51"/>
      <c r="AB40" s="50"/>
      <c r="AC40" s="51"/>
      <c r="AD40" s="50"/>
      <c r="AE40" s="51"/>
    </row>
    <row r="41" spans="2:31" ht="12.75" thickBot="1" x14ac:dyDescent="0.25">
      <c r="B41" s="60"/>
      <c r="C41" s="61"/>
      <c r="D41" s="53"/>
      <c r="E41" s="53"/>
      <c r="F41" s="54"/>
      <c r="G41" s="54"/>
      <c r="H41" s="55"/>
      <c r="I41" s="55"/>
      <c r="J41" s="55"/>
      <c r="K41" s="56"/>
      <c r="L41" s="48"/>
      <c r="M41" s="48"/>
      <c r="N41" s="49"/>
      <c r="O41" s="48"/>
      <c r="P41" s="50"/>
      <c r="Q41" s="51"/>
      <c r="R41" s="50"/>
      <c r="S41" s="51"/>
      <c r="T41" s="50"/>
      <c r="U41" s="51"/>
      <c r="V41" s="50"/>
      <c r="W41" s="51"/>
      <c r="X41" s="50"/>
      <c r="Y41" s="51"/>
      <c r="Z41" s="50"/>
      <c r="AA41" s="51"/>
      <c r="AB41" s="50"/>
      <c r="AC41" s="51"/>
      <c r="AD41" s="50"/>
      <c r="AE41" s="51"/>
    </row>
    <row r="42" spans="2:31" ht="12.75" thickBot="1" x14ac:dyDescent="0.25">
      <c r="B42" s="57"/>
      <c r="C42" s="52"/>
      <c r="D42" s="53"/>
      <c r="E42" s="53"/>
      <c r="F42" s="54"/>
      <c r="G42" s="54"/>
      <c r="H42" s="55"/>
      <c r="I42" s="55"/>
      <c r="J42" s="55"/>
      <c r="K42" s="56"/>
      <c r="L42" s="48"/>
      <c r="M42" s="48"/>
      <c r="N42" s="49"/>
      <c r="O42" s="48"/>
      <c r="P42" s="50"/>
      <c r="Q42" s="51"/>
      <c r="R42" s="50"/>
      <c r="S42" s="51"/>
      <c r="T42" s="50"/>
      <c r="U42" s="51"/>
      <c r="V42" s="50"/>
      <c r="W42" s="51"/>
      <c r="X42" s="50"/>
      <c r="Y42" s="51"/>
      <c r="Z42" s="50"/>
      <c r="AA42" s="51"/>
      <c r="AB42" s="50"/>
      <c r="AC42" s="51"/>
      <c r="AD42" s="50"/>
      <c r="AE42" s="51"/>
    </row>
    <row r="43" spans="2:31" ht="12.75" thickBot="1" x14ac:dyDescent="0.25">
      <c r="B43" s="42"/>
      <c r="C43" s="52"/>
      <c r="D43" s="53"/>
      <c r="E43" s="53"/>
      <c r="F43" s="54"/>
      <c r="G43" s="54"/>
      <c r="H43" s="55"/>
      <c r="I43" s="55"/>
      <c r="J43" s="55"/>
      <c r="K43" s="56"/>
      <c r="L43" s="48"/>
      <c r="M43" s="48"/>
      <c r="N43" s="49"/>
      <c r="O43" s="48"/>
      <c r="P43" s="50"/>
      <c r="Q43" s="51"/>
      <c r="R43" s="50"/>
      <c r="S43" s="51"/>
      <c r="T43" s="50"/>
      <c r="U43" s="51"/>
      <c r="V43" s="50"/>
      <c r="W43" s="51"/>
      <c r="X43" s="50"/>
      <c r="Y43" s="51"/>
      <c r="Z43" s="50"/>
      <c r="AA43" s="51"/>
      <c r="AB43" s="50"/>
      <c r="AC43" s="51"/>
      <c r="AD43" s="50"/>
      <c r="AE43" s="51"/>
    </row>
    <row r="44" spans="2:31" ht="12.75" thickBot="1" x14ac:dyDescent="0.25">
      <c r="C44" s="71"/>
      <c r="D44" s="53"/>
      <c r="E44" s="53"/>
      <c r="F44" s="54"/>
      <c r="G44" s="54"/>
      <c r="H44" s="55"/>
      <c r="I44" s="55"/>
      <c r="J44" s="55"/>
      <c r="L44" s="48"/>
      <c r="M44" s="48"/>
      <c r="N44" s="49"/>
      <c r="O44" s="48"/>
      <c r="P44" s="50"/>
      <c r="Q44" s="51"/>
      <c r="R44" s="50"/>
      <c r="S44" s="51"/>
      <c r="T44" s="50"/>
      <c r="U44" s="51"/>
      <c r="V44" s="50"/>
      <c r="W44" s="51"/>
      <c r="X44" s="50"/>
      <c r="Y44" s="51"/>
      <c r="Z44" s="50"/>
      <c r="AA44" s="51"/>
      <c r="AB44" s="50"/>
      <c r="AC44" s="51"/>
      <c r="AD44" s="50"/>
      <c r="AE44" s="51"/>
    </row>
    <row r="45" spans="2:31" ht="12.75" thickBot="1" x14ac:dyDescent="0.25">
      <c r="C45" s="71"/>
      <c r="D45" s="53"/>
      <c r="E45" s="53"/>
      <c r="F45" s="54"/>
      <c r="G45" s="54"/>
      <c r="H45" s="55"/>
      <c r="I45" s="55"/>
      <c r="J45" s="55"/>
      <c r="L45" s="48"/>
      <c r="M45" s="48"/>
      <c r="N45" s="49"/>
      <c r="O45" s="48"/>
      <c r="P45" s="50"/>
      <c r="Q45" s="51"/>
      <c r="R45" s="50"/>
      <c r="S45" s="51"/>
      <c r="T45" s="50"/>
      <c r="U45" s="51"/>
      <c r="V45" s="50"/>
      <c r="W45" s="51"/>
      <c r="X45" s="50"/>
      <c r="Y45" s="51"/>
      <c r="Z45" s="50"/>
      <c r="AA45" s="51"/>
      <c r="AB45" s="50"/>
      <c r="AC45" s="51"/>
      <c r="AD45" s="50"/>
      <c r="AE45" s="51"/>
    </row>
    <row r="46" spans="2:31" ht="12.75" thickBot="1" x14ac:dyDescent="0.25">
      <c r="C46" s="71"/>
      <c r="D46" s="53"/>
      <c r="E46" s="53"/>
      <c r="F46" s="54"/>
      <c r="G46" s="54"/>
      <c r="H46" s="55"/>
      <c r="I46" s="55"/>
      <c r="J46" s="55"/>
      <c r="L46" s="48"/>
      <c r="M46" s="48"/>
      <c r="N46" s="49"/>
      <c r="O46" s="48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</row>
    <row r="47" spans="2:31" ht="12.75" thickBot="1" x14ac:dyDescent="0.25">
      <c r="C47" s="71"/>
      <c r="D47" s="53"/>
      <c r="E47" s="53"/>
      <c r="F47" s="54"/>
      <c r="G47" s="54"/>
      <c r="H47" s="55"/>
      <c r="I47" s="55"/>
      <c r="J47" s="55"/>
      <c r="L47" s="48"/>
      <c r="M47" s="48"/>
      <c r="N47" s="49"/>
      <c r="O47" s="48"/>
      <c r="P47" s="50"/>
      <c r="Q47" s="51"/>
      <c r="R47" s="50"/>
      <c r="S47" s="51"/>
      <c r="T47" s="50"/>
      <c r="U47" s="51"/>
      <c r="V47" s="50"/>
      <c r="W47" s="51"/>
      <c r="X47" s="50"/>
      <c r="Y47" s="51"/>
      <c r="Z47" s="50"/>
      <c r="AA47" s="51"/>
      <c r="AB47" s="50"/>
      <c r="AC47" s="51"/>
      <c r="AD47" s="50"/>
      <c r="AE47" s="51"/>
    </row>
    <row r="48" spans="2:31" ht="12.75" thickBot="1" x14ac:dyDescent="0.25">
      <c r="C48" s="71"/>
      <c r="D48" s="53"/>
      <c r="E48" s="53"/>
      <c r="F48" s="54"/>
      <c r="G48" s="54"/>
      <c r="H48" s="55"/>
      <c r="I48" s="55"/>
      <c r="J48" s="55"/>
      <c r="L48" s="48"/>
      <c r="M48" s="48"/>
      <c r="N48" s="49"/>
      <c r="O48" s="48"/>
      <c r="P48" s="50"/>
      <c r="Q48" s="51"/>
      <c r="R48" s="50"/>
      <c r="S48" s="51"/>
      <c r="T48" s="50"/>
      <c r="U48" s="51"/>
      <c r="V48" s="50"/>
      <c r="W48" s="51"/>
      <c r="X48" s="50"/>
      <c r="Y48" s="51"/>
      <c r="Z48" s="50"/>
      <c r="AA48" s="51"/>
      <c r="AB48" s="50"/>
      <c r="AC48" s="51"/>
      <c r="AD48" s="50"/>
      <c r="AE48" s="51"/>
    </row>
    <row r="49" spans="2:31" ht="12.75" thickBot="1" x14ac:dyDescent="0.25">
      <c r="B49" s="42"/>
      <c r="C49" s="52"/>
      <c r="D49" s="53"/>
      <c r="E49" s="53"/>
      <c r="F49" s="54"/>
      <c r="G49" s="54"/>
      <c r="H49" s="55"/>
      <c r="I49" s="55"/>
      <c r="J49" s="55"/>
      <c r="K49" s="56"/>
      <c r="L49" s="48"/>
      <c r="M49" s="48"/>
      <c r="N49" s="49"/>
      <c r="O49" s="48"/>
      <c r="P49" s="50"/>
      <c r="Q49" s="51"/>
      <c r="R49" s="50"/>
      <c r="S49" s="51"/>
      <c r="T49" s="50"/>
      <c r="U49" s="51"/>
      <c r="V49" s="50"/>
      <c r="W49" s="51"/>
      <c r="X49" s="50"/>
      <c r="Y49" s="51"/>
      <c r="Z49" s="50"/>
      <c r="AA49" s="51"/>
      <c r="AB49" s="50"/>
      <c r="AC49" s="51"/>
      <c r="AD49" s="50"/>
      <c r="AE49" s="51"/>
    </row>
    <row r="50" spans="2:31" ht="12.75" thickBot="1" x14ac:dyDescent="0.25">
      <c r="B50" s="42"/>
      <c r="C50" s="52"/>
      <c r="D50" s="53"/>
      <c r="E50" s="53"/>
      <c r="F50" s="54"/>
      <c r="G50" s="54"/>
      <c r="H50" s="55"/>
      <c r="I50" s="55"/>
      <c r="J50" s="55"/>
      <c r="K50" s="56"/>
      <c r="L50" s="48"/>
      <c r="M50" s="48"/>
      <c r="N50" s="49"/>
      <c r="O50" s="48"/>
      <c r="P50" s="50"/>
      <c r="Q50" s="51"/>
      <c r="R50" s="50"/>
      <c r="S50" s="51"/>
      <c r="T50" s="50"/>
      <c r="U50" s="51"/>
      <c r="V50" s="50"/>
      <c r="W50" s="51"/>
      <c r="X50" s="50"/>
      <c r="Y50" s="51"/>
      <c r="Z50" s="50"/>
      <c r="AA50" s="51"/>
      <c r="AB50" s="50"/>
      <c r="AC50" s="51"/>
      <c r="AD50" s="50"/>
      <c r="AE50" s="51"/>
    </row>
    <row r="51" spans="2:31" ht="12.75" thickBot="1" x14ac:dyDescent="0.25">
      <c r="B51" s="57"/>
      <c r="C51" s="52"/>
      <c r="D51" s="44"/>
      <c r="E51" s="44"/>
      <c r="F51" s="45"/>
      <c r="G51" s="45"/>
      <c r="H51" s="46"/>
      <c r="I51" s="46"/>
      <c r="J51" s="46"/>
      <c r="K51" s="47"/>
      <c r="L51" s="48"/>
      <c r="M51" s="48"/>
      <c r="N51" s="49"/>
      <c r="O51" s="48"/>
      <c r="P51" s="50"/>
      <c r="Q51" s="51"/>
      <c r="R51" s="50"/>
      <c r="S51" s="51"/>
      <c r="T51" s="50"/>
      <c r="U51" s="51"/>
      <c r="V51" s="50"/>
      <c r="W51" s="51"/>
      <c r="X51" s="50"/>
      <c r="Y51" s="51"/>
      <c r="Z51" s="50"/>
      <c r="AA51" s="51"/>
      <c r="AB51" s="50"/>
      <c r="AC51" s="51"/>
      <c r="AD51" s="50"/>
      <c r="AE51" s="51"/>
    </row>
    <row r="52" spans="2:31" ht="12.75" thickBot="1" x14ac:dyDescent="0.25">
      <c r="B52" s="57"/>
      <c r="C52" s="52"/>
      <c r="D52" s="44"/>
      <c r="E52" s="44"/>
      <c r="F52" s="45"/>
      <c r="G52" s="45"/>
      <c r="H52" s="46"/>
      <c r="I52" s="46"/>
      <c r="J52" s="46"/>
      <c r="K52" s="47"/>
      <c r="L52" s="48"/>
      <c r="M52" s="48"/>
      <c r="N52" s="49"/>
      <c r="O52" s="48"/>
      <c r="P52" s="50"/>
      <c r="Q52" s="51"/>
      <c r="R52" s="50"/>
      <c r="S52" s="51"/>
      <c r="T52" s="50"/>
      <c r="U52" s="51"/>
      <c r="V52" s="50"/>
      <c r="W52" s="51"/>
      <c r="X52" s="50"/>
      <c r="Y52" s="51"/>
      <c r="Z52" s="50"/>
      <c r="AA52" s="51"/>
      <c r="AB52" s="50"/>
      <c r="AC52" s="51"/>
      <c r="AD52" s="50"/>
      <c r="AE52" s="51"/>
    </row>
    <row r="53" spans="2:31" ht="12.75" thickBot="1" x14ac:dyDescent="0.25">
      <c r="B53" s="57"/>
      <c r="C53" s="52"/>
      <c r="D53" s="44"/>
      <c r="E53" s="44"/>
      <c r="F53" s="45"/>
      <c r="G53" s="45"/>
      <c r="H53" s="46"/>
      <c r="I53" s="46"/>
      <c r="J53" s="46"/>
      <c r="K53" s="47"/>
      <c r="L53" s="48"/>
      <c r="M53" s="48"/>
      <c r="N53" s="49"/>
      <c r="O53" s="48"/>
      <c r="P53" s="50"/>
      <c r="Q53" s="51"/>
      <c r="R53" s="50"/>
      <c r="S53" s="51"/>
      <c r="T53" s="50"/>
      <c r="U53" s="51"/>
      <c r="V53" s="50"/>
      <c r="W53" s="51"/>
      <c r="X53" s="50"/>
      <c r="Y53" s="51"/>
      <c r="Z53" s="50"/>
      <c r="AA53" s="51"/>
      <c r="AB53" s="50"/>
      <c r="AC53" s="51"/>
      <c r="AD53" s="50"/>
      <c r="AE53" s="51"/>
    </row>
    <row r="54" spans="2:31" ht="12.75" thickBot="1" x14ac:dyDescent="0.25">
      <c r="B54" s="57"/>
      <c r="C54" s="52"/>
      <c r="D54" s="44"/>
      <c r="E54" s="44"/>
      <c r="F54" s="45"/>
      <c r="G54" s="45"/>
      <c r="H54" s="46"/>
      <c r="I54" s="46"/>
      <c r="J54" s="46"/>
      <c r="K54" s="47"/>
      <c r="L54" s="48"/>
      <c r="M54" s="48"/>
      <c r="N54" s="49"/>
      <c r="O54" s="48"/>
      <c r="P54" s="50"/>
      <c r="Q54" s="51"/>
      <c r="R54" s="50"/>
      <c r="S54" s="51"/>
      <c r="T54" s="50"/>
      <c r="U54" s="51"/>
      <c r="V54" s="50"/>
      <c r="W54" s="51"/>
      <c r="X54" s="50"/>
      <c r="Y54" s="51"/>
      <c r="Z54" s="50"/>
      <c r="AA54" s="51"/>
      <c r="AB54" s="50"/>
      <c r="AC54" s="51"/>
      <c r="AD54" s="50"/>
      <c r="AE54" s="51"/>
    </row>
    <row r="55" spans="2:31" ht="12.75" thickBot="1" x14ac:dyDescent="0.25">
      <c r="B55" s="57"/>
      <c r="C55" s="52"/>
      <c r="D55" s="53"/>
      <c r="E55" s="53"/>
      <c r="F55" s="54"/>
      <c r="G55" s="54"/>
      <c r="H55" s="55"/>
      <c r="I55" s="55"/>
      <c r="J55" s="55"/>
      <c r="K55" s="56"/>
      <c r="L55" s="48"/>
      <c r="M55" s="48"/>
      <c r="N55" s="49"/>
      <c r="O55" s="48"/>
      <c r="P55" s="50"/>
      <c r="Q55" s="51"/>
      <c r="R55" s="50"/>
      <c r="S55" s="51"/>
      <c r="T55" s="50"/>
      <c r="U55" s="51"/>
      <c r="V55" s="50"/>
      <c r="W55" s="51"/>
      <c r="X55" s="50"/>
      <c r="Y55" s="51"/>
      <c r="Z55" s="50"/>
      <c r="AA55" s="51"/>
      <c r="AB55" s="50"/>
      <c r="AC55" s="51"/>
      <c r="AD55" s="50"/>
      <c r="AE55" s="51"/>
    </row>
    <row r="56" spans="2:31" ht="12.75" thickBot="1" x14ac:dyDescent="0.25">
      <c r="B56" s="57"/>
      <c r="C56" s="52"/>
      <c r="D56" s="53"/>
      <c r="E56" s="53"/>
      <c r="F56" s="54"/>
      <c r="G56" s="54"/>
      <c r="H56" s="55"/>
      <c r="I56" s="55"/>
      <c r="J56" s="55"/>
      <c r="K56" s="56"/>
      <c r="L56" s="48"/>
      <c r="M56" s="48"/>
      <c r="N56" s="49"/>
      <c r="O56" s="48"/>
      <c r="P56" s="50"/>
      <c r="Q56" s="51"/>
      <c r="R56" s="50"/>
      <c r="S56" s="51"/>
      <c r="T56" s="50"/>
      <c r="U56" s="51"/>
      <c r="V56" s="50"/>
      <c r="W56" s="51"/>
      <c r="X56" s="50"/>
      <c r="Y56" s="51"/>
      <c r="Z56" s="50"/>
      <c r="AA56" s="51"/>
      <c r="AB56" s="50"/>
      <c r="AC56" s="51"/>
      <c r="AD56" s="50"/>
      <c r="AE56" s="51"/>
    </row>
    <row r="57" spans="2:31" ht="12.75" thickBot="1" x14ac:dyDescent="0.25">
      <c r="B57" s="42"/>
      <c r="C57" s="43"/>
      <c r="D57" s="44"/>
      <c r="E57" s="44"/>
      <c r="F57" s="45"/>
      <c r="G57" s="45"/>
      <c r="H57" s="46"/>
      <c r="I57" s="46"/>
      <c r="J57" s="46"/>
      <c r="K57" s="47"/>
      <c r="L57" s="48"/>
      <c r="M57" s="48"/>
      <c r="N57" s="49"/>
      <c r="O57" s="48"/>
      <c r="P57" s="50"/>
      <c r="Q57" s="51"/>
      <c r="R57" s="50"/>
      <c r="S57" s="51"/>
      <c r="T57" s="50"/>
      <c r="U57" s="51"/>
      <c r="V57" s="50"/>
      <c r="W57" s="51"/>
      <c r="X57" s="50"/>
      <c r="Y57" s="51"/>
      <c r="Z57" s="50"/>
      <c r="AA57" s="51"/>
      <c r="AB57" s="50"/>
      <c r="AC57" s="51"/>
      <c r="AD57" s="50"/>
      <c r="AE57" s="51"/>
    </row>
    <row r="58" spans="2:31" ht="12.75" thickBot="1" x14ac:dyDescent="0.25">
      <c r="B58" s="42"/>
      <c r="C58" s="43"/>
      <c r="D58" s="44"/>
      <c r="E58" s="44"/>
      <c r="F58" s="45"/>
      <c r="G58" s="45"/>
      <c r="H58" s="46"/>
      <c r="I58" s="46"/>
      <c r="J58" s="46"/>
      <c r="K58" s="47"/>
      <c r="L58" s="48"/>
      <c r="M58" s="48"/>
      <c r="N58" s="49"/>
      <c r="O58" s="48"/>
      <c r="P58" s="50"/>
      <c r="Q58" s="51"/>
      <c r="R58" s="50"/>
      <c r="S58" s="51"/>
      <c r="T58" s="50"/>
      <c r="U58" s="51"/>
      <c r="V58" s="50"/>
      <c r="W58" s="51"/>
      <c r="X58" s="50"/>
      <c r="Y58" s="51"/>
      <c r="Z58" s="50"/>
      <c r="AA58" s="51"/>
      <c r="AB58" s="50"/>
      <c r="AC58" s="51"/>
      <c r="AD58" s="50"/>
      <c r="AE58" s="51"/>
    </row>
    <row r="59" spans="2:31" ht="12.75" thickBot="1" x14ac:dyDescent="0.25">
      <c r="B59" s="42"/>
      <c r="C59" s="43"/>
      <c r="D59" s="44"/>
      <c r="E59" s="44"/>
      <c r="F59" s="45"/>
      <c r="G59" s="45"/>
      <c r="H59" s="46"/>
      <c r="I59" s="46"/>
      <c r="J59" s="46"/>
      <c r="K59" s="47"/>
      <c r="L59" s="48"/>
      <c r="M59" s="48"/>
      <c r="N59" s="49"/>
      <c r="O59" s="48"/>
      <c r="P59" s="50"/>
      <c r="Q59" s="51"/>
      <c r="R59" s="50"/>
      <c r="S59" s="51"/>
      <c r="T59" s="50"/>
      <c r="U59" s="51"/>
      <c r="V59" s="50"/>
      <c r="W59" s="51"/>
      <c r="X59" s="50"/>
      <c r="Y59" s="51"/>
      <c r="Z59" s="50"/>
      <c r="AA59" s="51"/>
      <c r="AB59" s="50"/>
      <c r="AC59" s="51"/>
      <c r="AD59" s="50"/>
      <c r="AE59" s="51"/>
    </row>
    <row r="60" spans="2:31" ht="12.75" thickBot="1" x14ac:dyDescent="0.25">
      <c r="B60" s="57"/>
      <c r="C60" s="52"/>
      <c r="D60" s="53"/>
      <c r="E60" s="53"/>
      <c r="F60" s="54"/>
      <c r="G60" s="54"/>
      <c r="H60" s="55"/>
      <c r="I60" s="55"/>
      <c r="J60" s="55"/>
      <c r="K60" s="56"/>
      <c r="L60" s="48"/>
      <c r="M60" s="48"/>
      <c r="N60" s="49"/>
      <c r="O60" s="48"/>
      <c r="P60" s="50"/>
      <c r="Q60" s="51"/>
      <c r="R60" s="50"/>
      <c r="S60" s="51"/>
      <c r="T60" s="50"/>
      <c r="U60" s="51"/>
      <c r="V60" s="50"/>
      <c r="W60" s="51"/>
      <c r="X60" s="50"/>
      <c r="Y60" s="51"/>
      <c r="Z60" s="50"/>
      <c r="AA60" s="51"/>
      <c r="AB60" s="50"/>
      <c r="AC60" s="51"/>
      <c r="AD60" s="50"/>
      <c r="AE60" s="51"/>
    </row>
    <row r="61" spans="2:31" ht="12.75" thickBot="1" x14ac:dyDescent="0.25">
      <c r="B61" s="57"/>
      <c r="C61" s="52"/>
      <c r="D61" s="53"/>
      <c r="E61" s="53"/>
      <c r="F61" s="54"/>
      <c r="G61" s="54"/>
      <c r="H61" s="55"/>
      <c r="I61" s="55"/>
      <c r="J61" s="55"/>
      <c r="K61" s="56"/>
      <c r="L61" s="48"/>
      <c r="M61" s="48"/>
      <c r="N61" s="49"/>
      <c r="O61" s="48"/>
      <c r="P61" s="50"/>
      <c r="Q61" s="51"/>
      <c r="R61" s="50"/>
      <c r="S61" s="51"/>
      <c r="T61" s="50"/>
      <c r="U61" s="51"/>
      <c r="V61" s="50"/>
      <c r="W61" s="51"/>
      <c r="X61" s="50"/>
      <c r="Y61" s="51"/>
      <c r="Z61" s="50"/>
      <c r="AA61" s="51"/>
      <c r="AB61" s="50"/>
      <c r="AC61" s="51"/>
      <c r="AD61" s="50"/>
      <c r="AE61" s="51"/>
    </row>
    <row r="62" spans="2:31" ht="12.75" thickBot="1" x14ac:dyDescent="0.25">
      <c r="B62" s="57"/>
      <c r="C62" s="52"/>
      <c r="D62" s="53"/>
      <c r="E62" s="53"/>
      <c r="F62" s="54"/>
      <c r="G62" s="54"/>
      <c r="H62" s="55"/>
      <c r="I62" s="55"/>
      <c r="J62" s="55"/>
      <c r="K62" s="56"/>
      <c r="L62" s="48"/>
      <c r="M62" s="48"/>
      <c r="N62" s="49"/>
      <c r="O62" s="48"/>
      <c r="P62" s="50"/>
      <c r="Q62" s="51"/>
      <c r="R62" s="50"/>
      <c r="S62" s="51"/>
      <c r="T62" s="50"/>
      <c r="U62" s="51"/>
      <c r="V62" s="50"/>
      <c r="W62" s="51"/>
      <c r="X62" s="50"/>
      <c r="Y62" s="51"/>
      <c r="Z62" s="50"/>
      <c r="AA62" s="51"/>
      <c r="AB62" s="50"/>
      <c r="AC62" s="51"/>
      <c r="AD62" s="50"/>
      <c r="AE62" s="51"/>
    </row>
    <row r="63" spans="2:31" ht="12.75" thickBot="1" x14ac:dyDescent="0.25">
      <c r="B63" s="57"/>
      <c r="C63" s="52"/>
      <c r="D63" s="53"/>
      <c r="E63" s="53"/>
      <c r="F63" s="54"/>
      <c r="G63" s="54"/>
      <c r="H63" s="55"/>
      <c r="I63" s="55"/>
      <c r="J63" s="55"/>
      <c r="K63" s="56"/>
      <c r="L63" s="48"/>
      <c r="M63" s="48"/>
      <c r="N63" s="49"/>
      <c r="O63" s="48"/>
      <c r="P63" s="50"/>
      <c r="Q63" s="51"/>
      <c r="R63" s="50"/>
      <c r="S63" s="51"/>
      <c r="T63" s="50"/>
      <c r="U63" s="51"/>
      <c r="V63" s="50"/>
      <c r="W63" s="51"/>
      <c r="X63" s="50"/>
      <c r="Y63" s="51"/>
      <c r="Z63" s="50"/>
      <c r="AA63" s="51"/>
      <c r="AB63" s="50"/>
      <c r="AC63" s="51"/>
      <c r="AD63" s="50"/>
      <c r="AE63" s="51"/>
    </row>
    <row r="64" spans="2:31" ht="12.75" thickBot="1" x14ac:dyDescent="0.25">
      <c r="B64" s="42"/>
      <c r="C64" s="43"/>
      <c r="D64" s="44"/>
      <c r="E64" s="44"/>
      <c r="F64" s="45"/>
      <c r="G64" s="45"/>
      <c r="H64" s="46"/>
      <c r="I64" s="46"/>
      <c r="J64" s="46"/>
      <c r="K64" s="47"/>
      <c r="L64" s="48"/>
      <c r="M64" s="48"/>
      <c r="N64" s="49"/>
      <c r="O64" s="48"/>
      <c r="P64" s="50"/>
      <c r="Q64" s="51"/>
      <c r="R64" s="50"/>
      <c r="S64" s="51"/>
      <c r="T64" s="50"/>
      <c r="U64" s="51"/>
      <c r="V64" s="50"/>
      <c r="W64" s="51"/>
      <c r="X64" s="50"/>
      <c r="Y64" s="51"/>
      <c r="Z64" s="50"/>
      <c r="AA64" s="51"/>
      <c r="AB64" s="50"/>
      <c r="AC64" s="51"/>
      <c r="AD64" s="50"/>
      <c r="AE64" s="51"/>
    </row>
    <row r="65" spans="2:31" ht="12.75" thickBot="1" x14ac:dyDescent="0.25">
      <c r="B65" s="42"/>
      <c r="C65" s="43"/>
      <c r="D65" s="44"/>
      <c r="E65" s="44"/>
      <c r="F65" s="45"/>
      <c r="G65" s="45"/>
      <c r="H65" s="46"/>
      <c r="I65" s="46"/>
      <c r="J65" s="46"/>
      <c r="K65" s="47"/>
      <c r="L65" s="48"/>
      <c r="M65" s="48"/>
      <c r="N65" s="49"/>
      <c r="O65" s="48"/>
      <c r="P65" s="50"/>
      <c r="Q65" s="51"/>
      <c r="R65" s="50"/>
      <c r="S65" s="51"/>
      <c r="T65" s="50"/>
      <c r="U65" s="51"/>
      <c r="V65" s="50"/>
      <c r="W65" s="51"/>
      <c r="X65" s="50"/>
      <c r="Y65" s="51"/>
      <c r="Z65" s="50"/>
      <c r="AA65" s="51"/>
      <c r="AB65" s="50"/>
      <c r="AC65" s="51"/>
      <c r="AD65" s="50"/>
      <c r="AE65" s="51"/>
    </row>
    <row r="66" spans="2:31" ht="12.75" thickBot="1" x14ac:dyDescent="0.25">
      <c r="B66" s="42"/>
      <c r="C66" s="43"/>
      <c r="D66" s="44"/>
      <c r="E66" s="44"/>
      <c r="F66" s="45"/>
      <c r="G66" s="45"/>
      <c r="H66" s="46"/>
      <c r="I66" s="46"/>
      <c r="J66" s="46"/>
      <c r="K66" s="47"/>
      <c r="L66" s="48"/>
      <c r="M66" s="48"/>
      <c r="N66" s="49"/>
      <c r="O66" s="48"/>
      <c r="P66" s="50"/>
      <c r="Q66" s="51"/>
      <c r="R66" s="50"/>
      <c r="S66" s="51"/>
      <c r="T66" s="50"/>
      <c r="U66" s="51"/>
      <c r="V66" s="50"/>
      <c r="W66" s="51"/>
      <c r="X66" s="50"/>
      <c r="Y66" s="51"/>
      <c r="Z66" s="50"/>
      <c r="AA66" s="51"/>
      <c r="AB66" s="50"/>
      <c r="AC66" s="51"/>
      <c r="AD66" s="50"/>
      <c r="AE66" s="51"/>
    </row>
    <row r="67" spans="2:31" ht="12.75" thickBot="1" x14ac:dyDescent="0.25">
      <c r="B67" s="57"/>
      <c r="C67" s="52"/>
      <c r="D67" s="53"/>
      <c r="E67" s="53"/>
      <c r="F67" s="54"/>
      <c r="G67" s="54"/>
      <c r="H67" s="55"/>
      <c r="I67" s="55"/>
      <c r="J67" s="55"/>
      <c r="K67" s="56"/>
      <c r="L67" s="48"/>
      <c r="M67" s="48"/>
      <c r="N67" s="49"/>
      <c r="O67" s="48"/>
      <c r="P67" s="50"/>
      <c r="Q67" s="51"/>
      <c r="R67" s="50"/>
      <c r="S67" s="51"/>
      <c r="T67" s="50"/>
      <c r="U67" s="51"/>
      <c r="V67" s="50"/>
      <c r="W67" s="51"/>
      <c r="X67" s="50"/>
      <c r="Y67" s="51"/>
      <c r="Z67" s="50"/>
      <c r="AA67" s="51"/>
      <c r="AB67" s="50"/>
      <c r="AC67" s="51"/>
      <c r="AD67" s="50"/>
      <c r="AE67" s="51"/>
    </row>
    <row r="68" spans="2:31" ht="12.75" thickBot="1" x14ac:dyDescent="0.25">
      <c r="B68" s="42"/>
      <c r="C68" s="43"/>
      <c r="D68" s="44"/>
      <c r="E68" s="44"/>
      <c r="F68" s="45"/>
      <c r="G68" s="45"/>
      <c r="H68" s="46"/>
      <c r="I68" s="46"/>
      <c r="J68" s="46"/>
      <c r="K68" s="47"/>
      <c r="L68" s="48"/>
      <c r="M68" s="48"/>
      <c r="N68" s="49"/>
      <c r="O68" s="48"/>
      <c r="P68" s="50"/>
      <c r="Q68" s="51"/>
      <c r="R68" s="50"/>
      <c r="S68" s="51"/>
      <c r="T68" s="50"/>
      <c r="U68" s="51"/>
      <c r="V68" s="50"/>
      <c r="W68" s="51"/>
      <c r="X68" s="50"/>
      <c r="Y68" s="51"/>
      <c r="Z68" s="50"/>
      <c r="AA68" s="51"/>
      <c r="AB68" s="50"/>
      <c r="AC68" s="51"/>
      <c r="AD68" s="50"/>
      <c r="AE68" s="51"/>
    </row>
    <row r="69" spans="2:31" ht="12.75" thickBot="1" x14ac:dyDescent="0.25">
      <c r="B69" s="42"/>
      <c r="C69" s="43"/>
      <c r="D69" s="44"/>
      <c r="E69" s="44"/>
      <c r="F69" s="45"/>
      <c r="G69" s="45"/>
      <c r="H69" s="46"/>
      <c r="I69" s="46"/>
      <c r="J69" s="46"/>
      <c r="K69" s="47"/>
      <c r="L69" s="48"/>
      <c r="M69" s="48"/>
      <c r="N69" s="49"/>
      <c r="O69" s="48"/>
      <c r="P69" s="50"/>
      <c r="Q69" s="51"/>
      <c r="R69" s="50"/>
      <c r="S69" s="51"/>
      <c r="T69" s="50"/>
      <c r="U69" s="51"/>
      <c r="V69" s="50"/>
      <c r="W69" s="51"/>
      <c r="X69" s="50"/>
      <c r="Y69" s="51"/>
      <c r="Z69" s="50"/>
      <c r="AA69" s="51"/>
      <c r="AB69" s="50"/>
      <c r="AC69" s="51"/>
      <c r="AD69" s="50"/>
      <c r="AE69" s="51"/>
    </row>
    <row r="70" spans="2:31" ht="12.75" thickBot="1" x14ac:dyDescent="0.25">
      <c r="B70" s="42"/>
      <c r="C70" s="43"/>
      <c r="D70" s="44"/>
      <c r="E70" s="44"/>
      <c r="F70" s="45"/>
      <c r="G70" s="45"/>
      <c r="H70" s="46"/>
      <c r="I70" s="46"/>
      <c r="J70" s="46"/>
      <c r="K70" s="47"/>
      <c r="L70" s="48"/>
      <c r="M70" s="48"/>
      <c r="N70" s="49"/>
      <c r="O70" s="48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</row>
    <row r="71" spans="2:31" ht="12.75" thickBot="1" x14ac:dyDescent="0.25">
      <c r="B71" s="42"/>
      <c r="C71" s="43"/>
      <c r="D71" s="44"/>
      <c r="E71" s="44"/>
      <c r="F71" s="45"/>
      <c r="G71" s="45"/>
      <c r="H71" s="46"/>
      <c r="I71" s="46"/>
      <c r="J71" s="46"/>
      <c r="K71" s="47"/>
      <c r="L71" s="48"/>
      <c r="M71" s="48"/>
      <c r="N71" s="49"/>
      <c r="O71" s="48"/>
      <c r="P71" s="50"/>
      <c r="Q71" s="51"/>
      <c r="R71" s="50"/>
      <c r="S71" s="51"/>
      <c r="T71" s="50"/>
      <c r="U71" s="51"/>
      <c r="V71" s="50"/>
      <c r="W71" s="51"/>
      <c r="X71" s="50"/>
      <c r="Y71" s="51"/>
      <c r="Z71" s="50"/>
      <c r="AA71" s="51"/>
      <c r="AB71" s="50"/>
      <c r="AC71" s="51"/>
      <c r="AD71" s="50"/>
      <c r="AE71" s="51"/>
    </row>
    <row r="72" spans="2:31" ht="12.75" thickBot="1" x14ac:dyDescent="0.25">
      <c r="B72" s="42"/>
      <c r="C72" s="43"/>
      <c r="D72" s="44"/>
      <c r="E72" s="44"/>
      <c r="F72" s="45"/>
      <c r="G72" s="45"/>
      <c r="H72" s="46"/>
      <c r="I72" s="46"/>
      <c r="J72" s="46"/>
      <c r="K72" s="47"/>
      <c r="L72" s="48"/>
      <c r="M72" s="48"/>
      <c r="N72" s="49"/>
      <c r="O72" s="48"/>
      <c r="P72" s="50"/>
      <c r="Q72" s="51"/>
      <c r="R72" s="50"/>
      <c r="S72" s="51"/>
      <c r="T72" s="50"/>
      <c r="U72" s="51"/>
      <c r="V72" s="50"/>
      <c r="W72" s="51"/>
      <c r="X72" s="50"/>
      <c r="Y72" s="51"/>
      <c r="Z72" s="50"/>
      <c r="AA72" s="51"/>
      <c r="AB72" s="50"/>
      <c r="AC72" s="51"/>
      <c r="AD72" s="50"/>
      <c r="AE72" s="51"/>
    </row>
    <row r="73" spans="2:31" ht="12.75" thickBot="1" x14ac:dyDescent="0.25">
      <c r="B73" s="42"/>
      <c r="C73" s="43"/>
      <c r="D73" s="44"/>
      <c r="E73" s="44"/>
      <c r="F73" s="45"/>
      <c r="G73" s="45"/>
      <c r="H73" s="46"/>
      <c r="I73" s="46"/>
      <c r="J73" s="46"/>
      <c r="K73" s="47"/>
      <c r="L73" s="48"/>
      <c r="M73" s="48"/>
      <c r="N73" s="49"/>
      <c r="O73" s="48"/>
      <c r="P73" s="50"/>
      <c r="Q73" s="51"/>
      <c r="R73" s="50"/>
      <c r="S73" s="51"/>
      <c r="T73" s="50"/>
      <c r="U73" s="51"/>
      <c r="V73" s="50"/>
      <c r="W73" s="51"/>
      <c r="X73" s="50"/>
      <c r="Y73" s="51"/>
      <c r="Z73" s="50"/>
      <c r="AA73" s="51"/>
      <c r="AB73" s="50"/>
      <c r="AC73" s="51"/>
      <c r="AD73" s="50"/>
      <c r="AE73" s="51"/>
    </row>
    <row r="74" spans="2:31" ht="12.75" thickBot="1" x14ac:dyDescent="0.25">
      <c r="B74" s="57"/>
      <c r="C74" s="52"/>
      <c r="D74" s="53"/>
      <c r="E74" s="53"/>
      <c r="F74" s="54"/>
      <c r="G74" s="54"/>
      <c r="H74" s="55"/>
      <c r="I74" s="55"/>
      <c r="J74" s="55"/>
      <c r="K74" s="56"/>
      <c r="L74" s="48"/>
      <c r="M74" s="48"/>
      <c r="N74" s="49"/>
      <c r="O74" s="48"/>
      <c r="P74" s="50"/>
      <c r="Q74" s="51"/>
      <c r="R74" s="50"/>
      <c r="S74" s="51"/>
      <c r="T74" s="50"/>
      <c r="U74" s="51"/>
      <c r="V74" s="50"/>
      <c r="W74" s="51"/>
      <c r="X74" s="50"/>
      <c r="Y74" s="51"/>
      <c r="Z74" s="50"/>
      <c r="AA74" s="51"/>
      <c r="AB74" s="50"/>
      <c r="AC74" s="51"/>
      <c r="AD74" s="50"/>
      <c r="AE74" s="51"/>
    </row>
    <row r="75" spans="2:31" ht="12.75" thickBot="1" x14ac:dyDescent="0.25">
      <c r="B75" s="42"/>
      <c r="C75" s="43"/>
      <c r="D75" s="44"/>
      <c r="E75" s="44"/>
      <c r="F75" s="45"/>
      <c r="G75" s="45"/>
      <c r="H75" s="46"/>
      <c r="I75" s="46"/>
      <c r="J75" s="46"/>
      <c r="K75" s="47"/>
      <c r="L75" s="48"/>
      <c r="M75" s="48"/>
      <c r="N75" s="49"/>
      <c r="O75" s="48"/>
      <c r="P75" s="50"/>
      <c r="Q75" s="51"/>
      <c r="R75" s="50"/>
      <c r="S75" s="51"/>
      <c r="T75" s="50"/>
      <c r="U75" s="51"/>
      <c r="V75" s="50"/>
      <c r="W75" s="51"/>
      <c r="X75" s="50"/>
      <c r="Y75" s="51"/>
      <c r="Z75" s="50"/>
      <c r="AA75" s="51"/>
      <c r="AB75" s="50"/>
      <c r="AC75" s="51"/>
      <c r="AD75" s="50"/>
      <c r="AE75" s="51"/>
    </row>
    <row r="76" spans="2:31" ht="12.75" thickBot="1" x14ac:dyDescent="0.25">
      <c r="B76" s="42"/>
      <c r="C76" s="43"/>
      <c r="D76" s="44"/>
      <c r="E76" s="44"/>
      <c r="F76" s="45"/>
      <c r="G76" s="45"/>
      <c r="H76" s="46"/>
      <c r="I76" s="46"/>
      <c r="J76" s="46"/>
      <c r="K76" s="47"/>
      <c r="L76" s="48"/>
      <c r="M76" s="48"/>
      <c r="N76" s="49"/>
      <c r="O76" s="48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</row>
    <row r="77" spans="2:31" ht="12.75" thickBot="1" x14ac:dyDescent="0.25">
      <c r="B77" s="57"/>
      <c r="C77" s="52"/>
      <c r="D77" s="53"/>
      <c r="E77" s="53"/>
      <c r="F77" s="54"/>
      <c r="G77" s="54"/>
      <c r="H77" s="55"/>
      <c r="I77" s="55"/>
      <c r="J77" s="55"/>
      <c r="K77" s="56"/>
      <c r="L77" s="48"/>
      <c r="M77" s="48"/>
      <c r="N77" s="49"/>
      <c r="O77" s="48"/>
      <c r="P77" s="50"/>
      <c r="Q77" s="51"/>
      <c r="R77" s="50"/>
      <c r="S77" s="51"/>
      <c r="T77" s="50"/>
      <c r="U77" s="51"/>
      <c r="V77" s="50"/>
      <c r="W77" s="51"/>
      <c r="X77" s="50"/>
      <c r="Y77" s="51"/>
      <c r="Z77" s="50"/>
      <c r="AA77" s="51"/>
      <c r="AB77" s="50"/>
      <c r="AC77" s="51"/>
      <c r="AD77" s="50"/>
      <c r="AE77" s="51"/>
    </row>
    <row r="78" spans="2:31" ht="12.75" thickBot="1" x14ac:dyDescent="0.25">
      <c r="B78" s="42"/>
      <c r="C78" s="43"/>
      <c r="D78" s="44"/>
      <c r="E78" s="44"/>
      <c r="F78" s="45"/>
      <c r="G78" s="45"/>
      <c r="H78" s="46"/>
      <c r="I78" s="46"/>
      <c r="J78" s="46"/>
      <c r="K78" s="47"/>
      <c r="L78" s="48"/>
      <c r="M78" s="48"/>
      <c r="N78" s="49"/>
      <c r="O78" s="48"/>
      <c r="P78" s="50"/>
      <c r="Q78" s="51"/>
      <c r="R78" s="50"/>
      <c r="S78" s="51"/>
      <c r="T78" s="50"/>
      <c r="U78" s="51"/>
      <c r="V78" s="50"/>
      <c r="W78" s="51"/>
      <c r="X78" s="50"/>
      <c r="Y78" s="51"/>
      <c r="Z78" s="50"/>
      <c r="AA78" s="51"/>
      <c r="AB78" s="50"/>
      <c r="AC78" s="51"/>
      <c r="AD78" s="50"/>
      <c r="AE78" s="51"/>
    </row>
    <row r="79" spans="2:31" ht="12.75" thickBot="1" x14ac:dyDescent="0.25">
      <c r="B79" s="57"/>
      <c r="C79" s="52"/>
      <c r="D79" s="53"/>
      <c r="E79" s="53"/>
      <c r="F79" s="54"/>
      <c r="G79" s="54"/>
      <c r="H79" s="55"/>
      <c r="I79" s="55"/>
      <c r="J79" s="55"/>
      <c r="K79" s="56"/>
      <c r="L79" s="48"/>
      <c r="M79" s="48"/>
      <c r="N79" s="49"/>
      <c r="O79" s="48"/>
      <c r="P79" s="50"/>
      <c r="Q79" s="51"/>
      <c r="R79" s="50"/>
      <c r="S79" s="51"/>
      <c r="T79" s="50"/>
      <c r="U79" s="51"/>
      <c r="V79" s="50"/>
      <c r="W79" s="51"/>
      <c r="X79" s="50"/>
      <c r="Y79" s="51"/>
      <c r="Z79" s="50"/>
      <c r="AA79" s="51"/>
      <c r="AB79" s="50"/>
      <c r="AC79" s="51"/>
      <c r="AD79" s="50"/>
      <c r="AE79" s="51"/>
    </row>
    <row r="80" spans="2:31" ht="12.75" thickBot="1" x14ac:dyDescent="0.25">
      <c r="B80" s="42"/>
      <c r="C80" s="52"/>
      <c r="D80" s="44"/>
      <c r="E80" s="44"/>
      <c r="F80" s="45"/>
      <c r="G80" s="45"/>
      <c r="H80" s="46"/>
      <c r="I80" s="46"/>
      <c r="J80" s="46"/>
      <c r="K80" s="56"/>
      <c r="L80" s="48"/>
      <c r="M80" s="48"/>
      <c r="N80" s="49"/>
      <c r="O80" s="48"/>
      <c r="P80" s="50"/>
      <c r="Q80" s="51"/>
      <c r="R80" s="50"/>
      <c r="S80" s="51"/>
      <c r="T80" s="50"/>
      <c r="U80" s="51"/>
      <c r="V80" s="50"/>
      <c r="W80" s="51"/>
      <c r="X80" s="50"/>
      <c r="Y80" s="51"/>
      <c r="Z80" s="50"/>
      <c r="AA80" s="51"/>
      <c r="AB80" s="50"/>
      <c r="AC80" s="51"/>
      <c r="AD80" s="50"/>
      <c r="AE80" s="51"/>
    </row>
    <row r="81" spans="2:31" ht="12.75" thickBot="1" x14ac:dyDescent="0.25">
      <c r="B81" s="42"/>
      <c r="C81" s="52"/>
      <c r="D81" s="44"/>
      <c r="E81" s="44"/>
      <c r="F81" s="45"/>
      <c r="G81" s="45"/>
      <c r="H81" s="46"/>
      <c r="I81" s="46"/>
      <c r="J81" s="46"/>
      <c r="K81" s="56"/>
      <c r="L81" s="48"/>
      <c r="M81" s="48"/>
      <c r="N81" s="49"/>
      <c r="O81" s="48"/>
      <c r="P81" s="50"/>
      <c r="Q81" s="51"/>
      <c r="R81" s="50"/>
      <c r="S81" s="51"/>
      <c r="T81" s="50"/>
      <c r="U81" s="51"/>
      <c r="V81" s="50"/>
      <c r="W81" s="51"/>
      <c r="X81" s="50"/>
      <c r="Y81" s="51"/>
      <c r="Z81" s="50"/>
      <c r="AA81" s="51"/>
      <c r="AB81" s="50"/>
      <c r="AC81" s="51"/>
      <c r="AD81" s="50"/>
      <c r="AE81" s="51"/>
    </row>
    <row r="82" spans="2:31" ht="12.75" thickBot="1" x14ac:dyDescent="0.25">
      <c r="B82" s="42"/>
      <c r="C82" s="43"/>
      <c r="D82" s="44"/>
      <c r="E82" s="44"/>
      <c r="F82" s="45"/>
      <c r="G82" s="45"/>
      <c r="H82" s="46"/>
      <c r="I82" s="46"/>
      <c r="J82" s="46"/>
      <c r="K82" s="47"/>
      <c r="L82" s="48"/>
      <c r="M82" s="48"/>
      <c r="N82" s="49"/>
      <c r="O82" s="48"/>
      <c r="P82" s="50"/>
      <c r="Q82" s="51"/>
      <c r="R82" s="50"/>
      <c r="S82" s="51"/>
      <c r="T82" s="50"/>
      <c r="U82" s="51"/>
      <c r="V82" s="50"/>
      <c r="W82" s="51"/>
      <c r="X82" s="50"/>
      <c r="Y82" s="51"/>
      <c r="Z82" s="50"/>
      <c r="AA82" s="51"/>
      <c r="AB82" s="50"/>
      <c r="AC82" s="51"/>
      <c r="AD82" s="50"/>
      <c r="AE82" s="51"/>
    </row>
    <row r="83" spans="2:31" ht="12.75" thickBot="1" x14ac:dyDescent="0.25">
      <c r="B83" s="57"/>
      <c r="C83" s="52"/>
      <c r="D83" s="53"/>
      <c r="E83" s="53"/>
      <c r="F83" s="54"/>
      <c r="G83" s="54"/>
      <c r="H83" s="55"/>
      <c r="I83" s="55"/>
      <c r="J83" s="55"/>
      <c r="K83" s="56"/>
      <c r="L83" s="48"/>
      <c r="M83" s="48"/>
      <c r="N83" s="49"/>
      <c r="O83" s="48"/>
      <c r="P83" s="50"/>
      <c r="Q83" s="51"/>
      <c r="R83" s="50"/>
      <c r="S83" s="51"/>
      <c r="T83" s="50"/>
      <c r="U83" s="51"/>
      <c r="V83" s="50"/>
      <c r="W83" s="51"/>
      <c r="X83" s="50"/>
      <c r="Y83" s="51"/>
      <c r="Z83" s="50"/>
      <c r="AA83" s="51"/>
      <c r="AB83" s="50"/>
      <c r="AC83" s="51"/>
      <c r="AD83" s="50"/>
      <c r="AE83" s="51"/>
    </row>
    <row r="84" spans="2:31" ht="12.75" thickBot="1" x14ac:dyDescent="0.25">
      <c r="B84" s="57"/>
      <c r="C84" s="52"/>
      <c r="D84" s="53"/>
      <c r="E84" s="53"/>
      <c r="F84" s="54"/>
      <c r="G84" s="54"/>
      <c r="H84" s="55"/>
      <c r="I84" s="55"/>
      <c r="J84" s="55"/>
      <c r="K84" s="56"/>
      <c r="L84" s="48"/>
      <c r="M84" s="48"/>
      <c r="N84" s="49"/>
      <c r="O84" s="48"/>
      <c r="P84" s="50"/>
      <c r="Q84" s="51"/>
      <c r="R84" s="50"/>
      <c r="S84" s="51"/>
      <c r="T84" s="50"/>
      <c r="U84" s="51"/>
      <c r="V84" s="50"/>
      <c r="W84" s="51"/>
      <c r="X84" s="50"/>
      <c r="Y84" s="51"/>
      <c r="Z84" s="50"/>
      <c r="AA84" s="51"/>
      <c r="AB84" s="50"/>
      <c r="AC84" s="51"/>
      <c r="AD84" s="50"/>
      <c r="AE84" s="51"/>
    </row>
    <row r="85" spans="2:31" ht="12.75" thickBot="1" x14ac:dyDescent="0.25">
      <c r="B85" s="42"/>
      <c r="C85" s="43"/>
      <c r="D85" s="44"/>
      <c r="E85" s="44"/>
      <c r="F85" s="45"/>
      <c r="G85" s="45"/>
      <c r="H85" s="46"/>
      <c r="I85" s="46"/>
      <c r="J85" s="46"/>
      <c r="K85" s="47"/>
      <c r="L85" s="48"/>
      <c r="M85" s="48"/>
      <c r="N85" s="49"/>
      <c r="O85" s="48"/>
      <c r="P85" s="50"/>
      <c r="Q85" s="51"/>
      <c r="R85" s="50"/>
      <c r="S85" s="51"/>
      <c r="T85" s="50"/>
      <c r="U85" s="51"/>
      <c r="V85" s="50"/>
      <c r="W85" s="51"/>
      <c r="X85" s="50"/>
      <c r="Y85" s="51"/>
      <c r="Z85" s="50"/>
      <c r="AA85" s="51"/>
      <c r="AB85" s="50"/>
      <c r="AC85" s="51"/>
      <c r="AD85" s="50"/>
      <c r="AE85" s="51"/>
    </row>
    <row r="86" spans="2:31" ht="12.75" thickBot="1" x14ac:dyDescent="0.25">
      <c r="B86" s="42"/>
      <c r="C86" s="43"/>
      <c r="D86" s="44"/>
      <c r="E86" s="44"/>
      <c r="F86" s="45"/>
      <c r="G86" s="45"/>
      <c r="H86" s="46"/>
      <c r="I86" s="46"/>
      <c r="J86" s="46"/>
      <c r="K86" s="47"/>
      <c r="L86" s="48"/>
      <c r="M86" s="48"/>
      <c r="N86" s="49"/>
      <c r="O86" s="48"/>
      <c r="P86" s="50"/>
      <c r="Q86" s="51"/>
      <c r="R86" s="50"/>
      <c r="S86" s="51"/>
      <c r="T86" s="50"/>
      <c r="U86" s="51"/>
      <c r="V86" s="50"/>
      <c r="W86" s="51"/>
      <c r="X86" s="50"/>
      <c r="Y86" s="51"/>
      <c r="Z86" s="50"/>
      <c r="AA86" s="51"/>
      <c r="AB86" s="50"/>
      <c r="AC86" s="51"/>
      <c r="AD86" s="50"/>
      <c r="AE86" s="51"/>
    </row>
    <row r="87" spans="2:31" ht="12.75" thickBot="1" x14ac:dyDescent="0.25">
      <c r="B87" s="42"/>
      <c r="C87" s="43"/>
      <c r="D87" s="44"/>
      <c r="E87" s="44"/>
      <c r="F87" s="45"/>
      <c r="G87" s="45"/>
      <c r="H87" s="46"/>
      <c r="I87" s="46"/>
      <c r="J87" s="46"/>
      <c r="K87" s="47"/>
      <c r="L87" s="48"/>
      <c r="M87" s="48"/>
      <c r="N87" s="49"/>
      <c r="O87" s="48"/>
      <c r="P87" s="50"/>
      <c r="Q87" s="51"/>
      <c r="R87" s="50"/>
      <c r="S87" s="51"/>
      <c r="T87" s="50"/>
      <c r="U87" s="51"/>
      <c r="V87" s="50"/>
      <c r="W87" s="51"/>
      <c r="X87" s="50"/>
      <c r="Y87" s="51"/>
      <c r="Z87" s="50"/>
      <c r="AA87" s="51"/>
      <c r="AB87" s="50"/>
      <c r="AC87" s="51"/>
      <c r="AD87" s="50"/>
      <c r="AE87" s="51"/>
    </row>
    <row r="88" spans="2:31" ht="12.75" thickBot="1" x14ac:dyDescent="0.25">
      <c r="B88" s="57"/>
      <c r="C88" s="52"/>
      <c r="D88" s="53"/>
      <c r="E88" s="53"/>
      <c r="F88" s="54"/>
      <c r="G88" s="54"/>
      <c r="H88" s="55"/>
      <c r="I88" s="55"/>
      <c r="J88" s="55"/>
      <c r="K88" s="56"/>
      <c r="L88" s="48"/>
      <c r="M88" s="48"/>
      <c r="N88" s="49"/>
      <c r="O88" s="48"/>
      <c r="P88" s="50"/>
      <c r="Q88" s="51"/>
      <c r="R88" s="50"/>
      <c r="S88" s="51"/>
      <c r="T88" s="50"/>
      <c r="U88" s="51"/>
      <c r="V88" s="50"/>
      <c r="W88" s="51"/>
      <c r="X88" s="50"/>
      <c r="Y88" s="51"/>
      <c r="Z88" s="50"/>
      <c r="AA88" s="51"/>
      <c r="AB88" s="50"/>
      <c r="AC88" s="51"/>
      <c r="AD88" s="50"/>
      <c r="AE88" s="51"/>
    </row>
    <row r="89" spans="2:31" ht="12.75" thickBot="1" x14ac:dyDescent="0.25">
      <c r="B89" s="57"/>
      <c r="C89" s="52"/>
      <c r="D89" s="53"/>
      <c r="E89" s="53"/>
      <c r="F89" s="54"/>
      <c r="G89" s="54"/>
      <c r="H89" s="55"/>
      <c r="I89" s="55"/>
      <c r="J89" s="55"/>
      <c r="K89" s="56"/>
      <c r="L89" s="48"/>
      <c r="M89" s="48"/>
      <c r="N89" s="49"/>
      <c r="O89" s="48"/>
      <c r="P89" s="50"/>
      <c r="Q89" s="51"/>
      <c r="R89" s="50"/>
      <c r="S89" s="51"/>
      <c r="T89" s="50"/>
      <c r="U89" s="51"/>
      <c r="V89" s="50"/>
      <c r="W89" s="51"/>
      <c r="X89" s="50"/>
      <c r="Y89" s="51"/>
      <c r="Z89" s="50"/>
      <c r="AA89" s="51"/>
      <c r="AB89" s="50"/>
      <c r="AC89" s="51"/>
      <c r="AD89" s="50"/>
      <c r="AE89" s="51"/>
    </row>
    <row r="90" spans="2:31" ht="12.75" thickBot="1" x14ac:dyDescent="0.25">
      <c r="B90" s="57"/>
      <c r="C90" s="52"/>
      <c r="D90" s="53"/>
      <c r="E90" s="53"/>
      <c r="F90" s="54"/>
      <c r="G90" s="54"/>
      <c r="H90" s="55"/>
      <c r="I90" s="55"/>
      <c r="J90" s="55"/>
      <c r="K90" s="56"/>
      <c r="L90" s="58"/>
      <c r="M90" s="58"/>
      <c r="N90" s="49"/>
      <c r="O90" s="58"/>
      <c r="P90" s="50"/>
      <c r="Q90" s="51"/>
      <c r="R90" s="50"/>
      <c r="S90" s="51"/>
      <c r="T90" s="50"/>
      <c r="U90" s="51"/>
      <c r="V90" s="50"/>
      <c r="W90" s="51"/>
      <c r="X90" s="50"/>
      <c r="Y90" s="51"/>
      <c r="Z90" s="50"/>
      <c r="AA90" s="51"/>
      <c r="AB90" s="50"/>
      <c r="AC90" s="51"/>
      <c r="AD90" s="50"/>
      <c r="AE90" s="51"/>
    </row>
    <row r="91" spans="2:31" ht="12.75" thickBot="1" x14ac:dyDescent="0.25">
      <c r="B91" s="57"/>
      <c r="C91" s="52"/>
      <c r="D91" s="53"/>
      <c r="E91" s="53"/>
      <c r="F91" s="54"/>
      <c r="G91" s="54"/>
      <c r="H91" s="55"/>
      <c r="I91" s="55"/>
      <c r="J91" s="55"/>
      <c r="K91" s="56"/>
      <c r="L91" s="58"/>
      <c r="M91" s="58"/>
      <c r="N91" s="49"/>
      <c r="O91" s="58"/>
      <c r="P91" s="50"/>
      <c r="Q91" s="51"/>
      <c r="R91" s="50"/>
      <c r="S91" s="51"/>
      <c r="T91" s="50"/>
      <c r="U91" s="51"/>
      <c r="V91" s="50"/>
      <c r="W91" s="51"/>
      <c r="X91" s="50"/>
      <c r="Y91" s="51"/>
      <c r="Z91" s="50"/>
      <c r="AA91" s="51"/>
      <c r="AB91" s="50"/>
      <c r="AC91" s="51"/>
      <c r="AD91" s="50"/>
      <c r="AE91" s="51"/>
    </row>
    <row r="92" spans="2:31" ht="12.75" thickBot="1" x14ac:dyDescent="0.25">
      <c r="B92" s="57"/>
      <c r="C92" s="52"/>
      <c r="D92" s="53"/>
      <c r="E92" s="53"/>
      <c r="F92" s="54"/>
      <c r="G92" s="54"/>
      <c r="H92" s="55"/>
      <c r="I92" s="55"/>
      <c r="J92" s="55"/>
      <c r="K92" s="56"/>
      <c r="L92" s="58"/>
      <c r="M92" s="58"/>
      <c r="N92" s="49"/>
      <c r="O92" s="58"/>
      <c r="P92" s="50"/>
      <c r="Q92" s="51"/>
      <c r="R92" s="50"/>
      <c r="S92" s="51"/>
      <c r="T92" s="50"/>
      <c r="U92" s="51"/>
      <c r="V92" s="50"/>
      <c r="W92" s="51"/>
      <c r="X92" s="50"/>
      <c r="Y92" s="51"/>
      <c r="Z92" s="50"/>
      <c r="AA92" s="51"/>
      <c r="AB92" s="50"/>
      <c r="AC92" s="51"/>
      <c r="AD92" s="50"/>
      <c r="AE92" s="51"/>
    </row>
    <row r="93" spans="2:31" ht="12.75" thickBot="1" x14ac:dyDescent="0.25">
      <c r="B93" s="57"/>
      <c r="C93" s="52"/>
      <c r="D93" s="53"/>
      <c r="E93" s="53"/>
      <c r="F93" s="54"/>
      <c r="G93" s="54"/>
      <c r="H93" s="55"/>
      <c r="I93" s="55"/>
      <c r="J93" s="55"/>
      <c r="K93" s="56"/>
      <c r="L93" s="58"/>
      <c r="M93" s="58"/>
      <c r="N93" s="49"/>
      <c r="O93" s="58"/>
      <c r="P93" s="50"/>
      <c r="Q93" s="51"/>
      <c r="R93" s="50"/>
      <c r="S93" s="51"/>
      <c r="T93" s="50"/>
      <c r="U93" s="51"/>
      <c r="V93" s="50"/>
      <c r="W93" s="51"/>
      <c r="X93" s="50"/>
      <c r="Y93" s="51"/>
      <c r="Z93" s="50"/>
      <c r="AA93" s="51"/>
      <c r="AB93" s="50"/>
      <c r="AC93" s="51"/>
      <c r="AD93" s="50"/>
      <c r="AE93" s="51"/>
    </row>
    <row r="94" spans="2:31" ht="12.75" thickBot="1" x14ac:dyDescent="0.25">
      <c r="B94" s="57"/>
      <c r="C94" s="52"/>
      <c r="D94" s="53"/>
      <c r="E94" s="53"/>
      <c r="F94" s="54"/>
      <c r="G94" s="54"/>
      <c r="H94" s="55"/>
      <c r="I94" s="55"/>
      <c r="J94" s="55"/>
      <c r="K94" s="56"/>
      <c r="L94" s="48"/>
      <c r="M94" s="48"/>
      <c r="N94" s="49"/>
      <c r="O94" s="48"/>
      <c r="P94" s="50"/>
      <c r="Q94" s="51"/>
      <c r="R94" s="50"/>
      <c r="S94" s="51"/>
      <c r="T94" s="50"/>
      <c r="U94" s="51"/>
      <c r="V94" s="50"/>
      <c r="W94" s="51"/>
      <c r="X94" s="50"/>
      <c r="Y94" s="51"/>
      <c r="Z94" s="50"/>
      <c r="AA94" s="51"/>
      <c r="AB94" s="50"/>
      <c r="AC94" s="51"/>
      <c r="AD94" s="50"/>
      <c r="AE94" s="51"/>
    </row>
    <row r="95" spans="2:31" ht="12.75" thickBot="1" x14ac:dyDescent="0.25">
      <c r="B95" s="42"/>
      <c r="C95" s="43"/>
      <c r="D95" s="44"/>
      <c r="E95" s="44"/>
      <c r="F95" s="45"/>
      <c r="G95" s="45"/>
      <c r="H95" s="46"/>
      <c r="I95" s="46"/>
      <c r="J95" s="46"/>
      <c r="K95" s="47"/>
      <c r="L95" s="48"/>
      <c r="M95" s="48"/>
      <c r="N95" s="49"/>
      <c r="O95" s="48"/>
      <c r="P95" s="50"/>
      <c r="Q95" s="51"/>
      <c r="R95" s="50"/>
      <c r="S95" s="51"/>
      <c r="T95" s="50"/>
      <c r="U95" s="51"/>
      <c r="V95" s="50"/>
      <c r="W95" s="51"/>
      <c r="X95" s="50"/>
      <c r="Y95" s="51"/>
      <c r="Z95" s="50"/>
      <c r="AA95" s="51"/>
      <c r="AB95" s="50"/>
      <c r="AC95" s="51"/>
      <c r="AD95" s="50"/>
      <c r="AE95" s="51"/>
    </row>
    <row r="96" spans="2:31" ht="12.75" thickBot="1" x14ac:dyDescent="0.25">
      <c r="B96" s="57"/>
      <c r="C96" s="52"/>
      <c r="D96" s="53"/>
      <c r="E96" s="53"/>
      <c r="F96" s="54"/>
      <c r="G96" s="54"/>
      <c r="H96" s="55"/>
      <c r="I96" s="55"/>
      <c r="J96" s="55"/>
      <c r="K96" s="56"/>
      <c r="L96" s="48"/>
      <c r="M96" s="48"/>
      <c r="N96" s="49"/>
      <c r="O96" s="48"/>
      <c r="P96" s="50"/>
      <c r="Q96" s="51"/>
      <c r="R96" s="50"/>
      <c r="S96" s="51"/>
      <c r="T96" s="50"/>
      <c r="U96" s="51"/>
      <c r="V96" s="50"/>
      <c r="W96" s="51"/>
      <c r="X96" s="50"/>
      <c r="Y96" s="51"/>
      <c r="Z96" s="50"/>
      <c r="AA96" s="51"/>
      <c r="AB96" s="50"/>
      <c r="AC96" s="51"/>
      <c r="AD96" s="50"/>
      <c r="AE96" s="51"/>
    </row>
    <row r="97" spans="1:31" ht="12.75" thickBot="1" x14ac:dyDescent="0.25">
      <c r="B97" s="57"/>
      <c r="C97" s="52"/>
      <c r="D97" s="53"/>
      <c r="E97" s="53"/>
      <c r="F97" s="54"/>
      <c r="G97" s="54"/>
      <c r="H97" s="55"/>
      <c r="I97" s="55"/>
      <c r="J97" s="55"/>
      <c r="K97" s="56"/>
      <c r="L97" s="58"/>
      <c r="M97" s="58"/>
      <c r="N97" s="49"/>
      <c r="O97" s="58"/>
      <c r="P97" s="50"/>
      <c r="Q97" s="51"/>
      <c r="R97" s="50"/>
      <c r="S97" s="51"/>
      <c r="T97" s="50"/>
      <c r="U97" s="51"/>
      <c r="V97" s="50"/>
      <c r="W97" s="51"/>
      <c r="X97" s="50"/>
      <c r="Y97" s="51"/>
      <c r="Z97" s="50"/>
      <c r="AA97" s="51"/>
      <c r="AB97" s="50"/>
      <c r="AC97" s="51"/>
      <c r="AD97" s="50"/>
      <c r="AE97" s="51"/>
    </row>
    <row r="98" spans="1:31" ht="12.75" thickBot="1" x14ac:dyDescent="0.25">
      <c r="B98" s="42"/>
      <c r="C98" s="43"/>
      <c r="D98" s="44"/>
      <c r="E98" s="44"/>
      <c r="F98" s="45"/>
      <c r="G98" s="45"/>
      <c r="H98" s="46"/>
      <c r="I98" s="46"/>
      <c r="J98" s="46"/>
      <c r="K98" s="47"/>
      <c r="L98" s="48"/>
      <c r="M98" s="48"/>
      <c r="N98" s="49"/>
      <c r="O98" s="48"/>
      <c r="P98" s="50"/>
      <c r="Q98" s="51"/>
      <c r="R98" s="50"/>
      <c r="S98" s="51"/>
      <c r="T98" s="50"/>
      <c r="U98" s="51"/>
      <c r="V98" s="50"/>
      <c r="W98" s="51"/>
      <c r="X98" s="50"/>
      <c r="Y98" s="51"/>
      <c r="Z98" s="50"/>
      <c r="AA98" s="51"/>
      <c r="AB98" s="50"/>
      <c r="AC98" s="51"/>
      <c r="AD98" s="50"/>
      <c r="AE98" s="51"/>
    </row>
    <row r="99" spans="1:31" ht="12.75" thickBot="1" x14ac:dyDescent="0.25">
      <c r="B99" s="42"/>
      <c r="C99" s="43"/>
      <c r="D99" s="44"/>
      <c r="E99" s="44"/>
      <c r="F99" s="45"/>
      <c r="G99" s="45"/>
      <c r="H99" s="46"/>
      <c r="I99" s="46"/>
      <c r="J99" s="46"/>
      <c r="K99" s="47"/>
      <c r="L99" s="48"/>
      <c r="M99" s="48"/>
      <c r="N99" s="49"/>
      <c r="O99" s="48"/>
      <c r="P99" s="50"/>
      <c r="Q99" s="51"/>
      <c r="R99" s="50"/>
      <c r="S99" s="51"/>
      <c r="T99" s="50"/>
      <c r="U99" s="51"/>
      <c r="V99" s="50"/>
      <c r="W99" s="51"/>
      <c r="X99" s="50"/>
      <c r="Y99" s="51"/>
      <c r="Z99" s="50"/>
      <c r="AA99" s="51"/>
      <c r="AB99" s="50"/>
      <c r="AC99" s="51"/>
      <c r="AD99" s="50"/>
      <c r="AE99" s="51"/>
    </row>
    <row r="100" spans="1:31" ht="12.75" thickBot="1" x14ac:dyDescent="0.25">
      <c r="B100" s="42"/>
      <c r="C100" s="43"/>
      <c r="D100" s="44"/>
      <c r="E100" s="44"/>
      <c r="F100" s="45"/>
      <c r="G100" s="45"/>
      <c r="H100" s="46"/>
      <c r="I100" s="46"/>
      <c r="J100" s="46"/>
      <c r="K100" s="47"/>
      <c r="L100" s="48"/>
      <c r="M100" s="48"/>
      <c r="N100" s="49"/>
      <c r="O100" s="48"/>
      <c r="P100" s="50"/>
      <c r="Q100" s="51"/>
      <c r="R100" s="50"/>
      <c r="S100" s="51"/>
      <c r="T100" s="50"/>
      <c r="U100" s="51"/>
      <c r="V100" s="50"/>
      <c r="W100" s="51"/>
      <c r="X100" s="50"/>
      <c r="Y100" s="51"/>
      <c r="Z100" s="50"/>
      <c r="AA100" s="51"/>
      <c r="AB100" s="50"/>
      <c r="AC100" s="51"/>
      <c r="AD100" s="50"/>
      <c r="AE100" s="51"/>
    </row>
    <row r="101" spans="1:31" ht="12.75" thickBot="1" x14ac:dyDescent="0.25">
      <c r="B101" s="57"/>
      <c r="C101" s="52"/>
      <c r="D101" s="53"/>
      <c r="E101" s="53"/>
      <c r="F101" s="54"/>
      <c r="G101" s="54"/>
      <c r="H101" s="55"/>
      <c r="I101" s="55"/>
      <c r="J101" s="55"/>
      <c r="K101" s="56"/>
      <c r="L101" s="48"/>
      <c r="M101" s="48"/>
      <c r="N101" s="49"/>
      <c r="O101" s="48"/>
      <c r="P101" s="50"/>
      <c r="Q101" s="51"/>
      <c r="R101" s="50"/>
      <c r="S101" s="51"/>
      <c r="T101" s="50"/>
      <c r="U101" s="51"/>
      <c r="V101" s="50"/>
      <c r="W101" s="51"/>
      <c r="X101" s="50"/>
      <c r="Y101" s="51"/>
      <c r="Z101" s="50"/>
      <c r="AA101" s="51"/>
      <c r="AB101" s="50"/>
      <c r="AC101" s="51"/>
      <c r="AD101" s="50"/>
      <c r="AE101" s="51"/>
    </row>
    <row r="102" spans="1:31" ht="12.75" thickBot="1" x14ac:dyDescent="0.25">
      <c r="B102" s="60"/>
      <c r="C102" s="61"/>
      <c r="D102" s="53"/>
      <c r="E102" s="53"/>
      <c r="F102" s="54"/>
      <c r="G102" s="54"/>
      <c r="H102" s="55"/>
      <c r="I102" s="55"/>
      <c r="J102" s="55"/>
      <c r="K102" s="56"/>
      <c r="L102" s="48"/>
      <c r="M102" s="48"/>
      <c r="N102" s="49"/>
      <c r="O102" s="48"/>
      <c r="P102" s="50"/>
      <c r="Q102" s="51"/>
      <c r="R102" s="50"/>
      <c r="S102" s="51"/>
      <c r="T102" s="50"/>
      <c r="U102" s="51"/>
      <c r="V102" s="50"/>
      <c r="W102" s="51"/>
      <c r="X102" s="50"/>
      <c r="Y102" s="51"/>
      <c r="Z102" s="50"/>
      <c r="AA102" s="51"/>
      <c r="AB102" s="50"/>
      <c r="AC102" s="51"/>
      <c r="AD102" s="50"/>
      <c r="AE102" s="51"/>
    </row>
    <row r="103" spans="1:31" ht="12.75" thickBot="1" x14ac:dyDescent="0.25">
      <c r="A103" s="41" t="s">
        <v>218</v>
      </c>
      <c r="B103" s="41">
        <v>42.11</v>
      </c>
      <c r="C103" s="71">
        <v>0.14930555555555555</v>
      </c>
      <c r="D103" s="41">
        <v>0</v>
      </c>
      <c r="E103" s="41">
        <v>0</v>
      </c>
      <c r="F103" s="41">
        <v>1</v>
      </c>
      <c r="G103" s="41">
        <v>1</v>
      </c>
      <c r="H103" s="41">
        <v>1</v>
      </c>
      <c r="I103" s="41">
        <v>5</v>
      </c>
      <c r="J103" s="41">
        <v>0</v>
      </c>
      <c r="P103" s="50"/>
      <c r="Q103" s="51"/>
      <c r="R103" s="50"/>
      <c r="S103" s="51"/>
      <c r="T103" s="50"/>
      <c r="U103" s="51"/>
      <c r="V103" s="50"/>
      <c r="W103" s="51"/>
      <c r="X103" s="50"/>
      <c r="Y103" s="51"/>
      <c r="Z103" s="50"/>
      <c r="AA103" s="51"/>
      <c r="AB103" s="50"/>
      <c r="AC103" s="51"/>
      <c r="AD103" s="50"/>
      <c r="AE103" s="51"/>
    </row>
    <row r="104" spans="1:31" ht="12.75" thickBot="1" x14ac:dyDescent="0.25">
      <c r="P104" s="50"/>
      <c r="Q104" s="51"/>
      <c r="R104" s="50"/>
      <c r="S104" s="51"/>
      <c r="T104" s="50"/>
      <c r="U104" s="51"/>
      <c r="V104" s="50"/>
      <c r="W104" s="51"/>
      <c r="X104" s="50"/>
      <c r="Y104" s="51"/>
      <c r="Z104" s="50"/>
      <c r="AA104" s="51"/>
      <c r="AB104" s="50"/>
      <c r="AC104" s="51"/>
      <c r="AD104" s="50"/>
      <c r="AE104" s="51"/>
    </row>
    <row r="105" spans="1:31" ht="12.75" thickBot="1" x14ac:dyDescent="0.25">
      <c r="C105" s="71"/>
      <c r="P105" s="50"/>
      <c r="Q105" s="51"/>
      <c r="R105" s="50"/>
      <c r="S105" s="51"/>
      <c r="T105" s="50"/>
      <c r="U105" s="51"/>
      <c r="V105" s="50"/>
      <c r="W105" s="51"/>
      <c r="X105" s="50"/>
      <c r="Y105" s="51"/>
      <c r="Z105" s="50"/>
      <c r="AA105" s="51"/>
      <c r="AB105" s="50"/>
      <c r="AC105" s="51"/>
      <c r="AD105" s="50"/>
      <c r="AE105" s="51"/>
    </row>
    <row r="106" spans="1:31" ht="12.75" thickBot="1" x14ac:dyDescent="0.25">
      <c r="P106" s="50"/>
      <c r="Q106" s="51"/>
      <c r="R106" s="50"/>
      <c r="S106" s="51"/>
      <c r="T106" s="50"/>
      <c r="U106" s="51"/>
      <c r="V106" s="50"/>
      <c r="W106" s="51"/>
      <c r="X106" s="50"/>
      <c r="Y106" s="51"/>
      <c r="Z106" s="50"/>
      <c r="AA106" s="51"/>
      <c r="AB106" s="50"/>
      <c r="AC106" s="51"/>
      <c r="AD106" s="50"/>
      <c r="AE106" s="51"/>
    </row>
    <row r="107" spans="1:31" ht="12.75" thickBot="1" x14ac:dyDescent="0.25">
      <c r="P107" s="50"/>
      <c r="Q107" s="51"/>
      <c r="R107" s="50"/>
      <c r="S107" s="51"/>
      <c r="T107" s="50"/>
      <c r="U107" s="51"/>
      <c r="V107" s="50"/>
      <c r="W107" s="51"/>
      <c r="X107" s="50"/>
      <c r="Y107" s="51"/>
      <c r="Z107" s="50"/>
      <c r="AA107" s="51"/>
      <c r="AB107" s="50"/>
      <c r="AC107" s="51"/>
      <c r="AD107" s="50"/>
      <c r="AE107" s="51"/>
    </row>
    <row r="108" spans="1:31" ht="12.75" thickBot="1" x14ac:dyDescent="0.25">
      <c r="P108" s="50"/>
      <c r="Q108" s="51"/>
      <c r="R108" s="50"/>
      <c r="S108" s="51"/>
      <c r="T108" s="50"/>
      <c r="U108" s="51"/>
      <c r="V108" s="50"/>
      <c r="W108" s="51"/>
      <c r="X108" s="50"/>
      <c r="Y108" s="51"/>
      <c r="Z108" s="50"/>
      <c r="AA108" s="51"/>
      <c r="AB108" s="50"/>
      <c r="AC108" s="51"/>
      <c r="AD108" s="50"/>
      <c r="AE108" s="51"/>
    </row>
    <row r="109" spans="1:31" ht="12.75" thickBot="1" x14ac:dyDescent="0.25">
      <c r="P109" s="50"/>
      <c r="Q109" s="51"/>
      <c r="R109" s="50"/>
      <c r="S109" s="51"/>
      <c r="T109" s="50"/>
      <c r="U109" s="51"/>
      <c r="V109" s="50"/>
      <c r="W109" s="51"/>
      <c r="X109" s="50"/>
      <c r="Y109" s="51"/>
      <c r="Z109" s="50"/>
      <c r="AA109" s="51"/>
      <c r="AB109" s="50"/>
      <c r="AC109" s="51"/>
      <c r="AD109" s="50"/>
      <c r="AE109" s="51"/>
    </row>
    <row r="110" spans="1:31" ht="12.75" thickBot="1" x14ac:dyDescent="0.25">
      <c r="P110" s="50"/>
      <c r="Q110" s="51"/>
      <c r="R110" s="50"/>
      <c r="S110" s="51"/>
      <c r="T110" s="50"/>
      <c r="U110" s="51"/>
      <c r="V110" s="50"/>
      <c r="W110" s="51"/>
      <c r="X110" s="50"/>
      <c r="Y110" s="51"/>
      <c r="Z110" s="50"/>
      <c r="AA110" s="51"/>
      <c r="AB110" s="50"/>
      <c r="AC110" s="51"/>
      <c r="AD110" s="50"/>
      <c r="AE110" s="51"/>
    </row>
    <row r="111" spans="1:31" ht="12.75" thickBot="1" x14ac:dyDescent="0.25">
      <c r="P111" s="50"/>
      <c r="Q111" s="51"/>
      <c r="R111" s="50"/>
      <c r="S111" s="51"/>
      <c r="T111" s="50"/>
      <c r="U111" s="51"/>
      <c r="V111" s="50"/>
      <c r="W111" s="51"/>
      <c r="X111" s="50"/>
      <c r="Y111" s="51"/>
      <c r="Z111" s="50"/>
      <c r="AA111" s="51"/>
      <c r="AB111" s="50"/>
      <c r="AC111" s="51"/>
      <c r="AD111" s="50"/>
      <c r="AE111" s="51"/>
    </row>
    <row r="112" spans="1:31" ht="12.75" thickBot="1" x14ac:dyDescent="0.25">
      <c r="P112" s="50"/>
      <c r="Q112" s="51"/>
      <c r="R112" s="50"/>
      <c r="S112" s="51"/>
      <c r="T112" s="50"/>
      <c r="U112" s="51"/>
      <c r="V112" s="50"/>
      <c r="W112" s="51"/>
      <c r="X112" s="50"/>
      <c r="Y112" s="51"/>
      <c r="Z112" s="50"/>
      <c r="AA112" s="51"/>
      <c r="AB112" s="50"/>
      <c r="AC112" s="51"/>
      <c r="AD112" s="50"/>
      <c r="AE112" s="51"/>
    </row>
    <row r="113" spans="16:31" ht="12.75" thickBot="1" x14ac:dyDescent="0.25">
      <c r="P113" s="50"/>
      <c r="Q113" s="51"/>
      <c r="R113" s="50"/>
      <c r="S113" s="51"/>
      <c r="T113" s="50"/>
      <c r="U113" s="51"/>
      <c r="V113" s="50"/>
      <c r="W113" s="51"/>
      <c r="X113" s="50"/>
      <c r="Y113" s="51"/>
      <c r="Z113" s="50"/>
      <c r="AA113" s="51"/>
      <c r="AB113" s="50"/>
      <c r="AC113" s="51"/>
      <c r="AD113" s="50"/>
      <c r="AE113" s="51"/>
    </row>
    <row r="114" spans="16:31" ht="12.75" thickBot="1" x14ac:dyDescent="0.25">
      <c r="P114" s="50"/>
      <c r="Q114" s="51"/>
      <c r="R114" s="50"/>
      <c r="S114" s="51"/>
      <c r="T114" s="50"/>
      <c r="U114" s="51"/>
      <c r="V114" s="50"/>
      <c r="W114" s="51"/>
      <c r="X114" s="50"/>
      <c r="Y114" s="51"/>
      <c r="Z114" s="50"/>
      <c r="AA114" s="51"/>
      <c r="AB114" s="50"/>
      <c r="AC114" s="51"/>
      <c r="AD114" s="50"/>
      <c r="AE114" s="51"/>
    </row>
    <row r="115" spans="16:31" ht="12.75" thickBot="1" x14ac:dyDescent="0.25">
      <c r="P115" s="50"/>
      <c r="Q115" s="51"/>
      <c r="R115" s="50"/>
      <c r="S115" s="51"/>
      <c r="T115" s="50"/>
      <c r="U115" s="51"/>
      <c r="V115" s="50"/>
      <c r="W115" s="51"/>
      <c r="X115" s="50"/>
      <c r="Y115" s="51"/>
      <c r="Z115" s="50"/>
      <c r="AA115" s="51"/>
      <c r="AB115" s="50"/>
      <c r="AC115" s="51"/>
      <c r="AD115" s="50"/>
      <c r="AE115" s="51"/>
    </row>
    <row r="116" spans="16:31" ht="12.75" thickBot="1" x14ac:dyDescent="0.25">
      <c r="P116" s="50"/>
      <c r="Q116" s="51"/>
      <c r="R116" s="50"/>
      <c r="S116" s="51"/>
      <c r="T116" s="50"/>
      <c r="U116" s="51"/>
      <c r="V116" s="50"/>
      <c r="W116" s="51"/>
      <c r="X116" s="50"/>
      <c r="Y116" s="51"/>
      <c r="Z116" s="50"/>
      <c r="AA116" s="51"/>
      <c r="AB116" s="50"/>
      <c r="AC116" s="51"/>
      <c r="AD116" s="50"/>
      <c r="AE116" s="51"/>
    </row>
    <row r="117" spans="16:31" ht="12.75" thickBot="1" x14ac:dyDescent="0.25">
      <c r="P117" s="50"/>
      <c r="Q117" s="51"/>
      <c r="R117" s="50"/>
      <c r="S117" s="51"/>
      <c r="T117" s="50"/>
      <c r="U117" s="51"/>
      <c r="V117" s="50"/>
      <c r="W117" s="51"/>
      <c r="X117" s="50"/>
      <c r="Y117" s="51"/>
      <c r="Z117" s="50"/>
      <c r="AA117" s="51"/>
      <c r="AB117" s="50"/>
      <c r="AC117" s="51"/>
      <c r="AD117" s="50"/>
      <c r="AE117" s="51"/>
    </row>
    <row r="118" spans="16:31" ht="12.75" thickBot="1" x14ac:dyDescent="0.25">
      <c r="P118" s="50"/>
      <c r="Q118" s="51"/>
      <c r="R118" s="50"/>
      <c r="S118" s="51"/>
      <c r="T118" s="50"/>
      <c r="U118" s="51"/>
      <c r="V118" s="50"/>
      <c r="W118" s="51"/>
      <c r="X118" s="50"/>
      <c r="Y118" s="51"/>
      <c r="Z118" s="50"/>
      <c r="AA118" s="51"/>
      <c r="AB118" s="50"/>
      <c r="AC118" s="51"/>
      <c r="AD118" s="50"/>
      <c r="AE118" s="51"/>
    </row>
    <row r="119" spans="16:31" ht="12.75" thickBot="1" x14ac:dyDescent="0.25">
      <c r="P119" s="50"/>
      <c r="Q119" s="51"/>
      <c r="R119" s="50"/>
      <c r="S119" s="51"/>
      <c r="T119" s="50"/>
      <c r="U119" s="51"/>
      <c r="V119" s="50"/>
      <c r="W119" s="51"/>
      <c r="X119" s="50"/>
      <c r="Y119" s="51"/>
      <c r="Z119" s="50"/>
      <c r="AA119" s="51"/>
      <c r="AB119" s="50"/>
      <c r="AC119" s="51"/>
      <c r="AD119" s="50"/>
      <c r="AE119" s="51"/>
    </row>
    <row r="120" spans="16:31" ht="12.75" thickBot="1" x14ac:dyDescent="0.25">
      <c r="P120" s="50"/>
      <c r="Q120" s="51"/>
      <c r="R120" s="50"/>
      <c r="S120" s="51"/>
      <c r="T120" s="50"/>
      <c r="U120" s="51"/>
      <c r="V120" s="50"/>
      <c r="W120" s="51"/>
      <c r="X120" s="50"/>
      <c r="Y120" s="51"/>
      <c r="Z120" s="50"/>
      <c r="AA120" s="51"/>
      <c r="AB120" s="50"/>
      <c r="AC120" s="51"/>
      <c r="AD120" s="50"/>
      <c r="AE120" s="51"/>
    </row>
    <row r="121" spans="16:31" ht="12.75" thickBot="1" x14ac:dyDescent="0.25">
      <c r="P121" s="50"/>
      <c r="Q121" s="51"/>
      <c r="R121" s="50"/>
      <c r="S121" s="51"/>
      <c r="T121" s="50"/>
      <c r="U121" s="51"/>
      <c r="V121" s="50"/>
      <c r="W121" s="51"/>
      <c r="X121" s="50"/>
      <c r="Y121" s="51"/>
      <c r="Z121" s="50"/>
      <c r="AA121" s="51"/>
      <c r="AB121" s="50"/>
      <c r="AC121" s="51"/>
      <c r="AD121" s="50"/>
      <c r="AE121" s="51"/>
    </row>
    <row r="122" spans="16:31" ht="12.75" thickBot="1" x14ac:dyDescent="0.25">
      <c r="P122" s="50"/>
      <c r="Q122" s="51"/>
      <c r="R122" s="50"/>
      <c r="S122" s="51"/>
      <c r="T122" s="50"/>
      <c r="U122" s="51"/>
      <c r="V122" s="50"/>
      <c r="W122" s="51"/>
      <c r="X122" s="50"/>
      <c r="Y122" s="51"/>
      <c r="Z122" s="50"/>
      <c r="AA122" s="51"/>
      <c r="AB122" s="50"/>
      <c r="AC122" s="51"/>
      <c r="AD122" s="50"/>
      <c r="AE122" s="51"/>
    </row>
    <row r="123" spans="16:31" ht="12.75" thickBot="1" x14ac:dyDescent="0.25">
      <c r="P123" s="50"/>
      <c r="Q123" s="51"/>
      <c r="R123" s="50"/>
      <c r="S123" s="51"/>
      <c r="T123" s="50"/>
      <c r="U123" s="51"/>
      <c r="V123" s="50"/>
      <c r="W123" s="51"/>
      <c r="X123" s="50"/>
      <c r="Y123" s="51"/>
      <c r="Z123" s="50"/>
      <c r="AA123" s="51"/>
      <c r="AB123" s="50"/>
      <c r="AC123" s="51"/>
      <c r="AD123" s="50"/>
      <c r="AE123" s="51"/>
    </row>
    <row r="124" spans="16:31" ht="12.75" thickBot="1" x14ac:dyDescent="0.25">
      <c r="P124" s="50"/>
      <c r="Q124" s="51"/>
      <c r="R124" s="50"/>
      <c r="S124" s="51"/>
      <c r="T124" s="50"/>
      <c r="U124" s="51"/>
      <c r="V124" s="50"/>
      <c r="W124" s="51"/>
      <c r="X124" s="50"/>
      <c r="Y124" s="51"/>
      <c r="Z124" s="50"/>
      <c r="AA124" s="51"/>
      <c r="AB124" s="50"/>
      <c r="AC124" s="51"/>
      <c r="AD124" s="50"/>
      <c r="AE124" s="51"/>
    </row>
    <row r="125" spans="16:31" ht="12.75" thickBot="1" x14ac:dyDescent="0.25">
      <c r="P125" s="50"/>
      <c r="Q125" s="51"/>
      <c r="R125" s="50"/>
      <c r="S125" s="51"/>
      <c r="T125" s="50"/>
      <c r="U125" s="51"/>
      <c r="V125" s="50"/>
      <c r="W125" s="51"/>
      <c r="X125" s="50"/>
      <c r="Y125" s="51"/>
      <c r="Z125" s="50"/>
      <c r="AA125" s="51"/>
      <c r="AB125" s="50"/>
      <c r="AC125" s="51"/>
      <c r="AD125" s="50"/>
      <c r="AE125" s="51"/>
    </row>
    <row r="126" spans="16:31" ht="12.75" thickBot="1" x14ac:dyDescent="0.25">
      <c r="P126" s="50"/>
      <c r="Q126" s="51"/>
      <c r="R126" s="50"/>
      <c r="S126" s="51"/>
      <c r="T126" s="50"/>
      <c r="U126" s="51"/>
      <c r="V126" s="50"/>
      <c r="W126" s="51"/>
      <c r="X126" s="50"/>
      <c r="Y126" s="51"/>
      <c r="Z126" s="50"/>
      <c r="AA126" s="51"/>
      <c r="AB126" s="50"/>
      <c r="AC126" s="51"/>
      <c r="AD126" s="50"/>
      <c r="AE126" s="51"/>
    </row>
    <row r="127" spans="16:31" ht="12.75" thickBot="1" x14ac:dyDescent="0.25">
      <c r="P127" s="50"/>
      <c r="Q127" s="51"/>
      <c r="R127" s="50"/>
      <c r="S127" s="51"/>
      <c r="T127" s="50"/>
      <c r="U127" s="51"/>
      <c r="V127" s="50"/>
      <c r="W127" s="51"/>
      <c r="X127" s="50"/>
      <c r="Y127" s="51"/>
      <c r="Z127" s="50"/>
      <c r="AA127" s="51"/>
      <c r="AB127" s="50"/>
      <c r="AC127" s="51"/>
      <c r="AD127" s="50"/>
      <c r="AE127" s="51"/>
    </row>
    <row r="128" spans="16:31" ht="12.75" thickBot="1" x14ac:dyDescent="0.25">
      <c r="P128" s="50"/>
      <c r="Q128" s="51"/>
      <c r="R128" s="50"/>
      <c r="S128" s="51"/>
      <c r="T128" s="50"/>
      <c r="U128" s="51"/>
      <c r="V128" s="50"/>
      <c r="W128" s="51"/>
      <c r="X128" s="50"/>
      <c r="Y128" s="51"/>
      <c r="Z128" s="50"/>
      <c r="AA128" s="51"/>
      <c r="AB128" s="50"/>
      <c r="AC128" s="51"/>
      <c r="AD128" s="50"/>
      <c r="AE128" s="51"/>
    </row>
    <row r="129" spans="16:31" ht="12.75" thickBot="1" x14ac:dyDescent="0.25">
      <c r="P129" s="50"/>
      <c r="Q129" s="51"/>
      <c r="R129" s="50"/>
      <c r="S129" s="51"/>
      <c r="T129" s="50"/>
      <c r="U129" s="51"/>
      <c r="V129" s="50"/>
      <c r="W129" s="51"/>
      <c r="X129" s="50"/>
      <c r="Y129" s="51"/>
      <c r="Z129" s="50"/>
      <c r="AA129" s="51"/>
      <c r="AB129" s="50"/>
      <c r="AC129" s="51"/>
      <c r="AD129" s="50"/>
      <c r="AE129" s="51"/>
    </row>
    <row r="130" spans="16:31" ht="12.75" thickBot="1" x14ac:dyDescent="0.25">
      <c r="P130" s="50"/>
      <c r="Q130" s="51"/>
      <c r="R130" s="50"/>
      <c r="S130" s="51"/>
      <c r="T130" s="50"/>
      <c r="U130" s="51"/>
      <c r="V130" s="50"/>
      <c r="W130" s="51"/>
      <c r="X130" s="50"/>
      <c r="Y130" s="51"/>
      <c r="Z130" s="50"/>
      <c r="AA130" s="51"/>
      <c r="AB130" s="50"/>
      <c r="AC130" s="51"/>
      <c r="AD130" s="50"/>
      <c r="AE130" s="51"/>
    </row>
    <row r="131" spans="16:31" ht="12.75" thickBot="1" x14ac:dyDescent="0.25">
      <c r="P131" s="50"/>
      <c r="Q131" s="51"/>
      <c r="R131" s="50"/>
      <c r="S131" s="51"/>
      <c r="T131" s="50"/>
      <c r="U131" s="51"/>
      <c r="V131" s="50"/>
      <c r="W131" s="51"/>
      <c r="X131" s="50"/>
      <c r="Y131" s="51"/>
      <c r="Z131" s="50"/>
      <c r="AA131" s="51"/>
      <c r="AB131" s="50"/>
      <c r="AC131" s="51"/>
      <c r="AD131" s="50"/>
      <c r="AE131" s="51"/>
    </row>
    <row r="132" spans="16:31" ht="12.75" thickBot="1" x14ac:dyDescent="0.25">
      <c r="P132" s="50"/>
      <c r="Q132" s="51"/>
      <c r="R132" s="50"/>
      <c r="S132" s="51"/>
      <c r="T132" s="50"/>
      <c r="U132" s="51"/>
      <c r="V132" s="50"/>
      <c r="W132" s="51"/>
      <c r="X132" s="50"/>
      <c r="Y132" s="51"/>
      <c r="Z132" s="50"/>
      <c r="AA132" s="51"/>
      <c r="AB132" s="50"/>
      <c r="AC132" s="51"/>
      <c r="AD132" s="50"/>
      <c r="AE132" s="51"/>
    </row>
    <row r="133" spans="16:31" ht="12.75" thickBot="1" x14ac:dyDescent="0.25">
      <c r="P133" s="50"/>
      <c r="Q133" s="51"/>
      <c r="R133" s="50"/>
      <c r="S133" s="51"/>
      <c r="T133" s="50"/>
      <c r="U133" s="51"/>
      <c r="V133" s="50"/>
      <c r="W133" s="51"/>
      <c r="X133" s="50"/>
      <c r="Y133" s="51"/>
      <c r="Z133" s="50"/>
      <c r="AA133" s="51"/>
      <c r="AB133" s="50"/>
      <c r="AC133" s="51"/>
      <c r="AD133" s="50"/>
      <c r="AE133" s="51"/>
    </row>
    <row r="134" spans="16:31" ht="12.75" thickBot="1" x14ac:dyDescent="0.25">
      <c r="P134" s="50"/>
      <c r="Q134" s="51"/>
      <c r="R134" s="50"/>
      <c r="S134" s="51"/>
      <c r="T134" s="50"/>
      <c r="U134" s="51"/>
      <c r="V134" s="50"/>
      <c r="W134" s="51"/>
      <c r="X134" s="50"/>
      <c r="Y134" s="51"/>
      <c r="Z134" s="50"/>
      <c r="AA134" s="51"/>
      <c r="AB134" s="50"/>
      <c r="AC134" s="51"/>
      <c r="AD134" s="50"/>
      <c r="AE134" s="51"/>
    </row>
    <row r="135" spans="16:31" ht="12.75" thickBot="1" x14ac:dyDescent="0.25">
      <c r="P135" s="50"/>
      <c r="Q135" s="51"/>
      <c r="R135" s="50"/>
      <c r="S135" s="51"/>
      <c r="T135" s="50"/>
      <c r="U135" s="51"/>
      <c r="V135" s="50"/>
      <c r="W135" s="51"/>
      <c r="X135" s="50"/>
      <c r="Y135" s="51"/>
      <c r="Z135" s="50"/>
      <c r="AA135" s="51"/>
      <c r="AB135" s="50"/>
      <c r="AC135" s="51"/>
      <c r="AD135" s="50"/>
      <c r="AE135" s="51"/>
    </row>
    <row r="136" spans="16:31" ht="12.75" thickBot="1" x14ac:dyDescent="0.25">
      <c r="P136" s="50"/>
      <c r="Q136" s="51"/>
      <c r="R136" s="50"/>
      <c r="S136" s="51"/>
      <c r="T136" s="50"/>
      <c r="U136" s="51"/>
      <c r="V136" s="50"/>
      <c r="W136" s="51"/>
      <c r="X136" s="50"/>
      <c r="Y136" s="51"/>
      <c r="Z136" s="50"/>
      <c r="AA136" s="51"/>
      <c r="AB136" s="50"/>
      <c r="AC136" s="51"/>
      <c r="AD136" s="50"/>
      <c r="AE136" s="51"/>
    </row>
    <row r="137" spans="16:31" ht="12.75" thickBot="1" x14ac:dyDescent="0.25">
      <c r="P137" s="50"/>
      <c r="Q137" s="51"/>
      <c r="R137" s="50"/>
      <c r="S137" s="51"/>
      <c r="T137" s="50"/>
      <c r="U137" s="51"/>
      <c r="V137" s="50"/>
      <c r="W137" s="51"/>
      <c r="X137" s="50"/>
      <c r="Y137" s="51"/>
      <c r="Z137" s="50"/>
      <c r="AA137" s="51"/>
      <c r="AB137" s="50"/>
      <c r="AC137" s="51"/>
      <c r="AD137" s="50"/>
      <c r="AE137" s="51"/>
    </row>
    <row r="138" spans="16:31" ht="12.75" thickBot="1" x14ac:dyDescent="0.25">
      <c r="P138" s="50"/>
      <c r="Q138" s="51"/>
      <c r="R138" s="50"/>
      <c r="S138" s="51"/>
      <c r="T138" s="50"/>
      <c r="U138" s="51"/>
      <c r="V138" s="50"/>
      <c r="W138" s="51"/>
      <c r="X138" s="50"/>
      <c r="Y138" s="51"/>
      <c r="Z138" s="50"/>
      <c r="AA138" s="51"/>
      <c r="AB138" s="50"/>
      <c r="AC138" s="51"/>
      <c r="AD138" s="50"/>
      <c r="AE138" s="51"/>
    </row>
    <row r="139" spans="16:31" ht="12.75" thickBot="1" x14ac:dyDescent="0.25">
      <c r="P139" s="50"/>
      <c r="Q139" s="51"/>
      <c r="R139" s="50"/>
      <c r="S139" s="51"/>
      <c r="T139" s="50"/>
      <c r="U139" s="51"/>
      <c r="V139" s="50"/>
      <c r="W139" s="51"/>
      <c r="X139" s="50"/>
      <c r="Y139" s="51"/>
      <c r="Z139" s="50"/>
      <c r="AA139" s="51"/>
      <c r="AB139" s="50"/>
      <c r="AC139" s="51"/>
      <c r="AD139" s="50"/>
      <c r="AE139" s="51"/>
    </row>
    <row r="140" spans="16:31" ht="12.75" thickBot="1" x14ac:dyDescent="0.25">
      <c r="P140" s="50"/>
      <c r="Q140" s="51"/>
      <c r="R140" s="50"/>
      <c r="S140" s="51"/>
      <c r="T140" s="50"/>
      <c r="U140" s="51"/>
      <c r="V140" s="50"/>
      <c r="W140" s="51"/>
      <c r="X140" s="50"/>
      <c r="Y140" s="51"/>
      <c r="Z140" s="50"/>
      <c r="AA140" s="51"/>
      <c r="AB140" s="50"/>
      <c r="AC140" s="51"/>
      <c r="AD140" s="50"/>
      <c r="AE140" s="51"/>
    </row>
    <row r="141" spans="16:31" ht="12.75" thickBot="1" x14ac:dyDescent="0.25">
      <c r="P141" s="50"/>
      <c r="Q141" s="51"/>
      <c r="R141" s="50"/>
      <c r="S141" s="51"/>
      <c r="T141" s="50"/>
      <c r="U141" s="51"/>
      <c r="V141" s="50"/>
      <c r="W141" s="51"/>
      <c r="X141" s="50"/>
      <c r="Y141" s="51"/>
      <c r="Z141" s="50"/>
      <c r="AA141" s="51"/>
      <c r="AB141" s="50"/>
      <c r="AC141" s="51"/>
      <c r="AD141" s="50"/>
      <c r="AE141" s="51"/>
    </row>
    <row r="142" spans="16:31" ht="12.75" thickBot="1" x14ac:dyDescent="0.25">
      <c r="P142" s="50"/>
      <c r="Q142" s="51"/>
      <c r="R142" s="50"/>
      <c r="S142" s="51"/>
      <c r="T142" s="50"/>
      <c r="U142" s="51"/>
      <c r="V142" s="50"/>
      <c r="W142" s="51"/>
      <c r="X142" s="50"/>
      <c r="Y142" s="51"/>
      <c r="Z142" s="50"/>
      <c r="AA142" s="51"/>
      <c r="AB142" s="50"/>
      <c r="AC142" s="51"/>
      <c r="AD142" s="50"/>
      <c r="AE142" s="51"/>
    </row>
    <row r="143" spans="16:31" ht="12.75" thickBot="1" x14ac:dyDescent="0.25">
      <c r="P143" s="50"/>
      <c r="Q143" s="51"/>
      <c r="R143" s="50"/>
      <c r="S143" s="51"/>
      <c r="T143" s="50"/>
      <c r="U143" s="51"/>
      <c r="V143" s="50"/>
      <c r="W143" s="51"/>
      <c r="X143" s="50"/>
      <c r="Y143" s="51"/>
      <c r="Z143" s="50"/>
      <c r="AA143" s="51"/>
      <c r="AB143" s="50"/>
      <c r="AC143" s="51"/>
      <c r="AD143" s="50"/>
      <c r="AE143" s="51"/>
    </row>
    <row r="144" spans="16:31" ht="12.75" thickBot="1" x14ac:dyDescent="0.25">
      <c r="P144" s="50"/>
      <c r="Q144" s="51"/>
      <c r="R144" s="50"/>
      <c r="S144" s="51"/>
      <c r="T144" s="50"/>
      <c r="U144" s="51"/>
      <c r="V144" s="50"/>
      <c r="W144" s="51"/>
      <c r="X144" s="50"/>
      <c r="Y144" s="51"/>
      <c r="Z144" s="50"/>
      <c r="AA144" s="51"/>
      <c r="AB144" s="50"/>
      <c r="AC144" s="51"/>
      <c r="AD144" s="50"/>
      <c r="AE144" s="51"/>
    </row>
    <row r="145" spans="16:31" ht="12.75" thickBot="1" x14ac:dyDescent="0.25">
      <c r="P145" s="50"/>
      <c r="Q145" s="51"/>
      <c r="R145" s="50"/>
      <c r="S145" s="51"/>
      <c r="T145" s="50"/>
      <c r="U145" s="51"/>
      <c r="V145" s="50"/>
      <c r="W145" s="51"/>
      <c r="X145" s="50"/>
      <c r="Y145" s="51"/>
      <c r="Z145" s="50"/>
      <c r="AA145" s="51"/>
      <c r="AB145" s="50"/>
      <c r="AC145" s="51"/>
      <c r="AD145" s="50"/>
      <c r="AE145" s="51"/>
    </row>
    <row r="146" spans="16:31" ht="12.75" thickBot="1" x14ac:dyDescent="0.25">
      <c r="P146" s="50"/>
      <c r="Q146" s="51"/>
      <c r="R146" s="50"/>
      <c r="S146" s="51"/>
      <c r="T146" s="50"/>
      <c r="U146" s="51"/>
      <c r="V146" s="50"/>
      <c r="W146" s="51"/>
      <c r="X146" s="50"/>
      <c r="Y146" s="51"/>
      <c r="Z146" s="50"/>
      <c r="AA146" s="51"/>
      <c r="AB146" s="50"/>
      <c r="AC146" s="51"/>
      <c r="AD146" s="50"/>
      <c r="AE146" s="51"/>
    </row>
    <row r="147" spans="16:31" ht="12.75" thickBot="1" x14ac:dyDescent="0.25">
      <c r="P147" s="50"/>
      <c r="Q147" s="51"/>
      <c r="R147" s="50"/>
      <c r="S147" s="51"/>
      <c r="T147" s="50"/>
      <c r="U147" s="51"/>
      <c r="V147" s="50"/>
      <c r="W147" s="51"/>
      <c r="X147" s="50"/>
      <c r="Y147" s="51"/>
      <c r="Z147" s="50"/>
      <c r="AA147" s="51"/>
      <c r="AB147" s="50"/>
      <c r="AC147" s="51"/>
      <c r="AD147" s="50"/>
      <c r="AE147" s="51"/>
    </row>
    <row r="148" spans="16:31" ht="12.75" thickBot="1" x14ac:dyDescent="0.25">
      <c r="P148" s="50"/>
      <c r="Q148" s="51"/>
      <c r="R148" s="50"/>
      <c r="S148" s="51"/>
      <c r="T148" s="50"/>
      <c r="U148" s="51"/>
      <c r="V148" s="50"/>
      <c r="W148" s="51"/>
      <c r="X148" s="50"/>
      <c r="Y148" s="51"/>
      <c r="Z148" s="50"/>
      <c r="AA148" s="51"/>
      <c r="AB148" s="50"/>
      <c r="AC148" s="51"/>
      <c r="AD148" s="50"/>
      <c r="AE148" s="51"/>
    </row>
    <row r="149" spans="16:31" ht="12.75" thickBot="1" x14ac:dyDescent="0.25">
      <c r="P149" s="50"/>
      <c r="Q149" s="51"/>
      <c r="R149" s="50"/>
      <c r="S149" s="51"/>
      <c r="T149" s="50"/>
      <c r="U149" s="51"/>
      <c r="V149" s="50"/>
      <c r="W149" s="51"/>
      <c r="X149" s="50"/>
      <c r="Y149" s="51"/>
      <c r="Z149" s="50"/>
      <c r="AA149" s="51"/>
      <c r="AB149" s="50"/>
      <c r="AC149" s="51"/>
      <c r="AD149" s="50"/>
      <c r="AE149" s="51"/>
    </row>
    <row r="150" spans="16:31" ht="12.75" thickBot="1" x14ac:dyDescent="0.25">
      <c r="P150" s="50"/>
      <c r="Q150" s="51"/>
      <c r="R150" s="50"/>
      <c r="S150" s="51"/>
      <c r="T150" s="50"/>
      <c r="U150" s="51"/>
      <c r="V150" s="50"/>
      <c r="W150" s="51"/>
      <c r="X150" s="50"/>
      <c r="Y150" s="51"/>
      <c r="Z150" s="50"/>
      <c r="AA150" s="51"/>
      <c r="AB150" s="50"/>
      <c r="AC150" s="51"/>
      <c r="AD150" s="50"/>
      <c r="AE150" s="51"/>
    </row>
    <row r="151" spans="16:31" ht="12.75" thickBot="1" x14ac:dyDescent="0.25">
      <c r="P151" s="50"/>
      <c r="Q151" s="51"/>
      <c r="R151" s="50"/>
      <c r="S151" s="51"/>
      <c r="T151" s="50"/>
      <c r="U151" s="51"/>
      <c r="V151" s="50"/>
      <c r="W151" s="51"/>
      <c r="X151" s="50"/>
      <c r="Y151" s="51"/>
      <c r="Z151" s="50"/>
      <c r="AA151" s="51"/>
      <c r="AB151" s="50"/>
      <c r="AC151" s="51"/>
      <c r="AD151" s="50"/>
      <c r="AE151" s="51"/>
    </row>
    <row r="152" spans="16:31" ht="12.75" thickBot="1" x14ac:dyDescent="0.25">
      <c r="P152" s="50"/>
      <c r="Q152" s="51"/>
      <c r="R152" s="50"/>
      <c r="S152" s="51"/>
      <c r="T152" s="50"/>
      <c r="U152" s="51"/>
      <c r="V152" s="50"/>
      <c r="W152" s="51"/>
      <c r="X152" s="50"/>
      <c r="Y152" s="51"/>
      <c r="Z152" s="50"/>
      <c r="AA152" s="51"/>
      <c r="AB152" s="50"/>
      <c r="AC152" s="51"/>
      <c r="AD152" s="50"/>
      <c r="AE152" s="51"/>
    </row>
    <row r="153" spans="16:31" ht="12.75" thickBot="1" x14ac:dyDescent="0.25">
      <c r="P153" s="50"/>
      <c r="Q153" s="51"/>
      <c r="R153" s="50"/>
      <c r="S153" s="51"/>
      <c r="T153" s="50"/>
      <c r="U153" s="51"/>
      <c r="V153" s="50"/>
      <c r="W153" s="51"/>
      <c r="X153" s="50"/>
      <c r="Y153" s="51"/>
      <c r="Z153" s="50"/>
      <c r="AA153" s="51"/>
      <c r="AB153" s="50"/>
      <c r="AC153" s="51"/>
      <c r="AD153" s="50"/>
      <c r="AE153" s="51"/>
    </row>
    <row r="154" spans="16:31" ht="12.75" thickBot="1" x14ac:dyDescent="0.25">
      <c r="P154" s="50"/>
      <c r="Q154" s="51"/>
      <c r="R154" s="50"/>
      <c r="S154" s="51"/>
      <c r="T154" s="50"/>
      <c r="U154" s="51"/>
      <c r="V154" s="50"/>
      <c r="W154" s="51"/>
      <c r="X154" s="50"/>
      <c r="Y154" s="51"/>
      <c r="Z154" s="50"/>
      <c r="AA154" s="51"/>
      <c r="AB154" s="50"/>
      <c r="AC154" s="51"/>
      <c r="AD154" s="50"/>
      <c r="AE154" s="51"/>
    </row>
    <row r="155" spans="16:31" ht="12.75" thickBot="1" x14ac:dyDescent="0.25">
      <c r="P155" s="50"/>
      <c r="Q155" s="51"/>
      <c r="R155" s="50"/>
      <c r="S155" s="51"/>
      <c r="T155" s="50"/>
      <c r="U155" s="51"/>
      <c r="V155" s="50"/>
      <c r="W155" s="51"/>
      <c r="X155" s="50"/>
      <c r="Y155" s="51"/>
      <c r="Z155" s="50"/>
      <c r="AA155" s="51"/>
      <c r="AB155" s="50"/>
      <c r="AC155" s="51"/>
      <c r="AD155" s="50"/>
      <c r="AE155" s="51"/>
    </row>
    <row r="156" spans="16:31" ht="12.75" thickBot="1" x14ac:dyDescent="0.25">
      <c r="P156" s="50"/>
      <c r="Q156" s="51"/>
      <c r="R156" s="50"/>
      <c r="S156" s="51"/>
      <c r="T156" s="50"/>
      <c r="U156" s="51"/>
      <c r="V156" s="50"/>
      <c r="W156" s="51"/>
      <c r="X156" s="50"/>
      <c r="Y156" s="51"/>
      <c r="Z156" s="50"/>
      <c r="AA156" s="51"/>
      <c r="AB156" s="50"/>
      <c r="AC156" s="51"/>
      <c r="AD156" s="50"/>
      <c r="AE156" s="51"/>
    </row>
    <row r="157" spans="16:31" ht="12.75" thickBot="1" x14ac:dyDescent="0.25">
      <c r="P157" s="50"/>
      <c r="Q157" s="51"/>
      <c r="R157" s="50"/>
      <c r="S157" s="51"/>
      <c r="T157" s="50"/>
      <c r="U157" s="51"/>
      <c r="V157" s="50"/>
      <c r="W157" s="51"/>
      <c r="X157" s="50"/>
      <c r="Y157" s="51"/>
      <c r="Z157" s="50"/>
      <c r="AA157" s="51"/>
      <c r="AB157" s="50"/>
      <c r="AC157" s="51"/>
      <c r="AD157" s="50"/>
      <c r="AE157" s="51"/>
    </row>
    <row r="158" spans="16:31" ht="12.75" thickBot="1" x14ac:dyDescent="0.25">
      <c r="P158" s="50"/>
      <c r="Q158" s="51"/>
      <c r="R158" s="50"/>
      <c r="S158" s="51"/>
      <c r="T158" s="50"/>
      <c r="U158" s="51"/>
      <c r="V158" s="50"/>
      <c r="W158" s="51"/>
      <c r="X158" s="50"/>
      <c r="Y158" s="51"/>
      <c r="Z158" s="50"/>
      <c r="AA158" s="51"/>
      <c r="AB158" s="50"/>
      <c r="AC158" s="51"/>
      <c r="AD158" s="50"/>
      <c r="AE158" s="51"/>
    </row>
    <row r="159" spans="16:31" ht="12.75" thickBot="1" x14ac:dyDescent="0.25">
      <c r="P159" s="50"/>
      <c r="Q159" s="51"/>
      <c r="R159" s="50"/>
      <c r="S159" s="51"/>
      <c r="T159" s="50"/>
      <c r="U159" s="51"/>
      <c r="V159" s="50"/>
      <c r="W159" s="51"/>
      <c r="X159" s="50"/>
      <c r="Y159" s="51"/>
      <c r="Z159" s="50"/>
      <c r="AA159" s="51"/>
      <c r="AB159" s="50"/>
      <c r="AC159" s="51"/>
      <c r="AD159" s="50"/>
      <c r="AE159" s="51"/>
    </row>
    <row r="160" spans="16:31" ht="12.75" thickBot="1" x14ac:dyDescent="0.25">
      <c r="P160" s="50"/>
      <c r="Q160" s="51"/>
      <c r="R160" s="50"/>
      <c r="S160" s="51"/>
      <c r="T160" s="50"/>
      <c r="U160" s="51"/>
      <c r="V160" s="50"/>
      <c r="W160" s="51"/>
      <c r="X160" s="50"/>
      <c r="Y160" s="51"/>
      <c r="Z160" s="50"/>
      <c r="AA160" s="51"/>
      <c r="AB160" s="50"/>
      <c r="AC160" s="51"/>
      <c r="AD160" s="50"/>
      <c r="AE160" s="51"/>
    </row>
    <row r="161" spans="16:31" ht="12.75" thickBot="1" x14ac:dyDescent="0.25">
      <c r="P161" s="50"/>
      <c r="Q161" s="51"/>
      <c r="R161" s="50"/>
      <c r="S161" s="51"/>
      <c r="T161" s="50"/>
      <c r="U161" s="51"/>
      <c r="V161" s="50"/>
      <c r="W161" s="51"/>
      <c r="X161" s="50"/>
      <c r="Y161" s="51"/>
      <c r="Z161" s="50"/>
      <c r="AA161" s="51"/>
      <c r="AB161" s="50"/>
      <c r="AC161" s="51"/>
      <c r="AD161" s="50"/>
      <c r="AE161" s="51"/>
    </row>
    <row r="162" spans="16:31" ht="12.75" thickBot="1" x14ac:dyDescent="0.25">
      <c r="P162" s="50"/>
      <c r="Q162" s="51"/>
      <c r="R162" s="50"/>
      <c r="S162" s="51"/>
      <c r="T162" s="50"/>
      <c r="U162" s="51"/>
      <c r="V162" s="50"/>
      <c r="W162" s="51"/>
      <c r="X162" s="50"/>
      <c r="Y162" s="51"/>
      <c r="Z162" s="50"/>
      <c r="AA162" s="51"/>
      <c r="AB162" s="50"/>
      <c r="AC162" s="51"/>
      <c r="AD162" s="50"/>
      <c r="AE162" s="51"/>
    </row>
    <row r="163" spans="16:31" ht="12.75" thickBot="1" x14ac:dyDescent="0.25">
      <c r="P163" s="50"/>
      <c r="Q163" s="51"/>
      <c r="R163" s="50"/>
      <c r="S163" s="51"/>
      <c r="T163" s="50"/>
      <c r="U163" s="51"/>
      <c r="V163" s="50"/>
      <c r="W163" s="51"/>
      <c r="X163" s="50"/>
      <c r="Y163" s="51"/>
      <c r="Z163" s="50"/>
      <c r="AA163" s="51"/>
      <c r="AB163" s="50"/>
      <c r="AC163" s="51"/>
      <c r="AD163" s="50"/>
      <c r="AE163" s="51"/>
    </row>
    <row r="164" spans="16:31" ht="12.75" thickBot="1" x14ac:dyDescent="0.25">
      <c r="P164" s="50"/>
      <c r="Q164" s="51"/>
      <c r="R164" s="50"/>
      <c r="S164" s="51"/>
      <c r="T164" s="50"/>
      <c r="U164" s="51"/>
      <c r="V164" s="50"/>
      <c r="W164" s="51"/>
      <c r="X164" s="50"/>
      <c r="Y164" s="51"/>
      <c r="Z164" s="50"/>
      <c r="AA164" s="51"/>
      <c r="AB164" s="50"/>
      <c r="AC164" s="51"/>
      <c r="AD164" s="50"/>
      <c r="AE164" s="51"/>
    </row>
    <row r="165" spans="16:31" ht="12.75" thickBot="1" x14ac:dyDescent="0.25">
      <c r="P165" s="50"/>
      <c r="Q165" s="51"/>
      <c r="R165" s="50"/>
      <c r="S165" s="51"/>
      <c r="T165" s="50"/>
      <c r="U165" s="51"/>
      <c r="V165" s="50"/>
      <c r="W165" s="51"/>
      <c r="X165" s="50"/>
      <c r="Y165" s="51"/>
      <c r="Z165" s="50"/>
      <c r="AA165" s="51"/>
      <c r="AB165" s="50"/>
      <c r="AC165" s="51"/>
      <c r="AD165" s="50"/>
      <c r="AE165" s="51"/>
    </row>
    <row r="166" spans="16:31" ht="12.75" thickBot="1" x14ac:dyDescent="0.25">
      <c r="P166" s="50"/>
      <c r="Q166" s="51"/>
      <c r="R166" s="50"/>
      <c r="S166" s="51"/>
      <c r="T166" s="50"/>
      <c r="U166" s="51"/>
      <c r="V166" s="50"/>
      <c r="W166" s="51"/>
      <c r="X166" s="50"/>
      <c r="Y166" s="51"/>
      <c r="Z166" s="50"/>
      <c r="AA166" s="51"/>
      <c r="AB166" s="50"/>
      <c r="AC166" s="51"/>
      <c r="AD166" s="50"/>
      <c r="AE166" s="51"/>
    </row>
    <row r="167" spans="16:31" ht="12.75" thickBot="1" x14ac:dyDescent="0.25">
      <c r="P167" s="50"/>
      <c r="Q167" s="51"/>
      <c r="R167" s="50"/>
      <c r="S167" s="51"/>
      <c r="T167" s="50"/>
      <c r="U167" s="51"/>
      <c r="V167" s="50"/>
      <c r="W167" s="51"/>
      <c r="X167" s="50"/>
      <c r="Y167" s="51"/>
      <c r="Z167" s="50"/>
      <c r="AA167" s="51"/>
      <c r="AB167" s="50"/>
      <c r="AC167" s="51"/>
      <c r="AD167" s="50"/>
      <c r="AE167" s="51"/>
    </row>
    <row r="168" spans="16:31" ht="12.75" thickBot="1" x14ac:dyDescent="0.25">
      <c r="P168" s="50"/>
      <c r="Q168" s="51"/>
      <c r="R168" s="50"/>
      <c r="S168" s="51"/>
      <c r="T168" s="50"/>
      <c r="U168" s="51"/>
      <c r="V168" s="50"/>
      <c r="W168" s="51"/>
      <c r="X168" s="50"/>
      <c r="Y168" s="51"/>
      <c r="Z168" s="50"/>
      <c r="AA168" s="51"/>
      <c r="AB168" s="50"/>
      <c r="AC168" s="51"/>
      <c r="AD168" s="50"/>
      <c r="AE168" s="51"/>
    </row>
    <row r="169" spans="16:31" ht="12.75" thickBot="1" x14ac:dyDescent="0.25">
      <c r="P169" s="50"/>
      <c r="Q169" s="51"/>
      <c r="R169" s="50"/>
      <c r="S169" s="51"/>
      <c r="T169" s="50"/>
      <c r="U169" s="51"/>
      <c r="V169" s="50"/>
      <c r="W169" s="51"/>
      <c r="X169" s="50"/>
      <c r="Y169" s="51"/>
      <c r="Z169" s="50"/>
      <c r="AA169" s="51"/>
      <c r="AB169" s="50"/>
      <c r="AC169" s="51"/>
      <c r="AD169" s="50"/>
      <c r="AE169" s="51"/>
    </row>
    <row r="170" spans="16:31" ht="12.75" thickBot="1" x14ac:dyDescent="0.25">
      <c r="P170" s="50"/>
      <c r="Q170" s="51"/>
      <c r="R170" s="50"/>
      <c r="S170" s="51"/>
      <c r="T170" s="50"/>
      <c r="U170" s="51"/>
      <c r="V170" s="50"/>
      <c r="W170" s="51"/>
      <c r="X170" s="50"/>
      <c r="Y170" s="51"/>
      <c r="Z170" s="50"/>
      <c r="AA170" s="51"/>
      <c r="AB170" s="50"/>
      <c r="AC170" s="51"/>
      <c r="AD170" s="50"/>
      <c r="AE170" s="51"/>
    </row>
    <row r="171" spans="16:31" ht="12.75" thickBot="1" x14ac:dyDescent="0.25">
      <c r="P171" s="50"/>
      <c r="Q171" s="51"/>
      <c r="R171" s="50"/>
      <c r="S171" s="51"/>
      <c r="T171" s="50"/>
      <c r="U171" s="51"/>
      <c r="V171" s="50"/>
      <c r="W171" s="51"/>
      <c r="X171" s="50"/>
      <c r="Y171" s="51"/>
      <c r="Z171" s="50"/>
      <c r="AA171" s="51"/>
      <c r="AB171" s="50"/>
      <c r="AC171" s="51"/>
      <c r="AD171" s="50"/>
      <c r="AE171" s="51"/>
    </row>
    <row r="172" spans="16:31" ht="12.75" thickBot="1" x14ac:dyDescent="0.25">
      <c r="P172" s="50"/>
      <c r="Q172" s="51"/>
      <c r="R172" s="50"/>
      <c r="S172" s="51"/>
      <c r="T172" s="50"/>
      <c r="U172" s="51"/>
      <c r="V172" s="50"/>
      <c r="W172" s="51"/>
      <c r="X172" s="50"/>
      <c r="Y172" s="51"/>
      <c r="Z172" s="50"/>
      <c r="AA172" s="51"/>
      <c r="AB172" s="50"/>
      <c r="AC172" s="51"/>
      <c r="AD172" s="50"/>
      <c r="AE172" s="51"/>
    </row>
    <row r="173" spans="16:31" ht="12.75" thickBot="1" x14ac:dyDescent="0.25">
      <c r="P173" s="50"/>
      <c r="Q173" s="51"/>
      <c r="R173" s="50"/>
      <c r="S173" s="51"/>
      <c r="T173" s="50"/>
      <c r="U173" s="51"/>
      <c r="V173" s="50"/>
      <c r="W173" s="51"/>
      <c r="X173" s="50"/>
      <c r="Y173" s="51"/>
      <c r="Z173" s="50"/>
      <c r="AA173" s="51"/>
      <c r="AB173" s="50"/>
      <c r="AC173" s="51"/>
      <c r="AD173" s="50"/>
      <c r="AE173" s="51"/>
    </row>
    <row r="174" spans="16:31" ht="12.75" thickBot="1" x14ac:dyDescent="0.25">
      <c r="P174" s="50"/>
      <c r="Q174" s="51"/>
      <c r="R174" s="50"/>
      <c r="S174" s="51"/>
      <c r="T174" s="50"/>
      <c r="U174" s="51"/>
      <c r="V174" s="50"/>
      <c r="W174" s="51"/>
      <c r="X174" s="50"/>
      <c r="Y174" s="51"/>
      <c r="Z174" s="50"/>
      <c r="AA174" s="51"/>
      <c r="AB174" s="50"/>
      <c r="AC174" s="51"/>
      <c r="AD174" s="50"/>
      <c r="AE174" s="51"/>
    </row>
    <row r="175" spans="16:31" ht="12.75" thickBot="1" x14ac:dyDescent="0.25">
      <c r="P175" s="50"/>
      <c r="Q175" s="51"/>
      <c r="R175" s="50"/>
      <c r="S175" s="51"/>
      <c r="T175" s="50"/>
      <c r="U175" s="51"/>
      <c r="V175" s="50"/>
      <c r="W175" s="51"/>
      <c r="X175" s="50"/>
      <c r="Y175" s="51"/>
      <c r="Z175" s="50"/>
      <c r="AA175" s="51"/>
      <c r="AB175" s="50"/>
      <c r="AC175" s="51"/>
      <c r="AD175" s="50"/>
      <c r="AE175" s="51"/>
    </row>
    <row r="176" spans="16:31" ht="12.75" thickBot="1" x14ac:dyDescent="0.25">
      <c r="P176" s="50"/>
      <c r="Q176" s="51"/>
      <c r="R176" s="50"/>
      <c r="S176" s="51"/>
      <c r="T176" s="50"/>
      <c r="U176" s="51"/>
      <c r="V176" s="50"/>
      <c r="W176" s="51"/>
      <c r="X176" s="50"/>
      <c r="Y176" s="51"/>
      <c r="Z176" s="50"/>
      <c r="AA176" s="51"/>
      <c r="AB176" s="50"/>
      <c r="AC176" s="51"/>
      <c r="AD176" s="50"/>
      <c r="AE176" s="51"/>
    </row>
    <row r="177" spans="16:31" ht="12.75" thickBot="1" x14ac:dyDescent="0.25">
      <c r="P177" s="50"/>
      <c r="Q177" s="51"/>
      <c r="R177" s="50"/>
      <c r="S177" s="51"/>
      <c r="T177" s="50"/>
      <c r="U177" s="51"/>
      <c r="V177" s="50"/>
      <c r="W177" s="51"/>
      <c r="X177" s="50"/>
      <c r="Y177" s="51"/>
      <c r="Z177" s="50"/>
      <c r="AA177" s="51"/>
      <c r="AB177" s="50"/>
      <c r="AC177" s="51"/>
      <c r="AD177" s="50"/>
      <c r="AE177" s="51"/>
    </row>
    <row r="178" spans="16:31" ht="12.75" thickBot="1" x14ac:dyDescent="0.25">
      <c r="P178" s="50"/>
      <c r="Q178" s="51"/>
      <c r="R178" s="50"/>
      <c r="S178" s="51"/>
      <c r="T178" s="50"/>
      <c r="U178" s="51"/>
      <c r="V178" s="50"/>
      <c r="W178" s="51"/>
      <c r="X178" s="50"/>
      <c r="Y178" s="51"/>
      <c r="Z178" s="50"/>
      <c r="AA178" s="51"/>
      <c r="AB178" s="50"/>
      <c r="AC178" s="51"/>
      <c r="AD178" s="50"/>
      <c r="AE178" s="51"/>
    </row>
    <row r="179" spans="16:31" ht="12.75" thickBot="1" x14ac:dyDescent="0.25">
      <c r="P179" s="50"/>
      <c r="Q179" s="51"/>
      <c r="R179" s="50"/>
      <c r="S179" s="51"/>
      <c r="T179" s="50"/>
      <c r="U179" s="51"/>
      <c r="V179" s="50"/>
      <c r="W179" s="51"/>
      <c r="X179" s="50"/>
      <c r="Y179" s="51"/>
      <c r="Z179" s="50"/>
      <c r="AA179" s="51"/>
      <c r="AB179" s="50"/>
      <c r="AC179" s="51"/>
      <c r="AD179" s="50"/>
      <c r="AE179" s="51"/>
    </row>
    <row r="180" spans="16:31" ht="12.75" thickBot="1" x14ac:dyDescent="0.25">
      <c r="P180" s="50"/>
      <c r="Q180" s="51"/>
      <c r="R180" s="50"/>
      <c r="S180" s="51"/>
      <c r="T180" s="50"/>
      <c r="U180" s="51"/>
      <c r="V180" s="50"/>
      <c r="W180" s="51"/>
      <c r="X180" s="50"/>
      <c r="Y180" s="51"/>
      <c r="Z180" s="50"/>
      <c r="AA180" s="51"/>
      <c r="AB180" s="50"/>
      <c r="AC180" s="51"/>
      <c r="AD180" s="50"/>
      <c r="AE180" s="51"/>
    </row>
    <row r="181" spans="16:31" ht="12.75" thickBot="1" x14ac:dyDescent="0.25">
      <c r="P181" s="50"/>
      <c r="Q181" s="51"/>
      <c r="R181" s="50"/>
      <c r="S181" s="51"/>
      <c r="T181" s="50"/>
      <c r="U181" s="51"/>
      <c r="V181" s="50"/>
      <c r="W181" s="51"/>
      <c r="X181" s="50"/>
      <c r="Y181" s="51"/>
      <c r="Z181" s="50"/>
      <c r="AA181" s="51"/>
      <c r="AB181" s="50"/>
      <c r="AC181" s="51"/>
      <c r="AD181" s="50"/>
      <c r="AE181" s="51"/>
    </row>
    <row r="182" spans="16:31" ht="12.75" thickBot="1" x14ac:dyDescent="0.25">
      <c r="P182" s="50"/>
      <c r="Q182" s="51"/>
      <c r="R182" s="50"/>
      <c r="S182" s="51"/>
      <c r="T182" s="50"/>
      <c r="U182" s="51"/>
      <c r="V182" s="50"/>
      <c r="W182" s="51"/>
      <c r="X182" s="50"/>
      <c r="Y182" s="51"/>
      <c r="Z182" s="50"/>
      <c r="AA182" s="51"/>
      <c r="AB182" s="50"/>
      <c r="AC182" s="51"/>
      <c r="AD182" s="50"/>
      <c r="AE182" s="51"/>
    </row>
    <row r="183" spans="16:31" ht="12.75" thickBot="1" x14ac:dyDescent="0.25">
      <c r="P183" s="50"/>
      <c r="Q183" s="51"/>
      <c r="R183" s="50"/>
      <c r="S183" s="51"/>
      <c r="T183" s="50"/>
      <c r="U183" s="51"/>
      <c r="V183" s="50"/>
      <c r="W183" s="51"/>
      <c r="X183" s="50"/>
      <c r="Y183" s="51"/>
      <c r="Z183" s="50"/>
      <c r="AA183" s="51"/>
      <c r="AB183" s="50"/>
      <c r="AC183" s="51"/>
      <c r="AD183" s="50"/>
      <c r="AE183" s="51"/>
    </row>
    <row r="184" spans="16:31" ht="12.75" thickBot="1" x14ac:dyDescent="0.25">
      <c r="P184" s="50"/>
      <c r="Q184" s="51"/>
      <c r="R184" s="50"/>
      <c r="S184" s="51"/>
      <c r="T184" s="50"/>
      <c r="U184" s="51"/>
      <c r="V184" s="50"/>
      <c r="W184" s="51"/>
      <c r="X184" s="50"/>
      <c r="Y184" s="51"/>
      <c r="Z184" s="50"/>
      <c r="AA184" s="51"/>
      <c r="AB184" s="50"/>
      <c r="AC184" s="51"/>
      <c r="AD184" s="50"/>
      <c r="AE184" s="51"/>
    </row>
    <row r="185" spans="16:31" ht="12.75" thickBot="1" x14ac:dyDescent="0.25">
      <c r="P185" s="50"/>
      <c r="Q185" s="51"/>
      <c r="R185" s="50"/>
      <c r="S185" s="51"/>
      <c r="T185" s="50"/>
      <c r="U185" s="51"/>
      <c r="V185" s="50"/>
      <c r="W185" s="51"/>
      <c r="X185" s="50"/>
      <c r="Y185" s="51"/>
      <c r="Z185" s="50"/>
      <c r="AA185" s="51"/>
      <c r="AB185" s="50"/>
      <c r="AC185" s="51"/>
      <c r="AD185" s="50"/>
      <c r="AE185" s="51"/>
    </row>
    <row r="186" spans="16:31" ht="12.75" thickBot="1" x14ac:dyDescent="0.25">
      <c r="P186" s="50"/>
      <c r="Q186" s="51"/>
      <c r="R186" s="50"/>
      <c r="S186" s="51"/>
      <c r="T186" s="50"/>
      <c r="U186" s="51"/>
      <c r="V186" s="50"/>
      <c r="W186" s="51"/>
      <c r="X186" s="50"/>
      <c r="Y186" s="51"/>
      <c r="Z186" s="50"/>
      <c r="AA186" s="51"/>
      <c r="AB186" s="50"/>
      <c r="AC186" s="51"/>
      <c r="AD186" s="50"/>
      <c r="AE186" s="51"/>
    </row>
    <row r="187" spans="16:31" ht="12.75" thickBot="1" x14ac:dyDescent="0.25">
      <c r="P187" s="50"/>
      <c r="Q187" s="51"/>
      <c r="R187" s="50"/>
      <c r="S187" s="51"/>
      <c r="T187" s="50"/>
      <c r="U187" s="51"/>
      <c r="V187" s="50"/>
      <c r="W187" s="51"/>
      <c r="X187" s="50"/>
      <c r="Y187" s="51"/>
      <c r="Z187" s="50"/>
      <c r="AA187" s="51"/>
      <c r="AB187" s="50"/>
      <c r="AC187" s="51"/>
      <c r="AD187" s="50"/>
      <c r="AE187" s="51"/>
    </row>
    <row r="188" spans="16:31" ht="12.75" thickBot="1" x14ac:dyDescent="0.25">
      <c r="P188" s="50"/>
      <c r="Q188" s="51"/>
      <c r="R188" s="50"/>
      <c r="S188" s="51"/>
      <c r="T188" s="50"/>
      <c r="U188" s="51"/>
      <c r="V188" s="50"/>
      <c r="W188" s="51"/>
      <c r="X188" s="50"/>
      <c r="Y188" s="51"/>
      <c r="Z188" s="50"/>
      <c r="AA188" s="51"/>
      <c r="AB188" s="50"/>
      <c r="AC188" s="51"/>
      <c r="AD188" s="50"/>
      <c r="AE188" s="51"/>
    </row>
    <row r="189" spans="16:31" ht="12.75" thickBot="1" x14ac:dyDescent="0.25">
      <c r="P189" s="50"/>
      <c r="Q189" s="51"/>
      <c r="R189" s="50"/>
      <c r="S189" s="51"/>
      <c r="T189" s="50"/>
      <c r="U189" s="51"/>
      <c r="V189" s="50"/>
      <c r="W189" s="51"/>
      <c r="X189" s="50"/>
      <c r="Y189" s="51"/>
      <c r="Z189" s="50"/>
      <c r="AA189" s="51"/>
      <c r="AB189" s="50"/>
      <c r="AC189" s="51"/>
      <c r="AD189" s="50"/>
      <c r="AE189" s="51"/>
    </row>
    <row r="190" spans="16:31" ht="12.75" thickBot="1" x14ac:dyDescent="0.25">
      <c r="P190" s="50"/>
      <c r="Q190" s="51"/>
      <c r="R190" s="50"/>
      <c r="S190" s="51"/>
      <c r="T190" s="50"/>
      <c r="U190" s="51"/>
      <c r="V190" s="50"/>
      <c r="W190" s="51"/>
      <c r="X190" s="50"/>
      <c r="Y190" s="51"/>
      <c r="Z190" s="50"/>
      <c r="AA190" s="51"/>
      <c r="AB190" s="50"/>
      <c r="AC190" s="51"/>
      <c r="AD190" s="50"/>
      <c r="AE190" s="51"/>
    </row>
    <row r="191" spans="16:31" ht="12.75" thickBot="1" x14ac:dyDescent="0.25">
      <c r="P191" s="50"/>
      <c r="Q191" s="51"/>
      <c r="R191" s="50"/>
      <c r="S191" s="51"/>
      <c r="T191" s="50"/>
      <c r="U191" s="51"/>
      <c r="V191" s="50"/>
      <c r="W191" s="51"/>
      <c r="X191" s="50"/>
      <c r="Y191" s="51"/>
      <c r="Z191" s="50"/>
      <c r="AA191" s="51"/>
      <c r="AB191" s="50"/>
      <c r="AC191" s="51"/>
      <c r="AD191" s="50"/>
      <c r="AE191" s="51"/>
    </row>
    <row r="192" spans="16:31" ht="12.75" thickBot="1" x14ac:dyDescent="0.25">
      <c r="P192" s="50"/>
      <c r="Q192" s="51"/>
      <c r="R192" s="50"/>
      <c r="S192" s="51"/>
      <c r="T192" s="50"/>
      <c r="U192" s="51"/>
      <c r="V192" s="50"/>
      <c r="W192" s="51"/>
      <c r="X192" s="50"/>
      <c r="Y192" s="51"/>
      <c r="Z192" s="50"/>
      <c r="AA192" s="51"/>
      <c r="AB192" s="50"/>
      <c r="AC192" s="51"/>
      <c r="AD192" s="50"/>
      <c r="AE192" s="51"/>
    </row>
    <row r="193" spans="16:31" ht="12.75" thickBot="1" x14ac:dyDescent="0.25">
      <c r="P193" s="50"/>
      <c r="Q193" s="51"/>
      <c r="R193" s="50"/>
      <c r="S193" s="51"/>
      <c r="T193" s="50"/>
      <c r="U193" s="51"/>
      <c r="V193" s="50"/>
      <c r="W193" s="51"/>
      <c r="X193" s="50"/>
      <c r="Y193" s="51"/>
      <c r="Z193" s="50"/>
      <c r="AA193" s="51"/>
      <c r="AB193" s="50"/>
      <c r="AC193" s="51"/>
      <c r="AD193" s="50"/>
      <c r="AE193" s="51"/>
    </row>
    <row r="194" spans="16:31" ht="12.75" thickBot="1" x14ac:dyDescent="0.25">
      <c r="P194" s="50"/>
      <c r="Q194" s="51"/>
      <c r="R194" s="50"/>
      <c r="S194" s="51"/>
      <c r="T194" s="50"/>
      <c r="U194" s="51"/>
      <c r="V194" s="50"/>
      <c r="W194" s="51"/>
      <c r="X194" s="50"/>
      <c r="Y194" s="51"/>
      <c r="Z194" s="50"/>
      <c r="AA194" s="51"/>
      <c r="AB194" s="50"/>
      <c r="AC194" s="51"/>
      <c r="AD194" s="50"/>
      <c r="AE194" s="51"/>
    </row>
    <row r="195" spans="16:31" ht="12.75" thickBot="1" x14ac:dyDescent="0.25">
      <c r="P195" s="50"/>
      <c r="Q195" s="51"/>
      <c r="R195" s="50"/>
      <c r="S195" s="51"/>
      <c r="T195" s="50"/>
      <c r="U195" s="51"/>
      <c r="V195" s="50"/>
      <c r="W195" s="51"/>
      <c r="X195" s="50"/>
      <c r="Y195" s="51"/>
      <c r="Z195" s="50"/>
      <c r="AA195" s="51"/>
      <c r="AB195" s="50"/>
      <c r="AC195" s="51"/>
      <c r="AD195" s="50"/>
      <c r="AE195" s="51"/>
    </row>
    <row r="196" spans="16:31" ht="12.75" thickBot="1" x14ac:dyDescent="0.25">
      <c r="P196" s="50"/>
      <c r="Q196" s="51"/>
      <c r="R196" s="50"/>
      <c r="S196" s="51"/>
      <c r="T196" s="50"/>
      <c r="U196" s="51"/>
      <c r="V196" s="50"/>
      <c r="W196" s="51"/>
      <c r="X196" s="50"/>
      <c r="Y196" s="51"/>
      <c r="Z196" s="50"/>
      <c r="AA196" s="51"/>
      <c r="AB196" s="50"/>
      <c r="AC196" s="51"/>
      <c r="AD196" s="50"/>
      <c r="AE196" s="51"/>
    </row>
    <row r="197" spans="16:31" ht="12.75" thickBot="1" x14ac:dyDescent="0.25">
      <c r="P197" s="50"/>
      <c r="Q197" s="51"/>
      <c r="R197" s="50"/>
      <c r="S197" s="51"/>
      <c r="T197" s="50"/>
      <c r="U197" s="51"/>
      <c r="V197" s="50"/>
      <c r="W197" s="51"/>
      <c r="X197" s="50"/>
      <c r="Y197" s="51"/>
      <c r="Z197" s="50"/>
      <c r="AA197" s="51"/>
      <c r="AB197" s="50"/>
      <c r="AC197" s="51"/>
      <c r="AD197" s="50"/>
      <c r="AE197" s="51"/>
    </row>
    <row r="198" spans="16:31" ht="12.75" thickBot="1" x14ac:dyDescent="0.25">
      <c r="P198" s="50"/>
      <c r="Q198" s="51"/>
      <c r="R198" s="50"/>
      <c r="S198" s="51"/>
      <c r="T198" s="50"/>
      <c r="U198" s="51"/>
      <c r="V198" s="50"/>
      <c r="W198" s="51"/>
      <c r="X198" s="50"/>
      <c r="Y198" s="51"/>
      <c r="Z198" s="50"/>
      <c r="AA198" s="51"/>
      <c r="AB198" s="50"/>
      <c r="AC198" s="51"/>
      <c r="AD198" s="50"/>
      <c r="AE198" s="51"/>
    </row>
    <row r="199" spans="16:31" ht="12.75" thickBot="1" x14ac:dyDescent="0.25">
      <c r="P199" s="50"/>
      <c r="Q199" s="51"/>
      <c r="R199" s="50"/>
      <c r="S199" s="51"/>
      <c r="T199" s="50"/>
      <c r="U199" s="51"/>
      <c r="V199" s="50"/>
      <c r="W199" s="51"/>
      <c r="X199" s="50"/>
      <c r="Y199" s="51"/>
      <c r="Z199" s="50"/>
      <c r="AA199" s="51"/>
      <c r="AB199" s="50"/>
      <c r="AC199" s="51"/>
      <c r="AD199" s="50"/>
      <c r="AE199" s="51"/>
    </row>
    <row r="200" spans="16:31" ht="12.75" thickBot="1" x14ac:dyDescent="0.25">
      <c r="P200" s="50"/>
      <c r="Q200" s="51"/>
      <c r="R200" s="50"/>
      <c r="S200" s="51"/>
      <c r="T200" s="50"/>
      <c r="U200" s="51"/>
      <c r="V200" s="50"/>
      <c r="W200" s="51"/>
      <c r="X200" s="50"/>
      <c r="Y200" s="51"/>
      <c r="Z200" s="50"/>
      <c r="AA200" s="51"/>
      <c r="AB200" s="50"/>
      <c r="AC200" s="51"/>
      <c r="AD200" s="50"/>
      <c r="AE200" s="51"/>
    </row>
    <row r="201" spans="16:31" ht="12.75" thickBot="1" x14ac:dyDescent="0.25">
      <c r="P201" s="50"/>
      <c r="Q201" s="51"/>
      <c r="R201" s="50"/>
      <c r="S201" s="51"/>
      <c r="T201" s="50"/>
      <c r="U201" s="51"/>
      <c r="V201" s="50"/>
      <c r="W201" s="51"/>
      <c r="X201" s="50"/>
      <c r="Y201" s="51"/>
      <c r="Z201" s="50"/>
      <c r="AA201" s="51"/>
      <c r="AB201" s="50"/>
      <c r="AC201" s="51"/>
      <c r="AD201" s="50"/>
      <c r="AE201" s="51"/>
    </row>
    <row r="202" spans="16:31" ht="12.75" thickBot="1" x14ac:dyDescent="0.25">
      <c r="P202" s="50"/>
      <c r="Q202" s="51"/>
      <c r="R202" s="50"/>
      <c r="S202" s="51"/>
      <c r="T202" s="50"/>
      <c r="U202" s="51"/>
      <c r="V202" s="50"/>
      <c r="W202" s="51"/>
      <c r="X202" s="50"/>
      <c r="Y202" s="51"/>
      <c r="Z202" s="50"/>
      <c r="AA202" s="51"/>
      <c r="AB202" s="50"/>
      <c r="AC202" s="51"/>
      <c r="AD202" s="50"/>
      <c r="AE202" s="51"/>
    </row>
    <row r="203" spans="16:31" ht="12.75" thickBot="1" x14ac:dyDescent="0.25">
      <c r="P203" s="50"/>
      <c r="Q203" s="51"/>
      <c r="R203" s="50"/>
      <c r="S203" s="51"/>
      <c r="T203" s="50"/>
      <c r="U203" s="51"/>
      <c r="V203" s="50"/>
      <c r="W203" s="51"/>
      <c r="X203" s="50"/>
      <c r="Y203" s="51"/>
      <c r="Z203" s="50"/>
      <c r="AA203" s="51"/>
      <c r="AB203" s="50"/>
      <c r="AC203" s="51"/>
      <c r="AD203" s="50"/>
      <c r="AE203" s="51"/>
    </row>
    <row r="204" spans="16:31" ht="12.75" thickBot="1" x14ac:dyDescent="0.25">
      <c r="P204" s="50"/>
      <c r="Q204" s="51"/>
      <c r="R204" s="50"/>
      <c r="S204" s="51"/>
      <c r="T204" s="50"/>
      <c r="U204" s="51"/>
      <c r="V204" s="50"/>
      <c r="W204" s="51"/>
      <c r="X204" s="50"/>
      <c r="Y204" s="51"/>
      <c r="Z204" s="50"/>
      <c r="AA204" s="51"/>
      <c r="AB204" s="50"/>
      <c r="AC204" s="51"/>
      <c r="AD204" s="50"/>
      <c r="AE204" s="51"/>
    </row>
    <row r="205" spans="16:31" ht="12.75" thickBot="1" x14ac:dyDescent="0.25">
      <c r="P205" s="50"/>
      <c r="Q205" s="51"/>
      <c r="R205" s="50"/>
      <c r="S205" s="51"/>
      <c r="T205" s="50"/>
      <c r="U205" s="51"/>
      <c r="V205" s="50"/>
      <c r="W205" s="51"/>
      <c r="X205" s="50"/>
      <c r="Y205" s="51"/>
      <c r="Z205" s="50"/>
      <c r="AA205" s="51"/>
      <c r="AB205" s="50"/>
      <c r="AC205" s="51"/>
      <c r="AD205" s="50"/>
      <c r="AE205" s="51"/>
    </row>
    <row r="206" spans="16:31" ht="12.75" thickBot="1" x14ac:dyDescent="0.25">
      <c r="P206" s="50"/>
      <c r="Q206" s="51"/>
      <c r="R206" s="50"/>
      <c r="S206" s="51"/>
      <c r="T206" s="50"/>
      <c r="U206" s="51"/>
      <c r="V206" s="50"/>
      <c r="W206" s="51"/>
      <c r="X206" s="50"/>
      <c r="Y206" s="51"/>
      <c r="Z206" s="50"/>
      <c r="AA206" s="51"/>
      <c r="AB206" s="50"/>
      <c r="AC206" s="51"/>
      <c r="AD206" s="50"/>
      <c r="AE206" s="51"/>
    </row>
    <row r="207" spans="16:31" ht="12.75" thickBot="1" x14ac:dyDescent="0.25">
      <c r="P207" s="50"/>
      <c r="Q207" s="51"/>
      <c r="R207" s="50"/>
      <c r="S207" s="51"/>
      <c r="T207" s="50"/>
      <c r="U207" s="51"/>
      <c r="V207" s="50"/>
      <c r="W207" s="51"/>
      <c r="X207" s="50"/>
      <c r="Y207" s="51"/>
      <c r="Z207" s="50"/>
      <c r="AA207" s="51"/>
      <c r="AB207" s="50"/>
      <c r="AC207" s="51"/>
      <c r="AD207" s="50"/>
      <c r="AE207" s="51"/>
    </row>
    <row r="208" spans="16:31" ht="12.75" thickBot="1" x14ac:dyDescent="0.25">
      <c r="P208" s="50"/>
      <c r="Q208" s="51"/>
      <c r="R208" s="50"/>
      <c r="S208" s="51"/>
      <c r="T208" s="50"/>
      <c r="U208" s="51"/>
      <c r="V208" s="50"/>
      <c r="W208" s="51"/>
      <c r="X208" s="50"/>
      <c r="Y208" s="51"/>
      <c r="Z208" s="50"/>
      <c r="AA208" s="51"/>
      <c r="AB208" s="50"/>
      <c r="AC208" s="51"/>
      <c r="AD208" s="50"/>
      <c r="AE208" s="51"/>
    </row>
    <row r="209" spans="16:31" ht="12.75" thickBot="1" x14ac:dyDescent="0.25">
      <c r="P209" s="50"/>
      <c r="Q209" s="51"/>
      <c r="R209" s="50"/>
      <c r="S209" s="51"/>
      <c r="T209" s="50"/>
      <c r="U209" s="51"/>
      <c r="V209" s="50"/>
      <c r="W209" s="51"/>
      <c r="X209" s="50"/>
      <c r="Y209" s="51"/>
      <c r="Z209" s="50"/>
      <c r="AA209" s="51"/>
      <c r="AB209" s="50"/>
      <c r="AC209" s="51"/>
      <c r="AD209" s="50"/>
      <c r="AE209" s="51"/>
    </row>
    <row r="210" spans="16:31" ht="12.75" thickBot="1" x14ac:dyDescent="0.25">
      <c r="P210" s="50"/>
      <c r="Q210" s="51"/>
      <c r="R210" s="50"/>
      <c r="S210" s="51"/>
      <c r="T210" s="50"/>
      <c r="U210" s="51"/>
      <c r="V210" s="50"/>
      <c r="W210" s="51"/>
      <c r="X210" s="50"/>
      <c r="Y210" s="51"/>
      <c r="Z210" s="50"/>
      <c r="AA210" s="51"/>
      <c r="AB210" s="50"/>
      <c r="AC210" s="51"/>
      <c r="AD210" s="50"/>
      <c r="AE210" s="51"/>
    </row>
    <row r="211" spans="16:31" ht="12.75" thickBot="1" x14ac:dyDescent="0.25">
      <c r="P211" s="50"/>
      <c r="Q211" s="51"/>
      <c r="R211" s="50"/>
      <c r="S211" s="51"/>
      <c r="T211" s="50"/>
      <c r="U211" s="51"/>
      <c r="V211" s="50"/>
      <c r="W211" s="51"/>
      <c r="X211" s="50"/>
      <c r="Y211" s="51"/>
      <c r="Z211" s="50"/>
      <c r="AA211" s="51"/>
      <c r="AB211" s="50"/>
      <c r="AC211" s="51"/>
      <c r="AD211" s="50"/>
      <c r="AE211" s="51"/>
    </row>
    <row r="212" spans="16:31" ht="12.75" thickBot="1" x14ac:dyDescent="0.25">
      <c r="P212" s="50"/>
      <c r="Q212" s="51"/>
      <c r="R212" s="50"/>
      <c r="S212" s="51"/>
      <c r="T212" s="50"/>
      <c r="U212" s="51"/>
      <c r="V212" s="50"/>
      <c r="W212" s="51"/>
      <c r="X212" s="50"/>
      <c r="Y212" s="51"/>
      <c r="Z212" s="50"/>
      <c r="AA212" s="51"/>
      <c r="AB212" s="50"/>
      <c r="AC212" s="51"/>
      <c r="AD212" s="50"/>
      <c r="AE212" s="51"/>
    </row>
    <row r="213" spans="16:31" ht="12.75" thickBot="1" x14ac:dyDescent="0.25">
      <c r="P213" s="50"/>
      <c r="Q213" s="51"/>
      <c r="R213" s="50"/>
      <c r="S213" s="51"/>
      <c r="T213" s="50"/>
      <c r="U213" s="51"/>
      <c r="V213" s="50"/>
      <c r="W213" s="51"/>
      <c r="X213" s="50"/>
      <c r="Y213" s="51"/>
      <c r="Z213" s="50"/>
      <c r="AA213" s="51"/>
      <c r="AB213" s="50"/>
      <c r="AC213" s="51"/>
      <c r="AD213" s="50"/>
      <c r="AE213" s="51"/>
    </row>
    <row r="214" spans="16:31" ht="12.75" thickBot="1" x14ac:dyDescent="0.25">
      <c r="P214" s="50"/>
      <c r="Q214" s="51"/>
      <c r="R214" s="50"/>
      <c r="S214" s="51"/>
      <c r="T214" s="50"/>
      <c r="U214" s="51"/>
      <c r="V214" s="50"/>
      <c r="W214" s="51"/>
      <c r="X214" s="50"/>
      <c r="Y214" s="51"/>
      <c r="Z214" s="50"/>
      <c r="AA214" s="51"/>
      <c r="AB214" s="50"/>
      <c r="AC214" s="51"/>
      <c r="AD214" s="50"/>
      <c r="AE214" s="51"/>
    </row>
    <row r="215" spans="16:31" ht="12.75" thickBot="1" x14ac:dyDescent="0.25">
      <c r="P215" s="50"/>
      <c r="Q215" s="51"/>
      <c r="R215" s="50"/>
      <c r="S215" s="51"/>
      <c r="T215" s="50"/>
      <c r="U215" s="51"/>
      <c r="V215" s="50"/>
      <c r="W215" s="51"/>
      <c r="X215" s="50"/>
      <c r="Y215" s="51"/>
      <c r="Z215" s="50"/>
      <c r="AA215" s="51"/>
      <c r="AB215" s="50"/>
      <c r="AC215" s="51"/>
      <c r="AD215" s="50"/>
      <c r="AE215" s="51"/>
    </row>
    <row r="216" spans="16:31" ht="12.75" thickBot="1" x14ac:dyDescent="0.25">
      <c r="P216" s="50"/>
      <c r="Q216" s="51"/>
      <c r="R216" s="50"/>
      <c r="S216" s="51"/>
      <c r="T216" s="50"/>
      <c r="U216" s="51"/>
      <c r="V216" s="50"/>
      <c r="W216" s="51"/>
      <c r="X216" s="50"/>
      <c r="Y216" s="51"/>
      <c r="Z216" s="50"/>
      <c r="AA216" s="51"/>
      <c r="AB216" s="50"/>
      <c r="AC216" s="51"/>
      <c r="AD216" s="50"/>
      <c r="AE216" s="51"/>
    </row>
  </sheetData>
  <phoneticPr fontId="3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'Hardware|Consumables'!$A$2:$A$98</xm:f>
          </x14:formula1>
          <xm:sqref>X2:X216 V2:V216 T2:T216 AD2:AD216 AB2:AB216 P2:P216 R2:R216 Z2:Z216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 codeName="Sheet5">
    <tabColor theme="7"/>
  </sheetPr>
  <dimension ref="A1:E34"/>
  <sheetViews>
    <sheetView zoomScale="115" zoomScaleNormal="115" workbookViewId="0">
      <selection activeCell="A34" sqref="A34"/>
    </sheetView>
  </sheetViews>
  <sheetFormatPr defaultColWidth="9.140625" defaultRowHeight="12" x14ac:dyDescent="0.2"/>
  <cols>
    <col min="1" max="1" width="47.5703125" style="41" bestFit="1" customWidth="1"/>
    <col min="2" max="2" width="10.7109375" style="41" bestFit="1" customWidth="1"/>
    <col min="3" max="3" width="9.5703125" style="41" bestFit="1" customWidth="1"/>
    <col min="4" max="4" width="9.85546875" style="41" bestFit="1" customWidth="1"/>
    <col min="5" max="5" width="114.140625" style="41" customWidth="1"/>
    <col min="6" max="16384" width="9.140625" style="41"/>
  </cols>
  <sheetData>
    <row r="1" spans="1:5" x14ac:dyDescent="0.2">
      <c r="A1" s="78" t="s">
        <v>31</v>
      </c>
      <c r="B1" s="78" t="s">
        <v>58</v>
      </c>
      <c r="C1" s="78" t="s">
        <v>59</v>
      </c>
      <c r="D1" s="78" t="s">
        <v>65</v>
      </c>
      <c r="E1" s="78" t="s">
        <v>57</v>
      </c>
    </row>
    <row r="2" spans="1:5" x14ac:dyDescent="0.2">
      <c r="A2" s="83" t="s">
        <v>30</v>
      </c>
      <c r="B2" s="133">
        <f t="shared" ref="B2:B34" si="0">SUM(C2/D2)</f>
        <v>0.20989999999999998</v>
      </c>
      <c r="C2" s="76">
        <v>20.99</v>
      </c>
      <c r="D2" s="84">
        <v>100</v>
      </c>
      <c r="E2" s="82" t="s">
        <v>88</v>
      </c>
    </row>
    <row r="3" spans="1:5" x14ac:dyDescent="0.2">
      <c r="A3" s="83" t="s">
        <v>64</v>
      </c>
      <c r="B3" s="133">
        <f t="shared" si="0"/>
        <v>8.349500000000001E-3</v>
      </c>
      <c r="C3" s="85">
        <v>166.99</v>
      </c>
      <c r="D3" s="84">
        <v>20000</v>
      </c>
      <c r="E3" s="82" t="s">
        <v>87</v>
      </c>
    </row>
    <row r="4" spans="1:5" x14ac:dyDescent="0.2">
      <c r="A4" s="83" t="s">
        <v>60</v>
      </c>
      <c r="B4" s="133">
        <f t="shared" si="0"/>
        <v>0.59950000000000003</v>
      </c>
      <c r="C4" s="76">
        <v>11.99</v>
      </c>
      <c r="D4" s="84">
        <v>20</v>
      </c>
      <c r="E4" s="82" t="s">
        <v>89</v>
      </c>
    </row>
    <row r="5" spans="1:5" x14ac:dyDescent="0.2">
      <c r="A5" s="83" t="s">
        <v>61</v>
      </c>
      <c r="B5" s="133">
        <f t="shared" si="0"/>
        <v>0.28070000000000001</v>
      </c>
      <c r="C5" s="76">
        <v>28.07</v>
      </c>
      <c r="D5" s="84">
        <v>100</v>
      </c>
      <c r="E5" s="82" t="s">
        <v>257</v>
      </c>
    </row>
    <row r="6" spans="1:5" x14ac:dyDescent="0.2">
      <c r="A6" s="83" t="s">
        <v>62</v>
      </c>
      <c r="B6" s="133">
        <f t="shared" si="0"/>
        <v>0.75900000000000001</v>
      </c>
      <c r="C6" s="76">
        <v>7.59</v>
      </c>
      <c r="D6" s="84">
        <v>10</v>
      </c>
      <c r="E6" s="82" t="s">
        <v>90</v>
      </c>
    </row>
    <row r="7" spans="1:5" x14ac:dyDescent="0.2">
      <c r="A7" s="83" t="s">
        <v>63</v>
      </c>
      <c r="B7" s="133">
        <f t="shared" si="0"/>
        <v>1.8495000000000001</v>
      </c>
      <c r="C7" s="76">
        <v>36.99</v>
      </c>
      <c r="D7" s="84">
        <v>20</v>
      </c>
      <c r="E7" s="82" t="s">
        <v>91</v>
      </c>
    </row>
    <row r="8" spans="1:5" x14ac:dyDescent="0.2">
      <c r="A8" s="83" t="s">
        <v>76</v>
      </c>
      <c r="B8" s="133">
        <f t="shared" si="0"/>
        <v>0.11990000000000001</v>
      </c>
      <c r="C8" s="76">
        <v>11.99</v>
      </c>
      <c r="D8" s="84">
        <v>100</v>
      </c>
      <c r="E8" s="82" t="s">
        <v>92</v>
      </c>
    </row>
    <row r="9" spans="1:5" x14ac:dyDescent="0.2">
      <c r="A9" s="83" t="s">
        <v>77</v>
      </c>
      <c r="B9" s="133">
        <f t="shared" si="0"/>
        <v>8.1900000000000001E-2</v>
      </c>
      <c r="C9" s="76">
        <v>8.19</v>
      </c>
      <c r="D9" s="84">
        <v>100</v>
      </c>
      <c r="E9" s="82" t="s">
        <v>93</v>
      </c>
    </row>
    <row r="10" spans="1:5" x14ac:dyDescent="0.2">
      <c r="A10" s="86" t="s">
        <v>94</v>
      </c>
      <c r="B10" s="133">
        <f t="shared" si="0"/>
        <v>1.9980000000000001E-2</v>
      </c>
      <c r="C10" s="76">
        <v>9.99</v>
      </c>
      <c r="D10" s="84">
        <v>500</v>
      </c>
      <c r="E10" s="82" t="s">
        <v>95</v>
      </c>
    </row>
    <row r="11" spans="1:5" x14ac:dyDescent="0.2">
      <c r="A11" s="83" t="s">
        <v>103</v>
      </c>
      <c r="B11" s="133">
        <f t="shared" si="0"/>
        <v>2.5227272727272727E-2</v>
      </c>
      <c r="C11" s="76">
        <v>9.99</v>
      </c>
      <c r="D11" s="84">
        <f>SUM(330*12/10)</f>
        <v>396</v>
      </c>
      <c r="E11" s="82" t="s">
        <v>96</v>
      </c>
    </row>
    <row r="12" spans="1:5" x14ac:dyDescent="0.2">
      <c r="A12" s="83" t="s">
        <v>97</v>
      </c>
      <c r="B12" s="133">
        <f t="shared" si="0"/>
        <v>5.9800000000000006E-2</v>
      </c>
      <c r="C12" s="76">
        <v>2.99</v>
      </c>
      <c r="D12" s="84">
        <v>50</v>
      </c>
      <c r="E12" s="82" t="s">
        <v>98</v>
      </c>
    </row>
    <row r="13" spans="1:5" x14ac:dyDescent="0.2">
      <c r="A13" s="83" t="s">
        <v>100</v>
      </c>
      <c r="B13" s="133">
        <f t="shared" si="0"/>
        <v>0.39960000000000001</v>
      </c>
      <c r="C13" s="76">
        <v>9.99</v>
      </c>
      <c r="D13" s="84">
        <v>25</v>
      </c>
      <c r="E13" s="82" t="s">
        <v>99</v>
      </c>
    </row>
    <row r="14" spans="1:5" x14ac:dyDescent="0.2">
      <c r="A14" s="83" t="s">
        <v>101</v>
      </c>
      <c r="B14" s="133">
        <f t="shared" si="0"/>
        <v>9.9900000000000003E-2</v>
      </c>
      <c r="C14" s="76">
        <v>9.99</v>
      </c>
      <c r="D14" s="84">
        <v>100</v>
      </c>
      <c r="E14" s="82" t="s">
        <v>102</v>
      </c>
    </row>
    <row r="15" spans="1:5" x14ac:dyDescent="0.2">
      <c r="A15" s="83" t="s">
        <v>104</v>
      </c>
      <c r="B15" s="133">
        <f t="shared" si="0"/>
        <v>0.78600000000000003</v>
      </c>
      <c r="C15" s="76">
        <v>15.72</v>
      </c>
      <c r="D15" s="84">
        <v>20</v>
      </c>
      <c r="E15" s="82" t="s">
        <v>113</v>
      </c>
    </row>
    <row r="16" spans="1:5" x14ac:dyDescent="0.2">
      <c r="A16" s="83" t="s">
        <v>109</v>
      </c>
      <c r="B16" s="133">
        <f t="shared" si="0"/>
        <v>0.33840000000000003</v>
      </c>
      <c r="C16" s="76">
        <v>8.4600000000000009</v>
      </c>
      <c r="D16" s="84">
        <v>25</v>
      </c>
      <c r="E16" s="82" t="s">
        <v>108</v>
      </c>
    </row>
    <row r="17" spans="1:5" x14ac:dyDescent="0.2">
      <c r="A17" s="41" t="s">
        <v>221</v>
      </c>
      <c r="B17" s="133">
        <f t="shared" si="0"/>
        <v>0.41020000000000001</v>
      </c>
      <c r="C17" s="76">
        <v>20.51</v>
      </c>
      <c r="D17" s="84">
        <v>50</v>
      </c>
      <c r="E17" s="82" t="s">
        <v>250</v>
      </c>
    </row>
    <row r="18" spans="1:5" x14ac:dyDescent="0.2">
      <c r="A18" s="41" t="s">
        <v>231</v>
      </c>
      <c r="B18" s="133">
        <f t="shared" si="0"/>
        <v>9.8499999999999994E-3</v>
      </c>
      <c r="C18" s="76">
        <v>9.85</v>
      </c>
      <c r="D18" s="84">
        <v>1000</v>
      </c>
      <c r="E18" s="82" t="s">
        <v>233</v>
      </c>
    </row>
    <row r="19" spans="1:5" x14ac:dyDescent="0.2">
      <c r="A19" s="41" t="s">
        <v>232</v>
      </c>
      <c r="B19" s="76">
        <f t="shared" si="0"/>
        <v>0.64949999999999997</v>
      </c>
      <c r="C19" s="76">
        <v>12.99</v>
      </c>
      <c r="D19" s="84">
        <v>20</v>
      </c>
      <c r="E19" s="82" t="s">
        <v>236</v>
      </c>
    </row>
    <row r="20" spans="1:5" x14ac:dyDescent="0.2">
      <c r="A20" s="41" t="s">
        <v>234</v>
      </c>
      <c r="B20" s="76">
        <f t="shared" si="0"/>
        <v>4.4950000000000004E-2</v>
      </c>
      <c r="C20" s="76">
        <v>8.99</v>
      </c>
      <c r="D20" s="84">
        <v>200</v>
      </c>
      <c r="E20" s="82" t="s">
        <v>235</v>
      </c>
    </row>
    <row r="21" spans="1:5" x14ac:dyDescent="0.2">
      <c r="A21" s="41" t="s">
        <v>238</v>
      </c>
      <c r="B21" s="76">
        <f t="shared" si="0"/>
        <v>0.64749999999999996</v>
      </c>
      <c r="C21" s="76">
        <v>12.95</v>
      </c>
      <c r="D21" s="84">
        <v>20</v>
      </c>
      <c r="E21" s="82" t="s">
        <v>251</v>
      </c>
    </row>
    <row r="22" spans="1:5" x14ac:dyDescent="0.2">
      <c r="A22" s="41" t="s">
        <v>240</v>
      </c>
      <c r="B22" s="76">
        <f t="shared" si="0"/>
        <v>0.74950000000000006</v>
      </c>
      <c r="C22" s="76">
        <v>14.99</v>
      </c>
      <c r="D22" s="84">
        <v>20</v>
      </c>
      <c r="E22" s="82" t="s">
        <v>239</v>
      </c>
    </row>
    <row r="23" spans="1:5" x14ac:dyDescent="0.2">
      <c r="A23" s="41" t="s">
        <v>246</v>
      </c>
      <c r="B23" s="76">
        <f t="shared" si="0"/>
        <v>0.11869999999999999</v>
      </c>
      <c r="C23" s="76">
        <v>11.87</v>
      </c>
      <c r="D23" s="84">
        <v>100</v>
      </c>
      <c r="E23" s="82" t="s">
        <v>245</v>
      </c>
    </row>
    <row r="24" spans="1:5" x14ac:dyDescent="0.2">
      <c r="A24" s="41" t="s">
        <v>248</v>
      </c>
      <c r="B24" s="76">
        <f t="shared" si="0"/>
        <v>0.36780000000000002</v>
      </c>
      <c r="C24" s="76">
        <v>18.39</v>
      </c>
      <c r="D24" s="84">
        <v>50</v>
      </c>
      <c r="E24" s="82" t="s">
        <v>247</v>
      </c>
    </row>
    <row r="25" spans="1:5" x14ac:dyDescent="0.2">
      <c r="A25" s="41" t="s">
        <v>249</v>
      </c>
      <c r="B25" s="76">
        <f t="shared" si="0"/>
        <v>1.2</v>
      </c>
      <c r="C25" s="76">
        <v>120</v>
      </c>
      <c r="D25" s="84">
        <v>100</v>
      </c>
      <c r="E25" s="82" t="s">
        <v>252</v>
      </c>
    </row>
    <row r="26" spans="1:5" x14ac:dyDescent="0.2">
      <c r="A26" s="41" t="s">
        <v>258</v>
      </c>
      <c r="B26" s="76">
        <f t="shared" si="0"/>
        <v>0.8</v>
      </c>
      <c r="C26" s="76">
        <v>16</v>
      </c>
      <c r="D26" s="84">
        <v>20</v>
      </c>
    </row>
    <row r="27" spans="1:5" x14ac:dyDescent="0.2">
      <c r="A27" s="41" t="s">
        <v>266</v>
      </c>
      <c r="B27" s="76">
        <f t="shared" si="0"/>
        <v>0.45340000000000003</v>
      </c>
      <c r="C27" s="76">
        <v>22.67</v>
      </c>
      <c r="D27" s="84">
        <v>50</v>
      </c>
      <c r="E27" s="82" t="s">
        <v>265</v>
      </c>
    </row>
    <row r="28" spans="1:5" x14ac:dyDescent="0.2">
      <c r="A28" s="41" t="s">
        <v>267</v>
      </c>
      <c r="B28" s="76">
        <f t="shared" si="0"/>
        <v>0.21590000000000001</v>
      </c>
      <c r="C28" s="76">
        <v>21.59</v>
      </c>
      <c r="D28" s="84">
        <v>100</v>
      </c>
      <c r="E28" s="82" t="s">
        <v>270</v>
      </c>
    </row>
    <row r="29" spans="1:5" x14ac:dyDescent="0.2">
      <c r="A29" s="41" t="s">
        <v>269</v>
      </c>
      <c r="B29" s="76">
        <f t="shared" si="0"/>
        <v>0.25980000000000003</v>
      </c>
      <c r="C29" s="41">
        <v>12.99</v>
      </c>
      <c r="D29" s="41">
        <v>50</v>
      </c>
      <c r="E29" s="82" t="s">
        <v>271</v>
      </c>
    </row>
    <row r="30" spans="1:5" ht="15" x14ac:dyDescent="0.25">
      <c r="A30" s="41" t="s">
        <v>273</v>
      </c>
      <c r="B30" s="76">
        <f t="shared" si="0"/>
        <v>8.9900000000000008E-2</v>
      </c>
      <c r="C30" s="41">
        <v>8.99</v>
      </c>
      <c r="D30" s="41">
        <v>100</v>
      </c>
      <c r="E30" s="223" t="s">
        <v>272</v>
      </c>
    </row>
    <row r="31" spans="1:5" ht="15" x14ac:dyDescent="0.25">
      <c r="A31" s="41" t="s">
        <v>275</v>
      </c>
      <c r="B31" s="76">
        <f t="shared" si="0"/>
        <v>0.25900000000000001</v>
      </c>
      <c r="C31" s="41">
        <v>12.95</v>
      </c>
      <c r="D31" s="41">
        <v>50</v>
      </c>
      <c r="E31" s="223" t="s">
        <v>274</v>
      </c>
    </row>
    <row r="32" spans="1:5" x14ac:dyDescent="0.2">
      <c r="A32" s="41" t="s">
        <v>276</v>
      </c>
      <c r="B32" s="76">
        <f t="shared" si="0"/>
        <v>0.33899999999999997</v>
      </c>
      <c r="C32" s="41">
        <v>16.95</v>
      </c>
      <c r="D32" s="41">
        <v>50</v>
      </c>
    </row>
    <row r="33" spans="1:5" ht="15" x14ac:dyDescent="0.25">
      <c r="A33" s="41" t="s">
        <v>278</v>
      </c>
      <c r="B33" s="76">
        <f t="shared" si="0"/>
        <v>0.88849999999999996</v>
      </c>
      <c r="C33" s="41">
        <v>17.77</v>
      </c>
      <c r="D33" s="41">
        <v>20</v>
      </c>
      <c r="E33" s="223" t="s">
        <v>277</v>
      </c>
    </row>
    <row r="34" spans="1:5" ht="15" x14ac:dyDescent="0.25">
      <c r="B34" s="41">
        <f t="shared" si="0"/>
        <v>0.21773333333333331</v>
      </c>
      <c r="C34" s="41">
        <v>32.659999999999997</v>
      </c>
      <c r="D34" s="41">
        <v>150</v>
      </c>
      <c r="E34" s="223" t="s">
        <v>285</v>
      </c>
    </row>
  </sheetData>
  <hyperlinks>
    <hyperlink ref="E8" r:id="rId1" xr:uid="{9DD5AED3-B848-491D-8BE3-14236CEEF866}"/>
    <hyperlink ref="E9" r:id="rId2" xr:uid="{51382B9C-FD10-4251-83C4-73CD0946FBF6}"/>
    <hyperlink ref="E2" r:id="rId3" xr:uid="{369B1B3B-611B-48AD-94E0-0CF696420B65}"/>
    <hyperlink ref="E4" r:id="rId4" xr:uid="{EE9582B9-86F8-4EE8-B54A-2B3A7D66E196}"/>
    <hyperlink ref="E5" r:id="rId5" xr:uid="{4AC26017-737E-452A-A9D5-DF07FE5DF35D}"/>
    <hyperlink ref="E6" r:id="rId6" xr:uid="{DCFD9227-A0A3-49EA-9DC2-569624EEDB5E}"/>
    <hyperlink ref="E7" r:id="rId7" xr:uid="{C44E4084-D804-425C-8FDA-B221CAE87ED1}"/>
    <hyperlink ref="E3" r:id="rId8" xr:uid="{C0488F26-FACC-45C6-9BBA-E4AA86FE4CAE}"/>
    <hyperlink ref="E10" r:id="rId9" xr:uid="{07403619-39F9-4668-9D28-7114ACA00D49}"/>
    <hyperlink ref="E11" r:id="rId10" xr:uid="{4FD1245B-F7C3-41C8-8B4B-359AB21C505A}"/>
    <hyperlink ref="E12" r:id="rId11" xr:uid="{67B5DA1E-92F2-463A-8771-9845F5D2E0E0}"/>
    <hyperlink ref="E13" r:id="rId12" xr:uid="{E48E1692-FBAF-47CE-9A33-C3737115ED00}"/>
    <hyperlink ref="E14" r:id="rId13" xr:uid="{2F1E6687-F4E1-4F8C-9282-C0D3457B7D8E}"/>
    <hyperlink ref="E15" r:id="rId14" display="https://www.amazon.com/Hundred-R6-2RS-Sealed-Bearings-Pre-Lubricated/dp/B01CUNP1PI" xr:uid="{2D5BA6AC-334D-478E-8612-A354BAE93EFB}"/>
    <hyperlink ref="E16" r:id="rId15" xr:uid="{B8924A5D-46BE-409F-946D-8CC7CAC5D5A3}"/>
    <hyperlink ref="E18" r:id="rId16" xr:uid="{8FA4ED4C-A7B9-4C13-81DE-5ADE0F1EBD00}"/>
    <hyperlink ref="E19" r:id="rId17" xr:uid="{C5B7BE6A-8FEC-44E6-8E8E-F07168064FEC}"/>
    <hyperlink ref="E20" r:id="rId18" xr:uid="{423BF72B-52B1-4039-B1D6-86A16B0E3C7A}"/>
    <hyperlink ref="E22" r:id="rId19" xr:uid="{A066B798-FEAD-405E-8CC8-8CDECC230190}"/>
    <hyperlink ref="E23" r:id="rId20" xr:uid="{60505215-2893-42F5-8AB5-C67F9E3C82EE}"/>
    <hyperlink ref="E24" r:id="rId21" xr:uid="{919E9242-2ADD-4954-8D9E-E9F6A9D13103}"/>
    <hyperlink ref="E17" r:id="rId22" xr:uid="{DA05D5ED-B4EF-48A4-9B44-B71BCBEB83AF}"/>
    <hyperlink ref="E21" r:id="rId23" xr:uid="{F3B04178-E9DC-4671-ABED-AA992F1F8ECE}"/>
    <hyperlink ref="E25" r:id="rId24" xr:uid="{A766EEC0-1892-420D-BFB4-ABB6FFDD26E7}"/>
    <hyperlink ref="E27" r:id="rId25" xr:uid="{AE0B1DF4-BE94-4F5E-A249-CF17DFA4DFCF}"/>
    <hyperlink ref="E28" r:id="rId26" xr:uid="{002348C2-4224-4101-B87F-ED06BE53C8E6}"/>
    <hyperlink ref="E29" r:id="rId27" xr:uid="{179FA027-DA23-488F-A083-57193689ABF0}"/>
    <hyperlink ref="E30" r:id="rId28" xr:uid="{F5A85652-4F4E-431B-860F-2B1B7E0C7B34}"/>
    <hyperlink ref="E31" r:id="rId29" xr:uid="{C3A6A3FD-3C18-46AA-B7A1-ED4FCA8431D8}"/>
    <hyperlink ref="E33" r:id="rId30" xr:uid="{009DC50E-1B8E-4C42-871E-D107A86A3011}"/>
    <hyperlink ref="E34" r:id="rId31" display="https://www.aliexpress.us/item/3256803767882016.html?spm=a2g0o.productlist.main.9.56356680KmnZ1y&amp;algo_pvid=7984d72e-7bc1-42a1-8cdb-233b75ed714a&amp;algo_exp_id=7984d72e-7bc1-42a1-8cdb-233b75ed714a-4&amp;pdp_npi=4%40dis%21USD%2114.73%216.73%21%21%2114.73%216.73%21%402101cff817180540937927438eb175%2112000027556595567%21sea%21US%210%21AB&amp;curPageLogUid=uWXsSf3mout8&amp;utparam-url=scene%3Asearch%7Cquery_from%3A" xr:uid="{FEFCCEB8-17F1-49B9-8427-0884A0C0B9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">
    <tabColor theme="3"/>
  </sheetPr>
  <dimension ref="A1:L46"/>
  <sheetViews>
    <sheetView zoomScaleNormal="100" workbookViewId="0">
      <selection activeCell="I12" sqref="I12"/>
    </sheetView>
  </sheetViews>
  <sheetFormatPr defaultColWidth="9.140625" defaultRowHeight="12" x14ac:dyDescent="0.2"/>
  <cols>
    <col min="1" max="1" width="25.7109375" style="41" customWidth="1"/>
    <col min="2" max="2" width="18.28515625" style="41" customWidth="1"/>
    <col min="3" max="3" width="8.7109375" style="41" customWidth="1"/>
    <col min="4" max="4" width="14.7109375" style="41" customWidth="1"/>
    <col min="5" max="5" width="16.5703125" style="41" customWidth="1"/>
    <col min="6" max="7" width="20.140625" style="41" customWidth="1"/>
    <col min="8" max="8" width="17.42578125" style="41" customWidth="1"/>
    <col min="9" max="1025" width="11.28515625" style="41" customWidth="1"/>
    <col min="1026" max="16384" width="9.140625" style="41"/>
  </cols>
  <sheetData>
    <row r="1" spans="1:12" ht="24" x14ac:dyDescent="0.2">
      <c r="A1" s="75" t="s">
        <v>31</v>
      </c>
      <c r="B1" s="75" t="s">
        <v>32</v>
      </c>
      <c r="C1" s="75" t="str">
        <f>"Price ["&amp;General!B6&amp;"]"</f>
        <v>Price [$]</v>
      </c>
      <c r="D1" s="75" t="s">
        <v>33</v>
      </c>
      <c r="E1" s="75" t="str">
        <f>"Service costs per life ["&amp;General!B6&amp;"]"</f>
        <v>Service costs per life [$]</v>
      </c>
      <c r="F1" s="75" t="s">
        <v>34</v>
      </c>
      <c r="G1" s="75" t="s">
        <v>49</v>
      </c>
      <c r="H1" s="75" t="str">
        <f>"Depreciation ["&amp;General!B6&amp;"/h]"</f>
        <v>Depreciation [$/h]</v>
      </c>
    </row>
    <row r="2" spans="1:12" x14ac:dyDescent="0.2">
      <c r="A2" s="87" t="s">
        <v>35</v>
      </c>
      <c r="B2" s="87">
        <v>1.75</v>
      </c>
      <c r="C2" s="87">
        <v>0</v>
      </c>
      <c r="D2" s="87">
        <v>2000</v>
      </c>
      <c r="E2" s="87">
        <v>100</v>
      </c>
      <c r="F2" s="88">
        <v>0.1</v>
      </c>
      <c r="G2" s="89">
        <v>2.0833333333333333E-3</v>
      </c>
      <c r="H2" s="90">
        <f>(C2+E2)/D2</f>
        <v>0.05</v>
      </c>
      <c r="J2" s="229" t="s">
        <v>53</v>
      </c>
      <c r="K2" s="229"/>
      <c r="L2" s="229"/>
    </row>
    <row r="3" spans="1:12" x14ac:dyDescent="0.2">
      <c r="A3" s="87" t="s">
        <v>51</v>
      </c>
      <c r="B3" s="87">
        <v>1.75</v>
      </c>
      <c r="C3" s="87">
        <v>400</v>
      </c>
      <c r="D3" s="87">
        <v>2000</v>
      </c>
      <c r="E3" s="87">
        <v>200</v>
      </c>
      <c r="F3" s="88">
        <v>0.35</v>
      </c>
      <c r="G3" s="89">
        <v>6.9444444444444441E-3</v>
      </c>
      <c r="H3" s="90">
        <f>(C3+E3)/D3</f>
        <v>0.3</v>
      </c>
      <c r="J3" s="229"/>
      <c r="K3" s="229"/>
      <c r="L3" s="229"/>
    </row>
    <row r="4" spans="1:12" x14ac:dyDescent="0.2">
      <c r="A4" s="87" t="s">
        <v>114</v>
      </c>
      <c r="B4" s="87">
        <v>1.75</v>
      </c>
      <c r="C4" s="87">
        <v>2800</v>
      </c>
      <c r="D4" s="87">
        <v>2000</v>
      </c>
      <c r="E4" s="87">
        <v>400</v>
      </c>
      <c r="F4" s="88">
        <v>0.35</v>
      </c>
      <c r="G4" s="89">
        <v>6.9444444444444441E-3</v>
      </c>
      <c r="H4" s="90">
        <f>(C4+E4)/D4</f>
        <v>1.6</v>
      </c>
      <c r="J4" s="229"/>
      <c r="K4" s="229"/>
      <c r="L4" s="229"/>
    </row>
    <row r="5" spans="1:12" x14ac:dyDescent="0.2">
      <c r="A5" s="87" t="s">
        <v>279</v>
      </c>
      <c r="B5" s="87">
        <v>1.75</v>
      </c>
      <c r="C5" s="87">
        <v>798</v>
      </c>
      <c r="D5" s="87">
        <v>2000</v>
      </c>
      <c r="E5" s="87">
        <v>200</v>
      </c>
      <c r="F5" s="88">
        <v>0.5</v>
      </c>
      <c r="G5" s="89">
        <v>6.9444444444444441E-3</v>
      </c>
      <c r="H5" s="90">
        <f>(C5+E5)/D5</f>
        <v>0.499</v>
      </c>
      <c r="J5" s="229"/>
      <c r="K5" s="229"/>
      <c r="L5" s="229"/>
    </row>
    <row r="6" spans="1:12" x14ac:dyDescent="0.2">
      <c r="A6" s="87"/>
      <c r="B6" s="87"/>
      <c r="C6" s="87"/>
      <c r="D6" s="87"/>
      <c r="E6" s="87"/>
      <c r="F6" s="88"/>
      <c r="G6" s="89">
        <v>0</v>
      </c>
      <c r="H6" s="91"/>
      <c r="J6" s="229"/>
      <c r="K6" s="229"/>
      <c r="L6" s="229"/>
    </row>
    <row r="7" spans="1:12" x14ac:dyDescent="0.2">
      <c r="A7" s="87"/>
      <c r="B7" s="87"/>
      <c r="C7" s="87"/>
      <c r="D7" s="87"/>
      <c r="E7" s="87"/>
      <c r="F7" s="88"/>
      <c r="G7" s="89">
        <v>0</v>
      </c>
      <c r="H7" s="91"/>
      <c r="J7" s="229"/>
      <c r="K7" s="229"/>
      <c r="L7" s="229"/>
    </row>
    <row r="8" spans="1:12" x14ac:dyDescent="0.2">
      <c r="A8" s="87"/>
      <c r="B8" s="87"/>
      <c r="C8" s="87"/>
      <c r="D8" s="87"/>
      <c r="E8" s="87"/>
      <c r="F8" s="88"/>
      <c r="G8" s="89">
        <v>0</v>
      </c>
      <c r="H8" s="91"/>
      <c r="J8" s="229"/>
      <c r="K8" s="229"/>
      <c r="L8" s="229"/>
    </row>
    <row r="9" spans="1:12" x14ac:dyDescent="0.2">
      <c r="A9" s="87"/>
      <c r="B9" s="87"/>
      <c r="C9" s="87"/>
      <c r="D9" s="87"/>
      <c r="E9" s="87"/>
      <c r="F9" s="88"/>
      <c r="G9" s="89">
        <v>0</v>
      </c>
      <c r="H9" s="91"/>
      <c r="J9" s="229"/>
      <c r="K9" s="229"/>
      <c r="L9" s="229"/>
    </row>
    <row r="10" spans="1:12" x14ac:dyDescent="0.2">
      <c r="A10" s="87"/>
      <c r="B10" s="87"/>
      <c r="C10" s="87"/>
      <c r="D10" s="87"/>
      <c r="E10" s="87"/>
      <c r="F10" s="88"/>
      <c r="G10" s="89">
        <v>0</v>
      </c>
      <c r="H10" s="91"/>
      <c r="J10" s="229"/>
      <c r="K10" s="229"/>
      <c r="L10" s="229"/>
    </row>
    <row r="11" spans="1:12" x14ac:dyDescent="0.2">
      <c r="A11" s="87"/>
      <c r="B11" s="87"/>
      <c r="C11" s="87"/>
      <c r="D11" s="87"/>
      <c r="E11" s="87"/>
      <c r="F11" s="88"/>
      <c r="G11" s="89">
        <v>0</v>
      </c>
      <c r="H11" s="91"/>
      <c r="J11" s="229"/>
      <c r="K11" s="229"/>
      <c r="L11" s="229"/>
    </row>
    <row r="12" spans="1:12" x14ac:dyDescent="0.2">
      <c r="A12" s="87"/>
      <c r="B12" s="87"/>
      <c r="C12" s="87"/>
      <c r="D12" s="87"/>
      <c r="E12" s="87"/>
      <c r="F12" s="92"/>
      <c r="G12" s="89">
        <v>0</v>
      </c>
      <c r="H12" s="91"/>
    </row>
    <row r="13" spans="1:12" x14ac:dyDescent="0.2">
      <c r="A13" s="87"/>
      <c r="B13" s="87"/>
      <c r="C13" s="87"/>
      <c r="D13" s="87"/>
      <c r="E13" s="87"/>
      <c r="F13" s="92"/>
      <c r="G13" s="89">
        <v>0</v>
      </c>
      <c r="H13" s="91"/>
    </row>
    <row r="14" spans="1:12" x14ac:dyDescent="0.2">
      <c r="A14" s="87"/>
      <c r="B14" s="87"/>
      <c r="C14" s="87"/>
      <c r="D14" s="87"/>
      <c r="E14" s="87"/>
      <c r="F14" s="92"/>
      <c r="G14" s="89">
        <v>0</v>
      </c>
      <c r="H14" s="91"/>
    </row>
    <row r="15" spans="1:12" x14ac:dyDescent="0.2">
      <c r="A15" s="87"/>
      <c r="B15" s="87"/>
      <c r="C15" s="87"/>
      <c r="D15" s="87"/>
      <c r="E15" s="87"/>
      <c r="F15" s="92"/>
      <c r="G15" s="89">
        <v>0</v>
      </c>
      <c r="H15" s="91"/>
    </row>
    <row r="16" spans="1:12" x14ac:dyDescent="0.2">
      <c r="A16" s="87"/>
      <c r="B16" s="87"/>
      <c r="C16" s="87"/>
      <c r="D16" s="87"/>
      <c r="E16" s="87"/>
      <c r="F16" s="92"/>
      <c r="G16" s="89">
        <v>0</v>
      </c>
      <c r="H16" s="91"/>
    </row>
    <row r="17" spans="1:8" x14ac:dyDescent="0.2">
      <c r="A17" s="87"/>
      <c r="B17" s="87"/>
      <c r="C17" s="87"/>
      <c r="D17" s="87"/>
      <c r="E17" s="87"/>
      <c r="F17" s="92"/>
      <c r="G17" s="89">
        <v>0</v>
      </c>
      <c r="H17" s="91"/>
    </row>
    <row r="18" spans="1:8" x14ac:dyDescent="0.2">
      <c r="A18" s="87"/>
      <c r="B18" s="87"/>
      <c r="C18" s="87"/>
      <c r="D18" s="87"/>
      <c r="E18" s="87"/>
      <c r="F18" s="92"/>
      <c r="G18" s="89">
        <v>0</v>
      </c>
      <c r="H18" s="91"/>
    </row>
    <row r="19" spans="1:8" x14ac:dyDescent="0.2">
      <c r="A19" s="87"/>
      <c r="B19" s="87"/>
      <c r="C19" s="87"/>
      <c r="D19" s="87"/>
      <c r="E19" s="87"/>
      <c r="F19" s="92"/>
      <c r="G19" s="89">
        <v>0</v>
      </c>
      <c r="H19" s="91"/>
    </row>
    <row r="20" spans="1:8" x14ac:dyDescent="0.2">
      <c r="A20" s="87"/>
      <c r="B20" s="87"/>
      <c r="C20" s="87"/>
      <c r="D20" s="87"/>
      <c r="E20" s="87"/>
      <c r="F20" s="92"/>
      <c r="G20" s="89">
        <v>0</v>
      </c>
      <c r="H20" s="91"/>
    </row>
    <row r="21" spans="1:8" x14ac:dyDescent="0.2">
      <c r="A21" s="87"/>
      <c r="B21" s="87"/>
      <c r="C21" s="87"/>
      <c r="D21" s="87"/>
      <c r="E21" s="87"/>
      <c r="F21" s="92"/>
      <c r="G21" s="89">
        <v>0</v>
      </c>
      <c r="H21" s="91"/>
    </row>
    <row r="22" spans="1:8" x14ac:dyDescent="0.2">
      <c r="A22" s="87"/>
      <c r="B22" s="87"/>
      <c r="C22" s="87"/>
      <c r="D22" s="87"/>
      <c r="E22" s="87"/>
      <c r="F22" s="92"/>
      <c r="G22" s="89">
        <v>0</v>
      </c>
      <c r="H22" s="91"/>
    </row>
    <row r="23" spans="1:8" x14ac:dyDescent="0.2">
      <c r="A23" s="87"/>
      <c r="B23" s="87"/>
      <c r="C23" s="87"/>
      <c r="D23" s="87"/>
      <c r="E23" s="87"/>
      <c r="F23" s="92"/>
      <c r="G23" s="89">
        <v>0</v>
      </c>
      <c r="H23" s="91"/>
    </row>
    <row r="24" spans="1:8" x14ac:dyDescent="0.2">
      <c r="A24" s="87"/>
      <c r="B24" s="87"/>
      <c r="C24" s="87"/>
      <c r="D24" s="87"/>
      <c r="E24" s="87"/>
      <c r="F24" s="92"/>
      <c r="G24" s="89">
        <v>0</v>
      </c>
      <c r="H24" s="91"/>
    </row>
    <row r="25" spans="1:8" x14ac:dyDescent="0.2">
      <c r="A25" s="87"/>
      <c r="B25" s="87"/>
      <c r="C25" s="87"/>
      <c r="D25" s="87"/>
      <c r="E25" s="87"/>
      <c r="F25" s="92"/>
      <c r="G25" s="89">
        <v>0</v>
      </c>
      <c r="H25" s="91"/>
    </row>
    <row r="26" spans="1:8" x14ac:dyDescent="0.2">
      <c r="A26" s="87"/>
      <c r="B26" s="87"/>
      <c r="C26" s="87"/>
      <c r="D26" s="87"/>
      <c r="E26" s="87"/>
      <c r="F26" s="92"/>
      <c r="G26" s="89">
        <v>0</v>
      </c>
      <c r="H26" s="91"/>
    </row>
    <row r="27" spans="1:8" x14ac:dyDescent="0.2">
      <c r="A27" s="87"/>
      <c r="B27" s="87"/>
      <c r="C27" s="87"/>
      <c r="D27" s="87"/>
      <c r="E27" s="87"/>
      <c r="F27" s="92"/>
      <c r="G27" s="89">
        <v>0</v>
      </c>
      <c r="H27" s="91"/>
    </row>
    <row r="28" spans="1:8" x14ac:dyDescent="0.2">
      <c r="A28" s="87"/>
      <c r="B28" s="87"/>
      <c r="C28" s="87"/>
      <c r="D28" s="87"/>
      <c r="E28" s="87"/>
      <c r="F28" s="92"/>
      <c r="G28" s="89">
        <v>0</v>
      </c>
      <c r="H28" s="91"/>
    </row>
    <row r="29" spans="1:8" x14ac:dyDescent="0.2">
      <c r="A29" s="87"/>
      <c r="B29" s="87"/>
      <c r="C29" s="87"/>
      <c r="D29" s="87"/>
      <c r="E29" s="87"/>
      <c r="F29" s="92"/>
      <c r="G29" s="89">
        <v>0</v>
      </c>
      <c r="H29" s="91"/>
    </row>
    <row r="30" spans="1:8" x14ac:dyDescent="0.2">
      <c r="A30" s="87"/>
      <c r="B30" s="87"/>
      <c r="C30" s="87"/>
      <c r="D30" s="87"/>
      <c r="E30" s="87"/>
      <c r="F30" s="92"/>
      <c r="G30" s="89">
        <v>0</v>
      </c>
      <c r="H30" s="91"/>
    </row>
    <row r="31" spans="1:8" x14ac:dyDescent="0.2">
      <c r="A31" s="87"/>
      <c r="B31" s="87"/>
      <c r="C31" s="87"/>
      <c r="D31" s="87"/>
      <c r="E31" s="87"/>
      <c r="F31" s="92"/>
      <c r="G31" s="89">
        <v>0</v>
      </c>
      <c r="H31" s="91"/>
    </row>
    <row r="32" spans="1:8" x14ac:dyDescent="0.2">
      <c r="A32" s="87"/>
      <c r="B32" s="87"/>
      <c r="C32" s="87"/>
      <c r="D32" s="87"/>
      <c r="E32" s="87"/>
      <c r="F32" s="92"/>
      <c r="G32" s="89">
        <v>0</v>
      </c>
      <c r="H32" s="91"/>
    </row>
    <row r="33" spans="1:8" x14ac:dyDescent="0.2">
      <c r="A33" s="87"/>
      <c r="B33" s="87"/>
      <c r="C33" s="87"/>
      <c r="D33" s="87"/>
      <c r="E33" s="87"/>
      <c r="F33" s="92"/>
      <c r="G33" s="89">
        <v>0</v>
      </c>
      <c r="H33" s="91"/>
    </row>
    <row r="34" spans="1:8" x14ac:dyDescent="0.2">
      <c r="A34" s="87"/>
      <c r="B34" s="87"/>
      <c r="C34" s="87"/>
      <c r="D34" s="87"/>
      <c r="E34" s="87"/>
      <c r="F34" s="92"/>
      <c r="G34" s="89">
        <v>0</v>
      </c>
      <c r="H34" s="91"/>
    </row>
    <row r="35" spans="1:8" x14ac:dyDescent="0.2">
      <c r="A35" s="87"/>
      <c r="B35" s="87"/>
      <c r="C35" s="87"/>
      <c r="D35" s="87"/>
      <c r="E35" s="87"/>
      <c r="F35" s="92"/>
      <c r="G35" s="89">
        <v>0</v>
      </c>
      <c r="H35" s="91"/>
    </row>
    <row r="36" spans="1:8" x14ac:dyDescent="0.2">
      <c r="A36" s="87"/>
      <c r="B36" s="87"/>
      <c r="C36" s="87"/>
      <c r="D36" s="87"/>
      <c r="E36" s="87"/>
      <c r="F36" s="92"/>
      <c r="G36" s="89">
        <v>0</v>
      </c>
      <c r="H36" s="91"/>
    </row>
    <row r="37" spans="1:8" x14ac:dyDescent="0.2">
      <c r="A37" s="87"/>
      <c r="B37" s="87"/>
      <c r="C37" s="87"/>
      <c r="D37" s="87"/>
      <c r="E37" s="87"/>
      <c r="F37" s="92"/>
      <c r="G37" s="89">
        <v>0</v>
      </c>
      <c r="H37" s="91"/>
    </row>
    <row r="38" spans="1:8" x14ac:dyDescent="0.2">
      <c r="A38" s="87"/>
      <c r="B38" s="87"/>
      <c r="C38" s="87"/>
      <c r="D38" s="87"/>
      <c r="E38" s="87"/>
      <c r="F38" s="92"/>
      <c r="G38" s="89">
        <v>0</v>
      </c>
      <c r="H38" s="91"/>
    </row>
    <row r="39" spans="1:8" x14ac:dyDescent="0.2">
      <c r="A39" s="87"/>
      <c r="B39" s="87"/>
      <c r="C39" s="87"/>
      <c r="D39" s="87"/>
      <c r="E39" s="87"/>
      <c r="F39" s="92"/>
      <c r="G39" s="89">
        <v>0</v>
      </c>
      <c r="H39" s="91"/>
    </row>
    <row r="40" spans="1:8" x14ac:dyDescent="0.2">
      <c r="A40" s="87"/>
      <c r="B40" s="87"/>
      <c r="C40" s="87"/>
      <c r="D40" s="87"/>
      <c r="E40" s="87"/>
      <c r="F40" s="92"/>
      <c r="G40" s="89">
        <v>0</v>
      </c>
      <c r="H40" s="91"/>
    </row>
    <row r="41" spans="1:8" x14ac:dyDescent="0.2">
      <c r="A41" s="87"/>
      <c r="B41" s="87"/>
      <c r="C41" s="87"/>
      <c r="D41" s="87"/>
      <c r="E41" s="87"/>
      <c r="F41" s="92"/>
      <c r="G41" s="89">
        <v>0</v>
      </c>
      <c r="H41" s="91"/>
    </row>
    <row r="42" spans="1:8" x14ac:dyDescent="0.2">
      <c r="A42" s="87"/>
      <c r="B42" s="87"/>
      <c r="C42" s="87"/>
      <c r="D42" s="87"/>
      <c r="E42" s="87"/>
      <c r="F42" s="92"/>
      <c r="G42" s="89">
        <v>0</v>
      </c>
      <c r="H42" s="91"/>
    </row>
    <row r="43" spans="1:8" x14ac:dyDescent="0.2">
      <c r="A43" s="87"/>
      <c r="B43" s="87"/>
      <c r="C43" s="87"/>
      <c r="D43" s="87"/>
      <c r="E43" s="87"/>
      <c r="F43" s="92"/>
      <c r="G43" s="89">
        <v>0</v>
      </c>
      <c r="H43" s="91"/>
    </row>
    <row r="44" spans="1:8" x14ac:dyDescent="0.2">
      <c r="A44" s="87"/>
      <c r="B44" s="87"/>
      <c r="C44" s="87"/>
      <c r="D44" s="87"/>
      <c r="E44" s="87"/>
      <c r="F44" s="92"/>
      <c r="G44" s="89">
        <v>0</v>
      </c>
      <c r="H44" s="91"/>
    </row>
    <row r="45" spans="1:8" x14ac:dyDescent="0.2">
      <c r="A45" s="87"/>
      <c r="B45" s="87"/>
      <c r="C45" s="87"/>
      <c r="D45" s="87"/>
      <c r="E45" s="87"/>
      <c r="F45" s="92"/>
      <c r="G45" s="89">
        <v>0</v>
      </c>
      <c r="H45" s="91"/>
    </row>
    <row r="46" spans="1:8" x14ac:dyDescent="0.2">
      <c r="A46" s="87"/>
      <c r="B46" s="87"/>
      <c r="C46" s="87"/>
      <c r="D46" s="87"/>
      <c r="E46" s="87"/>
      <c r="F46" s="92"/>
      <c r="G46" s="89">
        <v>0</v>
      </c>
      <c r="H46" s="91"/>
    </row>
  </sheetData>
  <mergeCells count="1">
    <mergeCell ref="J2:L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>
    <tabColor theme="4"/>
  </sheetPr>
  <dimension ref="A1:J50"/>
  <sheetViews>
    <sheetView workbookViewId="0">
      <selection activeCell="F4" sqref="F4"/>
    </sheetView>
  </sheetViews>
  <sheetFormatPr defaultColWidth="9.140625" defaultRowHeight="12" x14ac:dyDescent="0.2"/>
  <cols>
    <col min="1" max="1" width="35.85546875" style="41" customWidth="1"/>
    <col min="2" max="2" width="15.42578125" style="41" customWidth="1"/>
    <col min="3" max="3" width="14.42578125" style="41" customWidth="1"/>
    <col min="4" max="4" width="14.7109375" style="41" customWidth="1"/>
    <col min="5" max="5" width="17.140625" style="41" customWidth="1"/>
    <col min="6" max="6" width="17.28515625" style="41" customWidth="1"/>
    <col min="7" max="7" width="14.42578125" style="41" customWidth="1"/>
    <col min="8" max="8" width="19.140625" style="41" customWidth="1"/>
    <col min="9" max="9" width="18.5703125" style="41" customWidth="1"/>
    <col min="10" max="10" width="12.7109375" style="41" customWidth="1"/>
    <col min="11" max="1024" width="11.28515625" style="41" customWidth="1"/>
    <col min="1025" max="16384" width="9.140625" style="41"/>
  </cols>
  <sheetData>
    <row r="1" spans="1:10" x14ac:dyDescent="0.2">
      <c r="A1" s="78" t="s">
        <v>36</v>
      </c>
      <c r="B1" s="78" t="s">
        <v>37</v>
      </c>
      <c r="C1" s="78" t="str">
        <f>"Spool Price ["&amp;General!B6&amp;"]"</f>
        <v>Spool Price [$]</v>
      </c>
      <c r="D1" s="78" t="s">
        <v>38</v>
      </c>
      <c r="E1" s="78" t="s">
        <v>39</v>
      </c>
      <c r="F1" s="78" t="s">
        <v>40</v>
      </c>
      <c r="G1" s="78" t="s">
        <v>41</v>
      </c>
      <c r="H1" s="78" t="s">
        <v>42</v>
      </c>
      <c r="I1" s="78" t="str">
        <f>"Price ["&amp;General!B6&amp;"/kg]"</f>
        <v>Price [$/kg]</v>
      </c>
    </row>
    <row r="2" spans="1:10" x14ac:dyDescent="0.2">
      <c r="A2" s="87" t="s">
        <v>48</v>
      </c>
      <c r="B2" s="87">
        <v>1.75</v>
      </c>
      <c r="C2" s="93">
        <v>25.99</v>
      </c>
      <c r="D2" s="94">
        <v>1</v>
      </c>
      <c r="E2" s="94">
        <v>1.27</v>
      </c>
      <c r="F2" s="87">
        <v>240</v>
      </c>
      <c r="G2" s="87">
        <v>85</v>
      </c>
      <c r="H2" s="95">
        <f t="shared" ref="H2:H38" si="0">D2/E2*4/(PI()*(B2/100)^2)/10</f>
        <v>327.36353391873052</v>
      </c>
      <c r="I2" s="60">
        <f t="shared" ref="I2:I38" si="1">C2/D2</f>
        <v>25.99</v>
      </c>
    </row>
    <row r="3" spans="1:10" x14ac:dyDescent="0.2">
      <c r="A3" s="87" t="s">
        <v>112</v>
      </c>
      <c r="B3" s="87">
        <v>1.75</v>
      </c>
      <c r="C3" s="93">
        <v>15</v>
      </c>
      <c r="D3" s="94">
        <v>1</v>
      </c>
      <c r="E3" s="94">
        <v>1.27</v>
      </c>
      <c r="F3" s="87">
        <v>240</v>
      </c>
      <c r="G3" s="87">
        <v>85</v>
      </c>
      <c r="H3" s="95">
        <f t="shared" si="0"/>
        <v>327.36353391873052</v>
      </c>
      <c r="I3" s="60">
        <f t="shared" si="1"/>
        <v>15</v>
      </c>
    </row>
    <row r="4" spans="1:10" ht="15" x14ac:dyDescent="0.25">
      <c r="A4" s="87" t="s">
        <v>280</v>
      </c>
      <c r="B4" s="87">
        <v>1.75</v>
      </c>
      <c r="C4" s="93">
        <v>39.99</v>
      </c>
      <c r="D4" s="94">
        <v>0.75</v>
      </c>
      <c r="E4" s="94">
        <v>1.22</v>
      </c>
      <c r="F4" s="87"/>
      <c r="G4" s="87"/>
      <c r="H4" s="95">
        <f t="shared" si="0"/>
        <v>255.58505414556626</v>
      </c>
      <c r="I4" s="60">
        <f t="shared" si="1"/>
        <v>53.32</v>
      </c>
      <c r="J4" s="223" t="s">
        <v>282</v>
      </c>
    </row>
    <row r="5" spans="1:10" ht="15" x14ac:dyDescent="0.25">
      <c r="A5" s="87" t="s">
        <v>281</v>
      </c>
      <c r="B5" s="87">
        <v>1.75</v>
      </c>
      <c r="C5" s="93">
        <v>29.99</v>
      </c>
      <c r="D5" s="94">
        <v>0.5</v>
      </c>
      <c r="E5" s="94">
        <v>1.1399999999999999</v>
      </c>
      <c r="F5" s="87"/>
      <c r="G5" s="87"/>
      <c r="H5" s="95">
        <f t="shared" si="0"/>
        <v>182.34723161262622</v>
      </c>
      <c r="I5" s="60">
        <f t="shared" si="1"/>
        <v>59.98</v>
      </c>
      <c r="J5" s="223" t="s">
        <v>283</v>
      </c>
    </row>
    <row r="6" spans="1:10" x14ac:dyDescent="0.2">
      <c r="A6" s="87" t="s">
        <v>284</v>
      </c>
      <c r="B6" s="87">
        <v>1.75</v>
      </c>
      <c r="C6" s="93">
        <v>37.75</v>
      </c>
      <c r="D6" s="94">
        <v>1</v>
      </c>
      <c r="E6" s="94">
        <v>1.27</v>
      </c>
      <c r="F6" s="87">
        <v>240</v>
      </c>
      <c r="G6" s="87">
        <v>85</v>
      </c>
      <c r="H6" s="95">
        <f>D6/E6*4/(PI()*(B6/100)^2)/10</f>
        <v>327.36353391873052</v>
      </c>
      <c r="I6" s="60">
        <f>C6/D6</f>
        <v>37.75</v>
      </c>
    </row>
    <row r="7" spans="1:10" x14ac:dyDescent="0.2">
      <c r="A7" s="87"/>
      <c r="B7" s="87">
        <v>1.75</v>
      </c>
      <c r="C7" s="93"/>
      <c r="D7" s="94"/>
      <c r="E7" s="94"/>
      <c r="F7" s="87"/>
      <c r="G7" s="87"/>
      <c r="H7" s="95" t="e">
        <f t="shared" ref="H7" si="2">D7/E7*4/(PI()*(B7/100)^2)/10</f>
        <v>#DIV/0!</v>
      </c>
      <c r="I7" s="60" t="e">
        <f t="shared" ref="I7" si="3">C7/D7</f>
        <v>#DIV/0!</v>
      </c>
    </row>
    <row r="8" spans="1:10" x14ac:dyDescent="0.2">
      <c r="A8" s="87"/>
      <c r="B8" s="87">
        <v>1.75</v>
      </c>
      <c r="C8" s="93"/>
      <c r="D8" s="94"/>
      <c r="E8" s="94"/>
      <c r="F8" s="87"/>
      <c r="G8" s="87"/>
      <c r="H8" s="95" t="e">
        <f t="shared" si="0"/>
        <v>#DIV/0!</v>
      </c>
      <c r="I8" s="60" t="e">
        <f t="shared" si="1"/>
        <v>#DIV/0!</v>
      </c>
    </row>
    <row r="9" spans="1:10" x14ac:dyDescent="0.2">
      <c r="A9" s="87"/>
      <c r="B9" s="87">
        <v>1.75</v>
      </c>
      <c r="C9" s="93"/>
      <c r="D9" s="94"/>
      <c r="E9" s="94"/>
      <c r="F9" s="87"/>
      <c r="G9" s="87"/>
      <c r="H9" s="95" t="e">
        <f t="shared" si="0"/>
        <v>#DIV/0!</v>
      </c>
      <c r="I9" s="60" t="e">
        <f t="shared" si="1"/>
        <v>#DIV/0!</v>
      </c>
    </row>
    <row r="10" spans="1:10" x14ac:dyDescent="0.2">
      <c r="A10" s="87"/>
      <c r="B10" s="87">
        <v>1.75</v>
      </c>
      <c r="C10" s="93"/>
      <c r="D10" s="94"/>
      <c r="E10" s="94"/>
      <c r="F10" s="87"/>
      <c r="G10" s="87"/>
      <c r="H10" s="95" t="e">
        <f t="shared" si="0"/>
        <v>#DIV/0!</v>
      </c>
      <c r="I10" s="60" t="e">
        <f t="shared" si="1"/>
        <v>#DIV/0!</v>
      </c>
    </row>
    <row r="11" spans="1:10" x14ac:dyDescent="0.2">
      <c r="A11" s="87"/>
      <c r="B11" s="87">
        <v>1.75</v>
      </c>
      <c r="C11" s="93"/>
      <c r="D11" s="94"/>
      <c r="E11" s="94"/>
      <c r="F11" s="87"/>
      <c r="G11" s="87"/>
      <c r="H11" s="95" t="e">
        <f t="shared" si="0"/>
        <v>#DIV/0!</v>
      </c>
      <c r="I11" s="60" t="e">
        <f t="shared" si="1"/>
        <v>#DIV/0!</v>
      </c>
    </row>
    <row r="12" spans="1:10" x14ac:dyDescent="0.2">
      <c r="A12" s="87"/>
      <c r="B12" s="87">
        <v>1.75</v>
      </c>
      <c r="C12" s="93"/>
      <c r="D12" s="94"/>
      <c r="E12" s="94"/>
      <c r="F12" s="87"/>
      <c r="G12" s="87"/>
      <c r="H12" s="95" t="e">
        <f t="shared" si="0"/>
        <v>#DIV/0!</v>
      </c>
      <c r="I12" s="60" t="e">
        <f t="shared" si="1"/>
        <v>#DIV/0!</v>
      </c>
    </row>
    <row r="13" spans="1:10" x14ac:dyDescent="0.2">
      <c r="A13" s="87"/>
      <c r="B13" s="87">
        <v>1.75</v>
      </c>
      <c r="C13" s="93"/>
      <c r="D13" s="94"/>
      <c r="E13" s="94"/>
      <c r="F13" s="87"/>
      <c r="G13" s="87"/>
      <c r="H13" s="95" t="e">
        <f t="shared" si="0"/>
        <v>#DIV/0!</v>
      </c>
      <c r="I13" s="60" t="e">
        <f t="shared" si="1"/>
        <v>#DIV/0!</v>
      </c>
    </row>
    <row r="14" spans="1:10" x14ac:dyDescent="0.2">
      <c r="A14" s="87"/>
      <c r="B14" s="87">
        <v>1.75</v>
      </c>
      <c r="C14" s="93"/>
      <c r="D14" s="94"/>
      <c r="E14" s="94"/>
      <c r="F14" s="87"/>
      <c r="G14" s="87"/>
      <c r="H14" s="95" t="e">
        <f t="shared" si="0"/>
        <v>#DIV/0!</v>
      </c>
      <c r="I14" s="60" t="e">
        <f t="shared" si="1"/>
        <v>#DIV/0!</v>
      </c>
    </row>
    <row r="15" spans="1:10" x14ac:dyDescent="0.2">
      <c r="A15" s="87"/>
      <c r="B15" s="87">
        <v>1.75</v>
      </c>
      <c r="C15" s="93"/>
      <c r="D15" s="94"/>
      <c r="E15" s="94"/>
      <c r="F15" s="87"/>
      <c r="G15" s="87"/>
      <c r="H15" s="95" t="e">
        <f t="shared" si="0"/>
        <v>#DIV/0!</v>
      </c>
      <c r="I15" s="60" t="e">
        <f t="shared" si="1"/>
        <v>#DIV/0!</v>
      </c>
    </row>
    <row r="16" spans="1:10" x14ac:dyDescent="0.2">
      <c r="A16" s="87"/>
      <c r="B16" s="87">
        <v>1.75</v>
      </c>
      <c r="C16" s="93"/>
      <c r="D16" s="94"/>
      <c r="E16" s="94"/>
      <c r="F16" s="87"/>
      <c r="G16" s="87"/>
      <c r="H16" s="95" t="e">
        <f t="shared" si="0"/>
        <v>#DIV/0!</v>
      </c>
      <c r="I16" s="60" t="e">
        <f t="shared" si="1"/>
        <v>#DIV/0!</v>
      </c>
    </row>
    <row r="17" spans="1:9" x14ac:dyDescent="0.2">
      <c r="A17" s="87"/>
      <c r="B17" s="87">
        <v>1.75</v>
      </c>
      <c r="C17" s="93"/>
      <c r="D17" s="94"/>
      <c r="E17" s="94"/>
      <c r="F17" s="87"/>
      <c r="G17" s="87"/>
      <c r="H17" s="95" t="e">
        <f t="shared" si="0"/>
        <v>#DIV/0!</v>
      </c>
      <c r="I17" s="60" t="e">
        <f t="shared" si="1"/>
        <v>#DIV/0!</v>
      </c>
    </row>
    <row r="18" spans="1:9" x14ac:dyDescent="0.2">
      <c r="A18" s="87"/>
      <c r="B18" s="87">
        <v>1.75</v>
      </c>
      <c r="C18" s="93"/>
      <c r="D18" s="94"/>
      <c r="E18" s="94"/>
      <c r="F18" s="87"/>
      <c r="G18" s="87"/>
      <c r="H18" s="95" t="e">
        <f t="shared" si="0"/>
        <v>#DIV/0!</v>
      </c>
      <c r="I18" s="60" t="e">
        <f t="shared" si="1"/>
        <v>#DIV/0!</v>
      </c>
    </row>
    <row r="19" spans="1:9" x14ac:dyDescent="0.2">
      <c r="A19" s="87"/>
      <c r="B19" s="87">
        <v>1.75</v>
      </c>
      <c r="C19" s="93"/>
      <c r="D19" s="94"/>
      <c r="E19" s="94"/>
      <c r="F19" s="87"/>
      <c r="G19" s="87"/>
      <c r="H19" s="95" t="e">
        <f t="shared" si="0"/>
        <v>#DIV/0!</v>
      </c>
      <c r="I19" s="60" t="e">
        <f t="shared" si="1"/>
        <v>#DIV/0!</v>
      </c>
    </row>
    <row r="20" spans="1:9" x14ac:dyDescent="0.2">
      <c r="A20" s="87"/>
      <c r="B20" s="87">
        <v>1.75</v>
      </c>
      <c r="C20" s="93"/>
      <c r="D20" s="94"/>
      <c r="E20" s="94"/>
      <c r="F20" s="87"/>
      <c r="G20" s="87"/>
      <c r="H20" s="95" t="e">
        <f t="shared" si="0"/>
        <v>#DIV/0!</v>
      </c>
      <c r="I20" s="60" t="e">
        <f t="shared" si="1"/>
        <v>#DIV/0!</v>
      </c>
    </row>
    <row r="21" spans="1:9" x14ac:dyDescent="0.2">
      <c r="A21" s="87"/>
      <c r="B21" s="87">
        <v>1.75</v>
      </c>
      <c r="C21" s="93"/>
      <c r="D21" s="94"/>
      <c r="E21" s="94"/>
      <c r="F21" s="87"/>
      <c r="G21" s="87"/>
      <c r="H21" s="95" t="e">
        <f t="shared" si="0"/>
        <v>#DIV/0!</v>
      </c>
      <c r="I21" s="60" t="e">
        <f t="shared" si="1"/>
        <v>#DIV/0!</v>
      </c>
    </row>
    <row r="22" spans="1:9" x14ac:dyDescent="0.2">
      <c r="A22" s="87"/>
      <c r="B22" s="87">
        <v>1.75</v>
      </c>
      <c r="C22" s="93"/>
      <c r="D22" s="94"/>
      <c r="E22" s="94"/>
      <c r="F22" s="87"/>
      <c r="G22" s="87"/>
      <c r="H22" s="95" t="e">
        <f t="shared" si="0"/>
        <v>#DIV/0!</v>
      </c>
      <c r="I22" s="60" t="e">
        <f t="shared" si="1"/>
        <v>#DIV/0!</v>
      </c>
    </row>
    <row r="23" spans="1:9" x14ac:dyDescent="0.2">
      <c r="A23" s="87"/>
      <c r="B23" s="87">
        <v>1.75</v>
      </c>
      <c r="C23" s="93"/>
      <c r="D23" s="94"/>
      <c r="E23" s="94"/>
      <c r="F23" s="87"/>
      <c r="G23" s="87"/>
      <c r="H23" s="95" t="e">
        <f t="shared" si="0"/>
        <v>#DIV/0!</v>
      </c>
      <c r="I23" s="60" t="e">
        <f t="shared" si="1"/>
        <v>#DIV/0!</v>
      </c>
    </row>
    <row r="24" spans="1:9" x14ac:dyDescent="0.2">
      <c r="A24" s="87"/>
      <c r="B24" s="87">
        <v>1.75</v>
      </c>
      <c r="C24" s="93"/>
      <c r="D24" s="94"/>
      <c r="E24" s="94"/>
      <c r="F24" s="87"/>
      <c r="G24" s="87"/>
      <c r="H24" s="95" t="e">
        <f t="shared" si="0"/>
        <v>#DIV/0!</v>
      </c>
      <c r="I24" s="60" t="e">
        <f t="shared" si="1"/>
        <v>#DIV/0!</v>
      </c>
    </row>
    <row r="25" spans="1:9" x14ac:dyDescent="0.2">
      <c r="A25" s="87"/>
      <c r="B25" s="87">
        <v>1.75</v>
      </c>
      <c r="C25" s="93"/>
      <c r="D25" s="94"/>
      <c r="E25" s="94"/>
      <c r="F25" s="87"/>
      <c r="G25" s="87"/>
      <c r="H25" s="95" t="e">
        <f t="shared" si="0"/>
        <v>#DIV/0!</v>
      </c>
      <c r="I25" s="60" t="e">
        <f t="shared" si="1"/>
        <v>#DIV/0!</v>
      </c>
    </row>
    <row r="26" spans="1:9" x14ac:dyDescent="0.2">
      <c r="A26" s="87"/>
      <c r="B26" s="87">
        <v>1.75</v>
      </c>
      <c r="C26" s="93"/>
      <c r="D26" s="94"/>
      <c r="E26" s="94"/>
      <c r="F26" s="87"/>
      <c r="G26" s="87"/>
      <c r="H26" s="95" t="e">
        <f t="shared" si="0"/>
        <v>#DIV/0!</v>
      </c>
      <c r="I26" s="60" t="e">
        <f t="shared" si="1"/>
        <v>#DIV/0!</v>
      </c>
    </row>
    <row r="27" spans="1:9" x14ac:dyDescent="0.2">
      <c r="A27" s="87"/>
      <c r="B27" s="87">
        <v>1.75</v>
      </c>
      <c r="C27" s="93"/>
      <c r="D27" s="94"/>
      <c r="E27" s="94"/>
      <c r="F27" s="87"/>
      <c r="G27" s="87"/>
      <c r="H27" s="95" t="e">
        <f t="shared" si="0"/>
        <v>#DIV/0!</v>
      </c>
      <c r="I27" s="60" t="e">
        <f t="shared" si="1"/>
        <v>#DIV/0!</v>
      </c>
    </row>
    <row r="28" spans="1:9" x14ac:dyDescent="0.2">
      <c r="A28" s="87"/>
      <c r="B28" s="87">
        <v>1.75</v>
      </c>
      <c r="C28" s="93"/>
      <c r="D28" s="94"/>
      <c r="E28" s="94"/>
      <c r="F28" s="87"/>
      <c r="G28" s="87"/>
      <c r="H28" s="95" t="e">
        <f t="shared" si="0"/>
        <v>#DIV/0!</v>
      </c>
      <c r="I28" s="60" t="e">
        <f t="shared" si="1"/>
        <v>#DIV/0!</v>
      </c>
    </row>
    <row r="29" spans="1:9" x14ac:dyDescent="0.2">
      <c r="A29" s="87"/>
      <c r="B29" s="87">
        <v>1.75</v>
      </c>
      <c r="C29" s="93"/>
      <c r="D29" s="94"/>
      <c r="E29" s="94"/>
      <c r="F29" s="87"/>
      <c r="G29" s="87"/>
      <c r="H29" s="95" t="e">
        <f t="shared" si="0"/>
        <v>#DIV/0!</v>
      </c>
      <c r="I29" s="60" t="e">
        <f t="shared" si="1"/>
        <v>#DIV/0!</v>
      </c>
    </row>
    <row r="30" spans="1:9" x14ac:dyDescent="0.2">
      <c r="A30" s="87"/>
      <c r="B30" s="87">
        <v>1.75</v>
      </c>
      <c r="C30" s="93"/>
      <c r="D30" s="94"/>
      <c r="E30" s="94"/>
      <c r="F30" s="87"/>
      <c r="G30" s="87"/>
      <c r="H30" s="95" t="e">
        <f t="shared" si="0"/>
        <v>#DIV/0!</v>
      </c>
      <c r="I30" s="60" t="e">
        <f t="shared" si="1"/>
        <v>#DIV/0!</v>
      </c>
    </row>
    <row r="31" spans="1:9" x14ac:dyDescent="0.2">
      <c r="A31" s="87"/>
      <c r="B31" s="87">
        <v>1.75</v>
      </c>
      <c r="C31" s="93"/>
      <c r="D31" s="94"/>
      <c r="E31" s="94"/>
      <c r="F31" s="87"/>
      <c r="G31" s="87"/>
      <c r="H31" s="95" t="e">
        <f t="shared" si="0"/>
        <v>#DIV/0!</v>
      </c>
      <c r="I31" s="60" t="e">
        <f t="shared" si="1"/>
        <v>#DIV/0!</v>
      </c>
    </row>
    <row r="32" spans="1:9" x14ac:dyDescent="0.2">
      <c r="A32" s="87"/>
      <c r="B32" s="87">
        <v>1.75</v>
      </c>
      <c r="C32" s="93"/>
      <c r="D32" s="94"/>
      <c r="E32" s="94"/>
      <c r="F32" s="87"/>
      <c r="G32" s="87"/>
      <c r="H32" s="95" t="e">
        <f t="shared" si="0"/>
        <v>#DIV/0!</v>
      </c>
      <c r="I32" s="60" t="e">
        <f t="shared" si="1"/>
        <v>#DIV/0!</v>
      </c>
    </row>
    <row r="33" spans="1:9" x14ac:dyDescent="0.2">
      <c r="A33" s="87"/>
      <c r="B33" s="87">
        <v>1.75</v>
      </c>
      <c r="C33" s="93"/>
      <c r="D33" s="94"/>
      <c r="E33" s="94"/>
      <c r="F33" s="87"/>
      <c r="G33" s="87"/>
      <c r="H33" s="95" t="e">
        <f t="shared" si="0"/>
        <v>#DIV/0!</v>
      </c>
      <c r="I33" s="60" t="e">
        <f t="shared" si="1"/>
        <v>#DIV/0!</v>
      </c>
    </row>
    <row r="34" spans="1:9" x14ac:dyDescent="0.2">
      <c r="A34" s="87"/>
      <c r="B34" s="87">
        <v>1.75</v>
      </c>
      <c r="C34" s="93"/>
      <c r="D34" s="94"/>
      <c r="E34" s="94"/>
      <c r="F34" s="87"/>
      <c r="G34" s="87"/>
      <c r="H34" s="95" t="e">
        <f t="shared" si="0"/>
        <v>#DIV/0!</v>
      </c>
      <c r="I34" s="60" t="e">
        <f t="shared" si="1"/>
        <v>#DIV/0!</v>
      </c>
    </row>
    <row r="35" spans="1:9" x14ac:dyDescent="0.2">
      <c r="A35" s="87"/>
      <c r="B35" s="87">
        <v>1.75</v>
      </c>
      <c r="C35" s="93"/>
      <c r="D35" s="94"/>
      <c r="E35" s="94"/>
      <c r="F35" s="87"/>
      <c r="G35" s="87"/>
      <c r="H35" s="95" t="e">
        <f t="shared" si="0"/>
        <v>#DIV/0!</v>
      </c>
      <c r="I35" s="60" t="e">
        <f t="shared" si="1"/>
        <v>#DIV/0!</v>
      </c>
    </row>
    <row r="36" spans="1:9" x14ac:dyDescent="0.2">
      <c r="A36" s="87"/>
      <c r="B36" s="87">
        <v>1.75</v>
      </c>
      <c r="C36" s="93"/>
      <c r="D36" s="94"/>
      <c r="E36" s="94"/>
      <c r="F36" s="87"/>
      <c r="G36" s="87"/>
      <c r="H36" s="95" t="e">
        <f t="shared" si="0"/>
        <v>#DIV/0!</v>
      </c>
      <c r="I36" s="60" t="e">
        <f t="shared" si="1"/>
        <v>#DIV/0!</v>
      </c>
    </row>
    <row r="37" spans="1:9" x14ac:dyDescent="0.2">
      <c r="A37" s="87"/>
      <c r="B37" s="87">
        <v>1.75</v>
      </c>
      <c r="C37" s="96"/>
      <c r="D37" s="94"/>
      <c r="E37" s="94"/>
      <c r="F37" s="87"/>
      <c r="G37" s="87"/>
      <c r="H37" s="95" t="e">
        <f t="shared" si="0"/>
        <v>#DIV/0!</v>
      </c>
      <c r="I37" s="60" t="e">
        <f t="shared" si="1"/>
        <v>#DIV/0!</v>
      </c>
    </row>
    <row r="38" spans="1:9" x14ac:dyDescent="0.2">
      <c r="A38" s="87"/>
      <c r="B38" s="87"/>
      <c r="C38" s="96"/>
      <c r="D38" s="94"/>
      <c r="E38" s="87"/>
      <c r="F38" s="87"/>
      <c r="G38" s="87"/>
      <c r="H38" s="95" t="e">
        <f t="shared" si="0"/>
        <v>#DIV/0!</v>
      </c>
      <c r="I38" s="60" t="e">
        <f t="shared" si="1"/>
        <v>#DIV/0!</v>
      </c>
    </row>
    <row r="39" spans="1:9" x14ac:dyDescent="0.2">
      <c r="A39" s="87"/>
      <c r="B39" s="87"/>
      <c r="C39" s="96"/>
      <c r="D39" s="87"/>
      <c r="E39" s="87"/>
      <c r="F39" s="87"/>
      <c r="G39" s="87"/>
      <c r="H39" s="91"/>
    </row>
    <row r="40" spans="1:9" x14ac:dyDescent="0.2">
      <c r="A40" s="87"/>
      <c r="B40" s="87"/>
      <c r="C40" s="96"/>
      <c r="D40" s="87"/>
      <c r="E40" s="87"/>
      <c r="F40" s="87"/>
      <c r="G40" s="87"/>
      <c r="H40" s="91"/>
    </row>
    <row r="41" spans="1:9" x14ac:dyDescent="0.2">
      <c r="A41" s="87"/>
      <c r="B41" s="87"/>
      <c r="C41" s="96"/>
      <c r="D41" s="87"/>
      <c r="E41" s="87"/>
      <c r="F41" s="87"/>
      <c r="G41" s="87"/>
      <c r="H41" s="91"/>
    </row>
    <row r="42" spans="1:9" x14ac:dyDescent="0.2">
      <c r="A42" s="87"/>
      <c r="B42" s="87"/>
      <c r="C42" s="96"/>
      <c r="D42" s="87"/>
      <c r="E42" s="87"/>
      <c r="F42" s="87"/>
      <c r="G42" s="87"/>
      <c r="H42" s="91"/>
    </row>
    <row r="43" spans="1:9" x14ac:dyDescent="0.2">
      <c r="A43" s="87"/>
      <c r="B43" s="87"/>
      <c r="C43" s="96"/>
      <c r="D43" s="87"/>
      <c r="E43" s="87"/>
      <c r="F43" s="87"/>
      <c r="G43" s="87"/>
      <c r="H43" s="91"/>
    </row>
    <row r="44" spans="1:9" x14ac:dyDescent="0.2">
      <c r="A44" s="87"/>
      <c r="B44" s="87"/>
      <c r="C44" s="96"/>
      <c r="D44" s="87"/>
      <c r="E44" s="87"/>
      <c r="F44" s="87"/>
      <c r="G44" s="87"/>
      <c r="H44" s="91"/>
    </row>
    <row r="45" spans="1:9" x14ac:dyDescent="0.2">
      <c r="A45" s="87"/>
      <c r="B45" s="87"/>
      <c r="C45" s="96"/>
      <c r="D45" s="87"/>
      <c r="E45" s="87"/>
      <c r="F45" s="87"/>
      <c r="G45" s="87"/>
      <c r="H45" s="91"/>
    </row>
    <row r="46" spans="1:9" x14ac:dyDescent="0.2">
      <c r="A46" s="87"/>
      <c r="B46" s="87"/>
      <c r="C46" s="96"/>
      <c r="D46" s="87"/>
      <c r="E46" s="87"/>
      <c r="F46" s="87"/>
      <c r="G46" s="87"/>
      <c r="H46" s="91"/>
    </row>
    <row r="47" spans="1:9" x14ac:dyDescent="0.2">
      <c r="A47" s="87"/>
      <c r="B47" s="87"/>
      <c r="C47" s="96"/>
      <c r="D47" s="87"/>
      <c r="E47" s="87"/>
      <c r="F47" s="87"/>
      <c r="G47" s="87"/>
      <c r="H47" s="91"/>
    </row>
    <row r="48" spans="1:9" x14ac:dyDescent="0.2">
      <c r="A48" s="87"/>
      <c r="B48" s="87"/>
      <c r="C48" s="96"/>
      <c r="D48" s="87"/>
      <c r="E48" s="87"/>
      <c r="F48" s="87"/>
      <c r="G48" s="87"/>
      <c r="H48" s="91"/>
    </row>
    <row r="49" spans="1:8" x14ac:dyDescent="0.2">
      <c r="A49" s="87"/>
      <c r="B49" s="87"/>
      <c r="C49" s="96"/>
      <c r="D49" s="87"/>
      <c r="E49" s="87"/>
      <c r="F49" s="87"/>
      <c r="G49" s="87"/>
      <c r="H49" s="91"/>
    </row>
    <row r="50" spans="1:8" x14ac:dyDescent="0.2">
      <c r="A50" s="87"/>
      <c r="B50" s="87"/>
      <c r="C50" s="96"/>
      <c r="D50" s="87"/>
      <c r="E50" s="87"/>
      <c r="F50" s="87"/>
      <c r="G50" s="87"/>
      <c r="H50" s="91"/>
    </row>
  </sheetData>
  <hyperlinks>
    <hyperlink ref="J4" r:id="rId1" xr:uid="{ED87DC75-A76F-4493-A9EF-34F1ACD2267D}"/>
    <hyperlink ref="J5" r:id="rId2" xr:uid="{5AD5B599-D8E7-44DD-BE94-B32C938C52FF}"/>
  </hyperlink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2:L12"/>
  <sheetViews>
    <sheetView workbookViewId="0">
      <selection activeCell="B8" sqref="B8"/>
    </sheetView>
  </sheetViews>
  <sheetFormatPr defaultRowHeight="15" x14ac:dyDescent="0.25"/>
  <cols>
    <col min="1" max="1" width="17.42578125" customWidth="1"/>
    <col min="2" max="3" width="11.28515625" customWidth="1"/>
    <col min="4" max="4" width="7.140625" bestFit="1" customWidth="1"/>
    <col min="5" max="5" width="12.85546875" bestFit="1" customWidth="1"/>
    <col min="6" max="6" width="10.5703125" bestFit="1" customWidth="1"/>
    <col min="7" max="7" width="10.140625" bestFit="1" customWidth="1"/>
    <col min="8" max="8" width="11.140625" bestFit="1" customWidth="1"/>
    <col min="9" max="1029" width="11.28515625" customWidth="1"/>
  </cols>
  <sheetData>
    <row r="2" spans="1:12" x14ac:dyDescent="0.25">
      <c r="A2" s="160" t="s">
        <v>43</v>
      </c>
      <c r="B2" s="161">
        <v>0.15</v>
      </c>
      <c r="C2" s="154" t="str">
        <f>B6&amp;"/kWh"</f>
        <v>$/kWh</v>
      </c>
      <c r="D2" s="1"/>
      <c r="E2" s="1"/>
      <c r="F2" s="1"/>
      <c r="G2" s="1"/>
      <c r="H2" s="1"/>
    </row>
    <row r="3" spans="1:12" x14ac:dyDescent="0.25">
      <c r="A3" s="162" t="s">
        <v>44</v>
      </c>
      <c r="B3" s="163">
        <v>65</v>
      </c>
      <c r="C3" s="164" t="str">
        <f>B6&amp;"/h"</f>
        <v>$/h</v>
      </c>
      <c r="D3" s="1"/>
      <c r="E3" s="1"/>
      <c r="F3" s="1"/>
      <c r="G3" s="1"/>
      <c r="H3" s="1"/>
    </row>
    <row r="4" spans="1:12" x14ac:dyDescent="0.25">
      <c r="A4" s="162" t="s">
        <v>45</v>
      </c>
      <c r="B4" s="163">
        <v>25</v>
      </c>
      <c r="C4" s="164" t="str">
        <f>B6&amp;"/h"</f>
        <v>$/h</v>
      </c>
      <c r="D4" s="1"/>
      <c r="E4" s="1"/>
      <c r="F4" s="1"/>
      <c r="G4" s="1"/>
      <c r="H4" s="1"/>
    </row>
    <row r="5" spans="1:12" x14ac:dyDescent="0.25">
      <c r="A5" s="162" t="s">
        <v>46</v>
      </c>
      <c r="B5" s="165">
        <v>0.1</v>
      </c>
      <c r="C5" s="166"/>
    </row>
    <row r="6" spans="1:12" x14ac:dyDescent="0.25">
      <c r="A6" s="162" t="s">
        <v>47</v>
      </c>
      <c r="B6" s="167" t="s">
        <v>14</v>
      </c>
      <c r="C6" s="164"/>
      <c r="D6" s="153" t="s">
        <v>119</v>
      </c>
      <c r="E6" s="153" t="s">
        <v>123</v>
      </c>
      <c r="F6" s="153" t="s">
        <v>120</v>
      </c>
      <c r="G6" s="153" t="s">
        <v>121</v>
      </c>
      <c r="H6" s="154" t="s">
        <v>122</v>
      </c>
    </row>
    <row r="7" spans="1:12" x14ac:dyDescent="0.25">
      <c r="A7" s="168" t="s">
        <v>117</v>
      </c>
      <c r="B7" s="169">
        <f>E7/D7</f>
        <v>0.12814238042269188</v>
      </c>
      <c r="C7" s="170" t="str">
        <f>B6&amp;"/h"</f>
        <v>$/h</v>
      </c>
      <c r="D7" s="159">
        <f>31*24</f>
        <v>744</v>
      </c>
      <c r="E7" s="155">
        <f>F7/G7*H7</f>
        <v>95.33793103448275</v>
      </c>
      <c r="F7" s="156">
        <v>1152</v>
      </c>
      <c r="G7" s="157">
        <v>1450</v>
      </c>
      <c r="H7" s="158">
        <f>12*10</f>
        <v>120</v>
      </c>
    </row>
    <row r="8" spans="1:12" x14ac:dyDescent="0.25">
      <c r="A8" s="330" t="s">
        <v>286</v>
      </c>
      <c r="B8" s="335">
        <v>2.9000000000000001E-2</v>
      </c>
      <c r="C8" s="331"/>
      <c r="D8" s="331"/>
      <c r="E8" s="332"/>
      <c r="F8" s="333"/>
      <c r="G8" s="334"/>
      <c r="H8" s="334"/>
    </row>
    <row r="9" spans="1:12" x14ac:dyDescent="0.25">
      <c r="A9" s="330" t="s">
        <v>287</v>
      </c>
      <c r="B9" s="336">
        <v>0.3</v>
      </c>
      <c r="C9" s="331"/>
      <c r="D9" s="331"/>
      <c r="E9" s="332"/>
      <c r="F9" s="333"/>
      <c r="G9" s="334"/>
      <c r="H9" s="334"/>
    </row>
    <row r="10" spans="1:12" x14ac:dyDescent="0.25">
      <c r="J10" s="233" t="s">
        <v>256</v>
      </c>
      <c r="K10" s="233"/>
      <c r="L10" s="233"/>
    </row>
    <row r="11" spans="1:12" ht="57" customHeight="1" x14ac:dyDescent="0.25">
      <c r="J11" s="230" t="s">
        <v>168</v>
      </c>
      <c r="K11" s="231"/>
      <c r="L11" s="232"/>
    </row>
    <row r="12" spans="1:12" x14ac:dyDescent="0.25">
      <c r="J12" s="180" t="s">
        <v>253</v>
      </c>
      <c r="K12" s="180" t="s">
        <v>254</v>
      </c>
      <c r="L12" s="180" t="s">
        <v>255</v>
      </c>
    </row>
  </sheetData>
  <mergeCells count="2">
    <mergeCell ref="J11:L11"/>
    <mergeCell ref="J10:L10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sheetPr codeName="Sheet9"/>
  <dimension ref="A1:DG38"/>
  <sheetViews>
    <sheetView zoomScale="130" zoomScaleNormal="130" workbookViewId="0">
      <pane xSplit="5" ySplit="2" topLeftCell="F3" activePane="bottomRight" state="frozen"/>
      <selection pane="topRight" activeCell="E1" sqref="E1"/>
      <selection pane="bottomLeft" activeCell="A4" sqref="A4"/>
      <selection pane="bottomRight" activeCell="B29" sqref="B29:B38"/>
    </sheetView>
  </sheetViews>
  <sheetFormatPr defaultRowHeight="15" x14ac:dyDescent="0.25"/>
  <cols>
    <col min="1" max="1" width="29.42578125" customWidth="1"/>
    <col min="2" max="2" width="7.7109375" bestFit="1" customWidth="1"/>
    <col min="3" max="3" width="5.28515625" customWidth="1"/>
    <col min="4" max="4" width="6.42578125" bestFit="1" customWidth="1"/>
    <col min="5" max="5" width="11.140625" customWidth="1"/>
    <col min="6" max="6" width="4.5703125" customWidth="1"/>
    <col min="7" max="7" width="11.140625" bestFit="1" customWidth="1"/>
    <col min="8" max="8" width="5.140625" bestFit="1" customWidth="1"/>
    <col min="9" max="9" width="11.140625" bestFit="1" customWidth="1"/>
    <col min="10" max="11" width="1.85546875" bestFit="1" customWidth="1"/>
    <col min="12" max="12" width="2.28515625" bestFit="1" customWidth="1"/>
    <col min="13" max="14" width="1.85546875" bestFit="1" customWidth="1"/>
    <col min="15" max="15" width="2.28515625" bestFit="1" customWidth="1"/>
    <col min="16" max="17" width="1.85546875" bestFit="1" customWidth="1"/>
    <col min="18" max="18" width="2.28515625" bestFit="1" customWidth="1"/>
    <col min="19" max="19" width="2.7109375" bestFit="1" customWidth="1"/>
    <col min="20" max="20" width="1.85546875" bestFit="1" customWidth="1"/>
    <col min="21" max="21" width="3.140625" bestFit="1" customWidth="1"/>
    <col min="22" max="23" width="1.85546875" bestFit="1" customWidth="1"/>
    <col min="24" max="24" width="2.28515625" bestFit="1" customWidth="1"/>
    <col min="25" max="26" width="1.85546875" bestFit="1" customWidth="1"/>
    <col min="27" max="27" width="2.28515625" bestFit="1" customWidth="1"/>
    <col min="28" max="29" width="1.85546875" bestFit="1" customWidth="1"/>
    <col min="30" max="30" width="2.28515625" bestFit="1" customWidth="1"/>
    <col min="31" max="32" width="1.85546875" bestFit="1" customWidth="1"/>
    <col min="33" max="33" width="2.28515625" bestFit="1" customWidth="1"/>
    <col min="34" max="35" width="1.85546875" bestFit="1" customWidth="1"/>
    <col min="36" max="36" width="2.28515625" bestFit="1" customWidth="1"/>
    <col min="37" max="38" width="1.85546875" bestFit="1" customWidth="1"/>
    <col min="39" max="39" width="2.28515625" bestFit="1" customWidth="1"/>
    <col min="40" max="41" width="1.85546875" bestFit="1" customWidth="1"/>
    <col min="42" max="42" width="2.28515625" bestFit="1" customWidth="1"/>
    <col min="43" max="44" width="1.85546875" bestFit="1" customWidth="1"/>
    <col min="45" max="45" width="2.28515625" bestFit="1" customWidth="1"/>
    <col min="46" max="46" width="2.7109375" bestFit="1" customWidth="1"/>
    <col min="47" max="47" width="1.85546875" bestFit="1" customWidth="1"/>
    <col min="48" max="48" width="3.140625" bestFit="1" customWidth="1"/>
    <col min="49" max="50" width="1.85546875" bestFit="1" customWidth="1"/>
    <col min="51" max="51" width="2.28515625" bestFit="1" customWidth="1"/>
    <col min="52" max="56" width="1.85546875" bestFit="1" customWidth="1"/>
    <col min="57" max="57" width="2.28515625" bestFit="1" customWidth="1"/>
    <col min="58" max="59" width="1.85546875" bestFit="1" customWidth="1"/>
    <col min="60" max="60" width="2.28515625" bestFit="1" customWidth="1"/>
    <col min="61" max="61" width="2.7109375" bestFit="1" customWidth="1"/>
    <col min="62" max="62" width="1.85546875" bestFit="1" customWidth="1"/>
    <col min="63" max="63" width="3.140625" bestFit="1" customWidth="1"/>
    <col min="64" max="65" width="1.85546875" bestFit="1" customWidth="1"/>
    <col min="66" max="66" width="2.28515625" bestFit="1" customWidth="1"/>
    <col min="67" max="68" width="1.85546875" bestFit="1" customWidth="1"/>
    <col min="69" max="69" width="2.28515625" bestFit="1" customWidth="1"/>
    <col min="70" max="71" width="1.85546875" bestFit="1" customWidth="1"/>
    <col min="72" max="72" width="2.28515625" bestFit="1" customWidth="1"/>
    <col min="73" max="74" width="1.85546875" bestFit="1" customWidth="1"/>
    <col min="75" max="75" width="2.28515625" bestFit="1" customWidth="1"/>
    <col min="76" max="77" width="1.85546875" bestFit="1" customWidth="1"/>
    <col min="78" max="78" width="2.28515625" bestFit="1" customWidth="1"/>
    <col min="79" max="83" width="1.85546875" bestFit="1" customWidth="1"/>
    <col min="84" max="84" width="2.28515625" bestFit="1" customWidth="1"/>
    <col min="85" max="90" width="1.85546875" bestFit="1" customWidth="1"/>
    <col min="91" max="92" width="1.85546875" style="101" bestFit="1" customWidth="1"/>
    <col min="93" max="93" width="3" style="101" customWidth="1"/>
    <col min="94" max="95" width="1.85546875" style="101" bestFit="1" customWidth="1"/>
    <col min="96" max="96" width="3" style="101" customWidth="1"/>
    <col min="97" max="98" width="1.85546875" style="101" bestFit="1" customWidth="1"/>
    <col min="99" max="99" width="3" style="101" customWidth="1"/>
    <col min="100" max="101" width="1.85546875" style="101" bestFit="1" customWidth="1"/>
    <col min="102" max="102" width="3" style="101" customWidth="1"/>
    <col min="103" max="104" width="1.85546875" style="101" bestFit="1" customWidth="1"/>
    <col min="105" max="105" width="3" style="101" customWidth="1"/>
    <col min="106" max="107" width="1.85546875" bestFit="1" customWidth="1"/>
    <col min="108" max="108" width="2.28515625" bestFit="1" customWidth="1"/>
    <col min="109" max="111" width="1.85546875" bestFit="1" customWidth="1"/>
  </cols>
  <sheetData>
    <row r="1" spans="1:111" ht="26.25" x14ac:dyDescent="0.4">
      <c r="A1" s="221"/>
      <c r="B1" s="132"/>
      <c r="D1" s="132"/>
      <c r="E1" s="222" t="e">
        <f>SUMIF(E3:E38,"&lt;&gt;#N/A")</f>
        <v>#VALUE!</v>
      </c>
      <c r="G1" s="222">
        <f>SUMIF(G3:G38,"&lt;&gt;#N/A")</f>
        <v>6080.96</v>
      </c>
      <c r="I1" s="222" t="e">
        <f>SUMIF(I3:I38,"&lt;&gt;#N/A")</f>
        <v>#VALUE!</v>
      </c>
    </row>
    <row r="2" spans="1:111" s="104" customFormat="1" ht="56.25" customHeight="1" x14ac:dyDescent="0.25">
      <c r="A2" s="103" t="s">
        <v>106</v>
      </c>
      <c r="B2" s="103" t="s">
        <v>166</v>
      </c>
      <c r="C2" s="103" t="s">
        <v>105</v>
      </c>
      <c r="D2" s="103" t="s">
        <v>259</v>
      </c>
      <c r="E2" s="103" t="s">
        <v>260</v>
      </c>
      <c r="F2" s="219" t="s">
        <v>261</v>
      </c>
      <c r="G2" s="219" t="s">
        <v>262</v>
      </c>
      <c r="H2" s="219" t="s">
        <v>263</v>
      </c>
      <c r="I2" s="219" t="s">
        <v>264</v>
      </c>
      <c r="J2" s="297" t="s">
        <v>168</v>
      </c>
      <c r="K2" s="298"/>
      <c r="L2" s="299"/>
      <c r="M2" s="300" t="s">
        <v>162</v>
      </c>
      <c r="N2" s="301"/>
      <c r="O2" s="302"/>
      <c r="P2" s="303" t="s">
        <v>124</v>
      </c>
      <c r="Q2" s="304"/>
      <c r="R2" s="305"/>
      <c r="S2" s="306" t="s">
        <v>130</v>
      </c>
      <c r="T2" s="307"/>
      <c r="U2" s="308"/>
      <c r="V2" s="309" t="s">
        <v>164</v>
      </c>
      <c r="W2" s="310"/>
      <c r="X2" s="311"/>
      <c r="Y2" s="312" t="s">
        <v>128</v>
      </c>
      <c r="Z2" s="313"/>
      <c r="AA2" s="314"/>
      <c r="AB2" s="315" t="s">
        <v>230</v>
      </c>
      <c r="AC2" s="316"/>
      <c r="AD2" s="317"/>
      <c r="AE2" s="318" t="s">
        <v>127</v>
      </c>
      <c r="AF2" s="319"/>
      <c r="AG2" s="320"/>
      <c r="AH2" s="321" t="s">
        <v>163</v>
      </c>
      <c r="AI2" s="322"/>
      <c r="AJ2" s="323"/>
      <c r="AK2" s="324" t="s">
        <v>129</v>
      </c>
      <c r="AL2" s="325"/>
      <c r="AM2" s="326"/>
      <c r="AN2" s="327" t="s">
        <v>136</v>
      </c>
      <c r="AO2" s="328"/>
      <c r="AP2" s="329"/>
      <c r="AQ2" s="294" t="s">
        <v>135</v>
      </c>
      <c r="AR2" s="295"/>
      <c r="AS2" s="296"/>
      <c r="AT2" s="264" t="s">
        <v>171</v>
      </c>
      <c r="AU2" s="265"/>
      <c r="AV2" s="266"/>
      <c r="AW2" s="267" t="s">
        <v>132</v>
      </c>
      <c r="AX2" s="268"/>
      <c r="AY2" s="269"/>
      <c r="AZ2" s="240" t="s">
        <v>169</v>
      </c>
      <c r="BA2" s="241"/>
      <c r="BB2" s="242"/>
      <c r="BC2" s="270" t="s">
        <v>144</v>
      </c>
      <c r="BD2" s="271"/>
      <c r="BE2" s="272"/>
      <c r="BF2" s="273" t="s">
        <v>131</v>
      </c>
      <c r="BG2" s="274"/>
      <c r="BH2" s="275"/>
      <c r="BI2" s="276" t="s">
        <v>134</v>
      </c>
      <c r="BJ2" s="277"/>
      <c r="BK2" s="278"/>
      <c r="BL2" s="279" t="s">
        <v>133</v>
      </c>
      <c r="BM2" s="280"/>
      <c r="BN2" s="281"/>
      <c r="BO2" s="282" t="s">
        <v>207</v>
      </c>
      <c r="BP2" s="283"/>
      <c r="BQ2" s="284"/>
      <c r="BR2" s="285" t="s">
        <v>208</v>
      </c>
      <c r="BS2" s="286"/>
      <c r="BT2" s="287"/>
      <c r="BU2" s="288" t="s">
        <v>209</v>
      </c>
      <c r="BV2" s="289"/>
      <c r="BW2" s="290"/>
      <c r="BX2" s="291" t="s">
        <v>210</v>
      </c>
      <c r="BY2" s="292"/>
      <c r="BZ2" s="293"/>
      <c r="CA2" s="261" t="s">
        <v>170</v>
      </c>
      <c r="CB2" s="262"/>
      <c r="CC2" s="263"/>
      <c r="CD2" s="243" t="s">
        <v>220</v>
      </c>
      <c r="CE2" s="244"/>
      <c r="CF2" s="245"/>
      <c r="CG2" s="246" t="s">
        <v>222</v>
      </c>
      <c r="CH2" s="247"/>
      <c r="CI2" s="248"/>
      <c r="CJ2" s="249" t="s">
        <v>229</v>
      </c>
      <c r="CK2" s="250"/>
      <c r="CL2" s="251"/>
      <c r="CM2" s="252" t="s">
        <v>224</v>
      </c>
      <c r="CN2" s="253"/>
      <c r="CO2" s="254"/>
      <c r="CP2" s="255" t="s">
        <v>227</v>
      </c>
      <c r="CQ2" s="256"/>
      <c r="CR2" s="257"/>
      <c r="CS2" s="258" t="s">
        <v>226</v>
      </c>
      <c r="CT2" s="259"/>
      <c r="CU2" s="260"/>
      <c r="CV2" s="234" t="s">
        <v>223</v>
      </c>
      <c r="CW2" s="235"/>
      <c r="CX2" s="236"/>
      <c r="CY2" s="237" t="s">
        <v>225</v>
      </c>
      <c r="CZ2" s="238"/>
      <c r="DA2" s="239"/>
      <c r="DB2" s="240" t="s">
        <v>165</v>
      </c>
      <c r="DC2" s="241"/>
      <c r="DD2" s="242"/>
      <c r="DE2" s="240" t="s">
        <v>167</v>
      </c>
      <c r="DF2" s="241"/>
      <c r="DG2" s="242"/>
    </row>
    <row r="3" spans="1:111" s="177" customFormat="1" ht="11.25" x14ac:dyDescent="0.25">
      <c r="A3" s="171" t="s">
        <v>289</v>
      </c>
      <c r="B3" s="178"/>
      <c r="C3" s="102">
        <f>VLOOKUP(A3,Parts!$A$2:$AE$189,11,FALSE())</f>
        <v>29.99</v>
      </c>
      <c r="D3" s="102">
        <f t="shared" ref="D3:D37" si="0">SUM(J3+M3+P3+S3+V3+Y3+AB3+AE3+AH3+AK3+AN3+AQ3+AT3+AW3+AZ3+BC3+BF3+BI3+BL3+BO3+BR3+BU3+BX3+CA3+CD3+CG3+CJ3+CM3+CP3+CS3+CV3+CY3+DB3+DE3)</f>
        <v>13</v>
      </c>
      <c r="E3" s="179">
        <f>SUM(D3*C$3)</f>
        <v>389.87</v>
      </c>
      <c r="F3" s="220">
        <f>SUM(K3+N3+Q3+T3+W3+Z3+AC3+AF3+AI3+AL3+AO3+AR3+AU3+AX3+BA3+BD3+BG3+BJ3+BM3+BP3+BS3+BV3+BY3+CB3+CE3+CH3+CK3+BY3+CN3+CQ3+CT3+CW3+CZ3+DC3+DF3)</f>
        <v>20</v>
      </c>
      <c r="G3" s="179">
        <f>SUM(F3*$C3)</f>
        <v>599.79999999999995</v>
      </c>
      <c r="H3" s="178">
        <f>SUM(L3+O3+R3+U3+X3+AA3+AD3+AG3+AJ3+AM3+AP3+AS3+AV3+AY3+BE3+BH3+BK3+BN3+BQ3+BT3+BW3+BZ3+CC3+CF3+CI3+CL3+CO3+CR3+CU3+CX3+DA3+DD3+DG3)</f>
        <v>7</v>
      </c>
      <c r="I3" s="179">
        <f>SUM(H3*$C3)</f>
        <v>209.92999999999998</v>
      </c>
      <c r="J3" s="105"/>
      <c r="K3" s="105"/>
      <c r="L3" s="181">
        <f>SUM(K3-J3)</f>
        <v>0</v>
      </c>
      <c r="M3" s="106"/>
      <c r="N3" s="106"/>
      <c r="O3" s="182">
        <f t="shared" ref="O3:O38" si="1">SUM(N3-M3)</f>
        <v>0</v>
      </c>
      <c r="P3" s="107"/>
      <c r="Q3" s="107"/>
      <c r="R3" s="183">
        <f t="shared" ref="R3:R38" si="2">SUM(Q3-P3)</f>
        <v>0</v>
      </c>
      <c r="S3" s="108"/>
      <c r="T3" s="108"/>
      <c r="U3" s="184">
        <f t="shared" ref="U3:U38" si="3">SUM(T3-S3)</f>
        <v>0</v>
      </c>
      <c r="V3" s="109"/>
      <c r="W3" s="109"/>
      <c r="X3" s="185">
        <f t="shared" ref="X3:X38" si="4">SUM(W3-V3)</f>
        <v>0</v>
      </c>
      <c r="Y3" s="110">
        <v>1</v>
      </c>
      <c r="Z3" s="110"/>
      <c r="AA3" s="186">
        <f t="shared" ref="AA3:AA38" si="5">SUM(Z3-Y3)</f>
        <v>-1</v>
      </c>
      <c r="AB3" s="111">
        <v>1</v>
      </c>
      <c r="AC3" s="111">
        <v>2</v>
      </c>
      <c r="AD3" s="187">
        <f t="shared" ref="AD3:AD38" si="6">SUM(AC3-AB3)</f>
        <v>1</v>
      </c>
      <c r="AE3" s="176"/>
      <c r="AF3" s="176"/>
      <c r="AG3" s="188">
        <f t="shared" ref="AG3:AG38" si="7">SUM(AF3-AE3)</f>
        <v>0</v>
      </c>
      <c r="AH3" s="112"/>
      <c r="AI3" s="112"/>
      <c r="AJ3" s="189">
        <f t="shared" ref="AJ3:AJ38" si="8">SUM(AI3-AH3)</f>
        <v>0</v>
      </c>
      <c r="AK3" s="113">
        <v>1</v>
      </c>
      <c r="AL3" s="113">
        <v>1</v>
      </c>
      <c r="AM3" s="190">
        <f t="shared" ref="AM3:AM38" si="9">SUM(AL3-AK3)</f>
        <v>0</v>
      </c>
      <c r="AN3" s="114">
        <v>1</v>
      </c>
      <c r="AO3" s="114"/>
      <c r="AP3" s="191">
        <f t="shared" ref="AP3:AP38" si="10">SUM(AO3-AN3)</f>
        <v>-1</v>
      </c>
      <c r="AQ3" s="115"/>
      <c r="AR3" s="115">
        <v>1</v>
      </c>
      <c r="AS3" s="192">
        <f t="shared" ref="AS3:AS38" si="11">SUM(AR3-AQ3)</f>
        <v>1</v>
      </c>
      <c r="AT3" s="116">
        <v>1</v>
      </c>
      <c r="AU3" s="116">
        <v>1</v>
      </c>
      <c r="AV3" s="193">
        <f t="shared" ref="AV3:AV38" si="12">SUM(AU3-AT3)</f>
        <v>0</v>
      </c>
      <c r="AW3" s="117">
        <v>1</v>
      </c>
      <c r="AX3" s="117">
        <v>1</v>
      </c>
      <c r="AY3" s="194">
        <f t="shared" ref="AY3:AY38" si="13">SUM(AX3-AW3)</f>
        <v>0</v>
      </c>
      <c r="AZ3" s="102"/>
      <c r="BA3" s="102"/>
      <c r="BB3" s="195">
        <f t="shared" ref="BB3:BB38" si="14">SUM(BA3-AZ3)</f>
        <v>0</v>
      </c>
      <c r="BC3" s="118"/>
      <c r="BD3" s="118">
        <v>2</v>
      </c>
      <c r="BE3" s="196">
        <f t="shared" ref="BE3:BE38" si="15">SUM(BD3-BC3)</f>
        <v>2</v>
      </c>
      <c r="BF3" s="119">
        <v>1</v>
      </c>
      <c r="BG3" s="119">
        <v>2</v>
      </c>
      <c r="BH3" s="197">
        <f t="shared" ref="BH3:BH38" si="16">SUM(BG3-BF3)</f>
        <v>1</v>
      </c>
      <c r="BI3" s="120">
        <v>2</v>
      </c>
      <c r="BJ3" s="120">
        <v>2</v>
      </c>
      <c r="BK3" s="198">
        <f t="shared" ref="BK3:BK38" si="17">SUM(BJ3-BI3)</f>
        <v>0</v>
      </c>
      <c r="BL3" s="121">
        <v>1</v>
      </c>
      <c r="BM3" s="121"/>
      <c r="BN3" s="199">
        <f t="shared" ref="BN3:BN38" si="18">SUM(BM3-BL3)</f>
        <v>-1</v>
      </c>
      <c r="BO3" s="122"/>
      <c r="BP3" s="122">
        <v>1</v>
      </c>
      <c r="BQ3" s="200">
        <f t="shared" ref="BQ3:BQ38" si="19">SUM(BP3-BO3)</f>
        <v>1</v>
      </c>
      <c r="BR3" s="123">
        <v>1</v>
      </c>
      <c r="BS3" s="123">
        <v>1</v>
      </c>
      <c r="BT3" s="201">
        <f t="shared" ref="BT3:BT38" si="20">SUM(BS3-BR3)</f>
        <v>0</v>
      </c>
      <c r="BU3" s="124">
        <v>1</v>
      </c>
      <c r="BV3" s="124">
        <v>1</v>
      </c>
      <c r="BW3" s="202">
        <f t="shared" ref="BW3:BW38" si="21">SUM(BV3-BU3)</f>
        <v>0</v>
      </c>
      <c r="BX3" s="125">
        <v>1</v>
      </c>
      <c r="BY3" s="125"/>
      <c r="BZ3" s="203">
        <f t="shared" ref="BZ3:BZ38" si="22">SUM(BY3-BX3)</f>
        <v>-1</v>
      </c>
      <c r="CA3" s="126"/>
      <c r="CB3" s="126"/>
      <c r="CC3" s="204">
        <f t="shared" ref="CC3:CC38" si="23">SUM(CB3-CA3)</f>
        <v>0</v>
      </c>
      <c r="CD3" s="127"/>
      <c r="CE3" s="127"/>
      <c r="CF3" s="205">
        <f t="shared" ref="CF3:CF38" si="24">SUM(CE3-CD3)</f>
        <v>0</v>
      </c>
      <c r="CG3" s="128"/>
      <c r="CH3" s="128"/>
      <c r="CI3" s="206">
        <f t="shared" ref="CI3:CI38" si="25">SUM(CH3-CG3)</f>
        <v>0</v>
      </c>
      <c r="CJ3" s="129"/>
      <c r="CK3" s="129"/>
      <c r="CL3" s="129">
        <f t="shared" ref="CL3:CL38" si="26">SUM(CK3-CJ3)</f>
        <v>0</v>
      </c>
      <c r="CM3" s="130"/>
      <c r="CN3" s="131">
        <v>1</v>
      </c>
      <c r="CO3" s="208">
        <f t="shared" ref="CO3:CO38" si="27">SUM(CN3-CM3)</f>
        <v>1</v>
      </c>
      <c r="CP3" s="209"/>
      <c r="CQ3" s="172">
        <v>1</v>
      </c>
      <c r="CR3" s="213">
        <f t="shared" ref="CR3:CR38" si="28">SUM(CQ3-CP3)</f>
        <v>1</v>
      </c>
      <c r="CS3" s="210"/>
      <c r="CT3" s="173">
        <v>1</v>
      </c>
      <c r="CU3" s="210">
        <f t="shared" ref="CU3:CU38" si="29">SUM(CT3-CS3)</f>
        <v>1</v>
      </c>
      <c r="CV3" s="211"/>
      <c r="CW3" s="174">
        <v>1</v>
      </c>
      <c r="CX3" s="215">
        <f t="shared" ref="CX3:CX38" si="30">SUM(CW3-CV3)</f>
        <v>1</v>
      </c>
      <c r="CY3" s="212"/>
      <c r="CZ3" s="175">
        <v>1</v>
      </c>
      <c r="DA3" s="212">
        <f t="shared" ref="DA3:DA38" si="31">SUM(CZ3-CY3)</f>
        <v>1</v>
      </c>
      <c r="DB3" s="102"/>
      <c r="DC3" s="102"/>
      <c r="DD3" s="195">
        <f t="shared" ref="DD3:DD38" si="32">SUM(DC3-DB3)</f>
        <v>0</v>
      </c>
      <c r="DE3" s="102"/>
      <c r="DF3" s="102"/>
      <c r="DG3" s="195">
        <f t="shared" ref="DG3:DG38" si="33">SUM(DF3-DE3)</f>
        <v>0</v>
      </c>
    </row>
    <row r="4" spans="1:111" s="177" customFormat="1" ht="11.25" x14ac:dyDescent="0.25">
      <c r="A4" s="171" t="s">
        <v>290</v>
      </c>
      <c r="B4" s="178"/>
      <c r="C4" s="102">
        <f>VLOOKUP(A4,Parts!$A$2:$AE$189,11,FALSE())</f>
        <v>29.99</v>
      </c>
      <c r="D4" s="102">
        <f t="shared" si="0"/>
        <v>19</v>
      </c>
      <c r="E4" s="179">
        <f t="shared" ref="E4:E38" si="34">SUM(D4*C4)</f>
        <v>569.80999999999995</v>
      </c>
      <c r="F4" s="220">
        <f t="shared" ref="F4:F38" si="35">SUM(K4+N4+Q4+T4+W4+Z4+AC4+AF4+AI4+AL4+AO4+AR4+AU4+AX4+BA4+BD4+BG4+BJ4+BM4+BP4+BS4+BV4+BY4+CB4+CE4+CH4+CK4+BY4+CN4+CQ4+CT4+CW4+CZ4+DC4+DF4)</f>
        <v>27</v>
      </c>
      <c r="G4" s="179">
        <f t="shared" ref="G4:G38" si="36">SUM(F4*$C4)</f>
        <v>809.7299999999999</v>
      </c>
      <c r="H4" s="178">
        <f t="shared" ref="H4:H38" si="37">SUM(L4+O4+R4+U4+X4+AA4+AD4+AG4+AJ4+AM4+AP4+AS4+AV4+AY4+BE4+BH4+BK4+BN4+BQ4+BT4+BW4+BZ4+CC4+CF4+CI4+CL4+CO4+CR4+CU4+CX4+DA4+DD4+DG4)</f>
        <v>7</v>
      </c>
      <c r="I4" s="179">
        <f t="shared" ref="I4:I38" si="38">SUM(H4*$C4)</f>
        <v>209.92999999999998</v>
      </c>
      <c r="J4" s="105"/>
      <c r="K4" s="105"/>
      <c r="L4" s="181">
        <f t="shared" ref="L4:L38" si="39">SUM(K4-J4)</f>
        <v>0</v>
      </c>
      <c r="M4" s="106"/>
      <c r="N4" s="106"/>
      <c r="O4" s="182">
        <f t="shared" si="1"/>
        <v>0</v>
      </c>
      <c r="P4" s="107"/>
      <c r="Q4" s="107"/>
      <c r="R4" s="183">
        <f t="shared" si="2"/>
        <v>0</v>
      </c>
      <c r="S4" s="108">
        <v>1</v>
      </c>
      <c r="T4" s="108"/>
      <c r="U4" s="184">
        <f t="shared" si="3"/>
        <v>-1</v>
      </c>
      <c r="V4" s="109">
        <v>1</v>
      </c>
      <c r="W4" s="109"/>
      <c r="X4" s="185">
        <f t="shared" si="4"/>
        <v>-1</v>
      </c>
      <c r="Y4" s="110">
        <v>2</v>
      </c>
      <c r="Z4" s="110">
        <v>1</v>
      </c>
      <c r="AA4" s="186">
        <f t="shared" si="5"/>
        <v>-1</v>
      </c>
      <c r="AB4" s="111">
        <v>1</v>
      </c>
      <c r="AC4" s="111">
        <v>1</v>
      </c>
      <c r="AD4" s="187">
        <f t="shared" si="6"/>
        <v>0</v>
      </c>
      <c r="AE4" s="176"/>
      <c r="AF4" s="176"/>
      <c r="AG4" s="188">
        <f t="shared" si="7"/>
        <v>0</v>
      </c>
      <c r="AH4" s="112">
        <v>1</v>
      </c>
      <c r="AI4" s="112">
        <v>1</v>
      </c>
      <c r="AJ4" s="189">
        <f t="shared" si="8"/>
        <v>0</v>
      </c>
      <c r="AK4" s="113">
        <v>1</v>
      </c>
      <c r="AL4" s="113">
        <v>1</v>
      </c>
      <c r="AM4" s="190">
        <f t="shared" si="9"/>
        <v>0</v>
      </c>
      <c r="AN4" s="114"/>
      <c r="AO4" s="114">
        <v>1</v>
      </c>
      <c r="AP4" s="191">
        <f t="shared" si="10"/>
        <v>1</v>
      </c>
      <c r="AQ4" s="115"/>
      <c r="AR4" s="115">
        <v>1</v>
      </c>
      <c r="AS4" s="192">
        <f t="shared" si="11"/>
        <v>1</v>
      </c>
      <c r="AT4" s="116">
        <v>1</v>
      </c>
      <c r="AU4" s="116">
        <v>1</v>
      </c>
      <c r="AV4" s="193">
        <f t="shared" si="12"/>
        <v>0</v>
      </c>
      <c r="AW4" s="117">
        <v>2</v>
      </c>
      <c r="AX4" s="117">
        <v>1</v>
      </c>
      <c r="AY4" s="194">
        <f t="shared" si="13"/>
        <v>-1</v>
      </c>
      <c r="AZ4" s="102"/>
      <c r="BA4" s="102"/>
      <c r="BB4" s="195">
        <f t="shared" si="14"/>
        <v>0</v>
      </c>
      <c r="BC4" s="118">
        <v>2</v>
      </c>
      <c r="BD4" s="118">
        <v>2</v>
      </c>
      <c r="BE4" s="196">
        <f t="shared" si="15"/>
        <v>0</v>
      </c>
      <c r="BF4" s="119">
        <v>1</v>
      </c>
      <c r="BG4" s="119">
        <v>1</v>
      </c>
      <c r="BH4" s="197">
        <f t="shared" si="16"/>
        <v>0</v>
      </c>
      <c r="BI4" s="120">
        <v>1</v>
      </c>
      <c r="BJ4" s="120">
        <v>2</v>
      </c>
      <c r="BK4" s="198">
        <f t="shared" si="17"/>
        <v>1</v>
      </c>
      <c r="BL4" s="121">
        <v>1</v>
      </c>
      <c r="BM4" s="121">
        <v>1</v>
      </c>
      <c r="BN4" s="199">
        <f t="shared" si="18"/>
        <v>0</v>
      </c>
      <c r="BO4" s="122">
        <v>1</v>
      </c>
      <c r="BP4" s="122">
        <v>1</v>
      </c>
      <c r="BQ4" s="200">
        <f t="shared" si="19"/>
        <v>0</v>
      </c>
      <c r="BR4" s="123">
        <v>1</v>
      </c>
      <c r="BS4" s="123">
        <v>1</v>
      </c>
      <c r="BT4" s="201">
        <f t="shared" si="20"/>
        <v>0</v>
      </c>
      <c r="BU4" s="124">
        <v>1</v>
      </c>
      <c r="BV4" s="124">
        <v>1</v>
      </c>
      <c r="BW4" s="202">
        <f t="shared" si="21"/>
        <v>0</v>
      </c>
      <c r="BX4" s="125">
        <v>1</v>
      </c>
      <c r="BY4" s="125">
        <v>1</v>
      </c>
      <c r="BZ4" s="203">
        <f t="shared" si="22"/>
        <v>0</v>
      </c>
      <c r="CA4" s="126"/>
      <c r="CB4" s="126"/>
      <c r="CC4" s="204">
        <f t="shared" si="23"/>
        <v>0</v>
      </c>
      <c r="CD4" s="127"/>
      <c r="CE4" s="127">
        <v>1</v>
      </c>
      <c r="CF4" s="205">
        <f t="shared" si="24"/>
        <v>1</v>
      </c>
      <c r="CG4" s="128"/>
      <c r="CH4" s="128">
        <v>1</v>
      </c>
      <c r="CI4" s="206">
        <f t="shared" si="25"/>
        <v>1</v>
      </c>
      <c r="CJ4" s="129"/>
      <c r="CK4" s="129">
        <v>1</v>
      </c>
      <c r="CL4" s="129">
        <f t="shared" si="26"/>
        <v>1</v>
      </c>
      <c r="CM4" s="131"/>
      <c r="CN4" s="131">
        <v>1</v>
      </c>
      <c r="CO4" s="207">
        <f t="shared" si="27"/>
        <v>1</v>
      </c>
      <c r="CP4" s="172"/>
      <c r="CQ4" s="172">
        <v>1</v>
      </c>
      <c r="CR4" s="172">
        <f t="shared" si="28"/>
        <v>1</v>
      </c>
      <c r="CS4" s="173"/>
      <c r="CT4" s="173">
        <v>1</v>
      </c>
      <c r="CU4" s="214">
        <f t="shared" si="29"/>
        <v>1</v>
      </c>
      <c r="CV4" s="174"/>
      <c r="CW4" s="174">
        <v>1</v>
      </c>
      <c r="CX4" s="174">
        <f t="shared" si="30"/>
        <v>1</v>
      </c>
      <c r="CY4" s="175"/>
      <c r="CZ4" s="175">
        <v>1</v>
      </c>
      <c r="DA4" s="216">
        <f t="shared" si="31"/>
        <v>1</v>
      </c>
      <c r="DB4" s="102"/>
      <c r="DC4" s="102"/>
      <c r="DD4" s="195">
        <f t="shared" si="32"/>
        <v>0</v>
      </c>
      <c r="DE4" s="102"/>
      <c r="DF4" s="102"/>
      <c r="DG4" s="195">
        <f t="shared" si="33"/>
        <v>0</v>
      </c>
    </row>
    <row r="5" spans="1:111" s="177" customFormat="1" ht="11.25" x14ac:dyDescent="0.25">
      <c r="A5" s="171" t="s">
        <v>291</v>
      </c>
      <c r="B5" s="178"/>
      <c r="C5" s="102">
        <f>VLOOKUP(A5,Parts!$A$2:$AE$189,11,FALSE())</f>
        <v>45</v>
      </c>
      <c r="D5" s="102">
        <f t="shared" ref="D5" si="40">SUM(J5+M5+P5+S5+V5+Y5+AB5+AE5+AH5+AK5+AN5+AQ5+AT5+AW5+AZ5+BC5+BF5+BI5+BL5+BO5+BR5+BU5+BX5+CA5+CD5+CG5+CJ5+CM5+CP5+CS5+CV5+CY5+DB5+DE5)</f>
        <v>10</v>
      </c>
      <c r="E5" s="179">
        <f t="shared" ref="E5" si="41">SUM(D5*C5)</f>
        <v>450</v>
      </c>
      <c r="F5" s="220">
        <f t="shared" ref="F5" si="42">SUM(K5+N5+Q5+T5+W5+Z5+AC5+AF5+AI5+AL5+AO5+AR5+AU5+AX5+BA5+BD5+BG5+BJ5+BM5+BP5+BS5+BV5+BY5+CB5+CE5+CH5+CK5+BY5+CN5+CQ5+CT5+CW5+CZ5+DC5+DF5)</f>
        <v>0</v>
      </c>
      <c r="G5" s="179">
        <f t="shared" ref="G5" si="43">SUM(F5*$C5)</f>
        <v>0</v>
      </c>
      <c r="H5" s="178">
        <f t="shared" ref="H5" si="44">SUM(L5+O5+R5+U5+X5+AA5+AD5+AG5+AJ5+AM5+AP5+AS5+AV5+AY5+BE5+BH5+BK5+BN5+BQ5+BT5+BW5+BZ5+CC5+CF5+CI5+CL5+CO5+CR5+CU5+CX5+DA5+DD5+DG5)</f>
        <v>0</v>
      </c>
      <c r="I5" s="179">
        <f t="shared" ref="I5" si="45">SUM(H5*$C5)</f>
        <v>0</v>
      </c>
      <c r="J5" s="105"/>
      <c r="K5" s="105"/>
      <c r="L5" s="181"/>
      <c r="M5" s="106"/>
      <c r="N5" s="106"/>
      <c r="O5" s="182"/>
      <c r="P5" s="107"/>
      <c r="Q5" s="107"/>
      <c r="R5" s="183"/>
      <c r="S5" s="108">
        <v>1</v>
      </c>
      <c r="T5" s="108"/>
      <c r="U5" s="184"/>
      <c r="V5" s="109"/>
      <c r="W5" s="109"/>
      <c r="X5" s="185"/>
      <c r="Y5" s="110"/>
      <c r="Z5" s="110"/>
      <c r="AA5" s="186"/>
      <c r="AB5" s="111"/>
      <c r="AC5" s="111"/>
      <c r="AD5" s="187"/>
      <c r="AE5" s="176"/>
      <c r="AF5" s="176"/>
      <c r="AG5" s="188"/>
      <c r="AH5" s="112">
        <v>1</v>
      </c>
      <c r="AI5" s="112"/>
      <c r="AJ5" s="189"/>
      <c r="AK5" s="113">
        <v>2</v>
      </c>
      <c r="AL5" s="113"/>
      <c r="AM5" s="190"/>
      <c r="AN5" s="114"/>
      <c r="AO5" s="114"/>
      <c r="AP5" s="191"/>
      <c r="AQ5" s="115"/>
      <c r="AR5" s="115"/>
      <c r="AS5" s="192"/>
      <c r="AT5" s="116">
        <v>1</v>
      </c>
      <c r="AU5" s="116"/>
      <c r="AV5" s="193"/>
      <c r="AW5" s="117"/>
      <c r="AX5" s="117"/>
      <c r="AY5" s="194"/>
      <c r="AZ5" s="102"/>
      <c r="BA5" s="102"/>
      <c r="BB5" s="195"/>
      <c r="BC5" s="118"/>
      <c r="BD5" s="118"/>
      <c r="BE5" s="196"/>
      <c r="BF5" s="119">
        <v>1</v>
      </c>
      <c r="BG5" s="119"/>
      <c r="BH5" s="197"/>
      <c r="BI5" s="120">
        <v>1</v>
      </c>
      <c r="BJ5" s="120"/>
      <c r="BK5" s="198"/>
      <c r="BL5" s="121"/>
      <c r="BM5" s="121"/>
      <c r="BN5" s="199"/>
      <c r="BO5" s="122"/>
      <c r="BP5" s="122"/>
      <c r="BQ5" s="200"/>
      <c r="BR5" s="123"/>
      <c r="BS5" s="123"/>
      <c r="BT5" s="201"/>
      <c r="BU5" s="124">
        <v>3</v>
      </c>
      <c r="BV5" s="124"/>
      <c r="BW5" s="202"/>
      <c r="BX5" s="125"/>
      <c r="BY5" s="125"/>
      <c r="BZ5" s="203"/>
      <c r="CA5" s="126"/>
      <c r="CB5" s="126"/>
      <c r="CC5" s="204"/>
      <c r="CD5" s="127"/>
      <c r="CE5" s="127"/>
      <c r="CF5" s="205"/>
      <c r="CG5" s="128"/>
      <c r="CH5" s="128"/>
      <c r="CI5" s="206"/>
      <c r="CJ5" s="129"/>
      <c r="CK5" s="129"/>
      <c r="CL5" s="129"/>
      <c r="CM5" s="131"/>
      <c r="CN5" s="131"/>
      <c r="CO5" s="207"/>
      <c r="CP5" s="172"/>
      <c r="CQ5" s="172"/>
      <c r="CR5" s="172"/>
      <c r="CS5" s="173"/>
      <c r="CT5" s="173"/>
      <c r="CU5" s="214"/>
      <c r="CV5" s="174"/>
      <c r="CW5" s="174"/>
      <c r="CX5" s="174"/>
      <c r="CY5" s="175"/>
      <c r="CZ5" s="175"/>
      <c r="DA5" s="216"/>
      <c r="DB5" s="102"/>
      <c r="DC5" s="102"/>
      <c r="DD5" s="195"/>
      <c r="DE5" s="102"/>
      <c r="DF5" s="102"/>
      <c r="DG5" s="195"/>
    </row>
    <row r="6" spans="1:111" s="177" customFormat="1" ht="11.25" x14ac:dyDescent="0.25">
      <c r="A6" s="171" t="s">
        <v>292</v>
      </c>
      <c r="B6" s="178"/>
      <c r="C6" s="102">
        <f>VLOOKUP(A6,Parts!$A$2:$AE$189,11,FALSE())</f>
        <v>45</v>
      </c>
      <c r="D6" s="102">
        <f t="shared" si="0"/>
        <v>18</v>
      </c>
      <c r="E6" s="179">
        <f t="shared" si="34"/>
        <v>810</v>
      </c>
      <c r="F6" s="220">
        <f t="shared" si="35"/>
        <v>31</v>
      </c>
      <c r="G6" s="179">
        <f t="shared" si="36"/>
        <v>1395</v>
      </c>
      <c r="H6" s="178">
        <f t="shared" si="37"/>
        <v>12</v>
      </c>
      <c r="I6" s="179">
        <f t="shared" si="38"/>
        <v>540</v>
      </c>
      <c r="J6" s="105"/>
      <c r="K6" s="105"/>
      <c r="L6" s="181">
        <f t="shared" si="39"/>
        <v>0</v>
      </c>
      <c r="M6" s="106"/>
      <c r="N6" s="106"/>
      <c r="O6" s="182">
        <f t="shared" si="1"/>
        <v>0</v>
      </c>
      <c r="P6" s="107"/>
      <c r="Q6" s="107"/>
      <c r="R6" s="183">
        <f t="shared" si="2"/>
        <v>0</v>
      </c>
      <c r="S6" s="108">
        <v>2</v>
      </c>
      <c r="T6" s="108">
        <v>2</v>
      </c>
      <c r="U6" s="184">
        <f t="shared" si="3"/>
        <v>0</v>
      </c>
      <c r="V6" s="109"/>
      <c r="W6" s="109"/>
      <c r="X6" s="185">
        <f t="shared" si="4"/>
        <v>0</v>
      </c>
      <c r="Y6" s="110">
        <v>2</v>
      </c>
      <c r="Z6" s="110">
        <v>2</v>
      </c>
      <c r="AA6" s="186">
        <f t="shared" si="5"/>
        <v>0</v>
      </c>
      <c r="AB6" s="111">
        <v>1</v>
      </c>
      <c r="AC6" s="111">
        <v>1</v>
      </c>
      <c r="AD6" s="187">
        <f t="shared" si="6"/>
        <v>0</v>
      </c>
      <c r="AE6" s="176"/>
      <c r="AF6" s="176">
        <v>1</v>
      </c>
      <c r="AG6" s="188">
        <f t="shared" si="7"/>
        <v>1</v>
      </c>
      <c r="AH6" s="112">
        <v>1</v>
      </c>
      <c r="AI6" s="112">
        <v>1</v>
      </c>
      <c r="AJ6" s="189">
        <f t="shared" si="8"/>
        <v>0</v>
      </c>
      <c r="AK6" s="113"/>
      <c r="AL6" s="113">
        <v>1</v>
      </c>
      <c r="AM6" s="190">
        <f t="shared" si="9"/>
        <v>1</v>
      </c>
      <c r="AN6" s="114"/>
      <c r="AO6" s="114">
        <v>1</v>
      </c>
      <c r="AP6" s="191">
        <f t="shared" si="10"/>
        <v>1</v>
      </c>
      <c r="AQ6" s="115"/>
      <c r="AR6" s="115">
        <v>1</v>
      </c>
      <c r="AS6" s="192">
        <f t="shared" si="11"/>
        <v>1</v>
      </c>
      <c r="AT6" s="116">
        <v>1</v>
      </c>
      <c r="AU6" s="116">
        <v>1</v>
      </c>
      <c r="AV6" s="193">
        <f t="shared" si="12"/>
        <v>0</v>
      </c>
      <c r="AW6" s="117"/>
      <c r="AX6" s="117">
        <v>1</v>
      </c>
      <c r="AY6" s="194">
        <f t="shared" si="13"/>
        <v>1</v>
      </c>
      <c r="AZ6" s="102"/>
      <c r="BA6" s="102"/>
      <c r="BB6" s="195">
        <f t="shared" si="14"/>
        <v>0</v>
      </c>
      <c r="BC6" s="118">
        <v>1</v>
      </c>
      <c r="BD6" s="118">
        <v>1</v>
      </c>
      <c r="BE6" s="196">
        <f t="shared" si="15"/>
        <v>0</v>
      </c>
      <c r="BF6" s="119">
        <v>1</v>
      </c>
      <c r="BG6" s="119">
        <v>2</v>
      </c>
      <c r="BH6" s="197">
        <f t="shared" si="16"/>
        <v>1</v>
      </c>
      <c r="BI6" s="120">
        <v>2</v>
      </c>
      <c r="BJ6" s="120">
        <v>2</v>
      </c>
      <c r="BK6" s="198">
        <f t="shared" si="17"/>
        <v>0</v>
      </c>
      <c r="BL6" s="121">
        <v>1</v>
      </c>
      <c r="BM6" s="121">
        <v>1</v>
      </c>
      <c r="BN6" s="199">
        <f t="shared" si="18"/>
        <v>0</v>
      </c>
      <c r="BO6" s="122">
        <v>2</v>
      </c>
      <c r="BP6" s="122">
        <v>1</v>
      </c>
      <c r="BQ6" s="200">
        <f t="shared" si="19"/>
        <v>-1</v>
      </c>
      <c r="BR6" s="123">
        <v>2</v>
      </c>
      <c r="BS6" s="123">
        <v>1</v>
      </c>
      <c r="BT6" s="201">
        <f t="shared" si="20"/>
        <v>-1</v>
      </c>
      <c r="BU6" s="124"/>
      <c r="BV6" s="124">
        <v>1</v>
      </c>
      <c r="BW6" s="202">
        <f t="shared" si="21"/>
        <v>1</v>
      </c>
      <c r="BX6" s="125">
        <v>2</v>
      </c>
      <c r="BY6" s="125">
        <v>1</v>
      </c>
      <c r="BZ6" s="203">
        <f t="shared" si="22"/>
        <v>-1</v>
      </c>
      <c r="CA6" s="126"/>
      <c r="CB6" s="126"/>
      <c r="CC6" s="204">
        <f t="shared" si="23"/>
        <v>0</v>
      </c>
      <c r="CD6" s="127"/>
      <c r="CE6" s="127">
        <v>1</v>
      </c>
      <c r="CF6" s="205">
        <f t="shared" si="24"/>
        <v>1</v>
      </c>
      <c r="CG6" s="128"/>
      <c r="CH6" s="128">
        <v>1</v>
      </c>
      <c r="CI6" s="206">
        <f t="shared" si="25"/>
        <v>1</v>
      </c>
      <c r="CJ6" s="129"/>
      <c r="CK6" s="129">
        <v>1</v>
      </c>
      <c r="CL6" s="129">
        <f t="shared" si="26"/>
        <v>1</v>
      </c>
      <c r="CM6" s="131"/>
      <c r="CN6" s="131">
        <v>1</v>
      </c>
      <c r="CO6" s="207">
        <f t="shared" si="27"/>
        <v>1</v>
      </c>
      <c r="CP6" s="172"/>
      <c r="CQ6" s="172">
        <v>1</v>
      </c>
      <c r="CR6" s="172">
        <f t="shared" si="28"/>
        <v>1</v>
      </c>
      <c r="CS6" s="173"/>
      <c r="CT6" s="173">
        <v>1</v>
      </c>
      <c r="CU6" s="214">
        <f t="shared" si="29"/>
        <v>1</v>
      </c>
      <c r="CV6" s="174"/>
      <c r="CW6" s="174">
        <v>1</v>
      </c>
      <c r="CX6" s="174">
        <f t="shared" si="30"/>
        <v>1</v>
      </c>
      <c r="CY6" s="175"/>
      <c r="CZ6" s="175">
        <v>1</v>
      </c>
      <c r="DA6" s="216">
        <f t="shared" si="31"/>
        <v>1</v>
      </c>
      <c r="DB6" s="102"/>
      <c r="DC6" s="102"/>
      <c r="DD6" s="195">
        <f t="shared" si="32"/>
        <v>0</v>
      </c>
      <c r="DE6" s="102"/>
      <c r="DF6" s="102"/>
      <c r="DG6" s="195">
        <f t="shared" si="33"/>
        <v>0</v>
      </c>
    </row>
    <row r="7" spans="1:111" s="177" customFormat="1" ht="11.25" x14ac:dyDescent="0.25">
      <c r="A7" s="171" t="s">
        <v>293</v>
      </c>
      <c r="B7" s="178"/>
      <c r="C7" s="102">
        <f>VLOOKUP(A7,Parts!$A$2:$AE$189,11,FALSE())</f>
        <v>45</v>
      </c>
      <c r="D7" s="102">
        <f t="shared" si="0"/>
        <v>50</v>
      </c>
      <c r="E7" s="179">
        <f t="shared" si="34"/>
        <v>2250</v>
      </c>
      <c r="F7" s="220">
        <f t="shared" si="35"/>
        <v>31</v>
      </c>
      <c r="G7" s="179">
        <f t="shared" si="36"/>
        <v>1395</v>
      </c>
      <c r="H7" s="178">
        <f t="shared" si="37"/>
        <v>-20</v>
      </c>
      <c r="I7" s="179">
        <f t="shared" si="38"/>
        <v>-900</v>
      </c>
      <c r="J7" s="105"/>
      <c r="K7" s="105"/>
      <c r="L7" s="181">
        <f t="shared" si="39"/>
        <v>0</v>
      </c>
      <c r="M7" s="106"/>
      <c r="N7" s="106"/>
      <c r="O7" s="182">
        <f t="shared" si="1"/>
        <v>0</v>
      </c>
      <c r="P7" s="107"/>
      <c r="Q7" s="107"/>
      <c r="R7" s="183">
        <f t="shared" si="2"/>
        <v>0</v>
      </c>
      <c r="S7" s="108">
        <v>12</v>
      </c>
      <c r="T7" s="108">
        <v>2</v>
      </c>
      <c r="U7" s="184">
        <f t="shared" si="3"/>
        <v>-10</v>
      </c>
      <c r="V7" s="109"/>
      <c r="W7" s="109"/>
      <c r="X7" s="185">
        <f t="shared" si="4"/>
        <v>0</v>
      </c>
      <c r="Y7" s="110">
        <v>1</v>
      </c>
      <c r="Z7" s="110">
        <v>2</v>
      </c>
      <c r="AA7" s="186">
        <f t="shared" si="5"/>
        <v>1</v>
      </c>
      <c r="AB7" s="111">
        <v>1</v>
      </c>
      <c r="AC7" s="111">
        <v>1</v>
      </c>
      <c r="AD7" s="187">
        <f t="shared" si="6"/>
        <v>0</v>
      </c>
      <c r="AE7" s="176"/>
      <c r="AF7" s="176">
        <v>1</v>
      </c>
      <c r="AG7" s="188">
        <f t="shared" si="7"/>
        <v>1</v>
      </c>
      <c r="AH7" s="112"/>
      <c r="AI7" s="112">
        <v>1</v>
      </c>
      <c r="AJ7" s="189">
        <f t="shared" si="8"/>
        <v>1</v>
      </c>
      <c r="AK7" s="113"/>
      <c r="AL7" s="113">
        <v>1</v>
      </c>
      <c r="AM7" s="190">
        <f t="shared" si="9"/>
        <v>1</v>
      </c>
      <c r="AN7" s="114"/>
      <c r="AO7" s="114">
        <v>1</v>
      </c>
      <c r="AP7" s="191">
        <f t="shared" si="10"/>
        <v>1</v>
      </c>
      <c r="AQ7" s="115"/>
      <c r="AR7" s="115">
        <v>1</v>
      </c>
      <c r="AS7" s="192">
        <f t="shared" si="11"/>
        <v>1</v>
      </c>
      <c r="AT7" s="116">
        <v>13</v>
      </c>
      <c r="AU7" s="116">
        <v>1</v>
      </c>
      <c r="AV7" s="193">
        <f t="shared" si="12"/>
        <v>-12</v>
      </c>
      <c r="AW7" s="117"/>
      <c r="AX7" s="117">
        <v>1</v>
      </c>
      <c r="AY7" s="194">
        <f t="shared" si="13"/>
        <v>1</v>
      </c>
      <c r="AZ7" s="102"/>
      <c r="BA7" s="102"/>
      <c r="BB7" s="195">
        <f t="shared" si="14"/>
        <v>0</v>
      </c>
      <c r="BC7" s="118"/>
      <c r="BD7" s="118">
        <v>1</v>
      </c>
      <c r="BE7" s="196">
        <f t="shared" si="15"/>
        <v>1</v>
      </c>
      <c r="BF7" s="119">
        <v>8</v>
      </c>
      <c r="BG7" s="119">
        <v>2</v>
      </c>
      <c r="BH7" s="197">
        <f t="shared" si="16"/>
        <v>-6</v>
      </c>
      <c r="BI7" s="120">
        <v>13</v>
      </c>
      <c r="BJ7" s="120">
        <v>2</v>
      </c>
      <c r="BK7" s="198">
        <f t="shared" si="17"/>
        <v>-11</v>
      </c>
      <c r="BL7" s="121">
        <v>1</v>
      </c>
      <c r="BM7" s="121">
        <v>1</v>
      </c>
      <c r="BN7" s="199">
        <f t="shared" si="18"/>
        <v>0</v>
      </c>
      <c r="BO7" s="122"/>
      <c r="BP7" s="122">
        <v>1</v>
      </c>
      <c r="BQ7" s="200">
        <f t="shared" si="19"/>
        <v>1</v>
      </c>
      <c r="BR7" s="123">
        <v>1</v>
      </c>
      <c r="BS7" s="123">
        <v>1</v>
      </c>
      <c r="BT7" s="201">
        <f t="shared" si="20"/>
        <v>0</v>
      </c>
      <c r="BU7" s="124"/>
      <c r="BV7" s="124">
        <v>1</v>
      </c>
      <c r="BW7" s="202">
        <f t="shared" si="21"/>
        <v>1</v>
      </c>
      <c r="BX7" s="125"/>
      <c r="BY7" s="125">
        <v>1</v>
      </c>
      <c r="BZ7" s="203">
        <f t="shared" si="22"/>
        <v>1</v>
      </c>
      <c r="CA7" s="126"/>
      <c r="CB7" s="126"/>
      <c r="CC7" s="204">
        <f t="shared" si="23"/>
        <v>0</v>
      </c>
      <c r="CD7" s="127"/>
      <c r="CE7" s="127">
        <v>1</v>
      </c>
      <c r="CF7" s="205">
        <f t="shared" si="24"/>
        <v>1</v>
      </c>
      <c r="CG7" s="128"/>
      <c r="CH7" s="128">
        <v>1</v>
      </c>
      <c r="CI7" s="206">
        <f t="shared" si="25"/>
        <v>1</v>
      </c>
      <c r="CJ7" s="129"/>
      <c r="CK7" s="129">
        <v>1</v>
      </c>
      <c r="CL7" s="129">
        <f t="shared" si="26"/>
        <v>1</v>
      </c>
      <c r="CM7" s="131"/>
      <c r="CN7" s="131">
        <v>1</v>
      </c>
      <c r="CO7" s="207">
        <f t="shared" si="27"/>
        <v>1</v>
      </c>
      <c r="CP7" s="172"/>
      <c r="CQ7" s="172">
        <v>1</v>
      </c>
      <c r="CR7" s="172">
        <f t="shared" si="28"/>
        <v>1</v>
      </c>
      <c r="CS7" s="173"/>
      <c r="CT7" s="173">
        <v>1</v>
      </c>
      <c r="CU7" s="214">
        <f t="shared" si="29"/>
        <v>1</v>
      </c>
      <c r="CV7" s="174"/>
      <c r="CW7" s="174">
        <v>1</v>
      </c>
      <c r="CX7" s="174">
        <f t="shared" si="30"/>
        <v>1</v>
      </c>
      <c r="CY7" s="175"/>
      <c r="CZ7" s="175">
        <v>1</v>
      </c>
      <c r="DA7" s="216">
        <f t="shared" si="31"/>
        <v>1</v>
      </c>
      <c r="DB7" s="102"/>
      <c r="DC7" s="102"/>
      <c r="DD7" s="195">
        <f t="shared" si="32"/>
        <v>0</v>
      </c>
      <c r="DE7" s="102"/>
      <c r="DF7" s="102"/>
      <c r="DG7" s="195">
        <f t="shared" si="33"/>
        <v>0</v>
      </c>
    </row>
    <row r="8" spans="1:111" s="177" customFormat="1" ht="11.25" x14ac:dyDescent="0.25">
      <c r="A8" s="171" t="s">
        <v>294</v>
      </c>
      <c r="B8" s="178"/>
      <c r="C8" s="102">
        <f>VLOOKUP(A8,Parts!$A$2:$AE$189,11,FALSE())</f>
        <v>45</v>
      </c>
      <c r="D8" s="102">
        <f t="shared" si="0"/>
        <v>16</v>
      </c>
      <c r="E8" s="179">
        <f t="shared" si="34"/>
        <v>720</v>
      </c>
      <c r="F8" s="220">
        <f t="shared" si="35"/>
        <v>24</v>
      </c>
      <c r="G8" s="179">
        <f t="shared" si="36"/>
        <v>1080</v>
      </c>
      <c r="H8" s="178">
        <f t="shared" si="37"/>
        <v>8</v>
      </c>
      <c r="I8" s="179">
        <f t="shared" si="38"/>
        <v>360</v>
      </c>
      <c r="J8" s="105"/>
      <c r="K8" s="105"/>
      <c r="L8" s="181">
        <f t="shared" si="39"/>
        <v>0</v>
      </c>
      <c r="M8" s="106"/>
      <c r="N8" s="106"/>
      <c r="O8" s="182">
        <f t="shared" si="1"/>
        <v>0</v>
      </c>
      <c r="P8" s="107"/>
      <c r="Q8" s="107"/>
      <c r="R8" s="183">
        <f t="shared" si="2"/>
        <v>0</v>
      </c>
      <c r="S8" s="108">
        <v>2</v>
      </c>
      <c r="T8" s="108">
        <v>2</v>
      </c>
      <c r="U8" s="184">
        <f t="shared" si="3"/>
        <v>0</v>
      </c>
      <c r="V8" s="109"/>
      <c r="W8" s="109"/>
      <c r="X8" s="185">
        <f t="shared" si="4"/>
        <v>0</v>
      </c>
      <c r="Y8" s="110">
        <v>2</v>
      </c>
      <c r="Z8" s="110">
        <v>2</v>
      </c>
      <c r="AA8" s="186">
        <f t="shared" si="5"/>
        <v>0</v>
      </c>
      <c r="AB8" s="111"/>
      <c r="AC8" s="111"/>
      <c r="AD8" s="187">
        <f t="shared" si="6"/>
        <v>0</v>
      </c>
      <c r="AE8" s="176"/>
      <c r="AF8" s="176"/>
      <c r="AG8" s="188">
        <f t="shared" si="7"/>
        <v>0</v>
      </c>
      <c r="AH8" s="112"/>
      <c r="AI8" s="112"/>
      <c r="AJ8" s="189">
        <f t="shared" si="8"/>
        <v>0</v>
      </c>
      <c r="AK8" s="113">
        <v>1</v>
      </c>
      <c r="AL8" s="113"/>
      <c r="AM8" s="190">
        <f t="shared" si="9"/>
        <v>-1</v>
      </c>
      <c r="AN8" s="114"/>
      <c r="AO8" s="114"/>
      <c r="AP8" s="191">
        <f t="shared" si="10"/>
        <v>0</v>
      </c>
      <c r="AQ8" s="115"/>
      <c r="AR8" s="115"/>
      <c r="AS8" s="192">
        <f t="shared" si="11"/>
        <v>0</v>
      </c>
      <c r="AT8" s="116">
        <v>2</v>
      </c>
      <c r="AU8" s="116">
        <v>2</v>
      </c>
      <c r="AV8" s="193">
        <f t="shared" si="12"/>
        <v>0</v>
      </c>
      <c r="AW8" s="117"/>
      <c r="AX8" s="117">
        <v>2</v>
      </c>
      <c r="AY8" s="194">
        <f t="shared" si="13"/>
        <v>2</v>
      </c>
      <c r="AZ8" s="102"/>
      <c r="BA8" s="102"/>
      <c r="BB8" s="195">
        <f t="shared" si="14"/>
        <v>0</v>
      </c>
      <c r="BC8" s="118">
        <v>1</v>
      </c>
      <c r="BD8" s="118">
        <v>2</v>
      </c>
      <c r="BE8" s="196">
        <f t="shared" si="15"/>
        <v>1</v>
      </c>
      <c r="BF8" s="119">
        <v>1</v>
      </c>
      <c r="BG8" s="119">
        <v>2</v>
      </c>
      <c r="BH8" s="197">
        <f t="shared" si="16"/>
        <v>1</v>
      </c>
      <c r="BI8" s="120">
        <v>2</v>
      </c>
      <c r="BJ8" s="120">
        <v>2</v>
      </c>
      <c r="BK8" s="198">
        <f t="shared" si="17"/>
        <v>0</v>
      </c>
      <c r="BL8" s="121">
        <v>1</v>
      </c>
      <c r="BM8" s="121"/>
      <c r="BN8" s="199">
        <f t="shared" si="18"/>
        <v>-1</v>
      </c>
      <c r="BO8" s="122">
        <v>1</v>
      </c>
      <c r="BP8" s="122"/>
      <c r="BQ8" s="200">
        <f t="shared" si="19"/>
        <v>-1</v>
      </c>
      <c r="BR8" s="123">
        <v>1</v>
      </c>
      <c r="BS8" s="123"/>
      <c r="BT8" s="201">
        <f t="shared" si="20"/>
        <v>-1</v>
      </c>
      <c r="BU8" s="124">
        <v>2</v>
      </c>
      <c r="BV8" s="124"/>
      <c r="BW8" s="202">
        <f t="shared" si="21"/>
        <v>-2</v>
      </c>
      <c r="BX8" s="125"/>
      <c r="BY8" s="125"/>
      <c r="BZ8" s="203">
        <f t="shared" si="22"/>
        <v>0</v>
      </c>
      <c r="CA8" s="126"/>
      <c r="CB8" s="126"/>
      <c r="CC8" s="204">
        <f t="shared" si="23"/>
        <v>0</v>
      </c>
      <c r="CD8" s="127"/>
      <c r="CE8" s="127"/>
      <c r="CF8" s="205">
        <f t="shared" si="24"/>
        <v>0</v>
      </c>
      <c r="CG8" s="128"/>
      <c r="CH8" s="128"/>
      <c r="CI8" s="206">
        <f t="shared" si="25"/>
        <v>0</v>
      </c>
      <c r="CJ8" s="129"/>
      <c r="CK8" s="129"/>
      <c r="CL8" s="129">
        <f t="shared" si="26"/>
        <v>0</v>
      </c>
      <c r="CM8" s="131"/>
      <c r="CN8" s="131">
        <v>2</v>
      </c>
      <c r="CO8" s="207">
        <f t="shared" si="27"/>
        <v>2</v>
      </c>
      <c r="CP8" s="172"/>
      <c r="CQ8" s="172">
        <v>2</v>
      </c>
      <c r="CR8" s="172">
        <f t="shared" si="28"/>
        <v>2</v>
      </c>
      <c r="CS8" s="173"/>
      <c r="CT8" s="173">
        <v>2</v>
      </c>
      <c r="CU8" s="214">
        <f t="shared" si="29"/>
        <v>2</v>
      </c>
      <c r="CV8" s="174"/>
      <c r="CW8" s="174">
        <v>2</v>
      </c>
      <c r="CX8" s="174">
        <f t="shared" si="30"/>
        <v>2</v>
      </c>
      <c r="CY8" s="175"/>
      <c r="CZ8" s="175">
        <v>2</v>
      </c>
      <c r="DA8" s="216">
        <f t="shared" si="31"/>
        <v>2</v>
      </c>
      <c r="DB8" s="102"/>
      <c r="DC8" s="102"/>
      <c r="DD8" s="195">
        <f t="shared" si="32"/>
        <v>0</v>
      </c>
      <c r="DE8" s="102"/>
      <c r="DF8" s="102"/>
      <c r="DG8" s="195">
        <f t="shared" si="33"/>
        <v>0</v>
      </c>
    </row>
    <row r="9" spans="1:111" s="177" customFormat="1" ht="11.25" x14ac:dyDescent="0.25">
      <c r="A9" s="171" t="s">
        <v>295</v>
      </c>
      <c r="B9" s="178"/>
      <c r="C9" s="102">
        <f>VLOOKUP(A9,Parts!$A$2:$AE$189,11,FALSE())</f>
        <v>9.99</v>
      </c>
      <c r="D9" s="102">
        <f t="shared" si="0"/>
        <v>0</v>
      </c>
      <c r="E9" s="179">
        <f t="shared" si="34"/>
        <v>0</v>
      </c>
      <c r="F9" s="220">
        <f t="shared" si="35"/>
        <v>0</v>
      </c>
      <c r="G9" s="179">
        <f t="shared" si="36"/>
        <v>0</v>
      </c>
      <c r="H9" s="178">
        <f t="shared" si="37"/>
        <v>0</v>
      </c>
      <c r="I9" s="179">
        <f t="shared" si="38"/>
        <v>0</v>
      </c>
      <c r="J9" s="105"/>
      <c r="K9" s="105"/>
      <c r="L9" s="181">
        <f t="shared" si="39"/>
        <v>0</v>
      </c>
      <c r="M9" s="106"/>
      <c r="N9" s="106"/>
      <c r="O9" s="182">
        <f t="shared" si="1"/>
        <v>0</v>
      </c>
      <c r="P9" s="107"/>
      <c r="Q9" s="107"/>
      <c r="R9" s="183">
        <f t="shared" si="2"/>
        <v>0</v>
      </c>
      <c r="S9" s="108"/>
      <c r="T9" s="108"/>
      <c r="U9" s="184">
        <f t="shared" si="3"/>
        <v>0</v>
      </c>
      <c r="V9" s="109"/>
      <c r="W9" s="109"/>
      <c r="X9" s="185">
        <f t="shared" si="4"/>
        <v>0</v>
      </c>
      <c r="Y9" s="110"/>
      <c r="Z9" s="110"/>
      <c r="AA9" s="186">
        <f t="shared" si="5"/>
        <v>0</v>
      </c>
      <c r="AB9" s="111"/>
      <c r="AC9" s="111"/>
      <c r="AD9" s="187">
        <f t="shared" si="6"/>
        <v>0</v>
      </c>
      <c r="AE9" s="176"/>
      <c r="AF9" s="176"/>
      <c r="AG9" s="188">
        <f t="shared" si="7"/>
        <v>0</v>
      </c>
      <c r="AH9" s="112"/>
      <c r="AI9" s="112"/>
      <c r="AJ9" s="189">
        <f t="shared" si="8"/>
        <v>0</v>
      </c>
      <c r="AK9" s="113"/>
      <c r="AL9" s="113"/>
      <c r="AM9" s="190">
        <f t="shared" si="9"/>
        <v>0</v>
      </c>
      <c r="AN9" s="114"/>
      <c r="AO9" s="114"/>
      <c r="AP9" s="191">
        <f t="shared" si="10"/>
        <v>0</v>
      </c>
      <c r="AQ9" s="115"/>
      <c r="AR9" s="115"/>
      <c r="AS9" s="192">
        <f t="shared" si="11"/>
        <v>0</v>
      </c>
      <c r="AT9" s="116"/>
      <c r="AU9" s="116"/>
      <c r="AV9" s="193">
        <f t="shared" si="12"/>
        <v>0</v>
      </c>
      <c r="AW9" s="117"/>
      <c r="AX9" s="117"/>
      <c r="AY9" s="194">
        <f t="shared" si="13"/>
        <v>0</v>
      </c>
      <c r="AZ9" s="102"/>
      <c r="BA9" s="102"/>
      <c r="BB9" s="195">
        <f t="shared" si="14"/>
        <v>0</v>
      </c>
      <c r="BC9" s="118"/>
      <c r="BD9" s="118"/>
      <c r="BE9" s="196">
        <f t="shared" si="15"/>
        <v>0</v>
      </c>
      <c r="BF9" s="119"/>
      <c r="BG9" s="119"/>
      <c r="BH9" s="197">
        <f t="shared" si="16"/>
        <v>0</v>
      </c>
      <c r="BI9" s="120"/>
      <c r="BJ9" s="120"/>
      <c r="BK9" s="198">
        <f t="shared" si="17"/>
        <v>0</v>
      </c>
      <c r="BL9" s="121"/>
      <c r="BM9" s="121"/>
      <c r="BN9" s="199">
        <f t="shared" si="18"/>
        <v>0</v>
      </c>
      <c r="BO9" s="122"/>
      <c r="BP9" s="122"/>
      <c r="BQ9" s="200">
        <f t="shared" si="19"/>
        <v>0</v>
      </c>
      <c r="BR9" s="123"/>
      <c r="BS9" s="123"/>
      <c r="BT9" s="201">
        <f t="shared" si="20"/>
        <v>0</v>
      </c>
      <c r="BU9" s="124"/>
      <c r="BV9" s="124"/>
      <c r="BW9" s="202">
        <f t="shared" si="21"/>
        <v>0</v>
      </c>
      <c r="BX9" s="125"/>
      <c r="BY9" s="125"/>
      <c r="BZ9" s="203">
        <f t="shared" si="22"/>
        <v>0</v>
      </c>
      <c r="CA9" s="126"/>
      <c r="CB9" s="126"/>
      <c r="CC9" s="204">
        <f t="shared" si="23"/>
        <v>0</v>
      </c>
      <c r="CD9" s="127"/>
      <c r="CE9" s="127"/>
      <c r="CF9" s="205">
        <f t="shared" si="24"/>
        <v>0</v>
      </c>
      <c r="CG9" s="128"/>
      <c r="CH9" s="128"/>
      <c r="CI9" s="206">
        <f t="shared" si="25"/>
        <v>0</v>
      </c>
      <c r="CJ9" s="129"/>
      <c r="CK9" s="129"/>
      <c r="CL9" s="129">
        <f t="shared" si="26"/>
        <v>0</v>
      </c>
      <c r="CM9" s="131"/>
      <c r="CN9" s="131"/>
      <c r="CO9" s="207">
        <f t="shared" si="27"/>
        <v>0</v>
      </c>
      <c r="CP9" s="172"/>
      <c r="CQ9" s="172"/>
      <c r="CR9" s="172">
        <f t="shared" si="28"/>
        <v>0</v>
      </c>
      <c r="CS9" s="173"/>
      <c r="CT9" s="173"/>
      <c r="CU9" s="214">
        <f t="shared" si="29"/>
        <v>0</v>
      </c>
      <c r="CV9" s="174"/>
      <c r="CW9" s="174"/>
      <c r="CX9" s="174">
        <f t="shared" si="30"/>
        <v>0</v>
      </c>
      <c r="CY9" s="175"/>
      <c r="CZ9" s="175"/>
      <c r="DA9" s="216">
        <f t="shared" si="31"/>
        <v>0</v>
      </c>
      <c r="DB9" s="102"/>
      <c r="DC9" s="102"/>
      <c r="DD9" s="195">
        <f t="shared" si="32"/>
        <v>0</v>
      </c>
      <c r="DE9" s="102"/>
      <c r="DF9" s="102"/>
      <c r="DG9" s="195">
        <f t="shared" si="33"/>
        <v>0</v>
      </c>
    </row>
    <row r="10" spans="1:111" s="177" customFormat="1" ht="11.25" x14ac:dyDescent="0.25">
      <c r="A10" s="171" t="s">
        <v>296</v>
      </c>
      <c r="B10" s="178"/>
      <c r="C10" s="102">
        <f>VLOOKUP(A10,Parts!$A$2:$AE$189,11,FALSE())</f>
        <v>4.99</v>
      </c>
      <c r="D10" s="102">
        <f t="shared" ref="D10" si="46">SUM(J10+M10+P10+S10+V10+Y10+AB10+AE10+AH10+AK10+AN10+AQ10+AT10+AW10+AZ10+BC10+BF10+BI10+BL10+BO10+BR10+BU10+BX10+CA10+CD10+CG10+CJ10+CM10+CP10+CS10+CV10+CY10+DB10+DE10)</f>
        <v>9</v>
      </c>
      <c r="E10" s="179">
        <f t="shared" ref="E10" si="47">SUM(D10*C10)</f>
        <v>44.910000000000004</v>
      </c>
      <c r="F10" s="220">
        <f t="shared" ref="F10" si="48">SUM(K10+N10+Q10+T10+W10+Z10+AC10+AF10+AI10+AL10+AO10+AR10+AU10+AX10+BA10+BD10+BG10+BJ10+BM10+BP10+BS10+BV10+BY10+CB10+CE10+CH10+CK10+BY10+CN10+CQ10+CT10+CW10+CZ10+DC10+DF10)</f>
        <v>0</v>
      </c>
      <c r="G10" s="179">
        <f t="shared" ref="G10" si="49">SUM(F10*$C10)</f>
        <v>0</v>
      </c>
      <c r="H10" s="178">
        <f t="shared" ref="H10" si="50">SUM(L10+O10+R10+U10+X10+AA10+AD10+AG10+AJ10+AM10+AP10+AS10+AV10+AY10+BE10+BH10+BK10+BN10+BQ10+BT10+BW10+BZ10+CC10+CF10+CI10+CL10+CO10+CR10+CU10+CX10+DA10+DD10+DG10)</f>
        <v>0</v>
      </c>
      <c r="I10" s="179">
        <f t="shared" ref="I10" si="51">SUM(H10*$C10)</f>
        <v>0</v>
      </c>
      <c r="J10" s="105"/>
      <c r="K10" s="105"/>
      <c r="L10" s="181"/>
      <c r="M10" s="106"/>
      <c r="N10" s="106"/>
      <c r="O10" s="182"/>
      <c r="P10" s="107"/>
      <c r="Q10" s="107"/>
      <c r="R10" s="183"/>
      <c r="S10" s="108"/>
      <c r="T10" s="108"/>
      <c r="U10" s="184"/>
      <c r="V10" s="109"/>
      <c r="W10" s="109"/>
      <c r="X10" s="185"/>
      <c r="Y10" s="110">
        <v>2</v>
      </c>
      <c r="Z10" s="110"/>
      <c r="AA10" s="186"/>
      <c r="AB10" s="111">
        <v>1</v>
      </c>
      <c r="AC10" s="111"/>
      <c r="AD10" s="187"/>
      <c r="AE10" s="176"/>
      <c r="AF10" s="176"/>
      <c r="AG10" s="188"/>
      <c r="AH10" s="112"/>
      <c r="AI10" s="112"/>
      <c r="AJ10" s="189"/>
      <c r="AK10" s="113"/>
      <c r="AL10" s="113"/>
      <c r="AM10" s="190"/>
      <c r="AN10" s="114"/>
      <c r="AO10" s="114"/>
      <c r="AP10" s="191"/>
      <c r="AQ10" s="115"/>
      <c r="AR10" s="115"/>
      <c r="AS10" s="192"/>
      <c r="AT10" s="116"/>
      <c r="AU10" s="116"/>
      <c r="AV10" s="193"/>
      <c r="AW10" s="117"/>
      <c r="AX10" s="117"/>
      <c r="AY10" s="194"/>
      <c r="AZ10" s="102"/>
      <c r="BA10" s="102"/>
      <c r="BB10" s="195"/>
      <c r="BC10" s="118"/>
      <c r="BD10" s="118"/>
      <c r="BE10" s="196"/>
      <c r="BF10" s="119"/>
      <c r="BG10" s="119"/>
      <c r="BH10" s="197"/>
      <c r="BI10" s="120"/>
      <c r="BJ10" s="120"/>
      <c r="BK10" s="198"/>
      <c r="BL10" s="121"/>
      <c r="BM10" s="121"/>
      <c r="BN10" s="199"/>
      <c r="BO10" s="122">
        <v>1</v>
      </c>
      <c r="BP10" s="122"/>
      <c r="BQ10" s="200"/>
      <c r="BR10" s="123">
        <v>1</v>
      </c>
      <c r="BS10" s="123"/>
      <c r="BT10" s="201"/>
      <c r="BU10" s="124">
        <v>2</v>
      </c>
      <c r="BV10" s="124"/>
      <c r="BW10" s="202"/>
      <c r="BX10" s="125"/>
      <c r="BY10" s="125"/>
      <c r="BZ10" s="203"/>
      <c r="CA10" s="126"/>
      <c r="CB10" s="126"/>
      <c r="CC10" s="204"/>
      <c r="CD10" s="127">
        <v>2</v>
      </c>
      <c r="CE10" s="127"/>
      <c r="CF10" s="205"/>
      <c r="CG10" s="128"/>
      <c r="CH10" s="128"/>
      <c r="CI10" s="206"/>
      <c r="CJ10" s="129"/>
      <c r="CK10" s="129"/>
      <c r="CL10" s="129"/>
      <c r="CM10" s="131"/>
      <c r="CN10" s="131"/>
      <c r="CO10" s="207"/>
      <c r="CP10" s="172"/>
      <c r="CQ10" s="172"/>
      <c r="CR10" s="172"/>
      <c r="CS10" s="173"/>
      <c r="CT10" s="173"/>
      <c r="CU10" s="214"/>
      <c r="CV10" s="174"/>
      <c r="CW10" s="174"/>
      <c r="CX10" s="174"/>
      <c r="CY10" s="175"/>
      <c r="CZ10" s="175"/>
      <c r="DA10" s="216"/>
      <c r="DB10" s="102"/>
      <c r="DC10" s="102"/>
      <c r="DD10" s="195"/>
      <c r="DE10" s="102"/>
      <c r="DF10" s="102"/>
      <c r="DG10" s="195"/>
    </row>
    <row r="11" spans="1:111" s="177" customFormat="1" ht="11.25" x14ac:dyDescent="0.25">
      <c r="A11" s="171" t="s">
        <v>297</v>
      </c>
      <c r="B11" s="178"/>
      <c r="C11" s="102">
        <f>VLOOKUP(A11,Parts!$A$2:$AE$189,11,FALSE())</f>
        <v>9.99</v>
      </c>
      <c r="D11" s="102">
        <f t="shared" si="0"/>
        <v>4</v>
      </c>
      <c r="E11" s="179">
        <f t="shared" si="34"/>
        <v>39.96</v>
      </c>
      <c r="F11" s="220">
        <f t="shared" si="35"/>
        <v>17</v>
      </c>
      <c r="G11" s="179">
        <f t="shared" si="36"/>
        <v>169.83</v>
      </c>
      <c r="H11" s="178">
        <f t="shared" si="37"/>
        <v>13</v>
      </c>
      <c r="I11" s="179">
        <f t="shared" si="38"/>
        <v>129.87</v>
      </c>
      <c r="J11" s="105"/>
      <c r="K11" s="105"/>
      <c r="L11" s="181">
        <f t="shared" si="39"/>
        <v>0</v>
      </c>
      <c r="M11" s="106"/>
      <c r="N11" s="106"/>
      <c r="O11" s="182">
        <f t="shared" si="1"/>
        <v>0</v>
      </c>
      <c r="P11" s="107"/>
      <c r="Q11" s="107"/>
      <c r="R11" s="183">
        <f t="shared" si="2"/>
        <v>0</v>
      </c>
      <c r="S11" s="108">
        <v>1</v>
      </c>
      <c r="T11" s="108">
        <v>1</v>
      </c>
      <c r="U11" s="184">
        <f t="shared" si="3"/>
        <v>0</v>
      </c>
      <c r="V11" s="109"/>
      <c r="W11" s="109"/>
      <c r="X11" s="185">
        <f t="shared" si="4"/>
        <v>0</v>
      </c>
      <c r="Y11" s="110">
        <v>1</v>
      </c>
      <c r="Z11" s="110">
        <v>1</v>
      </c>
      <c r="AA11" s="186">
        <f t="shared" si="5"/>
        <v>0</v>
      </c>
      <c r="AB11" s="111"/>
      <c r="AC11" s="111"/>
      <c r="AD11" s="187">
        <f t="shared" si="6"/>
        <v>0</v>
      </c>
      <c r="AE11" s="176"/>
      <c r="AF11" s="176"/>
      <c r="AG11" s="188">
        <f t="shared" si="7"/>
        <v>0</v>
      </c>
      <c r="AH11" s="112"/>
      <c r="AI11" s="112">
        <v>1</v>
      </c>
      <c r="AJ11" s="189">
        <f t="shared" si="8"/>
        <v>1</v>
      </c>
      <c r="AK11" s="113"/>
      <c r="AL11" s="113">
        <v>1</v>
      </c>
      <c r="AM11" s="190">
        <f t="shared" si="9"/>
        <v>1</v>
      </c>
      <c r="AN11" s="114"/>
      <c r="AO11" s="114"/>
      <c r="AP11" s="191">
        <f t="shared" si="10"/>
        <v>0</v>
      </c>
      <c r="AQ11" s="115"/>
      <c r="AR11" s="115"/>
      <c r="AS11" s="192">
        <f t="shared" si="11"/>
        <v>0</v>
      </c>
      <c r="AT11" s="116"/>
      <c r="AU11" s="116">
        <v>1</v>
      </c>
      <c r="AV11" s="193">
        <f t="shared" si="12"/>
        <v>1</v>
      </c>
      <c r="AW11" s="117"/>
      <c r="AX11" s="117">
        <v>1</v>
      </c>
      <c r="AY11" s="194">
        <f t="shared" si="13"/>
        <v>1</v>
      </c>
      <c r="AZ11" s="102"/>
      <c r="BA11" s="102"/>
      <c r="BB11" s="195">
        <f t="shared" si="14"/>
        <v>0</v>
      </c>
      <c r="BC11" s="118"/>
      <c r="BD11" s="118">
        <v>2</v>
      </c>
      <c r="BE11" s="196">
        <f t="shared" si="15"/>
        <v>2</v>
      </c>
      <c r="BF11" s="119">
        <v>1</v>
      </c>
      <c r="BG11" s="119">
        <v>1</v>
      </c>
      <c r="BH11" s="197">
        <f t="shared" si="16"/>
        <v>0</v>
      </c>
      <c r="BI11" s="120">
        <v>1</v>
      </c>
      <c r="BJ11" s="120">
        <v>1</v>
      </c>
      <c r="BK11" s="198">
        <f t="shared" si="17"/>
        <v>0</v>
      </c>
      <c r="BL11" s="121"/>
      <c r="BM11" s="121"/>
      <c r="BN11" s="199">
        <f t="shared" si="18"/>
        <v>0</v>
      </c>
      <c r="BO11" s="122"/>
      <c r="BP11" s="122">
        <v>1</v>
      </c>
      <c r="BQ11" s="200">
        <f t="shared" si="19"/>
        <v>1</v>
      </c>
      <c r="BR11" s="123"/>
      <c r="BS11" s="123"/>
      <c r="BT11" s="201">
        <f t="shared" si="20"/>
        <v>0</v>
      </c>
      <c r="BU11" s="124"/>
      <c r="BV11" s="124">
        <v>1</v>
      </c>
      <c r="BW11" s="202">
        <f t="shared" si="21"/>
        <v>1</v>
      </c>
      <c r="BX11" s="125"/>
      <c r="BY11" s="125"/>
      <c r="BZ11" s="203">
        <f t="shared" si="22"/>
        <v>0</v>
      </c>
      <c r="CA11" s="126"/>
      <c r="CB11" s="126"/>
      <c r="CC11" s="204">
        <f t="shared" si="23"/>
        <v>0</v>
      </c>
      <c r="CD11" s="127"/>
      <c r="CE11" s="127"/>
      <c r="CF11" s="205">
        <f t="shared" si="24"/>
        <v>0</v>
      </c>
      <c r="CG11" s="128"/>
      <c r="CH11" s="128"/>
      <c r="CI11" s="206">
        <f t="shared" si="25"/>
        <v>0</v>
      </c>
      <c r="CJ11" s="129"/>
      <c r="CK11" s="129"/>
      <c r="CL11" s="129">
        <f t="shared" si="26"/>
        <v>0</v>
      </c>
      <c r="CM11" s="131"/>
      <c r="CN11" s="131">
        <v>1</v>
      </c>
      <c r="CO11" s="207">
        <f t="shared" si="27"/>
        <v>1</v>
      </c>
      <c r="CP11" s="172"/>
      <c r="CQ11" s="172">
        <v>1</v>
      </c>
      <c r="CR11" s="172">
        <f t="shared" si="28"/>
        <v>1</v>
      </c>
      <c r="CS11" s="173"/>
      <c r="CT11" s="173">
        <v>1</v>
      </c>
      <c r="CU11" s="214">
        <f t="shared" si="29"/>
        <v>1</v>
      </c>
      <c r="CV11" s="174"/>
      <c r="CW11" s="174">
        <v>1</v>
      </c>
      <c r="CX11" s="174">
        <f t="shared" si="30"/>
        <v>1</v>
      </c>
      <c r="CY11" s="175"/>
      <c r="CZ11" s="175">
        <v>1</v>
      </c>
      <c r="DA11" s="216">
        <f t="shared" si="31"/>
        <v>1</v>
      </c>
      <c r="DB11" s="102"/>
      <c r="DC11" s="102"/>
      <c r="DD11" s="195">
        <f t="shared" si="32"/>
        <v>0</v>
      </c>
      <c r="DE11" s="102"/>
      <c r="DF11" s="102"/>
      <c r="DG11" s="195">
        <f t="shared" si="33"/>
        <v>0</v>
      </c>
    </row>
    <row r="12" spans="1:111" s="177" customFormat="1" ht="11.25" x14ac:dyDescent="0.25">
      <c r="A12" s="171" t="s">
        <v>298</v>
      </c>
      <c r="B12" s="178"/>
      <c r="C12" s="102">
        <f>VLOOKUP(A12,Parts!$A$2:$AE$189,11,FALSE())</f>
        <v>19.989999999999998</v>
      </c>
      <c r="D12" s="102">
        <f t="shared" si="0"/>
        <v>17</v>
      </c>
      <c r="E12" s="179">
        <f t="shared" si="34"/>
        <v>339.83</v>
      </c>
      <c r="F12" s="220">
        <f t="shared" si="35"/>
        <v>16</v>
      </c>
      <c r="G12" s="179">
        <f t="shared" si="36"/>
        <v>319.83999999999997</v>
      </c>
      <c r="H12" s="178">
        <f t="shared" si="37"/>
        <v>-1</v>
      </c>
      <c r="I12" s="179">
        <f t="shared" si="38"/>
        <v>-19.989999999999998</v>
      </c>
      <c r="J12" s="105"/>
      <c r="K12" s="105"/>
      <c r="L12" s="181">
        <f t="shared" si="39"/>
        <v>0</v>
      </c>
      <c r="M12" s="106"/>
      <c r="N12" s="106"/>
      <c r="O12" s="182">
        <f t="shared" si="1"/>
        <v>0</v>
      </c>
      <c r="P12" s="107">
        <v>1</v>
      </c>
      <c r="Q12" s="107"/>
      <c r="R12" s="183">
        <f t="shared" si="2"/>
        <v>-1</v>
      </c>
      <c r="S12" s="108"/>
      <c r="T12" s="108"/>
      <c r="U12" s="184">
        <f t="shared" si="3"/>
        <v>0</v>
      </c>
      <c r="V12" s="109"/>
      <c r="W12" s="109"/>
      <c r="X12" s="185">
        <f t="shared" si="4"/>
        <v>0</v>
      </c>
      <c r="Y12" s="110">
        <v>1</v>
      </c>
      <c r="Z12" s="110">
        <v>1</v>
      </c>
      <c r="AA12" s="186">
        <f t="shared" si="5"/>
        <v>0</v>
      </c>
      <c r="AB12" s="111">
        <v>2</v>
      </c>
      <c r="AC12" s="111"/>
      <c r="AD12" s="187">
        <f t="shared" si="6"/>
        <v>-2</v>
      </c>
      <c r="AE12" s="176">
        <v>1</v>
      </c>
      <c r="AF12" s="176"/>
      <c r="AG12" s="188">
        <f t="shared" si="7"/>
        <v>-1</v>
      </c>
      <c r="AH12" s="112">
        <v>1</v>
      </c>
      <c r="AI12" s="112">
        <v>1</v>
      </c>
      <c r="AJ12" s="189">
        <f t="shared" si="8"/>
        <v>0</v>
      </c>
      <c r="AK12" s="113">
        <v>1</v>
      </c>
      <c r="AL12" s="113">
        <v>1</v>
      </c>
      <c r="AM12" s="190">
        <f t="shared" si="9"/>
        <v>0</v>
      </c>
      <c r="AN12" s="114"/>
      <c r="AO12" s="114"/>
      <c r="AP12" s="191">
        <f t="shared" si="10"/>
        <v>0</v>
      </c>
      <c r="AQ12" s="115">
        <v>1</v>
      </c>
      <c r="AR12" s="115"/>
      <c r="AS12" s="192">
        <f t="shared" si="11"/>
        <v>-1</v>
      </c>
      <c r="AT12" s="116">
        <v>2</v>
      </c>
      <c r="AU12" s="116">
        <v>1</v>
      </c>
      <c r="AV12" s="193">
        <f t="shared" si="12"/>
        <v>-1</v>
      </c>
      <c r="AW12" s="117"/>
      <c r="AX12" s="117">
        <v>1</v>
      </c>
      <c r="AY12" s="194">
        <f t="shared" si="13"/>
        <v>1</v>
      </c>
      <c r="AZ12" s="102"/>
      <c r="BA12" s="102"/>
      <c r="BB12" s="195">
        <f t="shared" si="14"/>
        <v>0</v>
      </c>
      <c r="BC12" s="118">
        <v>1</v>
      </c>
      <c r="BD12" s="118">
        <v>2</v>
      </c>
      <c r="BE12" s="196">
        <f t="shared" si="15"/>
        <v>1</v>
      </c>
      <c r="BF12" s="119">
        <v>2</v>
      </c>
      <c r="BG12" s="119">
        <v>1</v>
      </c>
      <c r="BH12" s="197">
        <f t="shared" si="16"/>
        <v>-1</v>
      </c>
      <c r="BI12" s="120">
        <v>1</v>
      </c>
      <c r="BJ12" s="120">
        <v>1</v>
      </c>
      <c r="BK12" s="198">
        <f t="shared" si="17"/>
        <v>0</v>
      </c>
      <c r="BL12" s="121">
        <v>1</v>
      </c>
      <c r="BM12" s="121">
        <v>1</v>
      </c>
      <c r="BN12" s="199">
        <f t="shared" si="18"/>
        <v>0</v>
      </c>
      <c r="BO12" s="122"/>
      <c r="BP12" s="122"/>
      <c r="BQ12" s="200">
        <f t="shared" si="19"/>
        <v>0</v>
      </c>
      <c r="BR12" s="123"/>
      <c r="BS12" s="123">
        <v>1</v>
      </c>
      <c r="BT12" s="201">
        <f t="shared" si="20"/>
        <v>1</v>
      </c>
      <c r="BU12" s="124">
        <v>1</v>
      </c>
      <c r="BV12" s="124"/>
      <c r="BW12" s="202">
        <f t="shared" si="21"/>
        <v>-1</v>
      </c>
      <c r="BX12" s="125">
        <v>1</v>
      </c>
      <c r="BY12" s="125"/>
      <c r="BZ12" s="203">
        <f t="shared" si="22"/>
        <v>-1</v>
      </c>
      <c r="CA12" s="126"/>
      <c r="CB12" s="126"/>
      <c r="CC12" s="204">
        <f t="shared" si="23"/>
        <v>0</v>
      </c>
      <c r="CD12" s="127"/>
      <c r="CE12" s="127"/>
      <c r="CF12" s="205">
        <f t="shared" si="24"/>
        <v>0</v>
      </c>
      <c r="CG12" s="128"/>
      <c r="CH12" s="128"/>
      <c r="CI12" s="206">
        <f t="shared" si="25"/>
        <v>0</v>
      </c>
      <c r="CJ12" s="129"/>
      <c r="CK12" s="129"/>
      <c r="CL12" s="129">
        <f t="shared" si="26"/>
        <v>0</v>
      </c>
      <c r="CM12" s="131"/>
      <c r="CN12" s="131">
        <v>1</v>
      </c>
      <c r="CO12" s="207">
        <f t="shared" si="27"/>
        <v>1</v>
      </c>
      <c r="CP12" s="172"/>
      <c r="CQ12" s="172">
        <v>1</v>
      </c>
      <c r="CR12" s="172">
        <f t="shared" si="28"/>
        <v>1</v>
      </c>
      <c r="CS12" s="173"/>
      <c r="CT12" s="173">
        <v>1</v>
      </c>
      <c r="CU12" s="214">
        <f t="shared" si="29"/>
        <v>1</v>
      </c>
      <c r="CV12" s="174"/>
      <c r="CW12" s="174">
        <v>1</v>
      </c>
      <c r="CX12" s="174">
        <f t="shared" si="30"/>
        <v>1</v>
      </c>
      <c r="CY12" s="175"/>
      <c r="CZ12" s="175">
        <v>1</v>
      </c>
      <c r="DA12" s="216">
        <f t="shared" si="31"/>
        <v>1</v>
      </c>
      <c r="DB12" s="102"/>
      <c r="DC12" s="102"/>
      <c r="DD12" s="195">
        <f t="shared" si="32"/>
        <v>0</v>
      </c>
      <c r="DE12" s="102"/>
      <c r="DF12" s="102"/>
      <c r="DG12" s="195">
        <f t="shared" si="33"/>
        <v>0</v>
      </c>
    </row>
    <row r="13" spans="1:111" s="177" customFormat="1" ht="11.25" x14ac:dyDescent="0.25">
      <c r="A13" s="171" t="s">
        <v>299</v>
      </c>
      <c r="B13" s="178"/>
      <c r="C13" s="102">
        <f>VLOOKUP(A13,Parts!$A$2:$AE$189,11,FALSE())</f>
        <v>5.99</v>
      </c>
      <c r="D13" s="102">
        <f t="shared" si="0"/>
        <v>16</v>
      </c>
      <c r="E13" s="179">
        <f t="shared" si="34"/>
        <v>95.84</v>
      </c>
      <c r="F13" s="220">
        <f t="shared" si="35"/>
        <v>12</v>
      </c>
      <c r="G13" s="179">
        <f t="shared" si="36"/>
        <v>71.88</v>
      </c>
      <c r="H13" s="178">
        <f t="shared" si="37"/>
        <v>-5</v>
      </c>
      <c r="I13" s="179">
        <f t="shared" si="38"/>
        <v>-29.950000000000003</v>
      </c>
      <c r="J13" s="105"/>
      <c r="K13" s="105"/>
      <c r="L13" s="181">
        <f t="shared" si="39"/>
        <v>0</v>
      </c>
      <c r="M13" s="106"/>
      <c r="N13" s="106"/>
      <c r="O13" s="182">
        <f t="shared" si="1"/>
        <v>0</v>
      </c>
      <c r="P13" s="107"/>
      <c r="Q13" s="107"/>
      <c r="R13" s="183">
        <f t="shared" si="2"/>
        <v>0</v>
      </c>
      <c r="S13" s="108"/>
      <c r="T13" s="108"/>
      <c r="U13" s="184">
        <f t="shared" si="3"/>
        <v>0</v>
      </c>
      <c r="V13" s="109">
        <v>1</v>
      </c>
      <c r="W13" s="109"/>
      <c r="X13" s="185">
        <f t="shared" si="4"/>
        <v>-1</v>
      </c>
      <c r="Y13" s="110">
        <v>1</v>
      </c>
      <c r="Z13" s="110">
        <v>1</v>
      </c>
      <c r="AA13" s="186">
        <f t="shared" si="5"/>
        <v>0</v>
      </c>
      <c r="AB13" s="111">
        <v>1</v>
      </c>
      <c r="AC13" s="111"/>
      <c r="AD13" s="187">
        <f t="shared" si="6"/>
        <v>-1</v>
      </c>
      <c r="AE13" s="176"/>
      <c r="AF13" s="176"/>
      <c r="AG13" s="188">
        <f t="shared" si="7"/>
        <v>0</v>
      </c>
      <c r="AH13" s="112"/>
      <c r="AI13" s="112"/>
      <c r="AJ13" s="189">
        <f t="shared" si="8"/>
        <v>0</v>
      </c>
      <c r="AK13" s="113">
        <v>1</v>
      </c>
      <c r="AL13" s="113"/>
      <c r="AM13" s="190">
        <f t="shared" si="9"/>
        <v>-1</v>
      </c>
      <c r="AN13" s="114"/>
      <c r="AO13" s="114"/>
      <c r="AP13" s="191">
        <f t="shared" si="10"/>
        <v>0</v>
      </c>
      <c r="AQ13" s="115"/>
      <c r="AR13" s="115"/>
      <c r="AS13" s="192">
        <f t="shared" si="11"/>
        <v>0</v>
      </c>
      <c r="AT13" s="116"/>
      <c r="AU13" s="116"/>
      <c r="AV13" s="193">
        <f t="shared" si="12"/>
        <v>0</v>
      </c>
      <c r="AW13" s="117">
        <v>1</v>
      </c>
      <c r="AX13" s="117"/>
      <c r="AY13" s="194">
        <f t="shared" si="13"/>
        <v>-1</v>
      </c>
      <c r="AZ13" s="102"/>
      <c r="BA13" s="102"/>
      <c r="BB13" s="195">
        <f t="shared" si="14"/>
        <v>0</v>
      </c>
      <c r="BC13" s="118">
        <v>2</v>
      </c>
      <c r="BD13" s="118">
        <v>2</v>
      </c>
      <c r="BE13" s="196">
        <f t="shared" si="15"/>
        <v>0</v>
      </c>
      <c r="BF13" s="119">
        <v>2</v>
      </c>
      <c r="BG13" s="119">
        <v>2</v>
      </c>
      <c r="BH13" s="197">
        <f t="shared" si="16"/>
        <v>0</v>
      </c>
      <c r="BI13" s="120">
        <v>2</v>
      </c>
      <c r="BJ13" s="120">
        <v>2</v>
      </c>
      <c r="BK13" s="198">
        <f t="shared" si="17"/>
        <v>0</v>
      </c>
      <c r="BL13" s="121">
        <v>2</v>
      </c>
      <c r="BM13" s="121"/>
      <c r="BN13" s="199">
        <f t="shared" si="18"/>
        <v>-2</v>
      </c>
      <c r="BO13" s="122">
        <v>1</v>
      </c>
      <c r="BP13" s="122">
        <v>1</v>
      </c>
      <c r="BQ13" s="200">
        <f t="shared" si="19"/>
        <v>0</v>
      </c>
      <c r="BR13" s="123">
        <v>1</v>
      </c>
      <c r="BS13" s="123">
        <v>1</v>
      </c>
      <c r="BT13" s="201">
        <f t="shared" si="20"/>
        <v>0</v>
      </c>
      <c r="BU13" s="124">
        <v>1</v>
      </c>
      <c r="BV13" s="124">
        <v>1</v>
      </c>
      <c r="BW13" s="202">
        <f t="shared" si="21"/>
        <v>0</v>
      </c>
      <c r="BX13" s="125"/>
      <c r="BY13" s="125">
        <v>1</v>
      </c>
      <c r="BZ13" s="203">
        <f t="shared" si="22"/>
        <v>1</v>
      </c>
      <c r="CA13" s="126"/>
      <c r="CB13" s="126"/>
      <c r="CC13" s="204">
        <f t="shared" si="23"/>
        <v>0</v>
      </c>
      <c r="CD13" s="127"/>
      <c r="CE13" s="127"/>
      <c r="CF13" s="205">
        <f t="shared" si="24"/>
        <v>0</v>
      </c>
      <c r="CG13" s="128"/>
      <c r="CH13" s="128"/>
      <c r="CI13" s="206">
        <f t="shared" si="25"/>
        <v>0</v>
      </c>
      <c r="CJ13" s="129"/>
      <c r="CK13" s="129"/>
      <c r="CL13" s="129">
        <f t="shared" si="26"/>
        <v>0</v>
      </c>
      <c r="CM13" s="131"/>
      <c r="CN13" s="131"/>
      <c r="CO13" s="207">
        <f t="shared" si="27"/>
        <v>0</v>
      </c>
      <c r="CP13" s="172"/>
      <c r="CQ13" s="172"/>
      <c r="CR13" s="172">
        <f t="shared" si="28"/>
        <v>0</v>
      </c>
      <c r="CS13" s="173"/>
      <c r="CT13" s="173"/>
      <c r="CU13" s="214">
        <f t="shared" si="29"/>
        <v>0</v>
      </c>
      <c r="CV13" s="174"/>
      <c r="CW13" s="174"/>
      <c r="CX13" s="174">
        <f t="shared" si="30"/>
        <v>0</v>
      </c>
      <c r="CY13" s="175"/>
      <c r="CZ13" s="175"/>
      <c r="DA13" s="216">
        <f t="shared" si="31"/>
        <v>0</v>
      </c>
      <c r="DB13" s="102"/>
      <c r="DC13" s="102"/>
      <c r="DD13" s="195">
        <f t="shared" si="32"/>
        <v>0</v>
      </c>
      <c r="DE13" s="102"/>
      <c r="DF13" s="102"/>
      <c r="DG13" s="195">
        <f t="shared" si="33"/>
        <v>0</v>
      </c>
    </row>
    <row r="14" spans="1:111" s="177" customFormat="1" ht="11.25" x14ac:dyDescent="0.25">
      <c r="A14" s="171" t="s">
        <v>300</v>
      </c>
      <c r="B14" s="178"/>
      <c r="C14" s="102">
        <f>VLOOKUP(A14,Parts!$A$2:$AE$189,11,FALSE())</f>
        <v>19.989999999999998</v>
      </c>
      <c r="D14" s="102">
        <f t="shared" si="0"/>
        <v>8</v>
      </c>
      <c r="E14" s="179">
        <f t="shared" si="34"/>
        <v>159.91999999999999</v>
      </c>
      <c r="F14" s="220">
        <f t="shared" si="35"/>
        <v>12</v>
      </c>
      <c r="G14" s="179">
        <f t="shared" si="36"/>
        <v>239.88</v>
      </c>
      <c r="H14" s="178">
        <f t="shared" si="37"/>
        <v>3</v>
      </c>
      <c r="I14" s="179">
        <f t="shared" si="38"/>
        <v>59.97</v>
      </c>
      <c r="J14" s="105"/>
      <c r="K14" s="105"/>
      <c r="L14" s="181">
        <f t="shared" si="39"/>
        <v>0</v>
      </c>
      <c r="M14" s="106"/>
      <c r="N14" s="106"/>
      <c r="O14" s="182">
        <f t="shared" si="1"/>
        <v>0</v>
      </c>
      <c r="P14" s="107"/>
      <c r="Q14" s="107"/>
      <c r="R14" s="183">
        <f t="shared" si="2"/>
        <v>0</v>
      </c>
      <c r="S14" s="108"/>
      <c r="T14" s="108"/>
      <c r="U14" s="184">
        <f t="shared" si="3"/>
        <v>0</v>
      </c>
      <c r="V14" s="109"/>
      <c r="W14" s="109"/>
      <c r="X14" s="185">
        <f t="shared" si="4"/>
        <v>0</v>
      </c>
      <c r="Y14" s="110">
        <v>1</v>
      </c>
      <c r="Z14" s="110">
        <v>1</v>
      </c>
      <c r="AA14" s="186">
        <f t="shared" si="5"/>
        <v>0</v>
      </c>
      <c r="AB14" s="111"/>
      <c r="AC14" s="111"/>
      <c r="AD14" s="187">
        <f t="shared" si="6"/>
        <v>0</v>
      </c>
      <c r="AE14" s="176"/>
      <c r="AF14" s="176"/>
      <c r="AG14" s="188">
        <f t="shared" si="7"/>
        <v>0</v>
      </c>
      <c r="AH14" s="112"/>
      <c r="AI14" s="112"/>
      <c r="AJ14" s="189">
        <f t="shared" si="8"/>
        <v>0</v>
      </c>
      <c r="AK14" s="113"/>
      <c r="AL14" s="113"/>
      <c r="AM14" s="190">
        <f t="shared" si="9"/>
        <v>0</v>
      </c>
      <c r="AN14" s="114"/>
      <c r="AO14" s="114"/>
      <c r="AP14" s="191">
        <f t="shared" si="10"/>
        <v>0</v>
      </c>
      <c r="AQ14" s="115"/>
      <c r="AR14" s="115"/>
      <c r="AS14" s="192">
        <f t="shared" si="11"/>
        <v>0</v>
      </c>
      <c r="AT14" s="116"/>
      <c r="AU14" s="116"/>
      <c r="AV14" s="193">
        <f t="shared" si="12"/>
        <v>0</v>
      </c>
      <c r="AW14" s="117"/>
      <c r="AX14" s="117"/>
      <c r="AY14" s="194">
        <f t="shared" si="13"/>
        <v>0</v>
      </c>
      <c r="AZ14" s="102"/>
      <c r="BA14" s="102"/>
      <c r="BB14" s="195">
        <f t="shared" si="14"/>
        <v>0</v>
      </c>
      <c r="BC14" s="118"/>
      <c r="BD14" s="118">
        <v>2</v>
      </c>
      <c r="BE14" s="196">
        <f t="shared" si="15"/>
        <v>2</v>
      </c>
      <c r="BF14" s="119">
        <v>2</v>
      </c>
      <c r="BG14" s="119">
        <v>2</v>
      </c>
      <c r="BH14" s="197">
        <f t="shared" si="16"/>
        <v>0</v>
      </c>
      <c r="BI14" s="120">
        <v>2</v>
      </c>
      <c r="BJ14" s="120">
        <v>2</v>
      </c>
      <c r="BK14" s="198">
        <f t="shared" si="17"/>
        <v>0</v>
      </c>
      <c r="BL14" s="121">
        <v>1</v>
      </c>
      <c r="BM14" s="121"/>
      <c r="BN14" s="199">
        <f t="shared" si="18"/>
        <v>-1</v>
      </c>
      <c r="BO14" s="122"/>
      <c r="BP14" s="122">
        <v>1</v>
      </c>
      <c r="BQ14" s="200">
        <f t="shared" si="19"/>
        <v>1</v>
      </c>
      <c r="BR14" s="123">
        <v>1</v>
      </c>
      <c r="BS14" s="123">
        <v>1</v>
      </c>
      <c r="BT14" s="201">
        <f t="shared" si="20"/>
        <v>0</v>
      </c>
      <c r="BU14" s="124">
        <v>1</v>
      </c>
      <c r="BV14" s="124">
        <v>1</v>
      </c>
      <c r="BW14" s="202">
        <f t="shared" si="21"/>
        <v>0</v>
      </c>
      <c r="BX14" s="125"/>
      <c r="BY14" s="125">
        <v>1</v>
      </c>
      <c r="BZ14" s="203">
        <f t="shared" si="22"/>
        <v>1</v>
      </c>
      <c r="CA14" s="126"/>
      <c r="CB14" s="126"/>
      <c r="CC14" s="204">
        <f t="shared" si="23"/>
        <v>0</v>
      </c>
      <c r="CD14" s="127"/>
      <c r="CE14" s="127"/>
      <c r="CF14" s="205">
        <f t="shared" si="24"/>
        <v>0</v>
      </c>
      <c r="CG14" s="128"/>
      <c r="CH14" s="128"/>
      <c r="CI14" s="206">
        <f t="shared" si="25"/>
        <v>0</v>
      </c>
      <c r="CJ14" s="129"/>
      <c r="CK14" s="129"/>
      <c r="CL14" s="129">
        <f t="shared" si="26"/>
        <v>0</v>
      </c>
      <c r="CM14" s="131"/>
      <c r="CN14" s="131"/>
      <c r="CO14" s="207">
        <f t="shared" si="27"/>
        <v>0</v>
      </c>
      <c r="CP14" s="172"/>
      <c r="CQ14" s="172"/>
      <c r="CR14" s="172">
        <f t="shared" si="28"/>
        <v>0</v>
      </c>
      <c r="CS14" s="173"/>
      <c r="CT14" s="173"/>
      <c r="CU14" s="214">
        <f t="shared" si="29"/>
        <v>0</v>
      </c>
      <c r="CV14" s="174"/>
      <c r="CW14" s="174"/>
      <c r="CX14" s="174">
        <f t="shared" si="30"/>
        <v>0</v>
      </c>
      <c r="CY14" s="175"/>
      <c r="CZ14" s="175"/>
      <c r="DA14" s="216">
        <f t="shared" si="31"/>
        <v>0</v>
      </c>
      <c r="DB14" s="102"/>
      <c r="DC14" s="102"/>
      <c r="DD14" s="195">
        <f t="shared" si="32"/>
        <v>0</v>
      </c>
      <c r="DE14" s="102"/>
      <c r="DF14" s="102"/>
      <c r="DG14" s="195">
        <f t="shared" si="33"/>
        <v>0</v>
      </c>
    </row>
    <row r="15" spans="1:111" s="177" customFormat="1" ht="11.25" x14ac:dyDescent="0.25">
      <c r="A15" s="171"/>
      <c r="B15" s="178"/>
      <c r="C15" s="102" t="e">
        <f>VLOOKUP(A15,Parts!$A$2:$AE$189,11,FALSE())</f>
        <v>#N/A</v>
      </c>
      <c r="D15" s="102">
        <f t="shared" si="0"/>
        <v>4</v>
      </c>
      <c r="E15" s="179" t="e">
        <f t="shared" si="34"/>
        <v>#N/A</v>
      </c>
      <c r="F15" s="220">
        <f t="shared" si="35"/>
        <v>9</v>
      </c>
      <c r="G15" s="179" t="e">
        <f t="shared" si="36"/>
        <v>#N/A</v>
      </c>
      <c r="H15" s="178">
        <f t="shared" si="37"/>
        <v>5</v>
      </c>
      <c r="I15" s="179" t="e">
        <f t="shared" si="38"/>
        <v>#N/A</v>
      </c>
      <c r="J15" s="105"/>
      <c r="K15" s="105"/>
      <c r="L15" s="181">
        <f t="shared" si="39"/>
        <v>0</v>
      </c>
      <c r="M15" s="106"/>
      <c r="N15" s="106"/>
      <c r="O15" s="182">
        <f t="shared" si="1"/>
        <v>0</v>
      </c>
      <c r="P15" s="107"/>
      <c r="Q15" s="107"/>
      <c r="R15" s="183">
        <f t="shared" si="2"/>
        <v>0</v>
      </c>
      <c r="S15" s="108"/>
      <c r="T15" s="108"/>
      <c r="U15" s="184">
        <f t="shared" si="3"/>
        <v>0</v>
      </c>
      <c r="V15" s="109"/>
      <c r="W15" s="109"/>
      <c r="X15" s="185">
        <f t="shared" si="4"/>
        <v>0</v>
      </c>
      <c r="Y15" s="110"/>
      <c r="Z15" s="110"/>
      <c r="AA15" s="186">
        <f t="shared" si="5"/>
        <v>0</v>
      </c>
      <c r="AB15" s="111"/>
      <c r="AC15" s="111"/>
      <c r="AD15" s="187">
        <f t="shared" si="6"/>
        <v>0</v>
      </c>
      <c r="AE15" s="176"/>
      <c r="AF15" s="176"/>
      <c r="AG15" s="188">
        <f t="shared" si="7"/>
        <v>0</v>
      </c>
      <c r="AH15" s="112"/>
      <c r="AI15" s="112"/>
      <c r="AJ15" s="189">
        <f t="shared" si="8"/>
        <v>0</v>
      </c>
      <c r="AK15" s="113"/>
      <c r="AL15" s="113"/>
      <c r="AM15" s="190">
        <f t="shared" si="9"/>
        <v>0</v>
      </c>
      <c r="AN15" s="114"/>
      <c r="AO15" s="114"/>
      <c r="AP15" s="191">
        <f t="shared" si="10"/>
        <v>0</v>
      </c>
      <c r="AQ15" s="115"/>
      <c r="AR15" s="115"/>
      <c r="AS15" s="192">
        <f t="shared" si="11"/>
        <v>0</v>
      </c>
      <c r="AT15" s="116"/>
      <c r="AU15" s="116"/>
      <c r="AV15" s="193">
        <f t="shared" si="12"/>
        <v>0</v>
      </c>
      <c r="AW15" s="117"/>
      <c r="AX15" s="117">
        <v>1</v>
      </c>
      <c r="AY15" s="194">
        <f t="shared" si="13"/>
        <v>1</v>
      </c>
      <c r="AZ15" s="102"/>
      <c r="BA15" s="102"/>
      <c r="BB15" s="195">
        <f t="shared" si="14"/>
        <v>0</v>
      </c>
      <c r="BC15" s="118"/>
      <c r="BD15" s="118">
        <v>1</v>
      </c>
      <c r="BE15" s="196">
        <f t="shared" si="15"/>
        <v>1</v>
      </c>
      <c r="BF15" s="119">
        <v>1</v>
      </c>
      <c r="BG15" s="119">
        <v>1</v>
      </c>
      <c r="BH15" s="197">
        <f t="shared" si="16"/>
        <v>0</v>
      </c>
      <c r="BI15" s="120">
        <v>1</v>
      </c>
      <c r="BJ15" s="120">
        <v>1</v>
      </c>
      <c r="BK15" s="198">
        <f t="shared" si="17"/>
        <v>0</v>
      </c>
      <c r="BL15" s="121"/>
      <c r="BM15" s="121"/>
      <c r="BN15" s="199">
        <f t="shared" si="18"/>
        <v>0</v>
      </c>
      <c r="BO15" s="122">
        <v>1</v>
      </c>
      <c r="BP15" s="122"/>
      <c r="BQ15" s="200">
        <f t="shared" si="19"/>
        <v>-1</v>
      </c>
      <c r="BR15" s="123"/>
      <c r="BS15" s="123"/>
      <c r="BT15" s="201">
        <f t="shared" si="20"/>
        <v>0</v>
      </c>
      <c r="BU15" s="124">
        <v>1</v>
      </c>
      <c r="BV15" s="124"/>
      <c r="BW15" s="202">
        <f t="shared" si="21"/>
        <v>-1</v>
      </c>
      <c r="BX15" s="125"/>
      <c r="BY15" s="125"/>
      <c r="BZ15" s="203">
        <f t="shared" si="22"/>
        <v>0</v>
      </c>
      <c r="CA15" s="126"/>
      <c r="CB15" s="126"/>
      <c r="CC15" s="204">
        <f t="shared" si="23"/>
        <v>0</v>
      </c>
      <c r="CD15" s="127"/>
      <c r="CE15" s="127"/>
      <c r="CF15" s="205">
        <f t="shared" si="24"/>
        <v>0</v>
      </c>
      <c r="CG15" s="128"/>
      <c r="CH15" s="128"/>
      <c r="CI15" s="206">
        <f t="shared" si="25"/>
        <v>0</v>
      </c>
      <c r="CJ15" s="129"/>
      <c r="CK15" s="129"/>
      <c r="CL15" s="129">
        <f t="shared" si="26"/>
        <v>0</v>
      </c>
      <c r="CM15" s="131"/>
      <c r="CN15" s="131">
        <v>1</v>
      </c>
      <c r="CO15" s="207">
        <f t="shared" si="27"/>
        <v>1</v>
      </c>
      <c r="CP15" s="172"/>
      <c r="CQ15" s="172">
        <v>1</v>
      </c>
      <c r="CR15" s="172">
        <f t="shared" si="28"/>
        <v>1</v>
      </c>
      <c r="CS15" s="173"/>
      <c r="CT15" s="173">
        <v>1</v>
      </c>
      <c r="CU15" s="214">
        <f t="shared" si="29"/>
        <v>1</v>
      </c>
      <c r="CV15" s="174"/>
      <c r="CW15" s="174">
        <v>1</v>
      </c>
      <c r="CX15" s="174">
        <f t="shared" si="30"/>
        <v>1</v>
      </c>
      <c r="CY15" s="175"/>
      <c r="CZ15" s="175">
        <v>1</v>
      </c>
      <c r="DA15" s="216">
        <f t="shared" si="31"/>
        <v>1</v>
      </c>
      <c r="DB15" s="102"/>
      <c r="DC15" s="102"/>
      <c r="DD15" s="195">
        <f t="shared" si="32"/>
        <v>0</v>
      </c>
      <c r="DE15" s="102"/>
      <c r="DF15" s="102"/>
      <c r="DG15" s="195">
        <f t="shared" si="33"/>
        <v>0</v>
      </c>
    </row>
    <row r="16" spans="1:111" s="177" customFormat="1" ht="11.25" x14ac:dyDescent="0.25">
      <c r="A16" s="171"/>
      <c r="B16" s="178"/>
      <c r="C16" s="102" t="e">
        <f>VLOOKUP(A16,Parts!$A$2:$AE$189,11,FALSE())</f>
        <v>#N/A</v>
      </c>
      <c r="D16" s="102">
        <f t="shared" si="0"/>
        <v>17</v>
      </c>
      <c r="E16" s="179" t="e">
        <f t="shared" si="34"/>
        <v>#N/A</v>
      </c>
      <c r="F16" s="220">
        <f t="shared" si="35"/>
        <v>12</v>
      </c>
      <c r="G16" s="179" t="e">
        <f t="shared" si="36"/>
        <v>#N/A</v>
      </c>
      <c r="H16" s="178">
        <f t="shared" si="37"/>
        <v>-6</v>
      </c>
      <c r="I16" s="179" t="e">
        <f t="shared" si="38"/>
        <v>#N/A</v>
      </c>
      <c r="J16" s="105"/>
      <c r="K16" s="105"/>
      <c r="L16" s="181">
        <f t="shared" si="39"/>
        <v>0</v>
      </c>
      <c r="M16" s="106"/>
      <c r="N16" s="106"/>
      <c r="O16" s="182">
        <f t="shared" si="1"/>
        <v>0</v>
      </c>
      <c r="P16" s="107"/>
      <c r="Q16" s="107"/>
      <c r="R16" s="183">
        <f t="shared" si="2"/>
        <v>0</v>
      </c>
      <c r="S16" s="108"/>
      <c r="T16" s="108"/>
      <c r="U16" s="184">
        <f t="shared" si="3"/>
        <v>0</v>
      </c>
      <c r="V16" s="109"/>
      <c r="W16" s="109"/>
      <c r="X16" s="185">
        <f t="shared" si="4"/>
        <v>0</v>
      </c>
      <c r="Y16" s="110">
        <v>1</v>
      </c>
      <c r="Z16" s="110">
        <v>1</v>
      </c>
      <c r="AA16" s="186">
        <f t="shared" si="5"/>
        <v>0</v>
      </c>
      <c r="AB16" s="111">
        <v>1</v>
      </c>
      <c r="AC16" s="111"/>
      <c r="AD16" s="187">
        <f t="shared" si="6"/>
        <v>-1</v>
      </c>
      <c r="AE16" s="176"/>
      <c r="AF16" s="176"/>
      <c r="AG16" s="188">
        <f t="shared" si="7"/>
        <v>0</v>
      </c>
      <c r="AH16" s="112"/>
      <c r="AI16" s="112"/>
      <c r="AJ16" s="189">
        <f t="shared" si="8"/>
        <v>0</v>
      </c>
      <c r="AK16" s="113">
        <v>2</v>
      </c>
      <c r="AL16" s="113"/>
      <c r="AM16" s="190">
        <f t="shared" si="9"/>
        <v>-2</v>
      </c>
      <c r="AN16" s="114"/>
      <c r="AO16" s="114"/>
      <c r="AP16" s="191">
        <f t="shared" si="10"/>
        <v>0</v>
      </c>
      <c r="AQ16" s="115"/>
      <c r="AR16" s="115"/>
      <c r="AS16" s="192">
        <f t="shared" si="11"/>
        <v>0</v>
      </c>
      <c r="AT16" s="116"/>
      <c r="AU16" s="116"/>
      <c r="AV16" s="193">
        <f t="shared" si="12"/>
        <v>0</v>
      </c>
      <c r="AW16" s="117">
        <v>2</v>
      </c>
      <c r="AX16" s="117"/>
      <c r="AY16" s="194">
        <f t="shared" si="13"/>
        <v>-2</v>
      </c>
      <c r="AZ16" s="102"/>
      <c r="BA16" s="102"/>
      <c r="BB16" s="195">
        <f t="shared" si="14"/>
        <v>0</v>
      </c>
      <c r="BC16" s="118">
        <v>2</v>
      </c>
      <c r="BD16" s="118">
        <v>2</v>
      </c>
      <c r="BE16" s="196">
        <f t="shared" si="15"/>
        <v>0</v>
      </c>
      <c r="BF16" s="119">
        <v>2</v>
      </c>
      <c r="BG16" s="119">
        <v>2</v>
      </c>
      <c r="BH16" s="197">
        <f t="shared" si="16"/>
        <v>0</v>
      </c>
      <c r="BI16" s="120">
        <v>2</v>
      </c>
      <c r="BJ16" s="120">
        <v>2</v>
      </c>
      <c r="BK16" s="198">
        <f t="shared" si="17"/>
        <v>0</v>
      </c>
      <c r="BL16" s="121">
        <v>2</v>
      </c>
      <c r="BM16" s="121"/>
      <c r="BN16" s="199">
        <f t="shared" si="18"/>
        <v>-2</v>
      </c>
      <c r="BO16" s="122">
        <v>1</v>
      </c>
      <c r="BP16" s="122">
        <v>1</v>
      </c>
      <c r="BQ16" s="200">
        <f t="shared" si="19"/>
        <v>0</v>
      </c>
      <c r="BR16" s="123">
        <v>1</v>
      </c>
      <c r="BS16" s="123">
        <v>1</v>
      </c>
      <c r="BT16" s="201">
        <f t="shared" si="20"/>
        <v>0</v>
      </c>
      <c r="BU16" s="124">
        <v>1</v>
      </c>
      <c r="BV16" s="124">
        <v>1</v>
      </c>
      <c r="BW16" s="202">
        <f t="shared" si="21"/>
        <v>0</v>
      </c>
      <c r="BX16" s="125"/>
      <c r="BY16" s="125">
        <v>1</v>
      </c>
      <c r="BZ16" s="203">
        <f t="shared" si="22"/>
        <v>1</v>
      </c>
      <c r="CA16" s="126"/>
      <c r="CB16" s="126"/>
      <c r="CC16" s="204">
        <f t="shared" si="23"/>
        <v>0</v>
      </c>
      <c r="CD16" s="127"/>
      <c r="CE16" s="127"/>
      <c r="CF16" s="205">
        <f t="shared" si="24"/>
        <v>0</v>
      </c>
      <c r="CG16" s="128"/>
      <c r="CH16" s="128"/>
      <c r="CI16" s="206">
        <f t="shared" si="25"/>
        <v>0</v>
      </c>
      <c r="CJ16" s="129"/>
      <c r="CK16" s="129"/>
      <c r="CL16" s="129">
        <f t="shared" si="26"/>
        <v>0</v>
      </c>
      <c r="CM16" s="131"/>
      <c r="CN16" s="131"/>
      <c r="CO16" s="207">
        <f t="shared" si="27"/>
        <v>0</v>
      </c>
      <c r="CP16" s="172"/>
      <c r="CQ16" s="172"/>
      <c r="CR16" s="172">
        <f t="shared" si="28"/>
        <v>0</v>
      </c>
      <c r="CS16" s="173"/>
      <c r="CT16" s="173"/>
      <c r="CU16" s="214">
        <f t="shared" si="29"/>
        <v>0</v>
      </c>
      <c r="CV16" s="174"/>
      <c r="CW16" s="174"/>
      <c r="CX16" s="174">
        <f t="shared" si="30"/>
        <v>0</v>
      </c>
      <c r="CY16" s="175"/>
      <c r="CZ16" s="175"/>
      <c r="DA16" s="216">
        <f t="shared" si="31"/>
        <v>0</v>
      </c>
      <c r="DB16" s="102"/>
      <c r="DC16" s="102"/>
      <c r="DD16" s="195">
        <f t="shared" si="32"/>
        <v>0</v>
      </c>
      <c r="DE16" s="102"/>
      <c r="DF16" s="102"/>
      <c r="DG16" s="195">
        <f t="shared" si="33"/>
        <v>0</v>
      </c>
    </row>
    <row r="17" spans="1:111" s="177" customFormat="1" ht="11.25" x14ac:dyDescent="0.25">
      <c r="A17" s="171"/>
      <c r="B17" s="178"/>
      <c r="C17" s="102" t="e">
        <f>VLOOKUP(A17,Parts!$A$2:$AE$189,11,FALSE())</f>
        <v>#N/A</v>
      </c>
      <c r="D17" s="102">
        <f t="shared" si="0"/>
        <v>10</v>
      </c>
      <c r="E17" s="179" t="e">
        <f t="shared" si="34"/>
        <v>#N/A</v>
      </c>
      <c r="F17" s="220">
        <f t="shared" si="35"/>
        <v>10</v>
      </c>
      <c r="G17" s="179" t="e">
        <f t="shared" si="36"/>
        <v>#N/A</v>
      </c>
      <c r="H17" s="178">
        <f t="shared" si="37"/>
        <v>-1</v>
      </c>
      <c r="I17" s="179" t="e">
        <f t="shared" si="38"/>
        <v>#N/A</v>
      </c>
      <c r="J17" s="105"/>
      <c r="K17" s="105"/>
      <c r="L17" s="181">
        <f t="shared" si="39"/>
        <v>0</v>
      </c>
      <c r="M17" s="106"/>
      <c r="N17" s="106"/>
      <c r="O17" s="182">
        <f t="shared" si="1"/>
        <v>0</v>
      </c>
      <c r="P17" s="107"/>
      <c r="Q17" s="107"/>
      <c r="R17" s="183">
        <f t="shared" si="2"/>
        <v>0</v>
      </c>
      <c r="S17" s="108"/>
      <c r="T17" s="108"/>
      <c r="U17" s="184">
        <f t="shared" si="3"/>
        <v>0</v>
      </c>
      <c r="V17" s="109"/>
      <c r="W17" s="109"/>
      <c r="X17" s="185">
        <f t="shared" si="4"/>
        <v>0</v>
      </c>
      <c r="Y17" s="110">
        <v>1</v>
      </c>
      <c r="Z17" s="110"/>
      <c r="AA17" s="186">
        <f t="shared" si="5"/>
        <v>-1</v>
      </c>
      <c r="AB17" s="111">
        <v>1</v>
      </c>
      <c r="AC17" s="111"/>
      <c r="AD17" s="187">
        <f t="shared" si="6"/>
        <v>-1</v>
      </c>
      <c r="AE17" s="176"/>
      <c r="AF17" s="176"/>
      <c r="AG17" s="188">
        <f t="shared" si="7"/>
        <v>0</v>
      </c>
      <c r="AH17" s="112"/>
      <c r="AI17" s="112"/>
      <c r="AJ17" s="189">
        <f t="shared" si="8"/>
        <v>0</v>
      </c>
      <c r="AK17" s="113"/>
      <c r="AL17" s="113"/>
      <c r="AM17" s="190">
        <f t="shared" si="9"/>
        <v>0</v>
      </c>
      <c r="AN17" s="114"/>
      <c r="AO17" s="114"/>
      <c r="AP17" s="191">
        <f t="shared" si="10"/>
        <v>0</v>
      </c>
      <c r="AQ17" s="115"/>
      <c r="AR17" s="115"/>
      <c r="AS17" s="192">
        <f t="shared" si="11"/>
        <v>0</v>
      </c>
      <c r="AT17" s="116"/>
      <c r="AU17" s="116"/>
      <c r="AV17" s="193">
        <f t="shared" si="12"/>
        <v>0</v>
      </c>
      <c r="AW17" s="117">
        <v>1</v>
      </c>
      <c r="AX17" s="117"/>
      <c r="AY17" s="194">
        <f t="shared" si="13"/>
        <v>-1</v>
      </c>
      <c r="AZ17" s="102"/>
      <c r="BA17" s="102"/>
      <c r="BB17" s="195">
        <f t="shared" si="14"/>
        <v>0</v>
      </c>
      <c r="BC17" s="118">
        <v>1</v>
      </c>
      <c r="BD17" s="118"/>
      <c r="BE17" s="196">
        <f t="shared" si="15"/>
        <v>-1</v>
      </c>
      <c r="BF17" s="119">
        <v>1</v>
      </c>
      <c r="BG17" s="119"/>
      <c r="BH17" s="197">
        <f t="shared" si="16"/>
        <v>-1</v>
      </c>
      <c r="BI17" s="120">
        <v>1</v>
      </c>
      <c r="BJ17" s="120"/>
      <c r="BK17" s="198">
        <f t="shared" si="17"/>
        <v>-1</v>
      </c>
      <c r="BL17" s="121">
        <v>1</v>
      </c>
      <c r="BM17" s="121"/>
      <c r="BN17" s="199">
        <f t="shared" si="18"/>
        <v>-1</v>
      </c>
      <c r="BO17" s="122">
        <v>1</v>
      </c>
      <c r="BP17" s="122">
        <v>1</v>
      </c>
      <c r="BQ17" s="200">
        <f t="shared" si="19"/>
        <v>0</v>
      </c>
      <c r="BR17" s="123">
        <v>1</v>
      </c>
      <c r="BS17" s="123">
        <v>1</v>
      </c>
      <c r="BT17" s="201">
        <f t="shared" si="20"/>
        <v>0</v>
      </c>
      <c r="BU17" s="124">
        <v>1</v>
      </c>
      <c r="BV17" s="124">
        <v>1</v>
      </c>
      <c r="BW17" s="202">
        <f t="shared" si="21"/>
        <v>0</v>
      </c>
      <c r="BX17" s="125"/>
      <c r="BY17" s="125">
        <v>1</v>
      </c>
      <c r="BZ17" s="203">
        <f t="shared" si="22"/>
        <v>1</v>
      </c>
      <c r="CA17" s="126"/>
      <c r="CB17" s="126"/>
      <c r="CC17" s="204">
        <f t="shared" si="23"/>
        <v>0</v>
      </c>
      <c r="CD17" s="127"/>
      <c r="CE17" s="127"/>
      <c r="CF17" s="205">
        <f t="shared" si="24"/>
        <v>0</v>
      </c>
      <c r="CG17" s="128"/>
      <c r="CH17" s="128"/>
      <c r="CI17" s="206">
        <f t="shared" si="25"/>
        <v>0</v>
      </c>
      <c r="CJ17" s="129"/>
      <c r="CK17" s="129"/>
      <c r="CL17" s="129">
        <f t="shared" si="26"/>
        <v>0</v>
      </c>
      <c r="CM17" s="131"/>
      <c r="CN17" s="131">
        <v>1</v>
      </c>
      <c r="CO17" s="207">
        <f t="shared" si="27"/>
        <v>1</v>
      </c>
      <c r="CP17" s="172"/>
      <c r="CQ17" s="172">
        <v>1</v>
      </c>
      <c r="CR17" s="172">
        <f t="shared" si="28"/>
        <v>1</v>
      </c>
      <c r="CS17" s="173"/>
      <c r="CT17" s="173">
        <v>1</v>
      </c>
      <c r="CU17" s="214">
        <f t="shared" si="29"/>
        <v>1</v>
      </c>
      <c r="CV17" s="174"/>
      <c r="CW17" s="174">
        <v>1</v>
      </c>
      <c r="CX17" s="174">
        <f t="shared" si="30"/>
        <v>1</v>
      </c>
      <c r="CY17" s="175"/>
      <c r="CZ17" s="175">
        <v>1</v>
      </c>
      <c r="DA17" s="216">
        <f t="shared" si="31"/>
        <v>1</v>
      </c>
      <c r="DB17" s="102"/>
      <c r="DC17" s="102"/>
      <c r="DD17" s="195">
        <f t="shared" si="32"/>
        <v>0</v>
      </c>
      <c r="DE17" s="102"/>
      <c r="DF17" s="102"/>
      <c r="DG17" s="195">
        <f t="shared" si="33"/>
        <v>0</v>
      </c>
    </row>
    <row r="18" spans="1:111" s="177" customFormat="1" ht="11.25" x14ac:dyDescent="0.25">
      <c r="A18" s="171"/>
      <c r="B18" s="178"/>
      <c r="C18" s="102" t="e">
        <f>VLOOKUP(A18,Parts!$A$2:$AE$189,11,FALSE())</f>
        <v>#N/A</v>
      </c>
      <c r="D18" s="102">
        <f t="shared" si="0"/>
        <v>22</v>
      </c>
      <c r="E18" s="179" t="e">
        <f t="shared" si="34"/>
        <v>#N/A</v>
      </c>
      <c r="F18" s="220">
        <f t="shared" si="35"/>
        <v>12</v>
      </c>
      <c r="G18" s="179" t="e">
        <f t="shared" si="36"/>
        <v>#N/A</v>
      </c>
      <c r="H18" s="178">
        <f t="shared" si="37"/>
        <v>-11</v>
      </c>
      <c r="I18" s="179" t="e">
        <f t="shared" si="38"/>
        <v>#N/A</v>
      </c>
      <c r="J18" s="105"/>
      <c r="K18" s="105"/>
      <c r="L18" s="181">
        <f t="shared" si="39"/>
        <v>0</v>
      </c>
      <c r="M18" s="106"/>
      <c r="N18" s="106"/>
      <c r="O18" s="182">
        <f t="shared" si="1"/>
        <v>0</v>
      </c>
      <c r="P18" s="107"/>
      <c r="Q18" s="107"/>
      <c r="R18" s="183">
        <f t="shared" si="2"/>
        <v>0</v>
      </c>
      <c r="S18" s="108"/>
      <c r="T18" s="108"/>
      <c r="U18" s="184">
        <f t="shared" si="3"/>
        <v>0</v>
      </c>
      <c r="V18" s="109">
        <v>2</v>
      </c>
      <c r="W18" s="109"/>
      <c r="X18" s="185">
        <f t="shared" si="4"/>
        <v>-2</v>
      </c>
      <c r="Y18" s="110">
        <v>1</v>
      </c>
      <c r="Z18" s="110">
        <v>1</v>
      </c>
      <c r="AA18" s="186">
        <f t="shared" si="5"/>
        <v>0</v>
      </c>
      <c r="AB18" s="111">
        <v>1</v>
      </c>
      <c r="AC18" s="111"/>
      <c r="AD18" s="187">
        <f t="shared" si="6"/>
        <v>-1</v>
      </c>
      <c r="AE18" s="176"/>
      <c r="AF18" s="176"/>
      <c r="AG18" s="188">
        <f t="shared" si="7"/>
        <v>0</v>
      </c>
      <c r="AH18" s="112"/>
      <c r="AI18" s="112"/>
      <c r="AJ18" s="189">
        <f t="shared" si="8"/>
        <v>0</v>
      </c>
      <c r="AK18" s="113">
        <v>5</v>
      </c>
      <c r="AL18" s="113"/>
      <c r="AM18" s="190">
        <f t="shared" si="9"/>
        <v>-5</v>
      </c>
      <c r="AN18" s="114"/>
      <c r="AO18" s="114"/>
      <c r="AP18" s="191">
        <f t="shared" si="10"/>
        <v>0</v>
      </c>
      <c r="AQ18" s="115"/>
      <c r="AR18" s="115"/>
      <c r="AS18" s="192">
        <f t="shared" si="11"/>
        <v>0</v>
      </c>
      <c r="AT18" s="116"/>
      <c r="AU18" s="116"/>
      <c r="AV18" s="193">
        <f t="shared" si="12"/>
        <v>0</v>
      </c>
      <c r="AW18" s="117">
        <v>1</v>
      </c>
      <c r="AX18" s="117"/>
      <c r="AY18" s="194">
        <f t="shared" si="13"/>
        <v>-1</v>
      </c>
      <c r="AZ18" s="102"/>
      <c r="BA18" s="102"/>
      <c r="BB18" s="195">
        <f t="shared" si="14"/>
        <v>0</v>
      </c>
      <c r="BC18" s="118">
        <v>1</v>
      </c>
      <c r="BD18" s="118">
        <v>2</v>
      </c>
      <c r="BE18" s="196">
        <f t="shared" si="15"/>
        <v>1</v>
      </c>
      <c r="BF18" s="119">
        <v>2</v>
      </c>
      <c r="BG18" s="119">
        <v>2</v>
      </c>
      <c r="BH18" s="197">
        <f t="shared" si="16"/>
        <v>0</v>
      </c>
      <c r="BI18" s="120">
        <v>5</v>
      </c>
      <c r="BJ18" s="120">
        <v>2</v>
      </c>
      <c r="BK18" s="198">
        <f t="shared" si="17"/>
        <v>-3</v>
      </c>
      <c r="BL18" s="121">
        <v>1</v>
      </c>
      <c r="BM18" s="121"/>
      <c r="BN18" s="199">
        <f t="shared" si="18"/>
        <v>-1</v>
      </c>
      <c r="BO18" s="122">
        <v>1</v>
      </c>
      <c r="BP18" s="122">
        <v>1</v>
      </c>
      <c r="BQ18" s="200">
        <f t="shared" si="19"/>
        <v>0</v>
      </c>
      <c r="BR18" s="123">
        <v>1</v>
      </c>
      <c r="BS18" s="123">
        <v>1</v>
      </c>
      <c r="BT18" s="201">
        <f t="shared" si="20"/>
        <v>0</v>
      </c>
      <c r="BU18" s="124">
        <v>1</v>
      </c>
      <c r="BV18" s="124">
        <v>1</v>
      </c>
      <c r="BW18" s="202">
        <f t="shared" si="21"/>
        <v>0</v>
      </c>
      <c r="BX18" s="125"/>
      <c r="BY18" s="125">
        <v>1</v>
      </c>
      <c r="BZ18" s="203">
        <f t="shared" si="22"/>
        <v>1</v>
      </c>
      <c r="CA18" s="126"/>
      <c r="CB18" s="126"/>
      <c r="CC18" s="204">
        <f t="shared" si="23"/>
        <v>0</v>
      </c>
      <c r="CD18" s="127"/>
      <c r="CE18" s="127"/>
      <c r="CF18" s="205">
        <f t="shared" si="24"/>
        <v>0</v>
      </c>
      <c r="CG18" s="128"/>
      <c r="CH18" s="128"/>
      <c r="CI18" s="206">
        <f t="shared" si="25"/>
        <v>0</v>
      </c>
      <c r="CJ18" s="129"/>
      <c r="CK18" s="129"/>
      <c r="CL18" s="129">
        <f t="shared" si="26"/>
        <v>0</v>
      </c>
      <c r="CM18" s="131"/>
      <c r="CN18" s="131"/>
      <c r="CO18" s="207">
        <f t="shared" si="27"/>
        <v>0</v>
      </c>
      <c r="CP18" s="172"/>
      <c r="CQ18" s="172"/>
      <c r="CR18" s="172">
        <f t="shared" si="28"/>
        <v>0</v>
      </c>
      <c r="CS18" s="173"/>
      <c r="CT18" s="173"/>
      <c r="CU18" s="214">
        <f t="shared" si="29"/>
        <v>0</v>
      </c>
      <c r="CV18" s="174"/>
      <c r="CW18" s="174"/>
      <c r="CX18" s="174">
        <f t="shared" si="30"/>
        <v>0</v>
      </c>
      <c r="CY18" s="175"/>
      <c r="CZ18" s="175"/>
      <c r="DA18" s="216">
        <f t="shared" si="31"/>
        <v>0</v>
      </c>
      <c r="DB18" s="102"/>
      <c r="DC18" s="102"/>
      <c r="DD18" s="195">
        <f t="shared" si="32"/>
        <v>0</v>
      </c>
      <c r="DE18" s="102"/>
      <c r="DF18" s="102"/>
      <c r="DG18" s="195">
        <f t="shared" si="33"/>
        <v>0</v>
      </c>
    </row>
    <row r="19" spans="1:111" s="177" customFormat="1" ht="11.25" x14ac:dyDescent="0.25">
      <c r="A19" s="171"/>
      <c r="B19" s="178"/>
      <c r="C19" s="102" t="e">
        <f>VLOOKUP(A19,Parts!$A$2:$AE$189,11,FALSE())</f>
        <v>#N/A</v>
      </c>
      <c r="D19" s="102">
        <f t="shared" si="0"/>
        <v>17</v>
      </c>
      <c r="E19" s="179" t="e">
        <f t="shared" si="34"/>
        <v>#N/A</v>
      </c>
      <c r="F19" s="220">
        <f t="shared" si="35"/>
        <v>12</v>
      </c>
      <c r="G19" s="179" t="e">
        <f t="shared" si="36"/>
        <v>#N/A</v>
      </c>
      <c r="H19" s="178">
        <f t="shared" si="37"/>
        <v>-6</v>
      </c>
      <c r="I19" s="179" t="e">
        <f t="shared" si="38"/>
        <v>#N/A</v>
      </c>
      <c r="J19" s="105"/>
      <c r="K19" s="105"/>
      <c r="L19" s="181">
        <f t="shared" si="39"/>
        <v>0</v>
      </c>
      <c r="M19" s="106"/>
      <c r="N19" s="106"/>
      <c r="O19" s="182">
        <f t="shared" si="1"/>
        <v>0</v>
      </c>
      <c r="P19" s="107"/>
      <c r="Q19" s="107"/>
      <c r="R19" s="183">
        <f t="shared" si="2"/>
        <v>0</v>
      </c>
      <c r="S19" s="108"/>
      <c r="T19" s="108"/>
      <c r="U19" s="184">
        <f t="shared" si="3"/>
        <v>0</v>
      </c>
      <c r="V19" s="109">
        <v>2</v>
      </c>
      <c r="W19" s="109"/>
      <c r="X19" s="185">
        <f t="shared" si="4"/>
        <v>-2</v>
      </c>
      <c r="Y19" s="110">
        <v>1</v>
      </c>
      <c r="Z19" s="110">
        <v>1</v>
      </c>
      <c r="AA19" s="186">
        <f t="shared" si="5"/>
        <v>0</v>
      </c>
      <c r="AB19" s="111">
        <v>1</v>
      </c>
      <c r="AC19" s="111"/>
      <c r="AD19" s="187">
        <f t="shared" si="6"/>
        <v>-1</v>
      </c>
      <c r="AE19" s="176"/>
      <c r="AF19" s="176"/>
      <c r="AG19" s="188">
        <f t="shared" si="7"/>
        <v>0</v>
      </c>
      <c r="AH19" s="112"/>
      <c r="AI19" s="112"/>
      <c r="AJ19" s="189">
        <f t="shared" si="8"/>
        <v>0</v>
      </c>
      <c r="AK19" s="113">
        <v>1</v>
      </c>
      <c r="AL19" s="113"/>
      <c r="AM19" s="190">
        <f t="shared" si="9"/>
        <v>-1</v>
      </c>
      <c r="AN19" s="114"/>
      <c r="AO19" s="114"/>
      <c r="AP19" s="191">
        <f t="shared" si="10"/>
        <v>0</v>
      </c>
      <c r="AQ19" s="115"/>
      <c r="AR19" s="115"/>
      <c r="AS19" s="192">
        <f t="shared" si="11"/>
        <v>0</v>
      </c>
      <c r="AT19" s="116"/>
      <c r="AU19" s="116"/>
      <c r="AV19" s="193">
        <f t="shared" si="12"/>
        <v>0</v>
      </c>
      <c r="AW19" s="117">
        <v>1</v>
      </c>
      <c r="AX19" s="117"/>
      <c r="AY19" s="194">
        <f t="shared" si="13"/>
        <v>-1</v>
      </c>
      <c r="AZ19" s="102"/>
      <c r="BA19" s="102"/>
      <c r="BB19" s="195">
        <f t="shared" si="14"/>
        <v>0</v>
      </c>
      <c r="BC19" s="118">
        <v>1</v>
      </c>
      <c r="BD19" s="118">
        <v>2</v>
      </c>
      <c r="BE19" s="196">
        <f t="shared" si="15"/>
        <v>1</v>
      </c>
      <c r="BF19" s="119">
        <v>2</v>
      </c>
      <c r="BG19" s="119">
        <v>2</v>
      </c>
      <c r="BH19" s="197">
        <f t="shared" si="16"/>
        <v>0</v>
      </c>
      <c r="BI19" s="120">
        <v>2</v>
      </c>
      <c r="BJ19" s="120">
        <v>2</v>
      </c>
      <c r="BK19" s="198">
        <f t="shared" si="17"/>
        <v>0</v>
      </c>
      <c r="BL19" s="121">
        <v>2</v>
      </c>
      <c r="BM19" s="121"/>
      <c r="BN19" s="199">
        <f t="shared" si="18"/>
        <v>-2</v>
      </c>
      <c r="BO19" s="122">
        <v>1</v>
      </c>
      <c r="BP19" s="122">
        <v>1</v>
      </c>
      <c r="BQ19" s="200">
        <f t="shared" si="19"/>
        <v>0</v>
      </c>
      <c r="BR19" s="123">
        <v>1</v>
      </c>
      <c r="BS19" s="123">
        <v>1</v>
      </c>
      <c r="BT19" s="201">
        <f t="shared" si="20"/>
        <v>0</v>
      </c>
      <c r="BU19" s="124">
        <v>2</v>
      </c>
      <c r="BV19" s="124">
        <v>1</v>
      </c>
      <c r="BW19" s="202">
        <f t="shared" si="21"/>
        <v>-1</v>
      </c>
      <c r="BX19" s="125"/>
      <c r="BY19" s="125">
        <v>1</v>
      </c>
      <c r="BZ19" s="203">
        <f t="shared" si="22"/>
        <v>1</v>
      </c>
      <c r="CA19" s="126"/>
      <c r="CB19" s="126"/>
      <c r="CC19" s="204">
        <f t="shared" si="23"/>
        <v>0</v>
      </c>
      <c r="CD19" s="127"/>
      <c r="CE19" s="127"/>
      <c r="CF19" s="205">
        <f t="shared" si="24"/>
        <v>0</v>
      </c>
      <c r="CG19" s="128"/>
      <c r="CH19" s="128"/>
      <c r="CI19" s="206">
        <f t="shared" si="25"/>
        <v>0</v>
      </c>
      <c r="CJ19" s="129"/>
      <c r="CK19" s="129"/>
      <c r="CL19" s="129">
        <f t="shared" si="26"/>
        <v>0</v>
      </c>
      <c r="CM19" s="131"/>
      <c r="CN19" s="131"/>
      <c r="CO19" s="207">
        <f t="shared" si="27"/>
        <v>0</v>
      </c>
      <c r="CP19" s="172"/>
      <c r="CQ19" s="172"/>
      <c r="CR19" s="172">
        <f t="shared" si="28"/>
        <v>0</v>
      </c>
      <c r="CS19" s="173"/>
      <c r="CT19" s="173"/>
      <c r="CU19" s="214">
        <f t="shared" si="29"/>
        <v>0</v>
      </c>
      <c r="CV19" s="174"/>
      <c r="CW19" s="174"/>
      <c r="CX19" s="174">
        <f t="shared" si="30"/>
        <v>0</v>
      </c>
      <c r="CY19" s="175"/>
      <c r="CZ19" s="175"/>
      <c r="DA19" s="216">
        <f t="shared" si="31"/>
        <v>0</v>
      </c>
      <c r="DB19" s="102"/>
      <c r="DC19" s="102"/>
      <c r="DD19" s="195">
        <f t="shared" si="32"/>
        <v>0</v>
      </c>
      <c r="DE19" s="102"/>
      <c r="DF19" s="102"/>
      <c r="DG19" s="195">
        <f t="shared" si="33"/>
        <v>0</v>
      </c>
    </row>
    <row r="20" spans="1:111" s="177" customFormat="1" ht="11.25" x14ac:dyDescent="0.25">
      <c r="A20" s="171"/>
      <c r="B20" s="178"/>
      <c r="C20" s="102" t="e">
        <f>VLOOKUP(A20,Parts!$A$2:$AE$189,11,FALSE())</f>
        <v>#N/A</v>
      </c>
      <c r="D20" s="102">
        <f t="shared" si="0"/>
        <v>14</v>
      </c>
      <c r="E20" s="179" t="e">
        <f t="shared" si="34"/>
        <v>#N/A</v>
      </c>
      <c r="F20" s="220">
        <f t="shared" si="35"/>
        <v>12</v>
      </c>
      <c r="G20" s="179" t="e">
        <f t="shared" si="36"/>
        <v>#N/A</v>
      </c>
      <c r="H20" s="178">
        <f t="shared" si="37"/>
        <v>-3</v>
      </c>
      <c r="I20" s="179" t="e">
        <f t="shared" si="38"/>
        <v>#N/A</v>
      </c>
      <c r="J20" s="105"/>
      <c r="K20" s="105"/>
      <c r="L20" s="181">
        <f t="shared" si="39"/>
        <v>0</v>
      </c>
      <c r="M20" s="106"/>
      <c r="N20" s="106"/>
      <c r="O20" s="182">
        <f t="shared" si="1"/>
        <v>0</v>
      </c>
      <c r="P20" s="107"/>
      <c r="Q20" s="107"/>
      <c r="R20" s="183">
        <f t="shared" si="2"/>
        <v>0</v>
      </c>
      <c r="S20" s="108"/>
      <c r="T20" s="108"/>
      <c r="U20" s="184">
        <f t="shared" si="3"/>
        <v>0</v>
      </c>
      <c r="V20" s="109">
        <v>2</v>
      </c>
      <c r="W20" s="109"/>
      <c r="X20" s="185">
        <f t="shared" si="4"/>
        <v>-2</v>
      </c>
      <c r="Y20" s="110">
        <v>1</v>
      </c>
      <c r="Z20" s="110">
        <v>1</v>
      </c>
      <c r="AA20" s="186">
        <f t="shared" si="5"/>
        <v>0</v>
      </c>
      <c r="AB20" s="111">
        <v>1</v>
      </c>
      <c r="AC20" s="111"/>
      <c r="AD20" s="187">
        <f t="shared" si="6"/>
        <v>-1</v>
      </c>
      <c r="AE20" s="176"/>
      <c r="AF20" s="176"/>
      <c r="AG20" s="188">
        <f t="shared" si="7"/>
        <v>0</v>
      </c>
      <c r="AH20" s="112"/>
      <c r="AI20" s="112"/>
      <c r="AJ20" s="189">
        <f t="shared" si="8"/>
        <v>0</v>
      </c>
      <c r="AK20" s="113">
        <v>1</v>
      </c>
      <c r="AL20" s="113"/>
      <c r="AM20" s="190">
        <f t="shared" si="9"/>
        <v>-1</v>
      </c>
      <c r="AN20" s="114"/>
      <c r="AO20" s="114"/>
      <c r="AP20" s="191">
        <f t="shared" si="10"/>
        <v>0</v>
      </c>
      <c r="AQ20" s="115"/>
      <c r="AR20" s="115"/>
      <c r="AS20" s="192">
        <f t="shared" si="11"/>
        <v>0</v>
      </c>
      <c r="AT20" s="116"/>
      <c r="AU20" s="116"/>
      <c r="AV20" s="193">
        <f t="shared" si="12"/>
        <v>0</v>
      </c>
      <c r="AW20" s="117">
        <v>1</v>
      </c>
      <c r="AX20" s="117"/>
      <c r="AY20" s="194">
        <f t="shared" si="13"/>
        <v>-1</v>
      </c>
      <c r="AZ20" s="102"/>
      <c r="BA20" s="102"/>
      <c r="BB20" s="195">
        <f t="shared" si="14"/>
        <v>0</v>
      </c>
      <c r="BC20" s="118">
        <v>1</v>
      </c>
      <c r="BD20" s="118">
        <v>2</v>
      </c>
      <c r="BE20" s="196">
        <f t="shared" si="15"/>
        <v>1</v>
      </c>
      <c r="BF20" s="119">
        <v>2</v>
      </c>
      <c r="BG20" s="119">
        <v>2</v>
      </c>
      <c r="BH20" s="197">
        <f t="shared" si="16"/>
        <v>0</v>
      </c>
      <c r="BI20" s="120">
        <v>2</v>
      </c>
      <c r="BJ20" s="120">
        <v>2</v>
      </c>
      <c r="BK20" s="198">
        <f t="shared" si="17"/>
        <v>0</v>
      </c>
      <c r="BL20" s="121">
        <v>1</v>
      </c>
      <c r="BM20" s="121"/>
      <c r="BN20" s="199">
        <f t="shared" si="18"/>
        <v>-1</v>
      </c>
      <c r="BO20" s="122"/>
      <c r="BP20" s="122">
        <v>1</v>
      </c>
      <c r="BQ20" s="200">
        <f t="shared" si="19"/>
        <v>1</v>
      </c>
      <c r="BR20" s="123">
        <v>1</v>
      </c>
      <c r="BS20" s="123">
        <v>1</v>
      </c>
      <c r="BT20" s="201">
        <f t="shared" si="20"/>
        <v>0</v>
      </c>
      <c r="BU20" s="124">
        <v>1</v>
      </c>
      <c r="BV20" s="124">
        <v>1</v>
      </c>
      <c r="BW20" s="202">
        <f t="shared" si="21"/>
        <v>0</v>
      </c>
      <c r="BX20" s="125"/>
      <c r="BY20" s="125">
        <v>1</v>
      </c>
      <c r="BZ20" s="203">
        <f t="shared" si="22"/>
        <v>1</v>
      </c>
      <c r="CA20" s="126"/>
      <c r="CB20" s="126"/>
      <c r="CC20" s="204">
        <f t="shared" si="23"/>
        <v>0</v>
      </c>
      <c r="CD20" s="127"/>
      <c r="CE20" s="127"/>
      <c r="CF20" s="205">
        <f t="shared" si="24"/>
        <v>0</v>
      </c>
      <c r="CG20" s="128"/>
      <c r="CH20" s="128"/>
      <c r="CI20" s="206">
        <f t="shared" si="25"/>
        <v>0</v>
      </c>
      <c r="CJ20" s="129"/>
      <c r="CK20" s="129"/>
      <c r="CL20" s="129">
        <f t="shared" si="26"/>
        <v>0</v>
      </c>
      <c r="CM20" s="131"/>
      <c r="CN20" s="131"/>
      <c r="CO20" s="207">
        <f t="shared" si="27"/>
        <v>0</v>
      </c>
      <c r="CP20" s="172"/>
      <c r="CQ20" s="172"/>
      <c r="CR20" s="172">
        <f t="shared" si="28"/>
        <v>0</v>
      </c>
      <c r="CS20" s="173"/>
      <c r="CT20" s="173"/>
      <c r="CU20" s="214">
        <f t="shared" si="29"/>
        <v>0</v>
      </c>
      <c r="CV20" s="174"/>
      <c r="CW20" s="174"/>
      <c r="CX20" s="174">
        <f t="shared" si="30"/>
        <v>0</v>
      </c>
      <c r="CY20" s="175"/>
      <c r="CZ20" s="175"/>
      <c r="DA20" s="216">
        <f t="shared" si="31"/>
        <v>0</v>
      </c>
      <c r="DB20" s="102"/>
      <c r="DC20" s="102"/>
      <c r="DD20" s="195">
        <f t="shared" si="32"/>
        <v>0</v>
      </c>
      <c r="DE20" s="102"/>
      <c r="DF20" s="102"/>
      <c r="DG20" s="195">
        <f t="shared" si="33"/>
        <v>0</v>
      </c>
    </row>
    <row r="21" spans="1:111" s="177" customFormat="1" ht="11.25" x14ac:dyDescent="0.25">
      <c r="A21" s="171"/>
      <c r="B21" s="178"/>
      <c r="C21" s="102" t="e">
        <f>VLOOKUP(A21,Parts!$A$2:$AE$189,11,FALSE())</f>
        <v>#N/A</v>
      </c>
      <c r="D21" s="102">
        <f t="shared" si="0"/>
        <v>41</v>
      </c>
      <c r="E21" s="179" t="e">
        <f t="shared" si="34"/>
        <v>#N/A</v>
      </c>
      <c r="F21" s="220">
        <f t="shared" si="35"/>
        <v>0</v>
      </c>
      <c r="G21" s="179" t="e">
        <f t="shared" si="36"/>
        <v>#N/A</v>
      </c>
      <c r="H21" s="178">
        <f t="shared" si="37"/>
        <v>-41</v>
      </c>
      <c r="I21" s="179" t="e">
        <f t="shared" si="38"/>
        <v>#N/A</v>
      </c>
      <c r="J21" s="105"/>
      <c r="K21" s="105"/>
      <c r="L21" s="181">
        <f t="shared" si="39"/>
        <v>0</v>
      </c>
      <c r="M21" s="106"/>
      <c r="N21" s="106"/>
      <c r="O21" s="182">
        <f t="shared" si="1"/>
        <v>0</v>
      </c>
      <c r="P21" s="107"/>
      <c r="Q21" s="107"/>
      <c r="R21" s="183">
        <f t="shared" si="2"/>
        <v>0</v>
      </c>
      <c r="S21" s="108"/>
      <c r="T21" s="108"/>
      <c r="U21" s="184">
        <f t="shared" si="3"/>
        <v>0</v>
      </c>
      <c r="V21" s="109">
        <v>3</v>
      </c>
      <c r="W21" s="109"/>
      <c r="X21" s="185">
        <f t="shared" si="4"/>
        <v>-3</v>
      </c>
      <c r="Y21" s="110">
        <v>3</v>
      </c>
      <c r="Z21" s="110"/>
      <c r="AA21" s="186">
        <f t="shared" si="5"/>
        <v>-3</v>
      </c>
      <c r="AB21" s="111">
        <v>3</v>
      </c>
      <c r="AC21" s="111"/>
      <c r="AD21" s="187">
        <f t="shared" si="6"/>
        <v>-3</v>
      </c>
      <c r="AE21" s="176"/>
      <c r="AF21" s="176"/>
      <c r="AG21" s="188">
        <f t="shared" si="7"/>
        <v>0</v>
      </c>
      <c r="AH21" s="112"/>
      <c r="AI21" s="112"/>
      <c r="AJ21" s="189">
        <f t="shared" si="8"/>
        <v>0</v>
      </c>
      <c r="AK21" s="113">
        <v>3</v>
      </c>
      <c r="AL21" s="113"/>
      <c r="AM21" s="190">
        <f t="shared" si="9"/>
        <v>-3</v>
      </c>
      <c r="AN21" s="114"/>
      <c r="AO21" s="114"/>
      <c r="AP21" s="191">
        <f t="shared" si="10"/>
        <v>0</v>
      </c>
      <c r="AQ21" s="115"/>
      <c r="AR21" s="115"/>
      <c r="AS21" s="192">
        <f t="shared" si="11"/>
        <v>0</v>
      </c>
      <c r="AT21" s="116"/>
      <c r="AU21" s="116"/>
      <c r="AV21" s="193">
        <f t="shared" si="12"/>
        <v>0</v>
      </c>
      <c r="AW21" s="117">
        <v>3</v>
      </c>
      <c r="AX21" s="117"/>
      <c r="AY21" s="194">
        <f t="shared" si="13"/>
        <v>-3</v>
      </c>
      <c r="AZ21" s="102"/>
      <c r="BA21" s="102"/>
      <c r="BB21" s="195">
        <f t="shared" si="14"/>
        <v>0</v>
      </c>
      <c r="BC21" s="118">
        <v>6</v>
      </c>
      <c r="BD21" s="118"/>
      <c r="BE21" s="196">
        <f t="shared" si="15"/>
        <v>-6</v>
      </c>
      <c r="BF21" s="119">
        <v>6</v>
      </c>
      <c r="BG21" s="119"/>
      <c r="BH21" s="197">
        <f t="shared" si="16"/>
        <v>-6</v>
      </c>
      <c r="BI21" s="120">
        <v>2</v>
      </c>
      <c r="BJ21" s="120"/>
      <c r="BK21" s="198">
        <f t="shared" si="17"/>
        <v>-2</v>
      </c>
      <c r="BL21" s="121">
        <v>3</v>
      </c>
      <c r="BM21" s="121"/>
      <c r="BN21" s="199">
        <f t="shared" si="18"/>
        <v>-3</v>
      </c>
      <c r="BO21" s="122">
        <v>3</v>
      </c>
      <c r="BP21" s="122"/>
      <c r="BQ21" s="200">
        <f t="shared" si="19"/>
        <v>-3</v>
      </c>
      <c r="BR21" s="123">
        <v>3</v>
      </c>
      <c r="BS21" s="123"/>
      <c r="BT21" s="201">
        <f t="shared" si="20"/>
        <v>-3</v>
      </c>
      <c r="BU21" s="124">
        <v>3</v>
      </c>
      <c r="BV21" s="124"/>
      <c r="BW21" s="202">
        <f t="shared" si="21"/>
        <v>-3</v>
      </c>
      <c r="BX21" s="125"/>
      <c r="BY21" s="125"/>
      <c r="BZ21" s="203">
        <f t="shared" si="22"/>
        <v>0</v>
      </c>
      <c r="CA21" s="126"/>
      <c r="CB21" s="126"/>
      <c r="CC21" s="204">
        <f t="shared" si="23"/>
        <v>0</v>
      </c>
      <c r="CD21" s="127"/>
      <c r="CE21" s="127"/>
      <c r="CF21" s="205">
        <f t="shared" si="24"/>
        <v>0</v>
      </c>
      <c r="CG21" s="128"/>
      <c r="CH21" s="128"/>
      <c r="CI21" s="206">
        <f t="shared" si="25"/>
        <v>0</v>
      </c>
      <c r="CJ21" s="129"/>
      <c r="CK21" s="129"/>
      <c r="CL21" s="129">
        <f t="shared" si="26"/>
        <v>0</v>
      </c>
      <c r="CM21" s="131"/>
      <c r="CN21" s="131"/>
      <c r="CO21" s="207">
        <f t="shared" si="27"/>
        <v>0</v>
      </c>
      <c r="CP21" s="172"/>
      <c r="CQ21" s="172"/>
      <c r="CR21" s="172">
        <f t="shared" si="28"/>
        <v>0</v>
      </c>
      <c r="CS21" s="173"/>
      <c r="CT21" s="173"/>
      <c r="CU21" s="214">
        <f t="shared" si="29"/>
        <v>0</v>
      </c>
      <c r="CV21" s="174"/>
      <c r="CW21" s="174"/>
      <c r="CX21" s="174">
        <f t="shared" si="30"/>
        <v>0</v>
      </c>
      <c r="CY21" s="175"/>
      <c r="CZ21" s="175"/>
      <c r="DA21" s="216">
        <f t="shared" si="31"/>
        <v>0</v>
      </c>
      <c r="DB21" s="102"/>
      <c r="DC21" s="102"/>
      <c r="DD21" s="195">
        <f t="shared" si="32"/>
        <v>0</v>
      </c>
      <c r="DE21" s="102"/>
      <c r="DF21" s="102"/>
      <c r="DG21" s="195">
        <f t="shared" si="33"/>
        <v>0</v>
      </c>
    </row>
    <row r="22" spans="1:111" s="177" customFormat="1" ht="11.25" x14ac:dyDescent="0.25">
      <c r="A22" s="171"/>
      <c r="B22" s="178"/>
      <c r="C22" s="102" t="e">
        <f>VLOOKUP(A22,Parts!$A$2:$AE$189,11,FALSE())</f>
        <v>#N/A</v>
      </c>
      <c r="D22" s="102">
        <f t="shared" si="0"/>
        <v>18</v>
      </c>
      <c r="E22" s="179" t="e">
        <f t="shared" si="34"/>
        <v>#N/A</v>
      </c>
      <c r="F22" s="220">
        <f t="shared" si="35"/>
        <v>31</v>
      </c>
      <c r="G22" s="179" t="e">
        <f t="shared" si="36"/>
        <v>#N/A</v>
      </c>
      <c r="H22" s="178">
        <f t="shared" si="37"/>
        <v>12</v>
      </c>
      <c r="I22" s="179" t="e">
        <f t="shared" si="38"/>
        <v>#N/A</v>
      </c>
      <c r="J22" s="105"/>
      <c r="K22" s="105">
        <v>1</v>
      </c>
      <c r="L22" s="181">
        <f t="shared" si="39"/>
        <v>1</v>
      </c>
      <c r="M22" s="106">
        <v>1</v>
      </c>
      <c r="N22" s="106">
        <v>1</v>
      </c>
      <c r="O22" s="182">
        <f t="shared" si="1"/>
        <v>0</v>
      </c>
      <c r="P22" s="107">
        <v>1</v>
      </c>
      <c r="Q22" s="107">
        <v>1</v>
      </c>
      <c r="R22" s="183">
        <f t="shared" si="2"/>
        <v>0</v>
      </c>
      <c r="S22" s="108"/>
      <c r="T22" s="108">
        <v>1</v>
      </c>
      <c r="U22" s="184">
        <f t="shared" si="3"/>
        <v>1</v>
      </c>
      <c r="V22" s="109">
        <v>1</v>
      </c>
      <c r="W22" s="109">
        <v>1</v>
      </c>
      <c r="X22" s="185">
        <f t="shared" si="4"/>
        <v>0</v>
      </c>
      <c r="Y22" s="110">
        <v>1</v>
      </c>
      <c r="Z22" s="110">
        <v>1</v>
      </c>
      <c r="AA22" s="186">
        <f t="shared" si="5"/>
        <v>0</v>
      </c>
      <c r="AB22" s="111">
        <v>2</v>
      </c>
      <c r="AC22" s="111">
        <v>1</v>
      </c>
      <c r="AD22" s="187">
        <f t="shared" si="6"/>
        <v>-1</v>
      </c>
      <c r="AE22" s="176"/>
      <c r="AF22" s="176">
        <v>1</v>
      </c>
      <c r="AG22" s="188">
        <f t="shared" si="7"/>
        <v>1</v>
      </c>
      <c r="AH22" s="112">
        <v>1</v>
      </c>
      <c r="AI22" s="112">
        <v>1</v>
      </c>
      <c r="AJ22" s="189">
        <f t="shared" si="8"/>
        <v>0</v>
      </c>
      <c r="AK22" s="113">
        <v>2</v>
      </c>
      <c r="AL22" s="113">
        <v>1</v>
      </c>
      <c r="AM22" s="190">
        <f t="shared" si="9"/>
        <v>-1</v>
      </c>
      <c r="AN22" s="114"/>
      <c r="AO22" s="114">
        <v>1</v>
      </c>
      <c r="AP22" s="191">
        <f t="shared" si="10"/>
        <v>1</v>
      </c>
      <c r="AQ22" s="115"/>
      <c r="AR22" s="115">
        <v>1</v>
      </c>
      <c r="AS22" s="192">
        <f t="shared" si="11"/>
        <v>1</v>
      </c>
      <c r="AT22" s="116"/>
      <c r="AU22" s="116">
        <v>1</v>
      </c>
      <c r="AV22" s="193">
        <f t="shared" si="12"/>
        <v>1</v>
      </c>
      <c r="AW22" s="117"/>
      <c r="AX22" s="117">
        <v>1</v>
      </c>
      <c r="AY22" s="194">
        <f t="shared" si="13"/>
        <v>1</v>
      </c>
      <c r="AZ22" s="102"/>
      <c r="BA22" s="102"/>
      <c r="BB22" s="195">
        <f t="shared" si="14"/>
        <v>0</v>
      </c>
      <c r="BC22" s="118"/>
      <c r="BD22" s="118">
        <v>1</v>
      </c>
      <c r="BE22" s="196">
        <f t="shared" si="15"/>
        <v>1</v>
      </c>
      <c r="BF22" s="119">
        <v>2</v>
      </c>
      <c r="BG22" s="119">
        <v>1</v>
      </c>
      <c r="BH22" s="197">
        <f t="shared" si="16"/>
        <v>-1</v>
      </c>
      <c r="BI22" s="120">
        <v>1</v>
      </c>
      <c r="BJ22" s="120">
        <v>1</v>
      </c>
      <c r="BK22" s="198">
        <f t="shared" si="17"/>
        <v>0</v>
      </c>
      <c r="BL22" s="121">
        <v>3</v>
      </c>
      <c r="BM22" s="121">
        <v>1</v>
      </c>
      <c r="BN22" s="199">
        <f t="shared" si="18"/>
        <v>-2</v>
      </c>
      <c r="BO22" s="122"/>
      <c r="BP22" s="122">
        <v>1</v>
      </c>
      <c r="BQ22" s="200">
        <f t="shared" si="19"/>
        <v>1</v>
      </c>
      <c r="BR22" s="123">
        <v>1</v>
      </c>
      <c r="BS22" s="123">
        <v>1</v>
      </c>
      <c r="BT22" s="201">
        <f t="shared" si="20"/>
        <v>0</v>
      </c>
      <c r="BU22" s="124">
        <v>1</v>
      </c>
      <c r="BV22" s="124">
        <v>1</v>
      </c>
      <c r="BW22" s="202">
        <f t="shared" si="21"/>
        <v>0</v>
      </c>
      <c r="BX22" s="125"/>
      <c r="BY22" s="125">
        <v>1</v>
      </c>
      <c r="BZ22" s="203">
        <f t="shared" si="22"/>
        <v>1</v>
      </c>
      <c r="CA22" s="126"/>
      <c r="CB22" s="126"/>
      <c r="CC22" s="204">
        <f t="shared" si="23"/>
        <v>0</v>
      </c>
      <c r="CD22" s="127"/>
      <c r="CE22" s="127">
        <v>1</v>
      </c>
      <c r="CF22" s="205">
        <f t="shared" si="24"/>
        <v>1</v>
      </c>
      <c r="CG22" s="128"/>
      <c r="CH22" s="128">
        <v>1</v>
      </c>
      <c r="CI22" s="206">
        <f t="shared" si="25"/>
        <v>1</v>
      </c>
      <c r="CJ22" s="129"/>
      <c r="CK22" s="129">
        <v>1</v>
      </c>
      <c r="CL22" s="129">
        <f t="shared" si="26"/>
        <v>1</v>
      </c>
      <c r="CM22" s="131"/>
      <c r="CN22" s="131">
        <v>1</v>
      </c>
      <c r="CO22" s="207">
        <f t="shared" si="27"/>
        <v>1</v>
      </c>
      <c r="CP22" s="172"/>
      <c r="CQ22" s="172">
        <v>1</v>
      </c>
      <c r="CR22" s="172">
        <f t="shared" si="28"/>
        <v>1</v>
      </c>
      <c r="CS22" s="173"/>
      <c r="CT22" s="173">
        <v>1</v>
      </c>
      <c r="CU22" s="214">
        <f t="shared" si="29"/>
        <v>1</v>
      </c>
      <c r="CV22" s="174"/>
      <c r="CW22" s="174">
        <v>1</v>
      </c>
      <c r="CX22" s="174">
        <f t="shared" si="30"/>
        <v>1</v>
      </c>
      <c r="CY22" s="175"/>
      <c r="CZ22" s="175">
        <v>1</v>
      </c>
      <c r="DA22" s="216">
        <f t="shared" si="31"/>
        <v>1</v>
      </c>
      <c r="DB22" s="102">
        <v>1</v>
      </c>
      <c r="DC22" s="102"/>
      <c r="DD22" s="195">
        <f t="shared" si="32"/>
        <v>-1</v>
      </c>
      <c r="DE22" s="102"/>
      <c r="DF22" s="102"/>
      <c r="DG22" s="195">
        <f t="shared" si="33"/>
        <v>0</v>
      </c>
    </row>
    <row r="23" spans="1:111" s="177" customFormat="1" ht="11.25" x14ac:dyDescent="0.25">
      <c r="A23" s="171"/>
      <c r="B23" s="178"/>
      <c r="C23" s="102" t="e">
        <f>VLOOKUP(A23,Parts!$A$2:$AE$189,11,FALSE())</f>
        <v>#N/A</v>
      </c>
      <c r="D23" s="102">
        <f t="shared" si="0"/>
        <v>26</v>
      </c>
      <c r="E23" s="179" t="e">
        <f t="shared" si="34"/>
        <v>#N/A</v>
      </c>
      <c r="F23" s="220">
        <f t="shared" si="35"/>
        <v>31</v>
      </c>
      <c r="G23" s="179" t="e">
        <f t="shared" si="36"/>
        <v>#N/A</v>
      </c>
      <c r="H23" s="178">
        <f t="shared" si="37"/>
        <v>4</v>
      </c>
      <c r="I23" s="179" t="e">
        <f t="shared" si="38"/>
        <v>#N/A</v>
      </c>
      <c r="J23" s="105">
        <v>2</v>
      </c>
      <c r="K23" s="105">
        <v>1</v>
      </c>
      <c r="L23" s="181">
        <f t="shared" si="39"/>
        <v>-1</v>
      </c>
      <c r="M23" s="106">
        <v>1</v>
      </c>
      <c r="N23" s="106">
        <v>1</v>
      </c>
      <c r="O23" s="182">
        <f t="shared" si="1"/>
        <v>0</v>
      </c>
      <c r="P23" s="107"/>
      <c r="Q23" s="107">
        <v>1</v>
      </c>
      <c r="R23" s="183">
        <f t="shared" si="2"/>
        <v>1</v>
      </c>
      <c r="S23" s="108">
        <v>2</v>
      </c>
      <c r="T23" s="108">
        <v>1</v>
      </c>
      <c r="U23" s="184">
        <f t="shared" si="3"/>
        <v>-1</v>
      </c>
      <c r="V23" s="109">
        <v>1</v>
      </c>
      <c r="W23" s="109">
        <v>1</v>
      </c>
      <c r="X23" s="185">
        <f t="shared" si="4"/>
        <v>0</v>
      </c>
      <c r="Y23" s="110">
        <v>2</v>
      </c>
      <c r="Z23" s="110">
        <v>1</v>
      </c>
      <c r="AA23" s="186">
        <f t="shared" si="5"/>
        <v>-1</v>
      </c>
      <c r="AB23" s="111">
        <v>1</v>
      </c>
      <c r="AC23" s="111">
        <v>1</v>
      </c>
      <c r="AD23" s="187">
        <f t="shared" si="6"/>
        <v>0</v>
      </c>
      <c r="AE23" s="176">
        <v>1</v>
      </c>
      <c r="AF23" s="176">
        <v>1</v>
      </c>
      <c r="AG23" s="188">
        <f t="shared" si="7"/>
        <v>0</v>
      </c>
      <c r="AH23" s="112">
        <v>1</v>
      </c>
      <c r="AI23" s="112">
        <v>1</v>
      </c>
      <c r="AJ23" s="189">
        <f t="shared" si="8"/>
        <v>0</v>
      </c>
      <c r="AK23" s="113">
        <v>3</v>
      </c>
      <c r="AL23" s="113">
        <v>1</v>
      </c>
      <c r="AM23" s="190">
        <f t="shared" si="9"/>
        <v>-2</v>
      </c>
      <c r="AN23" s="114"/>
      <c r="AO23" s="114">
        <v>1</v>
      </c>
      <c r="AP23" s="191">
        <f t="shared" si="10"/>
        <v>1</v>
      </c>
      <c r="AQ23" s="115"/>
      <c r="AR23" s="115">
        <v>1</v>
      </c>
      <c r="AS23" s="192">
        <f t="shared" si="11"/>
        <v>1</v>
      </c>
      <c r="AT23" s="116"/>
      <c r="AU23" s="116">
        <v>1</v>
      </c>
      <c r="AV23" s="193">
        <f t="shared" si="12"/>
        <v>1</v>
      </c>
      <c r="AW23" s="117">
        <v>1</v>
      </c>
      <c r="AX23" s="117">
        <v>1</v>
      </c>
      <c r="AY23" s="194">
        <f t="shared" si="13"/>
        <v>0</v>
      </c>
      <c r="AZ23" s="102"/>
      <c r="BA23" s="102"/>
      <c r="BB23" s="195">
        <f t="shared" si="14"/>
        <v>0</v>
      </c>
      <c r="BC23" s="118">
        <v>2</v>
      </c>
      <c r="BD23" s="118">
        <v>1</v>
      </c>
      <c r="BE23" s="196">
        <f t="shared" si="15"/>
        <v>-1</v>
      </c>
      <c r="BF23" s="119">
        <v>3</v>
      </c>
      <c r="BG23" s="119">
        <v>1</v>
      </c>
      <c r="BH23" s="197">
        <f t="shared" si="16"/>
        <v>-2</v>
      </c>
      <c r="BI23" s="120">
        <v>1</v>
      </c>
      <c r="BJ23" s="120">
        <v>1</v>
      </c>
      <c r="BK23" s="198">
        <f t="shared" si="17"/>
        <v>0</v>
      </c>
      <c r="BL23" s="121">
        <v>3</v>
      </c>
      <c r="BM23" s="121">
        <v>1</v>
      </c>
      <c r="BN23" s="199">
        <f t="shared" si="18"/>
        <v>-2</v>
      </c>
      <c r="BO23" s="122">
        <v>1</v>
      </c>
      <c r="BP23" s="122">
        <v>1</v>
      </c>
      <c r="BQ23" s="200">
        <f t="shared" si="19"/>
        <v>0</v>
      </c>
      <c r="BR23" s="123"/>
      <c r="BS23" s="123">
        <v>1</v>
      </c>
      <c r="BT23" s="201">
        <f t="shared" si="20"/>
        <v>1</v>
      </c>
      <c r="BU23" s="124"/>
      <c r="BV23" s="124">
        <v>1</v>
      </c>
      <c r="BW23" s="202">
        <f t="shared" si="21"/>
        <v>1</v>
      </c>
      <c r="BX23" s="125"/>
      <c r="BY23" s="125">
        <v>1</v>
      </c>
      <c r="BZ23" s="203">
        <f t="shared" si="22"/>
        <v>1</v>
      </c>
      <c r="CA23" s="126"/>
      <c r="CB23" s="126"/>
      <c r="CC23" s="204">
        <f t="shared" si="23"/>
        <v>0</v>
      </c>
      <c r="CD23" s="127"/>
      <c r="CE23" s="127">
        <v>1</v>
      </c>
      <c r="CF23" s="205">
        <f t="shared" si="24"/>
        <v>1</v>
      </c>
      <c r="CG23" s="128"/>
      <c r="CH23" s="128">
        <v>1</v>
      </c>
      <c r="CI23" s="206">
        <f t="shared" si="25"/>
        <v>1</v>
      </c>
      <c r="CJ23" s="129"/>
      <c r="CK23" s="129">
        <v>1</v>
      </c>
      <c r="CL23" s="129">
        <f t="shared" si="26"/>
        <v>1</v>
      </c>
      <c r="CM23" s="131"/>
      <c r="CN23" s="131">
        <v>1</v>
      </c>
      <c r="CO23" s="207">
        <f t="shared" si="27"/>
        <v>1</v>
      </c>
      <c r="CP23" s="172"/>
      <c r="CQ23" s="172">
        <v>1</v>
      </c>
      <c r="CR23" s="172">
        <f t="shared" si="28"/>
        <v>1</v>
      </c>
      <c r="CS23" s="173"/>
      <c r="CT23" s="173">
        <v>1</v>
      </c>
      <c r="CU23" s="214">
        <f t="shared" si="29"/>
        <v>1</v>
      </c>
      <c r="CV23" s="174"/>
      <c r="CW23" s="174">
        <v>1</v>
      </c>
      <c r="CX23" s="174">
        <f t="shared" si="30"/>
        <v>1</v>
      </c>
      <c r="CY23" s="175"/>
      <c r="CZ23" s="175">
        <v>1</v>
      </c>
      <c r="DA23" s="216">
        <f t="shared" si="31"/>
        <v>1</v>
      </c>
      <c r="DB23" s="102">
        <v>1</v>
      </c>
      <c r="DC23" s="102"/>
      <c r="DD23" s="195">
        <f t="shared" si="32"/>
        <v>-1</v>
      </c>
      <c r="DE23" s="102"/>
      <c r="DF23" s="102"/>
      <c r="DG23" s="195">
        <f t="shared" si="33"/>
        <v>0</v>
      </c>
    </row>
    <row r="24" spans="1:111" s="177" customFormat="1" ht="11.25" x14ac:dyDescent="0.25">
      <c r="A24" s="171"/>
      <c r="B24" s="178"/>
      <c r="C24" s="102" t="e">
        <f>VLOOKUP(A24,Parts!$A$2:$AE$189,11,FALSE())</f>
        <v>#N/A</v>
      </c>
      <c r="D24" s="102">
        <f t="shared" si="0"/>
        <v>14</v>
      </c>
      <c r="E24" s="179" t="e">
        <f t="shared" si="34"/>
        <v>#N/A</v>
      </c>
      <c r="F24" s="220">
        <f t="shared" si="35"/>
        <v>31</v>
      </c>
      <c r="G24" s="179" t="e">
        <f t="shared" si="36"/>
        <v>#N/A</v>
      </c>
      <c r="H24" s="178">
        <f t="shared" si="37"/>
        <v>15</v>
      </c>
      <c r="I24" s="179" t="e">
        <f t="shared" si="38"/>
        <v>#N/A</v>
      </c>
      <c r="J24" s="105"/>
      <c r="K24" s="105"/>
      <c r="L24" s="181">
        <f t="shared" si="39"/>
        <v>0</v>
      </c>
      <c r="M24" s="106"/>
      <c r="N24" s="106"/>
      <c r="O24" s="182">
        <f t="shared" si="1"/>
        <v>0</v>
      </c>
      <c r="P24" s="107"/>
      <c r="Q24" s="107"/>
      <c r="R24" s="183">
        <f t="shared" si="2"/>
        <v>0</v>
      </c>
      <c r="S24" s="108"/>
      <c r="T24" s="108"/>
      <c r="U24" s="184">
        <f t="shared" si="3"/>
        <v>0</v>
      </c>
      <c r="V24" s="109"/>
      <c r="W24" s="109"/>
      <c r="X24" s="185">
        <f t="shared" si="4"/>
        <v>0</v>
      </c>
      <c r="Y24" s="110"/>
      <c r="Z24" s="110"/>
      <c r="AA24" s="186">
        <f t="shared" si="5"/>
        <v>0</v>
      </c>
      <c r="AB24" s="111"/>
      <c r="AC24" s="111"/>
      <c r="AD24" s="187">
        <f t="shared" si="6"/>
        <v>0</v>
      </c>
      <c r="AE24" s="176"/>
      <c r="AF24" s="176"/>
      <c r="AG24" s="188">
        <f t="shared" si="7"/>
        <v>0</v>
      </c>
      <c r="AH24" s="112"/>
      <c r="AI24" s="112"/>
      <c r="AJ24" s="189">
        <f t="shared" si="8"/>
        <v>0</v>
      </c>
      <c r="AK24" s="113">
        <v>1</v>
      </c>
      <c r="AL24" s="113">
        <v>1</v>
      </c>
      <c r="AM24" s="190">
        <f t="shared" si="9"/>
        <v>0</v>
      </c>
      <c r="AN24" s="114"/>
      <c r="AO24" s="114"/>
      <c r="AP24" s="191">
        <f t="shared" si="10"/>
        <v>0</v>
      </c>
      <c r="AQ24" s="115"/>
      <c r="AR24" s="115"/>
      <c r="AS24" s="192">
        <f t="shared" si="11"/>
        <v>0</v>
      </c>
      <c r="AT24" s="116"/>
      <c r="AU24" s="116"/>
      <c r="AV24" s="193">
        <f t="shared" si="12"/>
        <v>0</v>
      </c>
      <c r="AW24" s="117">
        <v>1</v>
      </c>
      <c r="AX24" s="117">
        <v>1</v>
      </c>
      <c r="AY24" s="194">
        <f t="shared" si="13"/>
        <v>0</v>
      </c>
      <c r="AZ24" s="102"/>
      <c r="BA24" s="102"/>
      <c r="BB24" s="195">
        <f t="shared" si="14"/>
        <v>0</v>
      </c>
      <c r="BC24" s="118"/>
      <c r="BD24" s="118">
        <v>2</v>
      </c>
      <c r="BE24" s="196">
        <f t="shared" si="15"/>
        <v>2</v>
      </c>
      <c r="BF24" s="119">
        <v>2</v>
      </c>
      <c r="BG24" s="119">
        <v>2</v>
      </c>
      <c r="BH24" s="197">
        <f t="shared" si="16"/>
        <v>0</v>
      </c>
      <c r="BI24" s="120">
        <v>1</v>
      </c>
      <c r="BJ24" s="120">
        <v>1</v>
      </c>
      <c r="BK24" s="198">
        <f t="shared" si="17"/>
        <v>0</v>
      </c>
      <c r="BL24" s="121">
        <v>2</v>
      </c>
      <c r="BM24" s="121">
        <v>2</v>
      </c>
      <c r="BN24" s="199">
        <f t="shared" si="18"/>
        <v>0</v>
      </c>
      <c r="BO24" s="122"/>
      <c r="BP24" s="122">
        <v>2</v>
      </c>
      <c r="BQ24" s="200">
        <f t="shared" si="19"/>
        <v>2</v>
      </c>
      <c r="BR24" s="123">
        <v>2</v>
      </c>
      <c r="BS24" s="123">
        <v>2</v>
      </c>
      <c r="BT24" s="201">
        <f t="shared" si="20"/>
        <v>0</v>
      </c>
      <c r="BU24" s="124">
        <v>2</v>
      </c>
      <c r="BV24" s="124">
        <v>2</v>
      </c>
      <c r="BW24" s="202">
        <f t="shared" si="21"/>
        <v>0</v>
      </c>
      <c r="BX24" s="125">
        <v>1</v>
      </c>
      <c r="BY24" s="125">
        <v>2</v>
      </c>
      <c r="BZ24" s="203">
        <f t="shared" si="22"/>
        <v>1</v>
      </c>
      <c r="CA24" s="126"/>
      <c r="CB24" s="126"/>
      <c r="CC24" s="204">
        <f t="shared" si="23"/>
        <v>0</v>
      </c>
      <c r="CD24" s="127">
        <v>2</v>
      </c>
      <c r="CE24" s="127">
        <v>2</v>
      </c>
      <c r="CF24" s="205">
        <f t="shared" si="24"/>
        <v>0</v>
      </c>
      <c r="CG24" s="128"/>
      <c r="CH24" s="128"/>
      <c r="CI24" s="206">
        <f t="shared" si="25"/>
        <v>0</v>
      </c>
      <c r="CJ24" s="129"/>
      <c r="CK24" s="129"/>
      <c r="CL24" s="129">
        <f t="shared" si="26"/>
        <v>0</v>
      </c>
      <c r="CM24" s="131"/>
      <c r="CN24" s="131">
        <v>2</v>
      </c>
      <c r="CO24" s="207">
        <f t="shared" si="27"/>
        <v>2</v>
      </c>
      <c r="CP24" s="172"/>
      <c r="CQ24" s="172">
        <v>2</v>
      </c>
      <c r="CR24" s="172">
        <f t="shared" si="28"/>
        <v>2</v>
      </c>
      <c r="CS24" s="173"/>
      <c r="CT24" s="173">
        <v>2</v>
      </c>
      <c r="CU24" s="214">
        <f t="shared" si="29"/>
        <v>2</v>
      </c>
      <c r="CV24" s="174"/>
      <c r="CW24" s="174">
        <v>2</v>
      </c>
      <c r="CX24" s="174">
        <f t="shared" si="30"/>
        <v>2</v>
      </c>
      <c r="CY24" s="175"/>
      <c r="CZ24" s="175">
        <v>2</v>
      </c>
      <c r="DA24" s="216">
        <f t="shared" si="31"/>
        <v>2</v>
      </c>
      <c r="DB24" s="102"/>
      <c r="DC24" s="102"/>
      <c r="DD24" s="195">
        <f t="shared" si="32"/>
        <v>0</v>
      </c>
      <c r="DE24" s="102"/>
      <c r="DF24" s="102"/>
      <c r="DG24" s="195">
        <f t="shared" si="33"/>
        <v>0</v>
      </c>
    </row>
    <row r="25" spans="1:111" s="177" customFormat="1" ht="11.25" x14ac:dyDescent="0.25">
      <c r="A25" s="171"/>
      <c r="B25" s="178"/>
      <c r="C25" s="102" t="e">
        <f>VLOOKUP(A25,Parts!$A$2:$AE$189,11,FALSE())</f>
        <v>#N/A</v>
      </c>
      <c r="D25" s="102">
        <f t="shared" si="0"/>
        <v>10</v>
      </c>
      <c r="E25" s="179" t="e">
        <f t="shared" si="34"/>
        <v>#N/A</v>
      </c>
      <c r="F25" s="220">
        <f t="shared" si="35"/>
        <v>31</v>
      </c>
      <c r="G25" s="179" t="e">
        <f t="shared" si="36"/>
        <v>#N/A</v>
      </c>
      <c r="H25" s="178">
        <f t="shared" si="37"/>
        <v>20</v>
      </c>
      <c r="I25" s="179" t="e">
        <f t="shared" si="38"/>
        <v>#N/A</v>
      </c>
      <c r="J25" s="105"/>
      <c r="K25" s="105"/>
      <c r="L25" s="181">
        <f t="shared" si="39"/>
        <v>0</v>
      </c>
      <c r="M25" s="106"/>
      <c r="N25" s="106"/>
      <c r="O25" s="182">
        <f t="shared" si="1"/>
        <v>0</v>
      </c>
      <c r="P25" s="107"/>
      <c r="Q25" s="107"/>
      <c r="R25" s="183">
        <f t="shared" si="2"/>
        <v>0</v>
      </c>
      <c r="S25" s="108"/>
      <c r="T25" s="108">
        <v>2</v>
      </c>
      <c r="U25" s="184">
        <f t="shared" si="3"/>
        <v>2</v>
      </c>
      <c r="V25" s="109"/>
      <c r="W25" s="109"/>
      <c r="X25" s="185">
        <f t="shared" si="4"/>
        <v>0</v>
      </c>
      <c r="Y25" s="110"/>
      <c r="Z25" s="110">
        <v>2</v>
      </c>
      <c r="AA25" s="186">
        <f t="shared" si="5"/>
        <v>2</v>
      </c>
      <c r="AB25" s="111"/>
      <c r="AC25" s="111">
        <v>1</v>
      </c>
      <c r="AD25" s="187">
        <f t="shared" si="6"/>
        <v>1</v>
      </c>
      <c r="AE25" s="176"/>
      <c r="AF25" s="176">
        <v>1</v>
      </c>
      <c r="AG25" s="188">
        <f t="shared" si="7"/>
        <v>1</v>
      </c>
      <c r="AH25" s="112"/>
      <c r="AI25" s="112">
        <v>1</v>
      </c>
      <c r="AJ25" s="189">
        <f t="shared" si="8"/>
        <v>1</v>
      </c>
      <c r="AK25" s="113">
        <v>2</v>
      </c>
      <c r="AL25" s="113">
        <v>1</v>
      </c>
      <c r="AM25" s="190">
        <f t="shared" si="9"/>
        <v>-1</v>
      </c>
      <c r="AN25" s="114"/>
      <c r="AO25" s="114">
        <v>1</v>
      </c>
      <c r="AP25" s="191">
        <f t="shared" si="10"/>
        <v>1</v>
      </c>
      <c r="AQ25" s="115"/>
      <c r="AR25" s="115">
        <v>1</v>
      </c>
      <c r="AS25" s="192">
        <f t="shared" si="11"/>
        <v>1</v>
      </c>
      <c r="AT25" s="116"/>
      <c r="AU25" s="116">
        <v>1</v>
      </c>
      <c r="AV25" s="193">
        <f t="shared" si="12"/>
        <v>1</v>
      </c>
      <c r="AW25" s="117"/>
      <c r="AX25" s="117">
        <v>1</v>
      </c>
      <c r="AY25" s="194">
        <f t="shared" si="13"/>
        <v>1</v>
      </c>
      <c r="AZ25" s="102"/>
      <c r="BA25" s="102"/>
      <c r="BB25" s="195">
        <f t="shared" si="14"/>
        <v>0</v>
      </c>
      <c r="BC25" s="118"/>
      <c r="BD25" s="118">
        <v>1</v>
      </c>
      <c r="BE25" s="196">
        <f t="shared" si="15"/>
        <v>1</v>
      </c>
      <c r="BF25" s="119">
        <v>1</v>
      </c>
      <c r="BG25" s="119">
        <v>2</v>
      </c>
      <c r="BH25" s="197">
        <f t="shared" si="16"/>
        <v>1</v>
      </c>
      <c r="BI25" s="120"/>
      <c r="BJ25" s="120">
        <v>2</v>
      </c>
      <c r="BK25" s="198">
        <f t="shared" si="17"/>
        <v>2</v>
      </c>
      <c r="BL25" s="121"/>
      <c r="BM25" s="121">
        <v>1</v>
      </c>
      <c r="BN25" s="199">
        <f t="shared" si="18"/>
        <v>1</v>
      </c>
      <c r="BO25" s="122"/>
      <c r="BP25" s="122">
        <v>1</v>
      </c>
      <c r="BQ25" s="200">
        <f t="shared" si="19"/>
        <v>1</v>
      </c>
      <c r="BR25" s="123"/>
      <c r="BS25" s="123">
        <v>1</v>
      </c>
      <c r="BT25" s="201">
        <f t="shared" si="20"/>
        <v>1</v>
      </c>
      <c r="BU25" s="124">
        <v>7</v>
      </c>
      <c r="BV25" s="124">
        <v>1</v>
      </c>
      <c r="BW25" s="202">
        <f t="shared" si="21"/>
        <v>-6</v>
      </c>
      <c r="BX25" s="125"/>
      <c r="BY25" s="125">
        <v>1</v>
      </c>
      <c r="BZ25" s="203">
        <f t="shared" si="22"/>
        <v>1</v>
      </c>
      <c r="CA25" s="126"/>
      <c r="CB25" s="126"/>
      <c r="CC25" s="204">
        <f t="shared" si="23"/>
        <v>0</v>
      </c>
      <c r="CD25" s="127"/>
      <c r="CE25" s="127">
        <v>1</v>
      </c>
      <c r="CF25" s="205">
        <f t="shared" si="24"/>
        <v>1</v>
      </c>
      <c r="CG25" s="128"/>
      <c r="CH25" s="128">
        <v>1</v>
      </c>
      <c r="CI25" s="206">
        <f t="shared" si="25"/>
        <v>1</v>
      </c>
      <c r="CJ25" s="129"/>
      <c r="CK25" s="129">
        <v>1</v>
      </c>
      <c r="CL25" s="129">
        <f t="shared" si="26"/>
        <v>1</v>
      </c>
      <c r="CM25" s="131"/>
      <c r="CN25" s="131">
        <v>1</v>
      </c>
      <c r="CO25" s="207">
        <f t="shared" si="27"/>
        <v>1</v>
      </c>
      <c r="CP25" s="172"/>
      <c r="CQ25" s="172">
        <v>1</v>
      </c>
      <c r="CR25" s="172">
        <f t="shared" si="28"/>
        <v>1</v>
      </c>
      <c r="CS25" s="173"/>
      <c r="CT25" s="173">
        <v>1</v>
      </c>
      <c r="CU25" s="214">
        <f t="shared" si="29"/>
        <v>1</v>
      </c>
      <c r="CV25" s="174"/>
      <c r="CW25" s="174">
        <v>1</v>
      </c>
      <c r="CX25" s="174">
        <f t="shared" si="30"/>
        <v>1</v>
      </c>
      <c r="CY25" s="175"/>
      <c r="CZ25" s="175">
        <v>1</v>
      </c>
      <c r="DA25" s="216">
        <f t="shared" si="31"/>
        <v>1</v>
      </c>
      <c r="DB25" s="102"/>
      <c r="DC25" s="102"/>
      <c r="DD25" s="195">
        <f t="shared" si="32"/>
        <v>0</v>
      </c>
      <c r="DE25" s="102"/>
      <c r="DF25" s="102"/>
      <c r="DG25" s="195">
        <f t="shared" si="33"/>
        <v>0</v>
      </c>
    </row>
    <row r="26" spans="1:111" s="177" customFormat="1" ht="11.25" x14ac:dyDescent="0.25">
      <c r="A26" s="171"/>
      <c r="B26" s="178"/>
      <c r="C26" s="102" t="e">
        <f>VLOOKUP(A26,Parts!$A$2:$AE$189,11,FALSE())</f>
        <v>#N/A</v>
      </c>
      <c r="D26" s="102">
        <f t="shared" si="0"/>
        <v>21</v>
      </c>
      <c r="E26" s="179" t="e">
        <f t="shared" si="34"/>
        <v>#N/A</v>
      </c>
      <c r="F26" s="220">
        <f t="shared" si="35"/>
        <v>0</v>
      </c>
      <c r="G26" s="179" t="e">
        <f t="shared" si="36"/>
        <v>#N/A</v>
      </c>
      <c r="H26" s="178">
        <f t="shared" si="37"/>
        <v>-21</v>
      </c>
      <c r="I26" s="179" t="e">
        <f t="shared" si="38"/>
        <v>#N/A</v>
      </c>
      <c r="J26" s="105"/>
      <c r="K26" s="105"/>
      <c r="L26" s="181">
        <f t="shared" si="39"/>
        <v>0</v>
      </c>
      <c r="M26" s="106"/>
      <c r="N26" s="106"/>
      <c r="O26" s="182">
        <f t="shared" si="1"/>
        <v>0</v>
      </c>
      <c r="P26" s="107"/>
      <c r="Q26" s="107"/>
      <c r="R26" s="183">
        <f t="shared" si="2"/>
        <v>0</v>
      </c>
      <c r="S26" s="108">
        <v>7</v>
      </c>
      <c r="T26" s="108"/>
      <c r="U26" s="184">
        <f t="shared" si="3"/>
        <v>-7</v>
      </c>
      <c r="V26" s="109"/>
      <c r="W26" s="109"/>
      <c r="X26" s="185">
        <f t="shared" si="4"/>
        <v>0</v>
      </c>
      <c r="Y26" s="110"/>
      <c r="Z26" s="110"/>
      <c r="AA26" s="186">
        <f t="shared" si="5"/>
        <v>0</v>
      </c>
      <c r="AB26" s="111"/>
      <c r="AC26" s="111"/>
      <c r="AD26" s="187">
        <f t="shared" si="6"/>
        <v>0</v>
      </c>
      <c r="AE26" s="176"/>
      <c r="AF26" s="176"/>
      <c r="AG26" s="188">
        <f t="shared" si="7"/>
        <v>0</v>
      </c>
      <c r="AH26" s="112"/>
      <c r="AI26" s="112"/>
      <c r="AJ26" s="189">
        <f t="shared" si="8"/>
        <v>0</v>
      </c>
      <c r="AK26" s="113">
        <v>8</v>
      </c>
      <c r="AL26" s="113"/>
      <c r="AM26" s="190">
        <f t="shared" si="9"/>
        <v>-8</v>
      </c>
      <c r="AN26" s="114"/>
      <c r="AO26" s="114"/>
      <c r="AP26" s="191">
        <f t="shared" si="10"/>
        <v>0</v>
      </c>
      <c r="AQ26" s="115"/>
      <c r="AR26" s="115"/>
      <c r="AS26" s="192">
        <f t="shared" si="11"/>
        <v>0</v>
      </c>
      <c r="AT26" s="116"/>
      <c r="AU26" s="116"/>
      <c r="AV26" s="193">
        <f t="shared" si="12"/>
        <v>0</v>
      </c>
      <c r="AW26" s="117"/>
      <c r="AX26" s="117"/>
      <c r="AY26" s="194">
        <f t="shared" si="13"/>
        <v>0</v>
      </c>
      <c r="AZ26" s="102"/>
      <c r="BA26" s="102"/>
      <c r="BB26" s="195">
        <f t="shared" si="14"/>
        <v>0</v>
      </c>
      <c r="BC26" s="118"/>
      <c r="BD26" s="118"/>
      <c r="BE26" s="196">
        <f t="shared" si="15"/>
        <v>0</v>
      </c>
      <c r="BF26" s="119"/>
      <c r="BG26" s="119"/>
      <c r="BH26" s="197">
        <f t="shared" si="16"/>
        <v>0</v>
      </c>
      <c r="BI26" s="120"/>
      <c r="BJ26" s="120"/>
      <c r="BK26" s="198">
        <f t="shared" si="17"/>
        <v>0</v>
      </c>
      <c r="BL26" s="121"/>
      <c r="BM26" s="121"/>
      <c r="BN26" s="199">
        <f t="shared" si="18"/>
        <v>0</v>
      </c>
      <c r="BO26" s="122"/>
      <c r="BP26" s="122"/>
      <c r="BQ26" s="200">
        <f t="shared" si="19"/>
        <v>0</v>
      </c>
      <c r="BR26" s="123"/>
      <c r="BS26" s="123"/>
      <c r="BT26" s="201">
        <f t="shared" si="20"/>
        <v>0</v>
      </c>
      <c r="BU26" s="124">
        <v>6</v>
      </c>
      <c r="BV26" s="124"/>
      <c r="BW26" s="202">
        <f t="shared" si="21"/>
        <v>-6</v>
      </c>
      <c r="BX26" s="125"/>
      <c r="BY26" s="125"/>
      <c r="BZ26" s="203">
        <f t="shared" si="22"/>
        <v>0</v>
      </c>
      <c r="CA26" s="126"/>
      <c r="CB26" s="126"/>
      <c r="CC26" s="204">
        <f t="shared" si="23"/>
        <v>0</v>
      </c>
      <c r="CD26" s="127"/>
      <c r="CE26" s="127"/>
      <c r="CF26" s="205">
        <f t="shared" si="24"/>
        <v>0</v>
      </c>
      <c r="CG26" s="128"/>
      <c r="CH26" s="128"/>
      <c r="CI26" s="206">
        <f t="shared" si="25"/>
        <v>0</v>
      </c>
      <c r="CJ26" s="129"/>
      <c r="CK26" s="129"/>
      <c r="CL26" s="129">
        <f t="shared" si="26"/>
        <v>0</v>
      </c>
      <c r="CM26" s="131"/>
      <c r="CN26" s="131"/>
      <c r="CO26" s="207">
        <f t="shared" si="27"/>
        <v>0</v>
      </c>
      <c r="CP26" s="172"/>
      <c r="CQ26" s="172"/>
      <c r="CR26" s="172">
        <f t="shared" si="28"/>
        <v>0</v>
      </c>
      <c r="CS26" s="173"/>
      <c r="CT26" s="173"/>
      <c r="CU26" s="214">
        <f t="shared" si="29"/>
        <v>0</v>
      </c>
      <c r="CV26" s="174"/>
      <c r="CW26" s="174"/>
      <c r="CX26" s="174">
        <f t="shared" si="30"/>
        <v>0</v>
      </c>
      <c r="CY26" s="175"/>
      <c r="CZ26" s="175"/>
      <c r="DA26" s="216">
        <f t="shared" si="31"/>
        <v>0</v>
      </c>
      <c r="DB26" s="102"/>
      <c r="DC26" s="102"/>
      <c r="DD26" s="195">
        <f t="shared" si="32"/>
        <v>0</v>
      </c>
      <c r="DE26" s="102"/>
      <c r="DF26" s="102"/>
      <c r="DG26" s="195">
        <f t="shared" si="33"/>
        <v>0</v>
      </c>
    </row>
    <row r="27" spans="1:111" s="177" customFormat="1" ht="11.25" x14ac:dyDescent="0.25">
      <c r="A27" s="171"/>
      <c r="B27" s="178"/>
      <c r="C27" s="102" t="e">
        <f>VLOOKUP(A27,Parts!$A$2:$AE$189,11,FALSE())</f>
        <v>#N/A</v>
      </c>
      <c r="D27" s="102">
        <f t="shared" ref="D27:D28" si="52">SUM(J27+M27+P27+S27+V27+Y27+AB27+AE27+AH27+AK27+AN27+AQ27+AT27+AW27+AZ27+BC27+BF27+BI27+BL27+BO27+BR27+BU27+BX27+CA27+CD27+CG27+CJ27+CM27+CP27+CS27+CV27+CY27+DB27+DE27)</f>
        <v>0</v>
      </c>
      <c r="E27" s="179" t="e">
        <f t="shared" ref="E27:E28" si="53">SUM(D27*C27)</f>
        <v>#N/A</v>
      </c>
      <c r="F27" s="220">
        <f t="shared" ref="F27:F28" si="54">SUM(K27+N27+Q27+T27+W27+Z27+AC27+AF27+AI27+AL27+AO27+AR27+AU27+AX27+BA27+BD27+BG27+BJ27+BM27+BP27+BS27+BV27+BY27+CB27+CE27+CH27+CK27+BY27+CN27+CQ27+CT27+CW27+CZ27+DC27+DF27)</f>
        <v>0</v>
      </c>
      <c r="G27" s="179" t="e">
        <f t="shared" ref="G27:G28" si="55">SUM(F27*$C27)</f>
        <v>#N/A</v>
      </c>
      <c r="H27" s="178">
        <f t="shared" ref="H27:H28" si="56">SUM(L27+O27+R27+U27+X27+AA27+AD27+AG27+AJ27+AM27+AP27+AS27+AV27+AY27+BE27+BH27+BK27+BN27+BQ27+BT27+BW27+BZ27+CC27+CF27+CI27+CL27+CO27+CR27+CU27+CX27+DA27+DD27+DG27)</f>
        <v>0</v>
      </c>
      <c r="I27" s="179" t="e">
        <f t="shared" ref="I27:I28" si="57">SUM(H27*$C27)</f>
        <v>#N/A</v>
      </c>
      <c r="J27" s="105"/>
      <c r="K27" s="105"/>
      <c r="L27" s="181"/>
      <c r="M27" s="106"/>
      <c r="N27" s="106"/>
      <c r="O27" s="182"/>
      <c r="P27" s="107"/>
      <c r="Q27" s="107"/>
      <c r="R27" s="183"/>
      <c r="S27" s="108"/>
      <c r="T27" s="108"/>
      <c r="U27" s="184"/>
      <c r="V27" s="109"/>
      <c r="W27" s="109"/>
      <c r="X27" s="185"/>
      <c r="Y27" s="110"/>
      <c r="Z27" s="110"/>
      <c r="AA27" s="186"/>
      <c r="AB27" s="111"/>
      <c r="AC27" s="111"/>
      <c r="AD27" s="187"/>
      <c r="AE27" s="176"/>
      <c r="AF27" s="176"/>
      <c r="AG27" s="188"/>
      <c r="AH27" s="112"/>
      <c r="AI27" s="112"/>
      <c r="AJ27" s="189"/>
      <c r="AK27" s="113"/>
      <c r="AL27" s="113"/>
      <c r="AM27" s="190">
        <f t="shared" si="9"/>
        <v>0</v>
      </c>
      <c r="AN27" s="114"/>
      <c r="AO27" s="114"/>
      <c r="AP27" s="191"/>
      <c r="AQ27" s="115"/>
      <c r="AR27" s="115"/>
      <c r="AS27" s="192"/>
      <c r="AT27" s="116"/>
      <c r="AU27" s="116"/>
      <c r="AV27" s="193"/>
      <c r="AW27" s="117"/>
      <c r="AX27" s="117"/>
      <c r="AY27" s="194"/>
      <c r="AZ27" s="102"/>
      <c r="BA27" s="102"/>
      <c r="BB27" s="195"/>
      <c r="BC27" s="118"/>
      <c r="BD27" s="118"/>
      <c r="BE27" s="196"/>
      <c r="BF27" s="119"/>
      <c r="BG27" s="119"/>
      <c r="BH27" s="197"/>
      <c r="BI27" s="120"/>
      <c r="BJ27" s="120"/>
      <c r="BK27" s="198"/>
      <c r="BL27" s="121"/>
      <c r="BM27" s="121"/>
      <c r="BN27" s="199"/>
      <c r="BO27" s="122"/>
      <c r="BP27" s="122"/>
      <c r="BQ27" s="200"/>
      <c r="BR27" s="123"/>
      <c r="BS27" s="123"/>
      <c r="BT27" s="201"/>
      <c r="BU27" s="124"/>
      <c r="BV27" s="124"/>
      <c r="BW27" s="202"/>
      <c r="BX27" s="125"/>
      <c r="BY27" s="125"/>
      <c r="BZ27" s="203"/>
      <c r="CA27" s="126"/>
      <c r="CB27" s="126"/>
      <c r="CC27" s="204"/>
      <c r="CD27" s="127"/>
      <c r="CE27" s="127"/>
      <c r="CF27" s="205"/>
      <c r="CG27" s="128"/>
      <c r="CH27" s="128"/>
      <c r="CI27" s="206"/>
      <c r="CJ27" s="129"/>
      <c r="CK27" s="129"/>
      <c r="CL27" s="129"/>
      <c r="CM27" s="131"/>
      <c r="CN27" s="131"/>
      <c r="CO27" s="207"/>
      <c r="CP27" s="172"/>
      <c r="CQ27" s="172"/>
      <c r="CR27" s="172"/>
      <c r="CS27" s="173"/>
      <c r="CT27" s="173"/>
      <c r="CU27" s="214"/>
      <c r="CV27" s="174"/>
      <c r="CW27" s="174"/>
      <c r="CX27" s="174"/>
      <c r="CY27" s="175"/>
      <c r="CZ27" s="175"/>
      <c r="DA27" s="216"/>
      <c r="DB27" s="102"/>
      <c r="DC27" s="102"/>
      <c r="DD27" s="195"/>
      <c r="DE27" s="102"/>
      <c r="DF27" s="102"/>
      <c r="DG27" s="195"/>
    </row>
    <row r="28" spans="1:111" s="177" customFormat="1" ht="11.25" x14ac:dyDescent="0.25">
      <c r="A28" s="171"/>
      <c r="B28" s="178"/>
      <c r="C28" s="102" t="e">
        <f>VLOOKUP(A28,Parts!$A$2:$AE$189,11,FALSE())</f>
        <v>#N/A</v>
      </c>
      <c r="D28" s="102">
        <f t="shared" si="52"/>
        <v>12</v>
      </c>
      <c r="E28" s="179" t="e">
        <f t="shared" si="53"/>
        <v>#N/A</v>
      </c>
      <c r="F28" s="220">
        <f t="shared" si="54"/>
        <v>0</v>
      </c>
      <c r="G28" s="179" t="e">
        <f t="shared" si="55"/>
        <v>#N/A</v>
      </c>
      <c r="H28" s="178">
        <f t="shared" si="56"/>
        <v>0</v>
      </c>
      <c r="I28" s="179" t="e">
        <f t="shared" si="57"/>
        <v>#N/A</v>
      </c>
      <c r="J28" s="105"/>
      <c r="K28" s="105"/>
      <c r="L28" s="181"/>
      <c r="M28" s="106"/>
      <c r="N28" s="106"/>
      <c r="O28" s="182"/>
      <c r="P28" s="107"/>
      <c r="Q28" s="107"/>
      <c r="R28" s="183"/>
      <c r="S28" s="108">
        <v>2</v>
      </c>
      <c r="T28" s="108"/>
      <c r="U28" s="184"/>
      <c r="V28" s="109"/>
      <c r="W28" s="109"/>
      <c r="X28" s="185"/>
      <c r="Y28" s="110">
        <v>1</v>
      </c>
      <c r="Z28" s="110"/>
      <c r="AA28" s="186"/>
      <c r="AB28" s="111">
        <v>1</v>
      </c>
      <c r="AC28" s="111"/>
      <c r="AD28" s="187"/>
      <c r="AE28" s="176"/>
      <c r="AF28" s="176"/>
      <c r="AG28" s="188"/>
      <c r="AH28" s="112">
        <v>2</v>
      </c>
      <c r="AI28" s="112"/>
      <c r="AJ28" s="189"/>
      <c r="AK28" s="113"/>
      <c r="AL28" s="113"/>
      <c r="AM28" s="190"/>
      <c r="AN28" s="114"/>
      <c r="AO28" s="114"/>
      <c r="AP28" s="191"/>
      <c r="AQ28" s="115"/>
      <c r="AR28" s="115"/>
      <c r="AS28" s="192"/>
      <c r="AT28" s="116">
        <v>2</v>
      </c>
      <c r="AU28" s="116"/>
      <c r="AV28" s="193"/>
      <c r="AW28" s="117"/>
      <c r="AX28" s="117"/>
      <c r="AY28" s="194"/>
      <c r="AZ28" s="102"/>
      <c r="BA28" s="102"/>
      <c r="BB28" s="195"/>
      <c r="BC28" s="118"/>
      <c r="BD28" s="118"/>
      <c r="BE28" s="196"/>
      <c r="BF28" s="119">
        <v>1</v>
      </c>
      <c r="BG28" s="119"/>
      <c r="BH28" s="197"/>
      <c r="BI28" s="120">
        <v>1</v>
      </c>
      <c r="BJ28" s="120"/>
      <c r="BK28" s="198"/>
      <c r="BL28" s="121">
        <v>1</v>
      </c>
      <c r="BM28" s="121"/>
      <c r="BN28" s="199"/>
      <c r="BO28" s="122"/>
      <c r="BP28" s="122"/>
      <c r="BQ28" s="200"/>
      <c r="BR28" s="123">
        <v>1</v>
      </c>
      <c r="BS28" s="123"/>
      <c r="BT28" s="201"/>
      <c r="BU28" s="124"/>
      <c r="BV28" s="124"/>
      <c r="BW28" s="202"/>
      <c r="BX28" s="125"/>
      <c r="BY28" s="125"/>
      <c r="BZ28" s="203"/>
      <c r="CA28" s="126"/>
      <c r="CB28" s="126"/>
      <c r="CC28" s="204"/>
      <c r="CD28" s="127"/>
      <c r="CE28" s="127"/>
      <c r="CF28" s="205"/>
      <c r="CG28" s="128"/>
      <c r="CH28" s="128"/>
      <c r="CI28" s="206"/>
      <c r="CJ28" s="129"/>
      <c r="CK28" s="129"/>
      <c r="CL28" s="129"/>
      <c r="CM28" s="131"/>
      <c r="CN28" s="131"/>
      <c r="CO28" s="207"/>
      <c r="CP28" s="172"/>
      <c r="CQ28" s="172"/>
      <c r="CR28" s="172"/>
      <c r="CS28" s="173"/>
      <c r="CT28" s="173"/>
      <c r="CU28" s="214"/>
      <c r="CV28" s="174"/>
      <c r="CW28" s="174"/>
      <c r="CX28" s="174"/>
      <c r="CY28" s="175"/>
      <c r="CZ28" s="175"/>
      <c r="DA28" s="216"/>
      <c r="DB28" s="102"/>
      <c r="DC28" s="102"/>
      <c r="DD28" s="195"/>
      <c r="DE28" s="102"/>
      <c r="DF28" s="102"/>
      <c r="DG28" s="195"/>
    </row>
    <row r="29" spans="1:111" s="177" customFormat="1" ht="11.25" x14ac:dyDescent="0.25">
      <c r="A29" s="171"/>
      <c r="B29" s="178"/>
      <c r="C29" s="102" t="e">
        <f>VLOOKUP(A29,Parts!$A$2:$AE$189,11,FALSE())</f>
        <v>#N/A</v>
      </c>
      <c r="D29" s="102">
        <f t="shared" si="0"/>
        <v>17</v>
      </c>
      <c r="E29" s="179" t="e">
        <f t="shared" si="34"/>
        <v>#N/A</v>
      </c>
      <c r="F29" s="220">
        <f t="shared" si="35"/>
        <v>31</v>
      </c>
      <c r="G29" s="179" t="e">
        <f t="shared" si="36"/>
        <v>#N/A</v>
      </c>
      <c r="H29" s="178">
        <f t="shared" si="37"/>
        <v>13</v>
      </c>
      <c r="I29" s="179" t="e">
        <f t="shared" si="38"/>
        <v>#N/A</v>
      </c>
      <c r="J29" s="105">
        <v>1</v>
      </c>
      <c r="K29" s="105">
        <v>1</v>
      </c>
      <c r="L29" s="181">
        <f t="shared" si="39"/>
        <v>0</v>
      </c>
      <c r="M29" s="106"/>
      <c r="N29" s="106">
        <v>1</v>
      </c>
      <c r="O29" s="182">
        <f t="shared" si="1"/>
        <v>1</v>
      </c>
      <c r="P29" s="107">
        <v>1</v>
      </c>
      <c r="Q29" s="107">
        <v>1</v>
      </c>
      <c r="R29" s="183">
        <f t="shared" si="2"/>
        <v>0</v>
      </c>
      <c r="S29" s="108">
        <v>1</v>
      </c>
      <c r="T29" s="108">
        <v>1</v>
      </c>
      <c r="U29" s="184">
        <f t="shared" si="3"/>
        <v>0</v>
      </c>
      <c r="V29" s="109">
        <v>1</v>
      </c>
      <c r="W29" s="109">
        <v>1</v>
      </c>
      <c r="X29" s="185">
        <f t="shared" si="4"/>
        <v>0</v>
      </c>
      <c r="Y29" s="110">
        <v>1</v>
      </c>
      <c r="Z29" s="110">
        <v>1</v>
      </c>
      <c r="AA29" s="186">
        <f t="shared" si="5"/>
        <v>0</v>
      </c>
      <c r="AB29" s="111">
        <v>1</v>
      </c>
      <c r="AC29" s="111">
        <v>1</v>
      </c>
      <c r="AD29" s="187">
        <f t="shared" si="6"/>
        <v>0</v>
      </c>
      <c r="AE29" s="176"/>
      <c r="AF29" s="176">
        <v>1</v>
      </c>
      <c r="AG29" s="188">
        <f t="shared" si="7"/>
        <v>1</v>
      </c>
      <c r="AH29" s="112">
        <v>1</v>
      </c>
      <c r="AI29" s="112">
        <v>1</v>
      </c>
      <c r="AJ29" s="189">
        <f t="shared" si="8"/>
        <v>0</v>
      </c>
      <c r="AK29" s="113">
        <v>1</v>
      </c>
      <c r="AL29" s="113">
        <v>1</v>
      </c>
      <c r="AM29" s="190">
        <f t="shared" si="9"/>
        <v>0</v>
      </c>
      <c r="AN29" s="114">
        <v>1</v>
      </c>
      <c r="AO29" s="114">
        <v>1</v>
      </c>
      <c r="AP29" s="191">
        <f t="shared" si="10"/>
        <v>0</v>
      </c>
      <c r="AQ29" s="115"/>
      <c r="AR29" s="115">
        <v>1</v>
      </c>
      <c r="AS29" s="192">
        <f t="shared" si="11"/>
        <v>1</v>
      </c>
      <c r="AT29" s="116">
        <v>1</v>
      </c>
      <c r="AU29" s="116">
        <v>1</v>
      </c>
      <c r="AV29" s="193">
        <f t="shared" si="12"/>
        <v>0</v>
      </c>
      <c r="AW29" s="117"/>
      <c r="AX29" s="117">
        <v>1</v>
      </c>
      <c r="AY29" s="194">
        <f t="shared" si="13"/>
        <v>1</v>
      </c>
      <c r="AZ29" s="102"/>
      <c r="BA29" s="102"/>
      <c r="BB29" s="195">
        <f t="shared" si="14"/>
        <v>0</v>
      </c>
      <c r="BC29" s="118">
        <v>1</v>
      </c>
      <c r="BD29" s="118">
        <v>1</v>
      </c>
      <c r="BE29" s="196">
        <f t="shared" si="15"/>
        <v>0</v>
      </c>
      <c r="BF29" s="119"/>
      <c r="BG29" s="119">
        <v>1</v>
      </c>
      <c r="BH29" s="197">
        <f t="shared" si="16"/>
        <v>1</v>
      </c>
      <c r="BI29" s="120">
        <v>1</v>
      </c>
      <c r="BJ29" s="120">
        <v>1</v>
      </c>
      <c r="BK29" s="198">
        <f t="shared" si="17"/>
        <v>0</v>
      </c>
      <c r="BL29" s="121">
        <v>2</v>
      </c>
      <c r="BM29" s="121">
        <v>1</v>
      </c>
      <c r="BN29" s="199">
        <f t="shared" si="18"/>
        <v>-1</v>
      </c>
      <c r="BO29" s="122">
        <v>1</v>
      </c>
      <c r="BP29" s="122">
        <v>1</v>
      </c>
      <c r="BQ29" s="200">
        <f t="shared" si="19"/>
        <v>0</v>
      </c>
      <c r="BR29" s="123">
        <v>1</v>
      </c>
      <c r="BS29" s="123">
        <v>1</v>
      </c>
      <c r="BT29" s="201">
        <f t="shared" si="20"/>
        <v>0</v>
      </c>
      <c r="BU29" s="124">
        <v>1</v>
      </c>
      <c r="BV29" s="124">
        <v>1</v>
      </c>
      <c r="BW29" s="202">
        <f t="shared" si="21"/>
        <v>0</v>
      </c>
      <c r="BX29" s="125"/>
      <c r="BY29" s="125">
        <v>1</v>
      </c>
      <c r="BZ29" s="203">
        <f t="shared" si="22"/>
        <v>1</v>
      </c>
      <c r="CA29" s="126"/>
      <c r="CB29" s="126"/>
      <c r="CC29" s="204">
        <f t="shared" si="23"/>
        <v>0</v>
      </c>
      <c r="CD29" s="127"/>
      <c r="CE29" s="127">
        <v>1</v>
      </c>
      <c r="CF29" s="205">
        <f t="shared" si="24"/>
        <v>1</v>
      </c>
      <c r="CG29" s="128"/>
      <c r="CH29" s="128">
        <v>1</v>
      </c>
      <c r="CI29" s="206">
        <f t="shared" si="25"/>
        <v>1</v>
      </c>
      <c r="CJ29" s="129"/>
      <c r="CK29" s="129">
        <v>1</v>
      </c>
      <c r="CL29" s="129">
        <f t="shared" si="26"/>
        <v>1</v>
      </c>
      <c r="CM29" s="131"/>
      <c r="CN29" s="131">
        <v>1</v>
      </c>
      <c r="CO29" s="207">
        <f t="shared" si="27"/>
        <v>1</v>
      </c>
      <c r="CP29" s="172"/>
      <c r="CQ29" s="172">
        <v>1</v>
      </c>
      <c r="CR29" s="172">
        <f t="shared" si="28"/>
        <v>1</v>
      </c>
      <c r="CS29" s="173"/>
      <c r="CT29" s="173">
        <v>1</v>
      </c>
      <c r="CU29" s="214">
        <f t="shared" si="29"/>
        <v>1</v>
      </c>
      <c r="CV29" s="174"/>
      <c r="CW29" s="174">
        <v>1</v>
      </c>
      <c r="CX29" s="174">
        <f t="shared" si="30"/>
        <v>1</v>
      </c>
      <c r="CY29" s="175"/>
      <c r="CZ29" s="175">
        <v>1</v>
      </c>
      <c r="DA29" s="216">
        <f t="shared" si="31"/>
        <v>1</v>
      </c>
      <c r="DB29" s="102"/>
      <c r="DC29" s="102"/>
      <c r="DD29" s="195">
        <f t="shared" si="32"/>
        <v>0</v>
      </c>
      <c r="DE29" s="102"/>
      <c r="DF29" s="102"/>
      <c r="DG29" s="195">
        <f t="shared" si="33"/>
        <v>0</v>
      </c>
    </row>
    <row r="30" spans="1:111" s="177" customFormat="1" ht="11.25" x14ac:dyDescent="0.25">
      <c r="A30" s="171"/>
      <c r="B30" s="178"/>
      <c r="C30" s="102" t="e">
        <f>VLOOKUP(A30,Parts!$A$2:$AE$189,11,FALSE())</f>
        <v>#N/A</v>
      </c>
      <c r="D30" s="102">
        <f t="shared" si="0"/>
        <v>12</v>
      </c>
      <c r="E30" s="179" t="e">
        <f t="shared" si="34"/>
        <v>#N/A</v>
      </c>
      <c r="F30" s="220">
        <f t="shared" si="35"/>
        <v>31</v>
      </c>
      <c r="G30" s="179" t="e">
        <f t="shared" si="36"/>
        <v>#N/A</v>
      </c>
      <c r="H30" s="178">
        <f t="shared" si="37"/>
        <v>18</v>
      </c>
      <c r="I30" s="179" t="e">
        <f t="shared" si="38"/>
        <v>#N/A</v>
      </c>
      <c r="J30" s="105">
        <v>1</v>
      </c>
      <c r="K30" s="105">
        <v>1</v>
      </c>
      <c r="L30" s="181">
        <f t="shared" si="39"/>
        <v>0</v>
      </c>
      <c r="M30" s="106"/>
      <c r="N30" s="106">
        <v>1</v>
      </c>
      <c r="O30" s="182">
        <f t="shared" si="1"/>
        <v>1</v>
      </c>
      <c r="P30" s="107"/>
      <c r="Q30" s="107">
        <v>1</v>
      </c>
      <c r="R30" s="183">
        <f t="shared" si="2"/>
        <v>1</v>
      </c>
      <c r="S30" s="108">
        <v>1</v>
      </c>
      <c r="T30" s="108">
        <v>1</v>
      </c>
      <c r="U30" s="184">
        <f t="shared" si="3"/>
        <v>0</v>
      </c>
      <c r="V30" s="109"/>
      <c r="W30" s="109">
        <v>1</v>
      </c>
      <c r="X30" s="185">
        <f t="shared" si="4"/>
        <v>1</v>
      </c>
      <c r="Y30" s="110">
        <v>1</v>
      </c>
      <c r="Z30" s="110">
        <v>1</v>
      </c>
      <c r="AA30" s="186">
        <f t="shared" si="5"/>
        <v>0</v>
      </c>
      <c r="AB30" s="111">
        <v>1</v>
      </c>
      <c r="AC30" s="111">
        <v>1</v>
      </c>
      <c r="AD30" s="187">
        <f t="shared" si="6"/>
        <v>0</v>
      </c>
      <c r="AE30" s="176"/>
      <c r="AF30" s="176">
        <v>1</v>
      </c>
      <c r="AG30" s="188">
        <f t="shared" si="7"/>
        <v>1</v>
      </c>
      <c r="AH30" s="112">
        <v>1</v>
      </c>
      <c r="AI30" s="112">
        <v>1</v>
      </c>
      <c r="AJ30" s="189">
        <f t="shared" si="8"/>
        <v>0</v>
      </c>
      <c r="AK30" s="113">
        <v>1</v>
      </c>
      <c r="AL30" s="113">
        <v>1</v>
      </c>
      <c r="AM30" s="190">
        <f t="shared" si="9"/>
        <v>0</v>
      </c>
      <c r="AN30" s="114"/>
      <c r="AO30" s="114">
        <v>1</v>
      </c>
      <c r="AP30" s="191">
        <f t="shared" si="10"/>
        <v>1</v>
      </c>
      <c r="AQ30" s="115"/>
      <c r="AR30" s="115">
        <v>1</v>
      </c>
      <c r="AS30" s="192">
        <f t="shared" si="11"/>
        <v>1</v>
      </c>
      <c r="AT30" s="116">
        <v>1</v>
      </c>
      <c r="AU30" s="116">
        <v>1</v>
      </c>
      <c r="AV30" s="193">
        <f t="shared" si="12"/>
        <v>0</v>
      </c>
      <c r="AW30" s="117"/>
      <c r="AX30" s="117">
        <v>1</v>
      </c>
      <c r="AY30" s="194">
        <f t="shared" si="13"/>
        <v>1</v>
      </c>
      <c r="AZ30" s="102"/>
      <c r="BA30" s="102"/>
      <c r="BB30" s="195">
        <f t="shared" si="14"/>
        <v>0</v>
      </c>
      <c r="BC30" s="118">
        <v>1</v>
      </c>
      <c r="BD30" s="118">
        <v>1</v>
      </c>
      <c r="BE30" s="196">
        <f t="shared" si="15"/>
        <v>0</v>
      </c>
      <c r="BF30" s="119"/>
      <c r="BG30" s="119">
        <v>1</v>
      </c>
      <c r="BH30" s="197">
        <f t="shared" si="16"/>
        <v>1</v>
      </c>
      <c r="BI30" s="120">
        <v>1</v>
      </c>
      <c r="BJ30" s="120">
        <v>1</v>
      </c>
      <c r="BK30" s="198">
        <f t="shared" si="17"/>
        <v>0</v>
      </c>
      <c r="BL30" s="121">
        <v>1</v>
      </c>
      <c r="BM30" s="121">
        <v>1</v>
      </c>
      <c r="BN30" s="199">
        <f t="shared" si="18"/>
        <v>0</v>
      </c>
      <c r="BO30" s="122"/>
      <c r="BP30" s="122">
        <v>1</v>
      </c>
      <c r="BQ30" s="200">
        <f t="shared" si="19"/>
        <v>1</v>
      </c>
      <c r="BR30" s="123">
        <v>1</v>
      </c>
      <c r="BS30" s="123">
        <v>1</v>
      </c>
      <c r="BT30" s="201">
        <f t="shared" si="20"/>
        <v>0</v>
      </c>
      <c r="BU30" s="124">
        <v>1</v>
      </c>
      <c r="BV30" s="124">
        <v>1</v>
      </c>
      <c r="BW30" s="202">
        <f t="shared" si="21"/>
        <v>0</v>
      </c>
      <c r="BX30" s="125"/>
      <c r="BY30" s="125">
        <v>1</v>
      </c>
      <c r="BZ30" s="203">
        <f t="shared" si="22"/>
        <v>1</v>
      </c>
      <c r="CA30" s="126"/>
      <c r="CB30" s="126"/>
      <c r="CC30" s="204">
        <f t="shared" si="23"/>
        <v>0</v>
      </c>
      <c r="CD30" s="127"/>
      <c r="CE30" s="127">
        <v>1</v>
      </c>
      <c r="CF30" s="205">
        <f t="shared" si="24"/>
        <v>1</v>
      </c>
      <c r="CG30" s="128"/>
      <c r="CH30" s="128">
        <v>1</v>
      </c>
      <c r="CI30" s="206">
        <f t="shared" si="25"/>
        <v>1</v>
      </c>
      <c r="CJ30" s="129"/>
      <c r="CK30" s="129">
        <v>1</v>
      </c>
      <c r="CL30" s="129">
        <f t="shared" si="26"/>
        <v>1</v>
      </c>
      <c r="CM30" s="131"/>
      <c r="CN30" s="131">
        <v>1</v>
      </c>
      <c r="CO30" s="207">
        <f t="shared" si="27"/>
        <v>1</v>
      </c>
      <c r="CP30" s="172"/>
      <c r="CQ30" s="172">
        <v>1</v>
      </c>
      <c r="CR30" s="172">
        <f t="shared" si="28"/>
        <v>1</v>
      </c>
      <c r="CS30" s="173"/>
      <c r="CT30" s="173">
        <v>1</v>
      </c>
      <c r="CU30" s="214">
        <f t="shared" si="29"/>
        <v>1</v>
      </c>
      <c r="CV30" s="174"/>
      <c r="CW30" s="174">
        <v>1</v>
      </c>
      <c r="CX30" s="174">
        <f t="shared" si="30"/>
        <v>1</v>
      </c>
      <c r="CY30" s="175"/>
      <c r="CZ30" s="175">
        <v>1</v>
      </c>
      <c r="DA30" s="216">
        <f t="shared" si="31"/>
        <v>1</v>
      </c>
      <c r="DB30" s="102"/>
      <c r="DC30" s="102"/>
      <c r="DD30" s="195">
        <f t="shared" si="32"/>
        <v>0</v>
      </c>
      <c r="DE30" s="102"/>
      <c r="DF30" s="102"/>
      <c r="DG30" s="195">
        <f t="shared" si="33"/>
        <v>0</v>
      </c>
    </row>
    <row r="31" spans="1:111" s="177" customFormat="1" ht="11.25" x14ac:dyDescent="0.25">
      <c r="A31" s="171"/>
      <c r="B31" s="178"/>
      <c r="C31" s="102" t="e">
        <f>VLOOKUP(A31,Parts!$A$2:$AE$189,11,FALSE())</f>
        <v>#N/A</v>
      </c>
      <c r="D31" s="102">
        <f t="shared" si="0"/>
        <v>16</v>
      </c>
      <c r="E31" s="179" t="e">
        <f t="shared" si="34"/>
        <v>#N/A</v>
      </c>
      <c r="F31" s="220">
        <f t="shared" si="35"/>
        <v>31</v>
      </c>
      <c r="G31" s="179" t="e">
        <f t="shared" si="36"/>
        <v>#N/A</v>
      </c>
      <c r="H31" s="178">
        <f t="shared" si="37"/>
        <v>14</v>
      </c>
      <c r="I31" s="179" t="e">
        <f t="shared" si="38"/>
        <v>#N/A</v>
      </c>
      <c r="J31" s="105">
        <v>1</v>
      </c>
      <c r="K31" s="105">
        <v>1</v>
      </c>
      <c r="L31" s="181">
        <f t="shared" si="39"/>
        <v>0</v>
      </c>
      <c r="M31" s="106"/>
      <c r="N31" s="106">
        <v>1</v>
      </c>
      <c r="O31" s="182">
        <f t="shared" si="1"/>
        <v>1</v>
      </c>
      <c r="P31" s="107"/>
      <c r="Q31" s="107">
        <v>1</v>
      </c>
      <c r="R31" s="183">
        <f t="shared" si="2"/>
        <v>1</v>
      </c>
      <c r="S31" s="108">
        <v>1</v>
      </c>
      <c r="T31" s="108">
        <v>1</v>
      </c>
      <c r="U31" s="184">
        <f t="shared" si="3"/>
        <v>0</v>
      </c>
      <c r="V31" s="109"/>
      <c r="W31" s="109">
        <v>1</v>
      </c>
      <c r="X31" s="185">
        <f t="shared" si="4"/>
        <v>1</v>
      </c>
      <c r="Y31" s="110">
        <v>1</v>
      </c>
      <c r="Z31" s="110">
        <v>1</v>
      </c>
      <c r="AA31" s="186">
        <f t="shared" si="5"/>
        <v>0</v>
      </c>
      <c r="AB31" s="111">
        <v>1</v>
      </c>
      <c r="AC31" s="111">
        <v>1</v>
      </c>
      <c r="AD31" s="187">
        <f t="shared" si="6"/>
        <v>0</v>
      </c>
      <c r="AE31" s="176">
        <v>1</v>
      </c>
      <c r="AF31" s="176">
        <v>1</v>
      </c>
      <c r="AG31" s="188">
        <f t="shared" si="7"/>
        <v>0</v>
      </c>
      <c r="AH31" s="112">
        <v>1</v>
      </c>
      <c r="AI31" s="112">
        <v>1</v>
      </c>
      <c r="AJ31" s="189">
        <f t="shared" si="8"/>
        <v>0</v>
      </c>
      <c r="AK31" s="113">
        <v>1</v>
      </c>
      <c r="AL31" s="113">
        <v>1</v>
      </c>
      <c r="AM31" s="190">
        <f t="shared" si="9"/>
        <v>0</v>
      </c>
      <c r="AN31" s="114"/>
      <c r="AO31" s="114">
        <v>1</v>
      </c>
      <c r="AP31" s="191">
        <f t="shared" si="10"/>
        <v>1</v>
      </c>
      <c r="AQ31" s="115">
        <v>1</v>
      </c>
      <c r="AR31" s="115">
        <v>1</v>
      </c>
      <c r="AS31" s="192">
        <f t="shared" si="11"/>
        <v>0</v>
      </c>
      <c r="AT31" s="116">
        <v>1</v>
      </c>
      <c r="AU31" s="116">
        <v>1</v>
      </c>
      <c r="AV31" s="193">
        <f t="shared" si="12"/>
        <v>0</v>
      </c>
      <c r="AW31" s="117"/>
      <c r="AX31" s="117">
        <v>1</v>
      </c>
      <c r="AY31" s="194">
        <f t="shared" si="13"/>
        <v>1</v>
      </c>
      <c r="AZ31" s="102"/>
      <c r="BA31" s="102"/>
      <c r="BB31" s="195">
        <f t="shared" si="14"/>
        <v>0</v>
      </c>
      <c r="BC31" s="118">
        <v>2</v>
      </c>
      <c r="BD31" s="118">
        <v>1</v>
      </c>
      <c r="BE31" s="196">
        <f t="shared" si="15"/>
        <v>-1</v>
      </c>
      <c r="BF31" s="119"/>
      <c r="BG31" s="119">
        <v>1</v>
      </c>
      <c r="BH31" s="197">
        <f t="shared" si="16"/>
        <v>1</v>
      </c>
      <c r="BI31" s="120">
        <v>1</v>
      </c>
      <c r="BJ31" s="120">
        <v>1</v>
      </c>
      <c r="BK31" s="198">
        <f t="shared" si="17"/>
        <v>0</v>
      </c>
      <c r="BL31" s="121">
        <v>1</v>
      </c>
      <c r="BM31" s="121">
        <v>1</v>
      </c>
      <c r="BN31" s="199">
        <f t="shared" si="18"/>
        <v>0</v>
      </c>
      <c r="BO31" s="122"/>
      <c r="BP31" s="122">
        <v>1</v>
      </c>
      <c r="BQ31" s="200">
        <f t="shared" si="19"/>
        <v>1</v>
      </c>
      <c r="BR31" s="123">
        <v>1</v>
      </c>
      <c r="BS31" s="123">
        <v>1</v>
      </c>
      <c r="BT31" s="201">
        <f t="shared" si="20"/>
        <v>0</v>
      </c>
      <c r="BU31" s="124">
        <v>1</v>
      </c>
      <c r="BV31" s="124">
        <v>1</v>
      </c>
      <c r="BW31" s="202">
        <f t="shared" si="21"/>
        <v>0</v>
      </c>
      <c r="BX31" s="125">
        <v>1</v>
      </c>
      <c r="BY31" s="125">
        <v>1</v>
      </c>
      <c r="BZ31" s="203">
        <f t="shared" si="22"/>
        <v>0</v>
      </c>
      <c r="CA31" s="126"/>
      <c r="CB31" s="126"/>
      <c r="CC31" s="204">
        <f t="shared" si="23"/>
        <v>0</v>
      </c>
      <c r="CD31" s="127"/>
      <c r="CE31" s="127">
        <v>1</v>
      </c>
      <c r="CF31" s="205">
        <f t="shared" si="24"/>
        <v>1</v>
      </c>
      <c r="CG31" s="128"/>
      <c r="CH31" s="128">
        <v>1</v>
      </c>
      <c r="CI31" s="206">
        <f t="shared" si="25"/>
        <v>1</v>
      </c>
      <c r="CJ31" s="129"/>
      <c r="CK31" s="129">
        <v>1</v>
      </c>
      <c r="CL31" s="129">
        <f t="shared" si="26"/>
        <v>1</v>
      </c>
      <c r="CM31" s="131"/>
      <c r="CN31" s="131">
        <v>1</v>
      </c>
      <c r="CO31" s="207">
        <f t="shared" si="27"/>
        <v>1</v>
      </c>
      <c r="CP31" s="172"/>
      <c r="CQ31" s="172">
        <v>1</v>
      </c>
      <c r="CR31" s="172">
        <f t="shared" si="28"/>
        <v>1</v>
      </c>
      <c r="CS31" s="173"/>
      <c r="CT31" s="173">
        <v>1</v>
      </c>
      <c r="CU31" s="214">
        <f t="shared" si="29"/>
        <v>1</v>
      </c>
      <c r="CV31" s="174"/>
      <c r="CW31" s="174">
        <v>1</v>
      </c>
      <c r="CX31" s="174">
        <f t="shared" si="30"/>
        <v>1</v>
      </c>
      <c r="CY31" s="175"/>
      <c r="CZ31" s="175">
        <v>1</v>
      </c>
      <c r="DA31" s="216">
        <f t="shared" si="31"/>
        <v>1</v>
      </c>
      <c r="DB31" s="102"/>
      <c r="DC31" s="102"/>
      <c r="DD31" s="195">
        <f t="shared" si="32"/>
        <v>0</v>
      </c>
      <c r="DE31" s="102"/>
      <c r="DF31" s="102"/>
      <c r="DG31" s="195">
        <f t="shared" si="33"/>
        <v>0</v>
      </c>
    </row>
    <row r="32" spans="1:111" s="177" customFormat="1" ht="11.25" x14ac:dyDescent="0.25">
      <c r="A32" s="171"/>
      <c r="B32" s="179"/>
      <c r="C32" s="102" t="e">
        <f>VLOOKUP(A32,Parts!$A$2:$AE$189,11,FALSE())</f>
        <v>#N/A</v>
      </c>
      <c r="D32" s="102">
        <f t="shared" si="0"/>
        <v>0</v>
      </c>
      <c r="E32" s="179" t="e">
        <f t="shared" si="34"/>
        <v>#N/A</v>
      </c>
      <c r="F32" s="220">
        <f t="shared" si="35"/>
        <v>1</v>
      </c>
      <c r="G32" s="179" t="e">
        <f t="shared" si="36"/>
        <v>#N/A</v>
      </c>
      <c r="H32" s="178">
        <f t="shared" si="37"/>
        <v>1</v>
      </c>
      <c r="I32" s="179" t="e">
        <f t="shared" si="38"/>
        <v>#N/A</v>
      </c>
      <c r="J32" s="105"/>
      <c r="K32" s="105"/>
      <c r="L32" s="181">
        <f t="shared" si="39"/>
        <v>0</v>
      </c>
      <c r="M32" s="106"/>
      <c r="N32" s="106"/>
      <c r="O32" s="182">
        <f t="shared" si="1"/>
        <v>0</v>
      </c>
      <c r="P32" s="107"/>
      <c r="Q32" s="107"/>
      <c r="R32" s="183">
        <f t="shared" si="2"/>
        <v>0</v>
      </c>
      <c r="S32" s="108"/>
      <c r="T32" s="108"/>
      <c r="U32" s="184">
        <f t="shared" si="3"/>
        <v>0</v>
      </c>
      <c r="V32" s="109"/>
      <c r="W32" s="109"/>
      <c r="X32" s="185">
        <f t="shared" si="4"/>
        <v>0</v>
      </c>
      <c r="Y32" s="110"/>
      <c r="Z32" s="110"/>
      <c r="AA32" s="186">
        <f t="shared" si="5"/>
        <v>0</v>
      </c>
      <c r="AB32" s="111"/>
      <c r="AC32" s="111"/>
      <c r="AD32" s="187">
        <f t="shared" si="6"/>
        <v>0</v>
      </c>
      <c r="AE32" s="176"/>
      <c r="AF32" s="176"/>
      <c r="AG32" s="188">
        <f t="shared" si="7"/>
        <v>0</v>
      </c>
      <c r="AH32" s="112"/>
      <c r="AI32" s="112"/>
      <c r="AJ32" s="189">
        <f t="shared" si="8"/>
        <v>0</v>
      </c>
      <c r="AK32" s="113"/>
      <c r="AL32" s="113"/>
      <c r="AM32" s="190">
        <f t="shared" si="9"/>
        <v>0</v>
      </c>
      <c r="AN32" s="114"/>
      <c r="AO32" s="114"/>
      <c r="AP32" s="191">
        <f t="shared" si="10"/>
        <v>0</v>
      </c>
      <c r="AQ32" s="115"/>
      <c r="AR32" s="115"/>
      <c r="AS32" s="192">
        <f t="shared" si="11"/>
        <v>0</v>
      </c>
      <c r="AT32" s="116"/>
      <c r="AU32" s="116"/>
      <c r="AV32" s="193">
        <f t="shared" si="12"/>
        <v>0</v>
      </c>
      <c r="AW32" s="117"/>
      <c r="AX32" s="117"/>
      <c r="AY32" s="194">
        <f t="shared" si="13"/>
        <v>0</v>
      </c>
      <c r="AZ32" s="102"/>
      <c r="BA32" s="102"/>
      <c r="BB32" s="195">
        <f t="shared" si="14"/>
        <v>0</v>
      </c>
      <c r="BC32" s="118"/>
      <c r="BD32" s="118"/>
      <c r="BE32" s="196">
        <f t="shared" si="15"/>
        <v>0</v>
      </c>
      <c r="BF32" s="119"/>
      <c r="BG32" s="119"/>
      <c r="BH32" s="197">
        <f t="shared" si="16"/>
        <v>0</v>
      </c>
      <c r="BI32" s="120"/>
      <c r="BJ32" s="120"/>
      <c r="BK32" s="198">
        <f t="shared" si="17"/>
        <v>0</v>
      </c>
      <c r="BL32" s="121"/>
      <c r="BM32" s="121"/>
      <c r="BN32" s="199">
        <f t="shared" si="18"/>
        <v>0</v>
      </c>
      <c r="BO32" s="122"/>
      <c r="BP32" s="122"/>
      <c r="BQ32" s="200">
        <f t="shared" si="19"/>
        <v>0</v>
      </c>
      <c r="BR32" s="123"/>
      <c r="BS32" s="123"/>
      <c r="BT32" s="201">
        <f t="shared" si="20"/>
        <v>0</v>
      </c>
      <c r="BU32" s="124"/>
      <c r="BV32" s="124"/>
      <c r="BW32" s="202">
        <f t="shared" si="21"/>
        <v>0</v>
      </c>
      <c r="BX32" s="125"/>
      <c r="BY32" s="125"/>
      <c r="BZ32" s="203">
        <f t="shared" si="22"/>
        <v>0</v>
      </c>
      <c r="CA32" s="126"/>
      <c r="CB32" s="126"/>
      <c r="CC32" s="204">
        <f t="shared" si="23"/>
        <v>0</v>
      </c>
      <c r="CD32" s="127"/>
      <c r="CE32" s="127"/>
      <c r="CF32" s="205">
        <f t="shared" si="24"/>
        <v>0</v>
      </c>
      <c r="CG32" s="128"/>
      <c r="CH32" s="128"/>
      <c r="CI32" s="206">
        <f t="shared" si="25"/>
        <v>0</v>
      </c>
      <c r="CJ32" s="129"/>
      <c r="CK32" s="129"/>
      <c r="CL32" s="129">
        <f t="shared" si="26"/>
        <v>0</v>
      </c>
      <c r="CM32" s="131"/>
      <c r="CN32" s="131"/>
      <c r="CO32" s="207">
        <f t="shared" si="27"/>
        <v>0</v>
      </c>
      <c r="CP32" s="172"/>
      <c r="CQ32" s="172"/>
      <c r="CR32" s="172">
        <f t="shared" si="28"/>
        <v>0</v>
      </c>
      <c r="CS32" s="173"/>
      <c r="CT32" s="173"/>
      <c r="CU32" s="214">
        <f t="shared" si="29"/>
        <v>0</v>
      </c>
      <c r="CV32" s="174"/>
      <c r="CW32" s="174">
        <v>1</v>
      </c>
      <c r="CX32" s="174">
        <f t="shared" si="30"/>
        <v>1</v>
      </c>
      <c r="CY32" s="175"/>
      <c r="CZ32" s="175"/>
      <c r="DA32" s="216">
        <f t="shared" si="31"/>
        <v>0</v>
      </c>
      <c r="DB32" s="102"/>
      <c r="DC32" s="102"/>
      <c r="DD32" s="195">
        <f t="shared" si="32"/>
        <v>0</v>
      </c>
      <c r="DE32" s="102"/>
      <c r="DF32" s="102"/>
      <c r="DG32" s="195">
        <f t="shared" si="33"/>
        <v>0</v>
      </c>
    </row>
    <row r="33" spans="1:111" s="177" customFormat="1" ht="11.25" x14ac:dyDescent="0.25">
      <c r="A33" s="171"/>
      <c r="B33" s="178"/>
      <c r="C33" s="102" t="e">
        <f>VLOOKUP(A33,Parts!$A$2:$AE$189,11,FALSE())</f>
        <v>#N/A</v>
      </c>
      <c r="D33" s="102">
        <f t="shared" si="0"/>
        <v>31</v>
      </c>
      <c r="E33" s="179" t="e">
        <f t="shared" si="34"/>
        <v>#N/A</v>
      </c>
      <c r="F33" s="220">
        <f t="shared" si="35"/>
        <v>36</v>
      </c>
      <c r="G33" s="179" t="e">
        <f t="shared" si="36"/>
        <v>#N/A</v>
      </c>
      <c r="H33" s="178">
        <f t="shared" si="37"/>
        <v>3</v>
      </c>
      <c r="I33" s="179" t="e">
        <f t="shared" si="38"/>
        <v>#N/A</v>
      </c>
      <c r="J33" s="105"/>
      <c r="K33" s="105"/>
      <c r="L33" s="181">
        <f t="shared" si="39"/>
        <v>0</v>
      </c>
      <c r="M33" s="106"/>
      <c r="N33" s="106"/>
      <c r="O33" s="182">
        <f t="shared" si="1"/>
        <v>0</v>
      </c>
      <c r="P33" s="107"/>
      <c r="Q33" s="107"/>
      <c r="R33" s="183">
        <f t="shared" si="2"/>
        <v>0</v>
      </c>
      <c r="S33" s="108"/>
      <c r="T33" s="108">
        <v>1</v>
      </c>
      <c r="U33" s="184">
        <f t="shared" si="3"/>
        <v>1</v>
      </c>
      <c r="V33" s="109"/>
      <c r="W33" s="109"/>
      <c r="X33" s="185">
        <f t="shared" si="4"/>
        <v>0</v>
      </c>
      <c r="Y33" s="110">
        <v>3</v>
      </c>
      <c r="Z33" s="110">
        <v>1</v>
      </c>
      <c r="AA33" s="186">
        <f t="shared" si="5"/>
        <v>-2</v>
      </c>
      <c r="AB33" s="111">
        <v>2</v>
      </c>
      <c r="AC33" s="111"/>
      <c r="AD33" s="187">
        <f t="shared" si="6"/>
        <v>-2</v>
      </c>
      <c r="AE33" s="176"/>
      <c r="AF33" s="176"/>
      <c r="AG33" s="188">
        <f t="shared" si="7"/>
        <v>0</v>
      </c>
      <c r="AH33" s="112">
        <v>1</v>
      </c>
      <c r="AI33" s="112">
        <v>1</v>
      </c>
      <c r="AJ33" s="189">
        <f t="shared" si="8"/>
        <v>0</v>
      </c>
      <c r="AK33" s="113">
        <v>1</v>
      </c>
      <c r="AL33" s="113">
        <v>1</v>
      </c>
      <c r="AM33" s="190">
        <f t="shared" si="9"/>
        <v>0</v>
      </c>
      <c r="AN33" s="114"/>
      <c r="AO33" s="114"/>
      <c r="AP33" s="191">
        <f t="shared" si="10"/>
        <v>0</v>
      </c>
      <c r="AQ33" s="115"/>
      <c r="AR33" s="115"/>
      <c r="AS33" s="192">
        <f t="shared" si="11"/>
        <v>0</v>
      </c>
      <c r="AT33" s="116">
        <v>2</v>
      </c>
      <c r="AU33" s="116">
        <v>2</v>
      </c>
      <c r="AV33" s="193">
        <f t="shared" si="12"/>
        <v>0</v>
      </c>
      <c r="AW33" s="117">
        <v>4</v>
      </c>
      <c r="AX33" s="117">
        <v>2</v>
      </c>
      <c r="AY33" s="194">
        <f t="shared" si="13"/>
        <v>-2</v>
      </c>
      <c r="AZ33" s="102"/>
      <c r="BA33" s="102"/>
      <c r="BB33" s="195">
        <f t="shared" si="14"/>
        <v>0</v>
      </c>
      <c r="BC33" s="118">
        <v>1</v>
      </c>
      <c r="BD33" s="118">
        <v>2</v>
      </c>
      <c r="BE33" s="196">
        <f t="shared" si="15"/>
        <v>1</v>
      </c>
      <c r="BF33" s="119">
        <v>1</v>
      </c>
      <c r="BG33" s="119">
        <v>2</v>
      </c>
      <c r="BH33" s="197">
        <f t="shared" si="16"/>
        <v>1</v>
      </c>
      <c r="BI33" s="120">
        <v>2</v>
      </c>
      <c r="BJ33" s="120">
        <v>2</v>
      </c>
      <c r="BK33" s="198">
        <f t="shared" si="17"/>
        <v>0</v>
      </c>
      <c r="BL33" s="121">
        <v>2</v>
      </c>
      <c r="BM33" s="121">
        <v>2</v>
      </c>
      <c r="BN33" s="199">
        <f t="shared" si="18"/>
        <v>0</v>
      </c>
      <c r="BO33" s="122">
        <v>2</v>
      </c>
      <c r="BP33" s="122">
        <v>2</v>
      </c>
      <c r="BQ33" s="200">
        <f t="shared" si="19"/>
        <v>0</v>
      </c>
      <c r="BR33" s="123">
        <v>2</v>
      </c>
      <c r="BS33" s="123">
        <v>2</v>
      </c>
      <c r="BT33" s="201">
        <f t="shared" si="20"/>
        <v>0</v>
      </c>
      <c r="BU33" s="124">
        <v>2</v>
      </c>
      <c r="BV33" s="124">
        <v>2</v>
      </c>
      <c r="BW33" s="202">
        <f t="shared" si="21"/>
        <v>0</v>
      </c>
      <c r="BX33" s="125">
        <v>2</v>
      </c>
      <c r="BY33" s="125">
        <v>2</v>
      </c>
      <c r="BZ33" s="203">
        <f t="shared" si="22"/>
        <v>0</v>
      </c>
      <c r="CA33" s="126"/>
      <c r="CB33" s="126"/>
      <c r="CC33" s="204">
        <f t="shared" si="23"/>
        <v>0</v>
      </c>
      <c r="CD33" s="127"/>
      <c r="CE33" s="127"/>
      <c r="CF33" s="205">
        <f t="shared" si="24"/>
        <v>0</v>
      </c>
      <c r="CG33" s="128"/>
      <c r="CH33" s="128"/>
      <c r="CI33" s="206">
        <f t="shared" si="25"/>
        <v>0</v>
      </c>
      <c r="CJ33" s="129">
        <v>4</v>
      </c>
      <c r="CK33" s="129"/>
      <c r="CL33" s="129">
        <f t="shared" si="26"/>
        <v>-4</v>
      </c>
      <c r="CM33" s="131"/>
      <c r="CN33" s="131">
        <v>2</v>
      </c>
      <c r="CO33" s="207">
        <f t="shared" si="27"/>
        <v>2</v>
      </c>
      <c r="CP33" s="172"/>
      <c r="CQ33" s="172">
        <v>2</v>
      </c>
      <c r="CR33" s="172">
        <f t="shared" si="28"/>
        <v>2</v>
      </c>
      <c r="CS33" s="173"/>
      <c r="CT33" s="173">
        <v>2</v>
      </c>
      <c r="CU33" s="214">
        <f t="shared" si="29"/>
        <v>2</v>
      </c>
      <c r="CV33" s="174"/>
      <c r="CW33" s="174">
        <v>2</v>
      </c>
      <c r="CX33" s="174">
        <f t="shared" si="30"/>
        <v>2</v>
      </c>
      <c r="CY33" s="175"/>
      <c r="CZ33" s="175">
        <v>2</v>
      </c>
      <c r="DA33" s="216">
        <f t="shared" si="31"/>
        <v>2</v>
      </c>
      <c r="DB33" s="102"/>
      <c r="DC33" s="102"/>
      <c r="DD33" s="195">
        <f t="shared" si="32"/>
        <v>0</v>
      </c>
      <c r="DE33" s="102"/>
      <c r="DF33" s="102"/>
      <c r="DG33" s="195">
        <f t="shared" si="33"/>
        <v>0</v>
      </c>
    </row>
    <row r="34" spans="1:111" s="177" customFormat="1" ht="11.25" x14ac:dyDescent="0.25">
      <c r="A34" s="171"/>
      <c r="B34" s="178"/>
      <c r="C34" s="102" t="e">
        <f>VLOOKUP(A34,Parts!$A$2:$AE$189,11,FALSE())</f>
        <v>#N/A</v>
      </c>
      <c r="D34" s="102">
        <f t="shared" si="0"/>
        <v>26</v>
      </c>
      <c r="E34" s="179" t="e">
        <f t="shared" si="34"/>
        <v>#N/A</v>
      </c>
      <c r="F34" s="220">
        <f t="shared" si="35"/>
        <v>31</v>
      </c>
      <c r="G34" s="179" t="e">
        <f t="shared" si="36"/>
        <v>#N/A</v>
      </c>
      <c r="H34" s="178">
        <f t="shared" si="37"/>
        <v>4</v>
      </c>
      <c r="I34" s="179" t="e">
        <f t="shared" si="38"/>
        <v>#N/A</v>
      </c>
      <c r="J34" s="105"/>
      <c r="K34" s="105">
        <v>1</v>
      </c>
      <c r="L34" s="181">
        <f t="shared" si="39"/>
        <v>1</v>
      </c>
      <c r="M34" s="106">
        <v>1</v>
      </c>
      <c r="N34" s="106">
        <v>1</v>
      </c>
      <c r="O34" s="182">
        <f t="shared" si="1"/>
        <v>0</v>
      </c>
      <c r="P34" s="107">
        <v>1</v>
      </c>
      <c r="Q34" s="107">
        <v>1</v>
      </c>
      <c r="R34" s="183">
        <f t="shared" si="2"/>
        <v>0</v>
      </c>
      <c r="S34" s="108">
        <v>1</v>
      </c>
      <c r="T34" s="108">
        <v>1</v>
      </c>
      <c r="U34" s="184">
        <f t="shared" si="3"/>
        <v>0</v>
      </c>
      <c r="V34" s="109">
        <v>1</v>
      </c>
      <c r="W34" s="109">
        <v>1</v>
      </c>
      <c r="X34" s="185">
        <f t="shared" si="4"/>
        <v>0</v>
      </c>
      <c r="Y34" s="110">
        <v>2</v>
      </c>
      <c r="Z34" s="110">
        <v>1</v>
      </c>
      <c r="AA34" s="186">
        <f t="shared" si="5"/>
        <v>-1</v>
      </c>
      <c r="AB34" s="111">
        <v>1</v>
      </c>
      <c r="AC34" s="111">
        <v>1</v>
      </c>
      <c r="AD34" s="187">
        <f t="shared" si="6"/>
        <v>0</v>
      </c>
      <c r="AE34" s="176">
        <v>1</v>
      </c>
      <c r="AF34" s="176">
        <v>1</v>
      </c>
      <c r="AG34" s="188">
        <f t="shared" si="7"/>
        <v>0</v>
      </c>
      <c r="AH34" s="112"/>
      <c r="AI34" s="112">
        <v>1</v>
      </c>
      <c r="AJ34" s="189">
        <f t="shared" si="8"/>
        <v>1</v>
      </c>
      <c r="AK34" s="113">
        <v>2</v>
      </c>
      <c r="AL34" s="113">
        <v>1</v>
      </c>
      <c r="AM34" s="190">
        <f t="shared" si="9"/>
        <v>-1</v>
      </c>
      <c r="AN34" s="114">
        <v>1</v>
      </c>
      <c r="AO34" s="114">
        <v>1</v>
      </c>
      <c r="AP34" s="191">
        <f t="shared" si="10"/>
        <v>0</v>
      </c>
      <c r="AQ34" s="115">
        <v>2</v>
      </c>
      <c r="AR34" s="115">
        <v>1</v>
      </c>
      <c r="AS34" s="192">
        <f t="shared" si="11"/>
        <v>-1</v>
      </c>
      <c r="AT34" s="116">
        <v>1</v>
      </c>
      <c r="AU34" s="116">
        <v>1</v>
      </c>
      <c r="AV34" s="193">
        <f t="shared" si="12"/>
        <v>0</v>
      </c>
      <c r="AW34" s="117"/>
      <c r="AX34" s="117">
        <v>1</v>
      </c>
      <c r="AY34" s="194">
        <f t="shared" si="13"/>
        <v>1</v>
      </c>
      <c r="AZ34" s="102"/>
      <c r="BA34" s="102"/>
      <c r="BB34" s="195">
        <f t="shared" si="14"/>
        <v>0</v>
      </c>
      <c r="BC34" s="118">
        <v>2</v>
      </c>
      <c r="BD34" s="118">
        <v>1</v>
      </c>
      <c r="BE34" s="196">
        <f t="shared" si="15"/>
        <v>-1</v>
      </c>
      <c r="BF34" s="119">
        <v>2</v>
      </c>
      <c r="BG34" s="119">
        <v>1</v>
      </c>
      <c r="BH34" s="197">
        <f t="shared" si="16"/>
        <v>-1</v>
      </c>
      <c r="BI34" s="120">
        <v>1</v>
      </c>
      <c r="BJ34" s="120">
        <v>1</v>
      </c>
      <c r="BK34" s="198">
        <f t="shared" si="17"/>
        <v>0</v>
      </c>
      <c r="BL34" s="121">
        <v>2</v>
      </c>
      <c r="BM34" s="121">
        <v>1</v>
      </c>
      <c r="BN34" s="199">
        <f t="shared" si="18"/>
        <v>-1</v>
      </c>
      <c r="BO34" s="122">
        <v>1</v>
      </c>
      <c r="BP34" s="122">
        <v>1</v>
      </c>
      <c r="BQ34" s="200">
        <f t="shared" si="19"/>
        <v>0</v>
      </c>
      <c r="BR34" s="123">
        <v>1</v>
      </c>
      <c r="BS34" s="123">
        <v>1</v>
      </c>
      <c r="BT34" s="201">
        <f t="shared" si="20"/>
        <v>0</v>
      </c>
      <c r="BU34" s="124">
        <v>1</v>
      </c>
      <c r="BV34" s="124">
        <v>1</v>
      </c>
      <c r="BW34" s="202">
        <f t="shared" si="21"/>
        <v>0</v>
      </c>
      <c r="BX34" s="125">
        <v>1</v>
      </c>
      <c r="BY34" s="125">
        <v>1</v>
      </c>
      <c r="BZ34" s="203">
        <f t="shared" si="22"/>
        <v>0</v>
      </c>
      <c r="CA34" s="126"/>
      <c r="CB34" s="126"/>
      <c r="CC34" s="204">
        <f t="shared" si="23"/>
        <v>0</v>
      </c>
      <c r="CD34" s="127">
        <v>1</v>
      </c>
      <c r="CE34" s="127">
        <v>1</v>
      </c>
      <c r="CF34" s="205">
        <f t="shared" si="24"/>
        <v>0</v>
      </c>
      <c r="CG34" s="128"/>
      <c r="CH34" s="128">
        <v>1</v>
      </c>
      <c r="CI34" s="206">
        <f t="shared" si="25"/>
        <v>1</v>
      </c>
      <c r="CJ34" s="129"/>
      <c r="CK34" s="129">
        <v>1</v>
      </c>
      <c r="CL34" s="129">
        <f t="shared" si="26"/>
        <v>1</v>
      </c>
      <c r="CM34" s="131"/>
      <c r="CN34" s="131">
        <v>1</v>
      </c>
      <c r="CO34" s="207">
        <f t="shared" si="27"/>
        <v>1</v>
      </c>
      <c r="CP34" s="172"/>
      <c r="CQ34" s="172">
        <v>1</v>
      </c>
      <c r="CR34" s="172">
        <f t="shared" si="28"/>
        <v>1</v>
      </c>
      <c r="CS34" s="173"/>
      <c r="CT34" s="173">
        <v>1</v>
      </c>
      <c r="CU34" s="214">
        <f t="shared" si="29"/>
        <v>1</v>
      </c>
      <c r="CV34" s="174"/>
      <c r="CW34" s="174">
        <v>1</v>
      </c>
      <c r="CX34" s="174">
        <f t="shared" si="30"/>
        <v>1</v>
      </c>
      <c r="CY34" s="175"/>
      <c r="CZ34" s="175">
        <v>1</v>
      </c>
      <c r="DA34" s="216">
        <f t="shared" si="31"/>
        <v>1</v>
      </c>
      <c r="DB34" s="102"/>
      <c r="DC34" s="102"/>
      <c r="DD34" s="195">
        <f t="shared" si="32"/>
        <v>0</v>
      </c>
      <c r="DE34" s="102"/>
      <c r="DF34" s="102"/>
      <c r="DG34" s="195">
        <f t="shared" si="33"/>
        <v>0</v>
      </c>
    </row>
    <row r="35" spans="1:111" s="177" customFormat="1" ht="11.25" x14ac:dyDescent="0.25">
      <c r="A35" s="171"/>
      <c r="B35" s="178"/>
      <c r="C35" s="102" t="e">
        <f>VLOOKUP(A35,Parts!$A$2:$AE$189,11,FALSE())</f>
        <v>#N/A</v>
      </c>
      <c r="D35" s="102" t="e">
        <f t="shared" si="0"/>
        <v>#VALUE!</v>
      </c>
      <c r="E35" s="179" t="e">
        <f t="shared" si="34"/>
        <v>#VALUE!</v>
      </c>
      <c r="F35" s="220">
        <f t="shared" si="35"/>
        <v>65</v>
      </c>
      <c r="G35" s="179" t="e">
        <f t="shared" si="36"/>
        <v>#N/A</v>
      </c>
      <c r="H35" s="178" t="e">
        <f t="shared" si="37"/>
        <v>#VALUE!</v>
      </c>
      <c r="I35" s="179" t="e">
        <f t="shared" si="38"/>
        <v>#VALUE!</v>
      </c>
      <c r="J35" s="105"/>
      <c r="K35" s="105"/>
      <c r="L35" s="181">
        <f t="shared" si="39"/>
        <v>0</v>
      </c>
      <c r="M35" s="106"/>
      <c r="N35" s="106"/>
      <c r="O35" s="182">
        <f t="shared" si="1"/>
        <v>0</v>
      </c>
      <c r="P35" s="107"/>
      <c r="Q35" s="107"/>
      <c r="R35" s="183">
        <f t="shared" si="2"/>
        <v>0</v>
      </c>
      <c r="S35" s="108">
        <v>15</v>
      </c>
      <c r="T35" s="108">
        <v>5</v>
      </c>
      <c r="U35" s="184">
        <f t="shared" si="3"/>
        <v>-10</v>
      </c>
      <c r="V35" s="109">
        <v>1</v>
      </c>
      <c r="W35" s="109"/>
      <c r="X35" s="185">
        <f t="shared" si="4"/>
        <v>-1</v>
      </c>
      <c r="Y35" s="110">
        <v>4</v>
      </c>
      <c r="Z35" s="110">
        <v>4</v>
      </c>
      <c r="AA35" s="186">
        <f t="shared" si="5"/>
        <v>0</v>
      </c>
      <c r="AB35" s="111">
        <v>2</v>
      </c>
      <c r="AC35" s="111">
        <v>2</v>
      </c>
      <c r="AD35" s="187">
        <f t="shared" si="6"/>
        <v>0</v>
      </c>
      <c r="AE35" s="176"/>
      <c r="AF35" s="176"/>
      <c r="AG35" s="188">
        <f t="shared" si="7"/>
        <v>0</v>
      </c>
      <c r="AH35" s="112">
        <v>1</v>
      </c>
      <c r="AI35" s="112">
        <v>2</v>
      </c>
      <c r="AJ35" s="189">
        <f t="shared" si="8"/>
        <v>1</v>
      </c>
      <c r="AK35" s="113">
        <v>5</v>
      </c>
      <c r="AL35" s="113">
        <v>5</v>
      </c>
      <c r="AM35" s="190">
        <f t="shared" si="9"/>
        <v>0</v>
      </c>
      <c r="AN35" s="114">
        <v>2</v>
      </c>
      <c r="AO35" s="114">
        <v>2</v>
      </c>
      <c r="AP35" s="191">
        <f t="shared" si="10"/>
        <v>0</v>
      </c>
      <c r="AQ35" s="115">
        <v>2</v>
      </c>
      <c r="AR35" s="115">
        <v>2</v>
      </c>
      <c r="AS35" s="192">
        <f t="shared" si="11"/>
        <v>0</v>
      </c>
      <c r="AT35" s="116">
        <v>4</v>
      </c>
      <c r="AU35" s="116">
        <v>2</v>
      </c>
      <c r="AV35" s="193">
        <f t="shared" si="12"/>
        <v>-2</v>
      </c>
      <c r="AW35" s="117">
        <v>2</v>
      </c>
      <c r="AX35" s="117">
        <v>2</v>
      </c>
      <c r="AY35" s="194">
        <f t="shared" si="13"/>
        <v>0</v>
      </c>
      <c r="AZ35" s="102"/>
      <c r="BA35" s="102"/>
      <c r="BB35" s="195">
        <f t="shared" si="14"/>
        <v>0</v>
      </c>
      <c r="BC35" s="118" t="s">
        <v>268</v>
      </c>
      <c r="BD35" s="118">
        <v>4</v>
      </c>
      <c r="BE35" s="196" t="e">
        <f t="shared" si="15"/>
        <v>#VALUE!</v>
      </c>
      <c r="BF35" s="119">
        <v>3</v>
      </c>
      <c r="BG35" s="119">
        <v>4</v>
      </c>
      <c r="BH35" s="197">
        <f t="shared" si="16"/>
        <v>1</v>
      </c>
      <c r="BI35" s="120">
        <v>2</v>
      </c>
      <c r="BJ35" s="120">
        <v>5</v>
      </c>
      <c r="BK35" s="198">
        <f t="shared" si="17"/>
        <v>3</v>
      </c>
      <c r="BL35" s="121">
        <v>2</v>
      </c>
      <c r="BM35" s="121">
        <v>2</v>
      </c>
      <c r="BN35" s="199">
        <f t="shared" si="18"/>
        <v>0</v>
      </c>
      <c r="BO35" s="122">
        <v>1</v>
      </c>
      <c r="BP35" s="122">
        <v>3</v>
      </c>
      <c r="BQ35" s="200">
        <f t="shared" si="19"/>
        <v>2</v>
      </c>
      <c r="BR35" s="123">
        <v>1</v>
      </c>
      <c r="BS35" s="123">
        <v>2</v>
      </c>
      <c r="BT35" s="201">
        <f t="shared" si="20"/>
        <v>1</v>
      </c>
      <c r="BU35" s="124">
        <v>7</v>
      </c>
      <c r="BV35" s="124">
        <v>5</v>
      </c>
      <c r="BW35" s="202">
        <f t="shared" si="21"/>
        <v>-2</v>
      </c>
      <c r="BX35" s="125">
        <v>1</v>
      </c>
      <c r="BY35" s="125">
        <v>2</v>
      </c>
      <c r="BZ35" s="203">
        <f t="shared" si="22"/>
        <v>1</v>
      </c>
      <c r="CA35" s="126"/>
      <c r="CB35" s="126"/>
      <c r="CC35" s="204">
        <f t="shared" si="23"/>
        <v>0</v>
      </c>
      <c r="CD35" s="127"/>
      <c r="CE35" s="127"/>
      <c r="CF35" s="205">
        <f t="shared" si="24"/>
        <v>0</v>
      </c>
      <c r="CG35" s="128"/>
      <c r="CH35" s="128"/>
      <c r="CI35" s="206">
        <f t="shared" si="25"/>
        <v>0</v>
      </c>
      <c r="CJ35" s="129"/>
      <c r="CK35" s="129"/>
      <c r="CL35" s="129">
        <f t="shared" si="26"/>
        <v>0</v>
      </c>
      <c r="CM35" s="131"/>
      <c r="CN35" s="131">
        <v>2</v>
      </c>
      <c r="CO35" s="207">
        <f t="shared" si="27"/>
        <v>2</v>
      </c>
      <c r="CP35" s="172"/>
      <c r="CQ35" s="172">
        <v>2</v>
      </c>
      <c r="CR35" s="172">
        <f t="shared" si="28"/>
        <v>2</v>
      </c>
      <c r="CS35" s="173"/>
      <c r="CT35" s="173">
        <v>2</v>
      </c>
      <c r="CU35" s="214">
        <f t="shared" si="29"/>
        <v>2</v>
      </c>
      <c r="CV35" s="174"/>
      <c r="CW35" s="174">
        <v>2</v>
      </c>
      <c r="CX35" s="174">
        <f t="shared" si="30"/>
        <v>2</v>
      </c>
      <c r="CY35" s="175"/>
      <c r="CZ35" s="175">
        <v>2</v>
      </c>
      <c r="DA35" s="216">
        <f t="shared" si="31"/>
        <v>2</v>
      </c>
      <c r="DB35" s="102"/>
      <c r="DC35" s="102"/>
      <c r="DD35" s="195">
        <f t="shared" si="32"/>
        <v>0</v>
      </c>
      <c r="DE35" s="102"/>
      <c r="DF35" s="102"/>
      <c r="DG35" s="195">
        <f t="shared" si="33"/>
        <v>0</v>
      </c>
    </row>
    <row r="36" spans="1:111" s="177" customFormat="1" ht="11.25" x14ac:dyDescent="0.25">
      <c r="A36" s="171"/>
      <c r="B36" s="178"/>
      <c r="C36" s="102" t="e">
        <f>VLOOKUP(A36,Parts!$A$2:$AE$189,11,FALSE())</f>
        <v>#N/A</v>
      </c>
      <c r="D36" s="102">
        <f t="shared" si="0"/>
        <v>5</v>
      </c>
      <c r="E36" s="179" t="e">
        <f t="shared" si="34"/>
        <v>#N/A</v>
      </c>
      <c r="F36" s="220">
        <f t="shared" si="35"/>
        <v>17</v>
      </c>
      <c r="G36" s="179" t="e">
        <f t="shared" si="36"/>
        <v>#N/A</v>
      </c>
      <c r="H36" s="178">
        <f t="shared" si="37"/>
        <v>12</v>
      </c>
      <c r="I36" s="179" t="e">
        <f t="shared" si="38"/>
        <v>#N/A</v>
      </c>
      <c r="J36" s="105"/>
      <c r="K36" s="105"/>
      <c r="L36" s="181">
        <f t="shared" si="39"/>
        <v>0</v>
      </c>
      <c r="M36" s="106"/>
      <c r="N36" s="106"/>
      <c r="O36" s="182">
        <f t="shared" si="1"/>
        <v>0</v>
      </c>
      <c r="P36" s="107"/>
      <c r="Q36" s="107"/>
      <c r="R36" s="183">
        <f t="shared" si="2"/>
        <v>0</v>
      </c>
      <c r="S36" s="108">
        <v>1</v>
      </c>
      <c r="T36" s="108">
        <v>1</v>
      </c>
      <c r="U36" s="184">
        <f t="shared" si="3"/>
        <v>0</v>
      </c>
      <c r="V36" s="109"/>
      <c r="W36" s="109"/>
      <c r="X36" s="185">
        <f t="shared" si="4"/>
        <v>0</v>
      </c>
      <c r="Y36" s="110"/>
      <c r="Z36" s="110">
        <v>1</v>
      </c>
      <c r="AA36" s="186">
        <f t="shared" si="5"/>
        <v>1</v>
      </c>
      <c r="AB36" s="111"/>
      <c r="AC36" s="111"/>
      <c r="AD36" s="187">
        <f t="shared" si="6"/>
        <v>0</v>
      </c>
      <c r="AE36" s="176"/>
      <c r="AF36" s="176"/>
      <c r="AG36" s="188">
        <f t="shared" si="7"/>
        <v>0</v>
      </c>
      <c r="AH36" s="112"/>
      <c r="AI36" s="112">
        <v>1</v>
      </c>
      <c r="AJ36" s="189">
        <f t="shared" si="8"/>
        <v>1</v>
      </c>
      <c r="AK36" s="113"/>
      <c r="AL36" s="113">
        <v>1</v>
      </c>
      <c r="AM36" s="190">
        <f t="shared" si="9"/>
        <v>1</v>
      </c>
      <c r="AN36" s="114"/>
      <c r="AO36" s="114"/>
      <c r="AP36" s="191">
        <f t="shared" si="10"/>
        <v>0</v>
      </c>
      <c r="AQ36" s="115"/>
      <c r="AR36" s="115"/>
      <c r="AS36" s="192">
        <f t="shared" si="11"/>
        <v>0</v>
      </c>
      <c r="AT36" s="116">
        <v>2</v>
      </c>
      <c r="AU36" s="116">
        <v>1</v>
      </c>
      <c r="AV36" s="193">
        <f t="shared" si="12"/>
        <v>-1</v>
      </c>
      <c r="AW36" s="117"/>
      <c r="AX36" s="117">
        <v>1</v>
      </c>
      <c r="AY36" s="194">
        <f t="shared" si="13"/>
        <v>1</v>
      </c>
      <c r="AZ36" s="102"/>
      <c r="BA36" s="102"/>
      <c r="BB36" s="195">
        <f t="shared" si="14"/>
        <v>0</v>
      </c>
      <c r="BC36" s="118"/>
      <c r="BD36" s="118">
        <v>2</v>
      </c>
      <c r="BE36" s="196">
        <f t="shared" si="15"/>
        <v>2</v>
      </c>
      <c r="BF36" s="119"/>
      <c r="BG36" s="119">
        <v>1</v>
      </c>
      <c r="BH36" s="197">
        <f t="shared" si="16"/>
        <v>1</v>
      </c>
      <c r="BI36" s="120">
        <v>1</v>
      </c>
      <c r="BJ36" s="120">
        <v>1</v>
      </c>
      <c r="BK36" s="198">
        <f t="shared" si="17"/>
        <v>0</v>
      </c>
      <c r="BL36" s="121"/>
      <c r="BM36" s="121"/>
      <c r="BN36" s="199">
        <f t="shared" si="18"/>
        <v>0</v>
      </c>
      <c r="BO36" s="122"/>
      <c r="BP36" s="122">
        <v>1</v>
      </c>
      <c r="BQ36" s="200">
        <f t="shared" si="19"/>
        <v>1</v>
      </c>
      <c r="BR36" s="123"/>
      <c r="BS36" s="123"/>
      <c r="BT36" s="201">
        <f t="shared" si="20"/>
        <v>0</v>
      </c>
      <c r="BU36" s="124">
        <v>1</v>
      </c>
      <c r="BV36" s="124">
        <v>1</v>
      </c>
      <c r="BW36" s="202">
        <f t="shared" si="21"/>
        <v>0</v>
      </c>
      <c r="BX36" s="125"/>
      <c r="BY36" s="125"/>
      <c r="BZ36" s="203">
        <f t="shared" si="22"/>
        <v>0</v>
      </c>
      <c r="CA36" s="126"/>
      <c r="CB36" s="126"/>
      <c r="CC36" s="204">
        <f t="shared" si="23"/>
        <v>0</v>
      </c>
      <c r="CD36" s="127"/>
      <c r="CE36" s="127"/>
      <c r="CF36" s="205">
        <f t="shared" si="24"/>
        <v>0</v>
      </c>
      <c r="CG36" s="128"/>
      <c r="CH36" s="128"/>
      <c r="CI36" s="206">
        <f t="shared" si="25"/>
        <v>0</v>
      </c>
      <c r="CJ36" s="129"/>
      <c r="CK36" s="129"/>
      <c r="CL36" s="129">
        <f t="shared" si="26"/>
        <v>0</v>
      </c>
      <c r="CM36" s="131"/>
      <c r="CN36" s="131">
        <v>1</v>
      </c>
      <c r="CO36" s="207">
        <f t="shared" si="27"/>
        <v>1</v>
      </c>
      <c r="CP36" s="172"/>
      <c r="CQ36" s="172">
        <v>1</v>
      </c>
      <c r="CR36" s="172">
        <f t="shared" si="28"/>
        <v>1</v>
      </c>
      <c r="CS36" s="173"/>
      <c r="CT36" s="173">
        <v>1</v>
      </c>
      <c r="CU36" s="214">
        <f t="shared" si="29"/>
        <v>1</v>
      </c>
      <c r="CV36" s="174"/>
      <c r="CW36" s="174">
        <v>1</v>
      </c>
      <c r="CX36" s="174">
        <f t="shared" si="30"/>
        <v>1</v>
      </c>
      <c r="CY36" s="175"/>
      <c r="CZ36" s="175">
        <v>1</v>
      </c>
      <c r="DA36" s="216">
        <f t="shared" si="31"/>
        <v>1</v>
      </c>
      <c r="DB36" s="102"/>
      <c r="DC36" s="102"/>
      <c r="DD36" s="195">
        <f t="shared" si="32"/>
        <v>0</v>
      </c>
      <c r="DE36" s="102"/>
      <c r="DF36" s="102"/>
      <c r="DG36" s="195">
        <f t="shared" si="33"/>
        <v>0</v>
      </c>
    </row>
    <row r="37" spans="1:111" s="177" customFormat="1" ht="11.25" x14ac:dyDescent="0.25">
      <c r="A37" s="171"/>
      <c r="B37" s="178"/>
      <c r="C37" s="102" t="e">
        <f>VLOOKUP(A37,Parts!$A$2:$AE$189,11,FALSE())</f>
        <v>#N/A</v>
      </c>
      <c r="D37" s="102">
        <f t="shared" si="0"/>
        <v>20</v>
      </c>
      <c r="E37" s="179" t="e">
        <f t="shared" si="34"/>
        <v>#N/A</v>
      </c>
      <c r="F37" s="220">
        <f t="shared" si="35"/>
        <v>16</v>
      </c>
      <c r="G37" s="179" t="e">
        <f t="shared" si="36"/>
        <v>#N/A</v>
      </c>
      <c r="H37" s="178">
        <f t="shared" si="37"/>
        <v>-4</v>
      </c>
      <c r="I37" s="179" t="e">
        <f t="shared" si="38"/>
        <v>#N/A</v>
      </c>
      <c r="J37" s="105"/>
      <c r="K37" s="105"/>
      <c r="L37" s="181">
        <f t="shared" si="39"/>
        <v>0</v>
      </c>
      <c r="M37" s="106"/>
      <c r="N37" s="106"/>
      <c r="O37" s="182">
        <f t="shared" si="1"/>
        <v>0</v>
      </c>
      <c r="P37" s="107">
        <v>1</v>
      </c>
      <c r="Q37" s="107"/>
      <c r="R37" s="183">
        <f t="shared" si="2"/>
        <v>-1</v>
      </c>
      <c r="S37" s="108">
        <v>1</v>
      </c>
      <c r="T37" s="108"/>
      <c r="U37" s="184">
        <f t="shared" si="3"/>
        <v>-1</v>
      </c>
      <c r="V37" s="109"/>
      <c r="W37" s="109"/>
      <c r="X37" s="185">
        <f t="shared" si="4"/>
        <v>0</v>
      </c>
      <c r="Y37" s="110">
        <v>1</v>
      </c>
      <c r="Z37" s="110">
        <v>1</v>
      </c>
      <c r="AA37" s="186">
        <f t="shared" si="5"/>
        <v>0</v>
      </c>
      <c r="AB37" s="111">
        <v>2</v>
      </c>
      <c r="AC37" s="111"/>
      <c r="AD37" s="187">
        <f t="shared" si="6"/>
        <v>-2</v>
      </c>
      <c r="AE37" s="176">
        <v>1</v>
      </c>
      <c r="AF37" s="176"/>
      <c r="AG37" s="188">
        <f t="shared" si="7"/>
        <v>-1</v>
      </c>
      <c r="AH37" s="112"/>
      <c r="AI37" s="112">
        <v>1</v>
      </c>
      <c r="AJ37" s="189">
        <f t="shared" si="8"/>
        <v>1</v>
      </c>
      <c r="AK37" s="113">
        <v>2</v>
      </c>
      <c r="AL37" s="113">
        <v>1</v>
      </c>
      <c r="AM37" s="190">
        <f t="shared" si="9"/>
        <v>-1</v>
      </c>
      <c r="AN37" s="114">
        <v>1</v>
      </c>
      <c r="AO37" s="114"/>
      <c r="AP37" s="191">
        <f t="shared" si="10"/>
        <v>-1</v>
      </c>
      <c r="AQ37" s="115">
        <v>2</v>
      </c>
      <c r="AR37" s="115"/>
      <c r="AS37" s="192">
        <f t="shared" si="11"/>
        <v>-2</v>
      </c>
      <c r="AT37" s="116">
        <v>2</v>
      </c>
      <c r="AU37" s="116">
        <v>1</v>
      </c>
      <c r="AV37" s="193">
        <f t="shared" si="12"/>
        <v>-1</v>
      </c>
      <c r="AW37" s="117">
        <v>1</v>
      </c>
      <c r="AX37" s="117">
        <v>1</v>
      </c>
      <c r="AY37" s="194">
        <f t="shared" si="13"/>
        <v>0</v>
      </c>
      <c r="AZ37" s="102"/>
      <c r="BA37" s="102"/>
      <c r="BB37" s="195">
        <f t="shared" si="14"/>
        <v>0</v>
      </c>
      <c r="BC37" s="118"/>
      <c r="BD37" s="118">
        <v>2</v>
      </c>
      <c r="BE37" s="196">
        <f t="shared" si="15"/>
        <v>2</v>
      </c>
      <c r="BF37" s="119">
        <v>2</v>
      </c>
      <c r="BG37" s="119">
        <v>1</v>
      </c>
      <c r="BH37" s="197">
        <f t="shared" si="16"/>
        <v>-1</v>
      </c>
      <c r="BI37" s="120">
        <v>1</v>
      </c>
      <c r="BJ37" s="120">
        <v>1</v>
      </c>
      <c r="BK37" s="198">
        <f t="shared" si="17"/>
        <v>0</v>
      </c>
      <c r="BL37" s="121">
        <v>1</v>
      </c>
      <c r="BM37" s="121">
        <v>1</v>
      </c>
      <c r="BN37" s="199">
        <f t="shared" si="18"/>
        <v>0</v>
      </c>
      <c r="BO37" s="122">
        <v>1</v>
      </c>
      <c r="BP37" s="122"/>
      <c r="BQ37" s="200">
        <f t="shared" si="19"/>
        <v>-1</v>
      </c>
      <c r="BR37" s="123">
        <v>1</v>
      </c>
      <c r="BS37" s="123">
        <v>1</v>
      </c>
      <c r="BT37" s="201">
        <f t="shared" si="20"/>
        <v>0</v>
      </c>
      <c r="BU37" s="124"/>
      <c r="BV37" s="124"/>
      <c r="BW37" s="202">
        <f t="shared" si="21"/>
        <v>0</v>
      </c>
      <c r="BX37" s="125"/>
      <c r="BY37" s="125"/>
      <c r="BZ37" s="203">
        <f t="shared" si="22"/>
        <v>0</v>
      </c>
      <c r="CA37" s="126"/>
      <c r="CB37" s="126"/>
      <c r="CC37" s="204">
        <f t="shared" si="23"/>
        <v>0</v>
      </c>
      <c r="CD37" s="127"/>
      <c r="CE37" s="127"/>
      <c r="CF37" s="205">
        <f t="shared" si="24"/>
        <v>0</v>
      </c>
      <c r="CG37" s="128"/>
      <c r="CH37" s="128"/>
      <c r="CI37" s="206">
        <f t="shared" si="25"/>
        <v>0</v>
      </c>
      <c r="CJ37" s="129"/>
      <c r="CK37" s="129"/>
      <c r="CL37" s="129">
        <f t="shared" si="26"/>
        <v>0</v>
      </c>
      <c r="CM37" s="131"/>
      <c r="CN37" s="131">
        <v>1</v>
      </c>
      <c r="CO37" s="207">
        <f t="shared" si="27"/>
        <v>1</v>
      </c>
      <c r="CP37" s="172"/>
      <c r="CQ37" s="172">
        <v>1</v>
      </c>
      <c r="CR37" s="172">
        <f t="shared" si="28"/>
        <v>1</v>
      </c>
      <c r="CS37" s="173"/>
      <c r="CT37" s="173">
        <v>1</v>
      </c>
      <c r="CU37" s="214">
        <f t="shared" si="29"/>
        <v>1</v>
      </c>
      <c r="CV37" s="174"/>
      <c r="CW37" s="174">
        <v>1</v>
      </c>
      <c r="CX37" s="174">
        <f t="shared" si="30"/>
        <v>1</v>
      </c>
      <c r="CY37" s="175"/>
      <c r="CZ37" s="175">
        <v>1</v>
      </c>
      <c r="DA37" s="216">
        <f t="shared" si="31"/>
        <v>1</v>
      </c>
      <c r="DB37" s="102"/>
      <c r="DC37" s="102"/>
      <c r="DD37" s="195">
        <f t="shared" si="32"/>
        <v>0</v>
      </c>
      <c r="DE37" s="102"/>
      <c r="DF37" s="102"/>
      <c r="DG37" s="195">
        <f t="shared" si="33"/>
        <v>0</v>
      </c>
    </row>
    <row r="38" spans="1:111" s="177" customFormat="1" ht="11.25" x14ac:dyDescent="0.25">
      <c r="A38" s="171"/>
      <c r="B38" s="178"/>
      <c r="C38" s="102" t="e">
        <f>VLOOKUP(A38,Parts!$A$2:$AE$189,11,FALSE())</f>
        <v>#N/A</v>
      </c>
      <c r="D38" s="102">
        <f>SUM(J38+M38+P38+S38+V38+Y38+AB38+AE38+AH38+AK38+AN38+AQ38+AT38+AW38+AZ38+BC38+BF38+BI38+BL38+BO38+BR38+BU38+BX38+CA38+CD38+CG38+CJ38+CM38+CP38+CS38+CV38+CY38+DB38+DE38)</f>
        <v>60</v>
      </c>
      <c r="E38" s="179" t="e">
        <f t="shared" si="34"/>
        <v>#N/A</v>
      </c>
      <c r="F38" s="220">
        <f t="shared" si="35"/>
        <v>78</v>
      </c>
      <c r="G38" s="179" t="e">
        <f t="shared" si="36"/>
        <v>#N/A</v>
      </c>
      <c r="H38" s="178">
        <f t="shared" si="37"/>
        <v>16</v>
      </c>
      <c r="I38" s="179" t="e">
        <f t="shared" si="38"/>
        <v>#N/A</v>
      </c>
      <c r="J38" s="105">
        <v>2</v>
      </c>
      <c r="K38" s="105"/>
      <c r="L38" s="181">
        <f t="shared" si="39"/>
        <v>-2</v>
      </c>
      <c r="M38" s="106">
        <v>2</v>
      </c>
      <c r="N38" s="106"/>
      <c r="O38" s="182">
        <f t="shared" si="1"/>
        <v>-2</v>
      </c>
      <c r="P38" s="107"/>
      <c r="Q38" s="107"/>
      <c r="R38" s="183">
        <f t="shared" si="2"/>
        <v>0</v>
      </c>
      <c r="S38" s="108"/>
      <c r="T38" s="108">
        <v>2</v>
      </c>
      <c r="U38" s="184">
        <f t="shared" si="3"/>
        <v>2</v>
      </c>
      <c r="V38" s="109">
        <v>2</v>
      </c>
      <c r="W38" s="109"/>
      <c r="X38" s="185">
        <f t="shared" si="4"/>
        <v>-2</v>
      </c>
      <c r="Y38" s="110">
        <v>2</v>
      </c>
      <c r="Z38" s="110">
        <v>2</v>
      </c>
      <c r="AA38" s="186">
        <f t="shared" si="5"/>
        <v>0</v>
      </c>
      <c r="AB38" s="111">
        <v>3</v>
      </c>
      <c r="AC38" s="111">
        <v>2</v>
      </c>
      <c r="AD38" s="187">
        <f t="shared" si="6"/>
        <v>-1</v>
      </c>
      <c r="AE38" s="176"/>
      <c r="AF38" s="176"/>
      <c r="AG38" s="188">
        <f t="shared" si="7"/>
        <v>0</v>
      </c>
      <c r="AH38" s="112">
        <v>2</v>
      </c>
      <c r="AI38" s="112">
        <v>2</v>
      </c>
      <c r="AJ38" s="189">
        <f t="shared" si="8"/>
        <v>0</v>
      </c>
      <c r="AK38" s="113">
        <v>4</v>
      </c>
      <c r="AL38" s="113">
        <v>4</v>
      </c>
      <c r="AM38" s="190">
        <f t="shared" si="9"/>
        <v>0</v>
      </c>
      <c r="AN38" s="114">
        <v>1</v>
      </c>
      <c r="AO38" s="114">
        <v>2</v>
      </c>
      <c r="AP38" s="191">
        <f t="shared" si="10"/>
        <v>1</v>
      </c>
      <c r="AQ38" s="115">
        <v>2</v>
      </c>
      <c r="AR38" s="115">
        <v>2</v>
      </c>
      <c r="AS38" s="192">
        <f t="shared" si="11"/>
        <v>0</v>
      </c>
      <c r="AT38" s="116">
        <v>2</v>
      </c>
      <c r="AU38" s="116">
        <v>3</v>
      </c>
      <c r="AV38" s="193">
        <f t="shared" si="12"/>
        <v>1</v>
      </c>
      <c r="AW38" s="117">
        <v>1</v>
      </c>
      <c r="AX38" s="117">
        <v>4</v>
      </c>
      <c r="AY38" s="194">
        <f t="shared" si="13"/>
        <v>3</v>
      </c>
      <c r="AZ38" s="102"/>
      <c r="BA38" s="102"/>
      <c r="BB38" s="195">
        <f t="shared" si="14"/>
        <v>0</v>
      </c>
      <c r="BC38" s="118">
        <v>1</v>
      </c>
      <c r="BD38" s="118">
        <v>4</v>
      </c>
      <c r="BE38" s="196">
        <f t="shared" si="15"/>
        <v>3</v>
      </c>
      <c r="BF38" s="119">
        <v>5</v>
      </c>
      <c r="BG38" s="119">
        <v>4</v>
      </c>
      <c r="BH38" s="197">
        <f t="shared" si="16"/>
        <v>-1</v>
      </c>
      <c r="BI38" s="120">
        <v>4</v>
      </c>
      <c r="BJ38" s="120">
        <v>6</v>
      </c>
      <c r="BK38" s="198">
        <f t="shared" si="17"/>
        <v>2</v>
      </c>
      <c r="BL38" s="121">
        <v>2</v>
      </c>
      <c r="BM38" s="121">
        <v>2</v>
      </c>
      <c r="BN38" s="199">
        <f t="shared" si="18"/>
        <v>0</v>
      </c>
      <c r="BO38" s="122">
        <v>1</v>
      </c>
      <c r="BP38" s="122">
        <v>3</v>
      </c>
      <c r="BQ38" s="200">
        <f t="shared" si="19"/>
        <v>2</v>
      </c>
      <c r="BR38" s="123">
        <v>2</v>
      </c>
      <c r="BS38" s="123">
        <v>3</v>
      </c>
      <c r="BT38" s="201">
        <f t="shared" si="20"/>
        <v>1</v>
      </c>
      <c r="BU38" s="124">
        <v>3</v>
      </c>
      <c r="BV38" s="124">
        <v>6</v>
      </c>
      <c r="BW38" s="202">
        <f t="shared" si="21"/>
        <v>3</v>
      </c>
      <c r="BX38" s="125">
        <v>1</v>
      </c>
      <c r="BY38" s="125">
        <v>2</v>
      </c>
      <c r="BZ38" s="203">
        <f t="shared" si="22"/>
        <v>1</v>
      </c>
      <c r="CA38" s="126"/>
      <c r="CB38" s="126"/>
      <c r="CC38" s="204">
        <f t="shared" si="23"/>
        <v>0</v>
      </c>
      <c r="CD38" s="127"/>
      <c r="CE38" s="127">
        <v>1</v>
      </c>
      <c r="CF38" s="205">
        <f t="shared" si="24"/>
        <v>1</v>
      </c>
      <c r="CG38" s="128"/>
      <c r="CH38" s="128">
        <v>1</v>
      </c>
      <c r="CI38" s="206">
        <f t="shared" si="25"/>
        <v>1</v>
      </c>
      <c r="CJ38" s="129">
        <v>1</v>
      </c>
      <c r="CK38" s="129">
        <v>1</v>
      </c>
      <c r="CL38" s="129">
        <f t="shared" si="26"/>
        <v>0</v>
      </c>
      <c r="CM38" s="131">
        <v>1</v>
      </c>
      <c r="CN38" s="131">
        <v>4</v>
      </c>
      <c r="CO38" s="207">
        <f t="shared" si="27"/>
        <v>3</v>
      </c>
      <c r="CP38" s="172">
        <v>3</v>
      </c>
      <c r="CQ38" s="172">
        <v>4</v>
      </c>
      <c r="CR38" s="172">
        <f t="shared" si="28"/>
        <v>1</v>
      </c>
      <c r="CS38" s="173">
        <v>4</v>
      </c>
      <c r="CT38" s="173">
        <v>4</v>
      </c>
      <c r="CU38" s="214">
        <f t="shared" si="29"/>
        <v>0</v>
      </c>
      <c r="CV38" s="174">
        <v>4</v>
      </c>
      <c r="CW38" s="174">
        <v>4</v>
      </c>
      <c r="CX38" s="174">
        <f t="shared" si="30"/>
        <v>0</v>
      </c>
      <c r="CY38" s="175">
        <v>4</v>
      </c>
      <c r="CZ38" s="175">
        <v>4</v>
      </c>
      <c r="DA38" s="216">
        <f t="shared" si="31"/>
        <v>0</v>
      </c>
      <c r="DB38" s="102">
        <v>1</v>
      </c>
      <c r="DC38" s="102"/>
      <c r="DD38" s="195">
        <f t="shared" si="32"/>
        <v>-1</v>
      </c>
      <c r="DE38" s="102"/>
      <c r="DF38" s="102"/>
      <c r="DG38" s="195">
        <f t="shared" si="33"/>
        <v>0</v>
      </c>
    </row>
  </sheetData>
  <sortState xmlns:xlrd2="http://schemas.microsoft.com/office/spreadsheetml/2017/richdata2" ref="A3:DE38">
    <sortCondition ref="A38"/>
  </sortState>
  <mergeCells count="34">
    <mergeCell ref="AQ2:AS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CA2:CC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V2:CX2"/>
    <mergeCell ref="CY2:DA2"/>
    <mergeCell ref="DB2:DD2"/>
    <mergeCell ref="DE2:DG2"/>
    <mergeCell ref="CD2:CF2"/>
    <mergeCell ref="CG2:CI2"/>
    <mergeCell ref="CJ2:CL2"/>
    <mergeCell ref="CM2:CO2"/>
    <mergeCell ref="CP2:CR2"/>
    <mergeCell ref="CS2:CU2"/>
  </mergeCells>
  <phoneticPr fontId="38" type="noConversion"/>
  <conditionalFormatting sqref="CM1:DA1">
    <cfRule type="containsText" dxfId="6" priority="1" operator="containsText" text="x">
      <formula>NOT(ISERROR(SEARCH("x",CM1)))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Parts!$A$2:$A$189</xm:f>
          </x14:formula1>
          <xm:sqref>A3:A38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sheetPr codeName="Sheet12"/>
  <dimension ref="A1:R3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6" sqref="I36"/>
    </sheetView>
  </sheetViews>
  <sheetFormatPr defaultColWidth="9.140625" defaultRowHeight="12" x14ac:dyDescent="0.2"/>
  <cols>
    <col min="1" max="1" width="29" style="41" bestFit="1" customWidth="1"/>
    <col min="2" max="2" width="15.5703125" style="41" bestFit="1" customWidth="1"/>
    <col min="3" max="3" width="13.5703125" style="41" bestFit="1" customWidth="1"/>
    <col min="4" max="4" width="16.7109375" style="41" bestFit="1" customWidth="1"/>
    <col min="5" max="5" width="25.7109375" style="41" customWidth="1"/>
    <col min="6" max="6" width="7" style="41" bestFit="1" customWidth="1"/>
    <col min="7" max="7" width="2.42578125" style="41" customWidth="1"/>
    <col min="8" max="9" width="3.7109375" style="77" bestFit="1" customWidth="1"/>
    <col min="10" max="10" width="7" style="77" customWidth="1"/>
    <col min="11" max="11" width="7" style="77" bestFit="1" customWidth="1"/>
    <col min="12" max="12" width="8.140625" style="77" bestFit="1" customWidth="1"/>
    <col min="13" max="13" width="6" style="77" customWidth="1"/>
    <col min="14" max="18" width="3.5703125" style="77" bestFit="1" customWidth="1"/>
    <col min="19" max="16384" width="9.140625" style="41"/>
  </cols>
  <sheetData>
    <row r="1" spans="1:18" s="78" customFormat="1" x14ac:dyDescent="0.2">
      <c r="A1" s="78" t="s">
        <v>140</v>
      </c>
      <c r="B1" s="78" t="s">
        <v>141</v>
      </c>
      <c r="C1" s="78" t="s">
        <v>172</v>
      </c>
      <c r="D1" s="78" t="s">
        <v>138</v>
      </c>
      <c r="E1" s="33" t="s">
        <v>146</v>
      </c>
      <c r="F1" s="78" t="s">
        <v>139</v>
      </c>
      <c r="G1" s="78" t="s">
        <v>243</v>
      </c>
      <c r="H1" s="33" t="s">
        <v>143</v>
      </c>
      <c r="I1" s="33" t="s">
        <v>142</v>
      </c>
      <c r="J1" s="33" t="s">
        <v>228</v>
      </c>
      <c r="K1" s="33" t="s">
        <v>147</v>
      </c>
      <c r="L1" s="33" t="s">
        <v>148</v>
      </c>
      <c r="M1" s="79" t="s">
        <v>211</v>
      </c>
      <c r="N1" s="80"/>
      <c r="O1" s="80"/>
      <c r="P1" s="80"/>
      <c r="Q1" s="80"/>
      <c r="R1" s="81"/>
    </row>
    <row r="2" spans="1:18" x14ac:dyDescent="0.2">
      <c r="A2" s="41" t="s">
        <v>161</v>
      </c>
      <c r="C2" s="41" t="s">
        <v>175</v>
      </c>
      <c r="D2" s="41" t="s">
        <v>126</v>
      </c>
      <c r="E2" s="82" t="s">
        <v>158</v>
      </c>
      <c r="F2" s="41" t="s">
        <v>125</v>
      </c>
      <c r="I2" s="77">
        <v>0</v>
      </c>
      <c r="J2" s="77">
        <f t="shared" ref="J2:J32" si="0">SUM((I2*1000)+(H2*5000)+(K2))</f>
        <v>816</v>
      </c>
      <c r="K2" s="77">
        <f t="shared" ref="K2:K32" si="1">SUM(M2:R2)</f>
        <v>816</v>
      </c>
      <c r="L2" s="77">
        <f t="shared" ref="L2:L32" si="2">COUNT(M2:R2)</f>
        <v>1</v>
      </c>
      <c r="M2" s="77">
        <v>816</v>
      </c>
    </row>
    <row r="3" spans="1:18" x14ac:dyDescent="0.2">
      <c r="A3" s="41" t="s">
        <v>162</v>
      </c>
      <c r="C3" s="41" t="s">
        <v>174</v>
      </c>
      <c r="D3" s="41" t="s">
        <v>126</v>
      </c>
      <c r="E3" s="82" t="s">
        <v>158</v>
      </c>
      <c r="F3" s="41" t="s">
        <v>125</v>
      </c>
      <c r="I3" s="77">
        <v>0</v>
      </c>
      <c r="J3" s="77">
        <f t="shared" si="0"/>
        <v>846</v>
      </c>
      <c r="K3" s="77">
        <f t="shared" si="1"/>
        <v>846</v>
      </c>
      <c r="L3" s="77">
        <f t="shared" si="2"/>
        <v>1</v>
      </c>
      <c r="M3" s="77">
        <v>846</v>
      </c>
    </row>
    <row r="4" spans="1:18" x14ac:dyDescent="0.2">
      <c r="A4" s="41" t="s">
        <v>124</v>
      </c>
      <c r="B4" s="41" t="s">
        <v>212</v>
      </c>
      <c r="C4" s="41" t="s">
        <v>173</v>
      </c>
      <c r="D4" s="41" t="s">
        <v>126</v>
      </c>
      <c r="E4" s="82" t="s">
        <v>158</v>
      </c>
      <c r="F4" s="41" t="s">
        <v>125</v>
      </c>
      <c r="I4" s="77">
        <v>4</v>
      </c>
      <c r="J4" s="77">
        <f t="shared" si="0"/>
        <v>4962</v>
      </c>
      <c r="K4" s="77">
        <f t="shared" si="1"/>
        <v>962</v>
      </c>
      <c r="L4" s="77">
        <f t="shared" si="2"/>
        <v>4</v>
      </c>
      <c r="M4" s="77">
        <v>124</v>
      </c>
      <c r="N4" s="77">
        <v>34</v>
      </c>
      <c r="O4" s="77">
        <v>192</v>
      </c>
      <c r="P4" s="77">
        <v>612</v>
      </c>
    </row>
    <row r="5" spans="1:18" x14ac:dyDescent="0.2">
      <c r="A5" s="41" t="s">
        <v>130</v>
      </c>
      <c r="B5" s="41" t="s">
        <v>149</v>
      </c>
      <c r="C5" s="41" t="s">
        <v>176</v>
      </c>
      <c r="D5" s="41" t="s">
        <v>126</v>
      </c>
      <c r="E5" s="82" t="s">
        <v>158</v>
      </c>
      <c r="F5" s="41" t="s">
        <v>125</v>
      </c>
      <c r="I5" s="77">
        <v>0</v>
      </c>
      <c r="J5" s="77">
        <f t="shared" si="0"/>
        <v>984</v>
      </c>
      <c r="K5" s="77">
        <f t="shared" si="1"/>
        <v>984</v>
      </c>
      <c r="L5" s="77">
        <f t="shared" si="2"/>
        <v>4</v>
      </c>
      <c r="M5" s="77">
        <v>64</v>
      </c>
      <c r="N5" s="77">
        <v>46</v>
      </c>
      <c r="O5" s="77">
        <v>24</v>
      </c>
      <c r="P5" s="77">
        <v>850</v>
      </c>
    </row>
    <row r="6" spans="1:18" x14ac:dyDescent="0.2">
      <c r="A6" s="41" t="s">
        <v>164</v>
      </c>
      <c r="C6" s="41" t="s">
        <v>177</v>
      </c>
      <c r="D6" s="41" t="s">
        <v>126</v>
      </c>
      <c r="E6" s="82" t="s">
        <v>158</v>
      </c>
      <c r="F6" s="41" t="s">
        <v>125</v>
      </c>
      <c r="I6" s="77">
        <v>0</v>
      </c>
      <c r="J6" s="77">
        <f t="shared" si="0"/>
        <v>550</v>
      </c>
      <c r="K6" s="77">
        <f t="shared" si="1"/>
        <v>550</v>
      </c>
      <c r="L6" s="77">
        <f t="shared" si="2"/>
        <v>1</v>
      </c>
      <c r="M6" s="77">
        <v>550</v>
      </c>
    </row>
    <row r="7" spans="1:18" x14ac:dyDescent="0.2">
      <c r="A7" s="41" t="s">
        <v>128</v>
      </c>
      <c r="B7" s="41" t="s">
        <v>128</v>
      </c>
      <c r="C7" s="41" t="s">
        <v>178</v>
      </c>
      <c r="D7" s="41" t="s">
        <v>126</v>
      </c>
      <c r="E7" s="82" t="s">
        <v>158</v>
      </c>
      <c r="F7" s="41" t="s">
        <v>125</v>
      </c>
      <c r="I7" s="77">
        <v>0</v>
      </c>
      <c r="J7" s="77">
        <f t="shared" si="0"/>
        <v>1198</v>
      </c>
      <c r="K7" s="77">
        <f t="shared" si="1"/>
        <v>1198</v>
      </c>
      <c r="L7" s="77">
        <f t="shared" si="2"/>
        <v>2</v>
      </c>
      <c r="M7" s="77">
        <v>290</v>
      </c>
      <c r="N7" s="77">
        <v>908</v>
      </c>
    </row>
    <row r="8" spans="1:18" x14ac:dyDescent="0.2">
      <c r="A8" s="41" t="s">
        <v>160</v>
      </c>
      <c r="C8" s="41" t="s">
        <v>179</v>
      </c>
      <c r="D8" s="41" t="s">
        <v>126</v>
      </c>
      <c r="E8" s="82" t="s">
        <v>158</v>
      </c>
      <c r="F8" s="41" t="s">
        <v>125</v>
      </c>
      <c r="I8" s="77">
        <v>1</v>
      </c>
      <c r="J8" s="77">
        <f t="shared" si="0"/>
        <v>1390</v>
      </c>
      <c r="K8" s="77">
        <f t="shared" si="1"/>
        <v>390</v>
      </c>
      <c r="L8" s="77">
        <f t="shared" si="2"/>
        <v>1</v>
      </c>
      <c r="M8" s="77">
        <v>390</v>
      </c>
    </row>
    <row r="9" spans="1:18" x14ac:dyDescent="0.2">
      <c r="A9" s="41" t="s">
        <v>127</v>
      </c>
      <c r="C9" s="41" t="s">
        <v>180</v>
      </c>
      <c r="D9" s="41" t="s">
        <v>126</v>
      </c>
      <c r="E9" s="82" t="s">
        <v>158</v>
      </c>
      <c r="F9" s="41" t="s">
        <v>125</v>
      </c>
      <c r="H9" s="77">
        <v>1</v>
      </c>
      <c r="I9" s="77">
        <v>0</v>
      </c>
      <c r="J9" s="77">
        <f t="shared" si="0"/>
        <v>5789</v>
      </c>
      <c r="K9" s="77">
        <f t="shared" si="1"/>
        <v>789</v>
      </c>
      <c r="L9" s="77">
        <f t="shared" si="2"/>
        <v>2</v>
      </c>
      <c r="M9" s="77">
        <v>419</v>
      </c>
      <c r="N9" s="77">
        <v>370</v>
      </c>
    </row>
    <row r="10" spans="1:18" x14ac:dyDescent="0.2">
      <c r="A10" s="41" t="s">
        <v>217</v>
      </c>
      <c r="C10" s="41" t="s">
        <v>181</v>
      </c>
      <c r="D10" s="41" t="s">
        <v>126</v>
      </c>
      <c r="E10" s="82" t="s">
        <v>158</v>
      </c>
      <c r="F10" s="41" t="s">
        <v>125</v>
      </c>
      <c r="I10" s="77">
        <v>1</v>
      </c>
      <c r="J10" s="77">
        <f t="shared" si="0"/>
        <v>1442</v>
      </c>
      <c r="K10" s="77">
        <f t="shared" si="1"/>
        <v>442</v>
      </c>
      <c r="L10" s="77">
        <f t="shared" si="2"/>
        <v>1</v>
      </c>
      <c r="M10" s="77">
        <v>442</v>
      </c>
    </row>
    <row r="11" spans="1:18" x14ac:dyDescent="0.2">
      <c r="A11" s="41" t="s">
        <v>214</v>
      </c>
      <c r="C11" s="41" t="s">
        <v>182</v>
      </c>
      <c r="D11" s="41" t="s">
        <v>126</v>
      </c>
      <c r="E11" s="82" t="s">
        <v>158</v>
      </c>
      <c r="F11" s="41" t="s">
        <v>125</v>
      </c>
      <c r="I11" s="77">
        <v>1</v>
      </c>
      <c r="J11" s="77">
        <f t="shared" si="0"/>
        <v>1404</v>
      </c>
      <c r="K11" s="77">
        <f t="shared" si="1"/>
        <v>404</v>
      </c>
      <c r="L11" s="77">
        <f t="shared" si="2"/>
        <v>1</v>
      </c>
      <c r="M11" s="77">
        <v>404</v>
      </c>
    </row>
    <row r="12" spans="1:18" x14ac:dyDescent="0.2">
      <c r="A12" s="41" t="s">
        <v>215</v>
      </c>
      <c r="C12" s="41" t="s">
        <v>183</v>
      </c>
      <c r="D12" s="41" t="s">
        <v>126</v>
      </c>
      <c r="E12" s="82" t="s">
        <v>158</v>
      </c>
      <c r="F12" s="41" t="s">
        <v>125</v>
      </c>
      <c r="I12" s="77">
        <v>0</v>
      </c>
      <c r="J12" s="77">
        <f t="shared" si="0"/>
        <v>916</v>
      </c>
      <c r="K12" s="77">
        <f t="shared" si="1"/>
        <v>916</v>
      </c>
      <c r="L12" s="77">
        <f t="shared" si="2"/>
        <v>2</v>
      </c>
      <c r="M12" s="77">
        <v>738</v>
      </c>
      <c r="N12" s="77">
        <v>178</v>
      </c>
    </row>
    <row r="13" spans="1:18" x14ac:dyDescent="0.2">
      <c r="A13" s="41" t="s">
        <v>216</v>
      </c>
      <c r="C13" s="41" t="s">
        <v>184</v>
      </c>
      <c r="D13" s="41" t="s">
        <v>126</v>
      </c>
      <c r="E13" s="82" t="s">
        <v>158</v>
      </c>
      <c r="F13" s="41" t="s">
        <v>125</v>
      </c>
      <c r="I13" s="77">
        <v>0</v>
      </c>
      <c r="J13" s="77">
        <f t="shared" si="0"/>
        <v>882</v>
      </c>
      <c r="K13" s="77">
        <f t="shared" si="1"/>
        <v>882</v>
      </c>
      <c r="L13" s="77">
        <f t="shared" si="2"/>
        <v>1</v>
      </c>
      <c r="M13" s="77">
        <v>882</v>
      </c>
    </row>
    <row r="14" spans="1:18" x14ac:dyDescent="0.2">
      <c r="A14" s="41" t="s">
        <v>220</v>
      </c>
      <c r="C14" s="41" t="s">
        <v>185</v>
      </c>
      <c r="D14" s="41" t="s">
        <v>126</v>
      </c>
      <c r="E14" s="82" t="s">
        <v>158</v>
      </c>
      <c r="F14" s="41" t="s">
        <v>125</v>
      </c>
      <c r="I14" s="77">
        <v>1</v>
      </c>
      <c r="J14" s="77">
        <f t="shared" si="0"/>
        <v>1438</v>
      </c>
      <c r="K14" s="77">
        <f t="shared" si="1"/>
        <v>438</v>
      </c>
      <c r="L14" s="77">
        <f t="shared" si="2"/>
        <v>1</v>
      </c>
      <c r="M14" s="77">
        <v>438</v>
      </c>
    </row>
    <row r="15" spans="1:18" x14ac:dyDescent="0.2">
      <c r="A15" s="41" t="s">
        <v>222</v>
      </c>
      <c r="C15" s="41" t="s">
        <v>206</v>
      </c>
      <c r="D15" s="41" t="s">
        <v>126</v>
      </c>
      <c r="E15" s="82" t="s">
        <v>158</v>
      </c>
      <c r="F15" s="41" t="s">
        <v>125</v>
      </c>
      <c r="I15" s="77">
        <v>1</v>
      </c>
      <c r="J15" s="77">
        <f t="shared" si="0"/>
        <v>1000</v>
      </c>
      <c r="K15" s="77">
        <f t="shared" si="1"/>
        <v>0</v>
      </c>
      <c r="L15" s="77">
        <f t="shared" si="2"/>
        <v>0</v>
      </c>
    </row>
    <row r="16" spans="1:18" x14ac:dyDescent="0.2">
      <c r="A16" s="41" t="s">
        <v>219</v>
      </c>
      <c r="C16" s="41" t="s">
        <v>186</v>
      </c>
      <c r="D16" s="41" t="s">
        <v>126</v>
      </c>
      <c r="E16" s="82" t="s">
        <v>158</v>
      </c>
      <c r="F16" s="41" t="s">
        <v>125</v>
      </c>
      <c r="I16" s="77">
        <v>1</v>
      </c>
      <c r="J16" s="77">
        <f t="shared" si="0"/>
        <v>1454</v>
      </c>
      <c r="K16" s="77">
        <f t="shared" si="1"/>
        <v>454</v>
      </c>
      <c r="L16" s="77">
        <f t="shared" si="2"/>
        <v>1</v>
      </c>
      <c r="M16" s="77">
        <v>454</v>
      </c>
    </row>
    <row r="17" spans="1:14" x14ac:dyDescent="0.2">
      <c r="A17" s="41" t="s">
        <v>163</v>
      </c>
      <c r="C17" s="41" t="s">
        <v>187</v>
      </c>
      <c r="D17" s="41" t="s">
        <v>126</v>
      </c>
      <c r="E17" s="82" t="s">
        <v>158</v>
      </c>
      <c r="F17" s="41" t="s">
        <v>125</v>
      </c>
      <c r="I17" s="77">
        <v>1</v>
      </c>
      <c r="J17" s="77">
        <f t="shared" si="0"/>
        <v>1000</v>
      </c>
      <c r="K17" s="77">
        <f t="shared" si="1"/>
        <v>0</v>
      </c>
      <c r="L17" s="77">
        <f t="shared" si="2"/>
        <v>0</v>
      </c>
    </row>
    <row r="18" spans="1:14" x14ac:dyDescent="0.2">
      <c r="A18" s="41" t="s">
        <v>129</v>
      </c>
      <c r="B18" s="41" t="s">
        <v>157</v>
      </c>
      <c r="C18" s="41" t="s">
        <v>188</v>
      </c>
      <c r="D18" s="41" t="s">
        <v>126</v>
      </c>
      <c r="E18" s="82" t="s">
        <v>158</v>
      </c>
      <c r="F18" s="41" t="s">
        <v>125</v>
      </c>
      <c r="I18" s="77">
        <v>1</v>
      </c>
      <c r="J18" s="77">
        <f t="shared" si="0"/>
        <v>1324</v>
      </c>
      <c r="K18" s="77">
        <f t="shared" si="1"/>
        <v>324</v>
      </c>
      <c r="L18" s="77">
        <f t="shared" si="2"/>
        <v>1</v>
      </c>
      <c r="M18" s="77">
        <v>324</v>
      </c>
    </row>
    <row r="19" spans="1:14" x14ac:dyDescent="0.2">
      <c r="A19" s="41" t="s">
        <v>136</v>
      </c>
      <c r="B19" s="41" t="s">
        <v>153</v>
      </c>
      <c r="C19" s="41" t="s">
        <v>189</v>
      </c>
      <c r="D19" s="41" t="s">
        <v>126</v>
      </c>
      <c r="E19" s="82" t="s">
        <v>158</v>
      </c>
      <c r="F19" s="41" t="s">
        <v>125</v>
      </c>
      <c r="I19" s="77">
        <v>0</v>
      </c>
      <c r="J19" s="77">
        <f t="shared" si="0"/>
        <v>832</v>
      </c>
      <c r="K19" s="77">
        <f t="shared" si="1"/>
        <v>832</v>
      </c>
      <c r="L19" s="77">
        <f t="shared" si="2"/>
        <v>1</v>
      </c>
      <c r="M19" s="77">
        <v>832</v>
      </c>
    </row>
    <row r="20" spans="1:14" x14ac:dyDescent="0.2">
      <c r="A20" s="41" t="s">
        <v>135</v>
      </c>
      <c r="B20" s="41" t="s">
        <v>154</v>
      </c>
      <c r="C20" s="41" t="s">
        <v>190</v>
      </c>
      <c r="D20" s="41" t="s">
        <v>126</v>
      </c>
      <c r="E20" s="82" t="s">
        <v>158</v>
      </c>
      <c r="F20" s="41" t="s">
        <v>125</v>
      </c>
      <c r="I20" s="77">
        <v>2</v>
      </c>
      <c r="J20" s="77">
        <f t="shared" si="0"/>
        <v>2365</v>
      </c>
      <c r="K20" s="77">
        <f t="shared" si="1"/>
        <v>365</v>
      </c>
      <c r="L20" s="77">
        <f t="shared" si="2"/>
        <v>1</v>
      </c>
      <c r="M20" s="77">
        <v>365</v>
      </c>
    </row>
    <row r="21" spans="1:14" x14ac:dyDescent="0.2">
      <c r="A21" s="41" t="s">
        <v>171</v>
      </c>
      <c r="C21" s="41" t="s">
        <v>196</v>
      </c>
      <c r="D21" s="41" t="s">
        <v>126</v>
      </c>
      <c r="E21" s="82" t="s">
        <v>158</v>
      </c>
      <c r="F21" s="41" t="s">
        <v>125</v>
      </c>
      <c r="I21" s="77">
        <v>1</v>
      </c>
      <c r="J21" s="77">
        <f t="shared" si="0"/>
        <v>1000</v>
      </c>
      <c r="K21" s="77">
        <f t="shared" si="1"/>
        <v>0</v>
      </c>
      <c r="L21" s="77">
        <f t="shared" si="2"/>
        <v>0</v>
      </c>
    </row>
    <row r="22" spans="1:14" x14ac:dyDescent="0.2">
      <c r="A22" s="41" t="s">
        <v>132</v>
      </c>
      <c r="B22" s="41" t="s">
        <v>150</v>
      </c>
      <c r="C22" s="41" t="s">
        <v>191</v>
      </c>
      <c r="D22" s="41" t="s">
        <v>126</v>
      </c>
      <c r="E22" s="82" t="s">
        <v>158</v>
      </c>
      <c r="F22" s="41" t="s">
        <v>125</v>
      </c>
      <c r="I22" s="77">
        <v>1</v>
      </c>
      <c r="J22" s="77">
        <f t="shared" si="0"/>
        <v>1000</v>
      </c>
      <c r="K22" s="77">
        <f t="shared" si="1"/>
        <v>0</v>
      </c>
      <c r="L22" s="77">
        <f t="shared" si="2"/>
        <v>0</v>
      </c>
    </row>
    <row r="23" spans="1:14" x14ac:dyDescent="0.2">
      <c r="A23" s="41" t="s">
        <v>144</v>
      </c>
      <c r="B23" s="41" t="s">
        <v>155</v>
      </c>
      <c r="C23" s="41" t="s">
        <v>192</v>
      </c>
      <c r="D23" s="41" t="s">
        <v>126</v>
      </c>
      <c r="E23" s="82" t="s">
        <v>158</v>
      </c>
      <c r="F23" s="41" t="s">
        <v>125</v>
      </c>
      <c r="I23" s="77">
        <v>3</v>
      </c>
      <c r="J23" s="77">
        <f t="shared" si="0"/>
        <v>3687</v>
      </c>
      <c r="K23" s="77">
        <f t="shared" si="1"/>
        <v>687</v>
      </c>
      <c r="L23" s="77">
        <f t="shared" si="2"/>
        <v>2</v>
      </c>
      <c r="M23" s="77">
        <v>22</v>
      </c>
      <c r="N23" s="77">
        <v>665</v>
      </c>
    </row>
    <row r="24" spans="1:14" x14ac:dyDescent="0.2">
      <c r="A24" s="41" t="s">
        <v>131</v>
      </c>
      <c r="B24" s="41" t="s">
        <v>156</v>
      </c>
      <c r="C24" s="41" t="s">
        <v>193</v>
      </c>
      <c r="D24" s="41" t="s">
        <v>126</v>
      </c>
      <c r="E24" s="82" t="s">
        <v>158</v>
      </c>
      <c r="F24" s="41" t="s">
        <v>125</v>
      </c>
      <c r="I24" s="77">
        <v>1</v>
      </c>
      <c r="J24" s="77">
        <f t="shared" si="0"/>
        <v>1320</v>
      </c>
      <c r="K24" s="77">
        <f t="shared" si="1"/>
        <v>320</v>
      </c>
      <c r="L24" s="77">
        <f t="shared" si="2"/>
        <v>2</v>
      </c>
      <c r="M24" s="77">
        <v>300</v>
      </c>
      <c r="N24" s="77">
        <v>20</v>
      </c>
    </row>
    <row r="25" spans="1:14" x14ac:dyDescent="0.2">
      <c r="A25" s="41" t="s">
        <v>198</v>
      </c>
      <c r="C25" s="41" t="s">
        <v>199</v>
      </c>
      <c r="D25" s="41" t="s">
        <v>126</v>
      </c>
      <c r="E25" s="82" t="s">
        <v>158</v>
      </c>
      <c r="F25" s="41" t="s">
        <v>125</v>
      </c>
      <c r="I25" s="77">
        <v>1</v>
      </c>
      <c r="J25" s="77">
        <f t="shared" si="0"/>
        <v>1000</v>
      </c>
      <c r="K25" s="77">
        <f t="shared" si="1"/>
        <v>0</v>
      </c>
      <c r="L25" s="77">
        <f t="shared" si="2"/>
        <v>0</v>
      </c>
    </row>
    <row r="26" spans="1:14" x14ac:dyDescent="0.2">
      <c r="A26" s="41" t="s">
        <v>200</v>
      </c>
      <c r="C26" s="41" t="s">
        <v>201</v>
      </c>
      <c r="D26" s="41" t="s">
        <v>126</v>
      </c>
      <c r="E26" s="82" t="s">
        <v>158</v>
      </c>
      <c r="F26" s="41" t="s">
        <v>125</v>
      </c>
      <c r="I26" s="77">
        <v>1</v>
      </c>
      <c r="J26" s="77">
        <f t="shared" si="0"/>
        <v>1000</v>
      </c>
      <c r="K26" s="77">
        <f t="shared" si="1"/>
        <v>0</v>
      </c>
      <c r="L26" s="77">
        <f t="shared" si="2"/>
        <v>0</v>
      </c>
    </row>
    <row r="27" spans="1:14" x14ac:dyDescent="0.2">
      <c r="A27" s="41" t="s">
        <v>202</v>
      </c>
      <c r="C27" s="41" t="s">
        <v>203</v>
      </c>
      <c r="D27" s="41" t="s">
        <v>126</v>
      </c>
      <c r="E27" s="82" t="s">
        <v>158</v>
      </c>
      <c r="F27" s="41" t="s">
        <v>125</v>
      </c>
      <c r="I27" s="77">
        <v>1</v>
      </c>
      <c r="J27" s="77">
        <f t="shared" si="0"/>
        <v>1000</v>
      </c>
      <c r="K27" s="77">
        <f t="shared" si="1"/>
        <v>0</v>
      </c>
      <c r="L27" s="77">
        <f t="shared" si="2"/>
        <v>0</v>
      </c>
    </row>
    <row r="28" spans="1:14" x14ac:dyDescent="0.2">
      <c r="A28" s="41" t="s">
        <v>137</v>
      </c>
      <c r="C28" s="41" t="s">
        <v>197</v>
      </c>
      <c r="D28" s="41" t="s">
        <v>126</v>
      </c>
      <c r="E28" s="82" t="s">
        <v>158</v>
      </c>
      <c r="F28" s="41" t="s">
        <v>125</v>
      </c>
      <c r="I28" s="77">
        <v>0</v>
      </c>
      <c r="J28" s="77">
        <f t="shared" si="0"/>
        <v>972</v>
      </c>
      <c r="K28" s="77">
        <f t="shared" si="1"/>
        <v>972</v>
      </c>
      <c r="L28" s="77">
        <f t="shared" si="2"/>
        <v>1</v>
      </c>
      <c r="M28" s="77">
        <v>972</v>
      </c>
    </row>
    <row r="29" spans="1:14" x14ac:dyDescent="0.2">
      <c r="A29" s="41" t="s">
        <v>204</v>
      </c>
      <c r="C29" s="41" t="s">
        <v>205</v>
      </c>
      <c r="D29" s="41" t="s">
        <v>126</v>
      </c>
      <c r="E29" s="82" t="s">
        <v>158</v>
      </c>
      <c r="F29" s="41" t="s">
        <v>125</v>
      </c>
      <c r="I29" s="77">
        <v>1</v>
      </c>
      <c r="J29" s="77">
        <f t="shared" si="0"/>
        <v>1000</v>
      </c>
      <c r="K29" s="77">
        <f t="shared" si="1"/>
        <v>0</v>
      </c>
      <c r="L29" s="77">
        <f t="shared" si="2"/>
        <v>0</v>
      </c>
    </row>
    <row r="30" spans="1:14" x14ac:dyDescent="0.2">
      <c r="A30" s="41" t="s">
        <v>134</v>
      </c>
      <c r="B30" s="41" t="s">
        <v>152</v>
      </c>
      <c r="C30" s="41" t="s">
        <v>194</v>
      </c>
      <c r="D30" s="41" t="s">
        <v>126</v>
      </c>
      <c r="E30" s="82" t="s">
        <v>158</v>
      </c>
      <c r="F30" s="41" t="s">
        <v>125</v>
      </c>
      <c r="I30" s="77">
        <v>2</v>
      </c>
      <c r="J30" s="77">
        <f t="shared" si="0"/>
        <v>2740</v>
      </c>
      <c r="K30" s="77">
        <f t="shared" si="1"/>
        <v>740</v>
      </c>
      <c r="L30" s="77">
        <f t="shared" si="2"/>
        <v>2</v>
      </c>
      <c r="M30" s="77">
        <v>680</v>
      </c>
      <c r="N30" s="77">
        <v>60</v>
      </c>
    </row>
    <row r="31" spans="1:14" x14ac:dyDescent="0.2">
      <c r="A31" s="41" t="s">
        <v>169</v>
      </c>
      <c r="C31" s="41" t="s">
        <v>180</v>
      </c>
      <c r="D31" s="41" t="s">
        <v>145</v>
      </c>
      <c r="E31" s="82" t="s">
        <v>159</v>
      </c>
      <c r="F31" s="41" t="s">
        <v>125</v>
      </c>
      <c r="I31" s="77">
        <v>0</v>
      </c>
      <c r="J31" s="77">
        <f t="shared" si="0"/>
        <v>944</v>
      </c>
      <c r="K31" s="77">
        <f t="shared" si="1"/>
        <v>944</v>
      </c>
      <c r="L31" s="77">
        <f t="shared" si="2"/>
        <v>1</v>
      </c>
      <c r="M31" s="77">
        <v>944</v>
      </c>
    </row>
    <row r="32" spans="1:14" x14ac:dyDescent="0.2">
      <c r="A32" s="41" t="s">
        <v>133</v>
      </c>
      <c r="B32" s="41" t="s">
        <v>151</v>
      </c>
      <c r="C32" s="41" t="s">
        <v>195</v>
      </c>
      <c r="D32" s="41" t="s">
        <v>126</v>
      </c>
      <c r="E32" s="82" t="s">
        <v>158</v>
      </c>
      <c r="F32" s="41" t="s">
        <v>125</v>
      </c>
      <c r="I32" s="77">
        <v>1</v>
      </c>
      <c r="J32" s="77">
        <f t="shared" si="0"/>
        <v>1444</v>
      </c>
      <c r="K32" s="77">
        <f t="shared" si="1"/>
        <v>444</v>
      </c>
      <c r="L32" s="77">
        <f t="shared" si="2"/>
        <v>1</v>
      </c>
      <c r="M32" s="77">
        <v>444</v>
      </c>
    </row>
    <row r="33" spans="1:12" x14ac:dyDescent="0.2">
      <c r="A33" s="41" t="s">
        <v>241</v>
      </c>
      <c r="D33" s="41" t="s">
        <v>126</v>
      </c>
      <c r="E33" s="82" t="s">
        <v>158</v>
      </c>
      <c r="F33" s="41" t="s">
        <v>125</v>
      </c>
      <c r="I33" s="77">
        <v>5</v>
      </c>
      <c r="J33" s="77">
        <f t="shared" ref="J33:J34" si="3">SUM((I33*1000)+(H33*5000)+(K33))</f>
        <v>5000</v>
      </c>
      <c r="K33" s="77">
        <f t="shared" ref="K33:K34" si="4">SUM(M33:R33)</f>
        <v>0</v>
      </c>
      <c r="L33" s="77">
        <f t="shared" ref="L33:L34" si="5">COUNT(M33:R33)</f>
        <v>0</v>
      </c>
    </row>
    <row r="34" spans="1:12" x14ac:dyDescent="0.2">
      <c r="A34" s="41" t="s">
        <v>242</v>
      </c>
      <c r="D34" s="41" t="s">
        <v>126</v>
      </c>
      <c r="E34" s="82" t="s">
        <v>158</v>
      </c>
      <c r="F34" s="41" t="s">
        <v>125</v>
      </c>
      <c r="I34" s="77">
        <v>1</v>
      </c>
      <c r="J34" s="77">
        <f t="shared" si="3"/>
        <v>1000</v>
      </c>
      <c r="K34" s="77">
        <f t="shared" si="4"/>
        <v>0</v>
      </c>
      <c r="L34" s="77">
        <f t="shared" si="5"/>
        <v>0</v>
      </c>
    </row>
    <row r="35" spans="1:12" x14ac:dyDescent="0.2">
      <c r="A35" s="41" t="s">
        <v>316</v>
      </c>
      <c r="D35" s="41" t="s">
        <v>284</v>
      </c>
      <c r="F35" s="41" t="s">
        <v>125</v>
      </c>
      <c r="I35" s="77">
        <v>1</v>
      </c>
      <c r="J35" s="77">
        <f t="shared" ref="J35:J36" si="6">SUM((I35*1000)+(H35*5000)+(K35))</f>
        <v>1000</v>
      </c>
      <c r="K35" s="77">
        <f t="shared" ref="K35:K36" si="7">SUM(M35:R35)</f>
        <v>0</v>
      </c>
      <c r="L35" s="77">
        <f t="shared" ref="L35:L36" si="8">COUNT(M35:R35)</f>
        <v>0</v>
      </c>
    </row>
    <row r="36" spans="1:12" x14ac:dyDescent="0.2">
      <c r="A36" s="41" t="s">
        <v>317</v>
      </c>
      <c r="D36" s="41" t="s">
        <v>145</v>
      </c>
      <c r="F36" s="41" t="s">
        <v>318</v>
      </c>
      <c r="I36" s="77">
        <v>0</v>
      </c>
      <c r="J36" s="77">
        <f t="shared" si="6"/>
        <v>0</v>
      </c>
      <c r="K36" s="77">
        <f t="shared" si="7"/>
        <v>0</v>
      </c>
      <c r="L36" s="77">
        <f t="shared" si="8"/>
        <v>0</v>
      </c>
    </row>
  </sheetData>
  <sortState xmlns:xlrd2="http://schemas.microsoft.com/office/spreadsheetml/2017/richdata2" ref="A2:R32">
    <sortCondition ref="A2:A32"/>
  </sortState>
  <conditionalFormatting sqref="G2:G34">
    <cfRule type="containsText" dxfId="5" priority="1" operator="containsText" text="x">
      <formula>NOT(ISERROR(SEARCH("x",G2)))</formula>
    </cfRule>
  </conditionalFormatting>
  <conditionalFormatting sqref="I2:I36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2:J36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1" r:id="rId1" xr:uid="{DACE37DB-187B-48A8-83F2-275242B7BB35}"/>
    <hyperlink ref="E4" r:id="rId2" xr:uid="{C9F8B26D-E6AA-46DC-B5AB-534E1D4AC16B}"/>
    <hyperlink ref="E4:E21" r:id="rId3" display="https://californiafilament.com/" xr:uid="{519681E2-2FD9-4CE1-B305-A963C90F4F1E}"/>
    <hyperlink ref="E2" r:id="rId4" xr:uid="{DCD6341C-4B11-492A-A3D9-2DEF966E7759}"/>
    <hyperlink ref="E3" r:id="rId5" xr:uid="{82AB1061-85FE-4929-8670-60C5C1989963}"/>
    <hyperlink ref="E6" r:id="rId6" xr:uid="{E505C7A1-8939-43F1-BCA7-0C3D47022E1A}"/>
    <hyperlink ref="E17" r:id="rId7" xr:uid="{C6B4D564-D35B-44FF-8EAC-D32C66D5D1B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2024-06-15T00:30:48Z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