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Tuur\Documents\School\AP Valley\onTime\Ontime\Administratie\Financiele analyse\"/>
    </mc:Choice>
  </mc:AlternateContent>
  <bookViews>
    <workbookView xWindow="0" yWindow="465" windowWidth="28800" windowHeight="16095" xr2:uid="{00000000-000D-0000-FFFF-FFFF00000000}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Data'!$F$45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Data'!$F$14:$F$21</definedName>
    <definedName name="DATA_07" hidden="1">'Breakeven Analysis Data'!#REF!</definedName>
    <definedName name="DATA_08" hidden="1">'Breakeven Analysis Data'!$H$5</definedName>
    <definedName name="Fixed_costs">'Breakeven Analysis Data'!$F$29:$F$38</definedName>
    <definedName name="Gross_margin">'Breakeven Analysis Data'!$G$26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Data'!$G$41</definedName>
    <definedName name="Sales_price_unitA">'Breakeven Analysis Data'!$F$6</definedName>
    <definedName name="Sales_price_unitB">'Breakeven Analysis Data'!$H$6</definedName>
    <definedName name="Sales_price_unitC">'Breakeven Analysis Data'!$J$6</definedName>
    <definedName name="Sales_volume_unitsA">'Breakeven Analysis Data'!$F$7</definedName>
    <definedName name="Sales_volume_unitsB">'Breakeven Analysis Data'!$H$7</definedName>
    <definedName name="Sales_volume_unitsC">'Breakeven Analysis Data'!$J$7</definedName>
    <definedName name="TemplatePrintArea">'Breakeven Analysis Data'!$B$1:$G$5</definedName>
    <definedName name="Total_fixed">'Breakeven Analysis Data'!$G$39</definedName>
    <definedName name="Total_Sales">'Breakeven Analysis Data'!$G$9</definedName>
    <definedName name="Total_Subscription">'Breakeven Analysis Data'!$G$12</definedName>
    <definedName name="Total_variable">'Breakeven Analysis Data'!$G$23</definedName>
    <definedName name="Unit_contrib_margin">'Breakeven Analysis Data'!$F$25</definedName>
    <definedName name="Variable_cost_unit">'Breakeven Analysis Data'!$F$22</definedName>
    <definedName name="Variable_costs_unit">'Breakeven Analysis Data'!$F$14:$F$21</definedName>
    <definedName name="Variable_Unit_Cost">'Breakeven Analysis Data'!$F$22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D48" i="2" l="1"/>
  <c r="D49" i="2"/>
  <c r="E47" i="2"/>
  <c r="F47" i="2"/>
  <c r="G47" i="2"/>
  <c r="H47" i="2"/>
  <c r="I47" i="2"/>
  <c r="J47" i="2"/>
  <c r="K47" i="2"/>
  <c r="L47" i="2"/>
  <c r="M47" i="2"/>
  <c r="N47" i="2"/>
  <c r="D47" i="2"/>
  <c r="G23" i="2"/>
  <c r="J6" i="2" l="1"/>
  <c r="J8" i="2" s="1"/>
  <c r="H6" i="2"/>
  <c r="H8" i="2" s="1"/>
  <c r="F8" i="2"/>
  <c r="G9" i="2" l="1"/>
  <c r="G12" i="2"/>
  <c r="E48" i="2"/>
  <c r="F48" i="2"/>
  <c r="G48" i="2"/>
  <c r="H48" i="2"/>
  <c r="I48" i="2"/>
  <c r="J48" i="2"/>
  <c r="K48" i="2"/>
  <c r="L48" i="2"/>
  <c r="M48" i="2"/>
  <c r="N48" i="2"/>
  <c r="F22" i="2"/>
  <c r="G39" i="2"/>
  <c r="G50" i="2" s="1"/>
  <c r="H49" i="2" l="1"/>
  <c r="H53" i="2" s="1"/>
  <c r="D53" i="2"/>
  <c r="K49" i="2"/>
  <c r="K53" i="2" s="1"/>
  <c r="E49" i="2"/>
  <c r="E53" i="2" s="1"/>
  <c r="H51" i="2"/>
  <c r="K51" i="2"/>
  <c r="M50" i="2"/>
  <c r="L50" i="2"/>
  <c r="E51" i="2"/>
  <c r="K50" i="2"/>
  <c r="F50" i="2"/>
  <c r="E50" i="2"/>
  <c r="F49" i="2"/>
  <c r="F53" i="2" s="1"/>
  <c r="N51" i="2"/>
  <c r="J50" i="2"/>
  <c r="L51" i="2"/>
  <c r="N49" i="2"/>
  <c r="N53" i="2" s="1"/>
  <c r="J49" i="2"/>
  <c r="J53" i="2" s="1"/>
  <c r="G49" i="2"/>
  <c r="G53" i="2" s="1"/>
  <c r="J51" i="2"/>
  <c r="G51" i="2"/>
  <c r="G52" i="2" s="1"/>
  <c r="I49" i="2"/>
  <c r="I53" i="2" s="1"/>
  <c r="G26" i="2"/>
  <c r="G41" i="2" s="1"/>
  <c r="M51" i="2"/>
  <c r="M52" i="2" s="1"/>
  <c r="N50" i="2"/>
  <c r="D51" i="2"/>
  <c r="L49" i="2"/>
  <c r="L53" i="2" s="1"/>
  <c r="F51" i="2"/>
  <c r="M49" i="2"/>
  <c r="M53" i="2" s="1"/>
  <c r="F25" i="2"/>
  <c r="F45" i="2" s="1"/>
  <c r="H50" i="2"/>
  <c r="I51" i="2"/>
  <c r="I50" i="2"/>
  <c r="D50" i="2"/>
  <c r="L52" i="2" l="1"/>
  <c r="L54" i="2" s="1"/>
  <c r="F52" i="2"/>
  <c r="F54" i="2" s="1"/>
  <c r="E52" i="2"/>
  <c r="E54" i="2" s="1"/>
  <c r="N52" i="2"/>
  <c r="N54" i="2" s="1"/>
  <c r="H52" i="2"/>
  <c r="H54" i="2" s="1"/>
  <c r="K52" i="2"/>
  <c r="K54" i="2" s="1"/>
  <c r="D52" i="2"/>
  <c r="D54" i="2" s="1"/>
  <c r="M54" i="2"/>
  <c r="J52" i="2"/>
  <c r="J54" i="2" s="1"/>
  <c r="G54" i="2"/>
  <c r="I52" i="2"/>
  <c r="I5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Tuur</author>
  </authors>
  <commentList>
    <comment ref="F6" authorId="0" shapeId="0" xr:uid="{3A85B171-98A2-477D-A064-7900A68AFBB8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H6" authorId="0" shapeId="0" xr:uid="{7D0A91FE-B1FC-4772-B671-83EC5EA0EC0D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J6" authorId="0" shapeId="0" xr:uid="{C306B6D9-DB5D-41DC-8381-E112C47706A1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F7" authorId="0" shapeId="0" xr:uid="{5217D6D1-5CD7-4075-AFE8-EA322F49B4C9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H7" authorId="0" shapeId="0" xr:uid="{831FB1F6-E4B8-4DC3-9B71-8B472336E9DB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J7" authorId="0" shapeId="0" xr:uid="{30555F1F-FBCD-421F-812F-AD65AB932B8F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F11" authorId="0" shapeId="0" xr:uid="{A3A9E55F-847E-4661-913D-184F52F6F529}">
      <text>
        <r>
          <rPr>
            <sz val="9"/>
            <color indexed="81"/>
            <rFont val="Tahoma"/>
            <family val="2"/>
          </rPr>
          <t>Prijs maandelijks aangerekend voor hosting, support,...</t>
        </r>
      </text>
    </comment>
    <comment ref="F14" authorId="0" shapeId="0" xr:uid="{5CF3165E-FCBD-453E-AF2A-EA2B9BFC17C7}">
      <text>
        <r>
          <rPr>
            <sz val="9"/>
            <color indexed="81"/>
            <rFont val="Tahoma"/>
            <family val="2"/>
          </rPr>
          <t xml:space="preserve">Kost van het opzetten van de servers per unit
</t>
        </r>
      </text>
    </comment>
    <comment ref="F16" authorId="0" shapeId="0" xr:uid="{5D839EBC-3BE3-4C34-8563-6F5A98C52E6E}">
      <text>
        <r>
          <rPr>
            <sz val="9"/>
            <color indexed="81"/>
            <rFont val="Tahoma"/>
            <family val="2"/>
          </rPr>
          <t xml:space="preserve">Kleine aanpassingen in app zoals logo van bedrijf toevoegen
</t>
        </r>
      </text>
    </comment>
    <comment ref="F17" authorId="0" shapeId="0" xr:uid="{DF3550BB-FD51-4154-B794-6A8344BA2F43}">
      <text>
        <r>
          <rPr>
            <sz val="9"/>
            <color indexed="81"/>
            <rFont val="Tahoma"/>
            <family val="2"/>
          </rPr>
          <t>Geen advertising op een "per product" basis</t>
        </r>
      </text>
    </comment>
    <comment ref="F18" authorId="0" shapeId="0" xr:uid="{70740BD0-CC66-4C54-86D3-8CFA9D18EBC2}">
      <text>
        <r>
          <rPr>
            <b/>
            <sz val="9"/>
            <color indexed="81"/>
            <rFont val="Tahoma"/>
            <family val="2"/>
          </rPr>
          <t>Tuur: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58D98360-D15F-4E39-A36D-F6F27D06BD03}">
      <text>
        <r>
          <rPr>
            <sz val="9"/>
            <color indexed="81"/>
            <rFont val="Tahoma"/>
            <family val="2"/>
          </rPr>
          <t xml:space="preserve">Eventuele commissie voor verkopers die we aannemen
</t>
        </r>
      </text>
    </comment>
    <comment ref="F30" authorId="0" shapeId="0" xr:uid="{0311ABD3-7CCC-4345-89C5-881F9C7EA603}">
      <text>
        <r>
          <rPr>
            <sz val="9"/>
            <color indexed="81"/>
            <rFont val="Tahoma"/>
            <family val="2"/>
          </rPr>
          <t>Voorlopig geen subcontractors. Als er ideeen zijn, laat het weten.</t>
        </r>
      </text>
    </comment>
    <comment ref="F31" authorId="0" shapeId="0" xr:uid="{F6D60EF9-0745-4CB6-8B69-14B527E69522}">
      <text>
        <r>
          <rPr>
            <sz val="9"/>
            <color indexed="81"/>
            <rFont val="Tahoma"/>
            <family val="2"/>
          </rPr>
          <t>Deze kost stijgt of daalt naar het aantal actieve klanten. Ruwe berekening (gebruikte hardware: Amazon EC2 t2.micro instance)
Per active klant: 50 euro per periode
Ook infrastructuur inbegrepen (computers werknemers, ISP, ...)</t>
        </r>
      </text>
    </comment>
    <comment ref="F32" authorId="0" shapeId="0" xr:uid="{609A7C58-C559-486A-8D2D-85B7A7A7AE0A}">
      <text>
        <r>
          <rPr>
            <sz val="9"/>
            <color indexed="81"/>
            <rFont val="Tahoma"/>
            <family val="2"/>
          </rPr>
          <t xml:space="preserve">Snelle estimate van Google (https://www.google.com/adwords/express/pricing/)
~10 euro per dag
</t>
        </r>
      </text>
    </comment>
    <comment ref="F33" authorId="0" shapeId="0" xr:uid="{EA10A0B4-ED7D-4B1B-9DF6-7CF415632FED}">
      <text>
        <r>
          <rPr>
            <sz val="9"/>
            <color indexed="81"/>
            <rFont val="Tahoma"/>
            <family val="2"/>
          </rPr>
          <t>2 leasingwagens
https://deals.directlease.be/</t>
        </r>
      </text>
    </comment>
    <comment ref="F36" authorId="0" shapeId="0" xr:uid="{165A2A66-A40C-4D4A-8EF3-CD46A0C51E76}">
      <text>
        <r>
          <rPr>
            <sz val="9"/>
            <color indexed="81"/>
            <rFont val="Tahoma"/>
            <family val="2"/>
          </rPr>
          <t xml:space="preserve">Variabel bedrag </t>
        </r>
        <r>
          <rPr>
            <u/>
            <sz val="9"/>
            <color indexed="81"/>
            <rFont val="Tahoma"/>
            <family val="2"/>
          </rPr>
          <t>per jaar</t>
        </r>
        <r>
          <rPr>
            <sz val="9"/>
            <color indexed="81"/>
            <rFont val="Tahoma"/>
            <family val="2"/>
          </rPr>
          <t>:
Eerste 25.000 euro winst: 24,25%
Verder tot 90.000 euro winst: 31%</t>
        </r>
      </text>
    </comment>
    <comment ref="F37" authorId="0" shapeId="0" xr:uid="{0D7BD022-B106-460F-B833-13D1C6EA7135}">
      <text>
        <r>
          <rPr>
            <sz val="9"/>
            <color indexed="81"/>
            <rFont val="Tahoma"/>
            <family val="2"/>
          </rPr>
          <t>https://www.immoweb.be/nl/zoek/kantoor/te-huur/antwerpen
Overschatting voor water, gas en elektriciteit</t>
        </r>
      </text>
    </comment>
  </commentList>
</comments>
</file>

<file path=xl/sharedStrings.xml><?xml version="1.0" encoding="utf-8"?>
<sst xmlns="http://schemas.openxmlformats.org/spreadsheetml/2006/main" count="53" uniqueCount="53">
  <si>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</si>
  <si>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</si>
  <si>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</si>
  <si>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</si>
  <si>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</si>
  <si>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</si>
  <si>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</si>
  <si>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</si>
  <si>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>Sales price per unit</t>
  </si>
  <si>
    <t xml:space="preserve">    Total Sales</t>
  </si>
  <si>
    <t xml:space="preserve">    Gross Margin</t>
  </si>
  <si>
    <t>Variable Costs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</si>
  <si>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</si>
  <si>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</si>
  <si>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</si>
  <si>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</si>
  <si>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</si>
  <si>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</si>
  <si>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</si>
  <si>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</si>
  <si>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</si>
  <si>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</si>
  <si>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</si>
  <si>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</si>
  <si>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</si>
  <si>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</si>
  <si>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</si>
  <si>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</si>
  <si>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</si>
  <si>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</si>
  <si>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</si>
  <si>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</si>
  <si>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</si>
  <si>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</si>
  <si>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</si>
  <si>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</si>
  <si>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</si>
  <si>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</si>
  <si>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</si>
  <si>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</si>
  <si>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</si>
  <si>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</si>
  <si>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</si>
  <si>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OnTime</t>
  </si>
  <si>
    <t xml:space="preserve">    Net Profit</t>
  </si>
  <si>
    <t>Sales volume (units)</t>
  </si>
  <si>
    <t>Subscription per period</t>
  </si>
  <si>
    <r>
      <t xml:space="preserve">    </t>
    </r>
    <r>
      <rPr>
        <b/>
        <sz val="10"/>
        <rFont val="Arial"/>
        <family val="2"/>
      </rPr>
      <t>Total Subscription</t>
    </r>
  </si>
  <si>
    <t>Subscription</t>
  </si>
  <si>
    <t>Sales price</t>
  </si>
  <si>
    <t>Discount:</t>
  </si>
  <si>
    <t>Sales (1 year per period)</t>
  </si>
  <si>
    <t>Amount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</si>
</sst>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mm/dd/yy"/>
    <numFmt numFmtId="165" formatCode="0_);[Red]\(0\)"/>
    <numFmt numFmtId="166" formatCode="0_);\(0\)"/>
    <numFmt numFmtId="167" formatCode="#,##0.00\ _€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69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  <xf numFmtId="0" fontId="1" fillId="0" borderId="0" xfId="0" applyNumberFormat="1" applyFont="1" applyFill="1" applyProtection="1"/>
    <xf numFmtId="0" fontId="0" fillId="0" borderId="0" xfId="0" applyNumberFormat="1" applyProtection="1"/>
    <xf numFmtId="0" fontId="1" fillId="0" borderId="0" xfId="0" applyNumberFormat="1" applyFont="1" applyFill="1" applyProtection="1">
      <protection locked="0"/>
    </xf>
    <xf numFmtId="37" fontId="1" fillId="0" borderId="0" xfId="0" applyNumberFormat="1" applyFont="1" applyFill="1" applyBorder="1" applyProtection="1">
      <protection locked="0"/>
    </xf>
    <xf numFmtId="38" fontId="16" fillId="0" borderId="0" xfId="0" applyFont="1" applyFill="1" applyProtection="1">
      <protection locked="0"/>
    </xf>
    <xf numFmtId="37" fontId="1" fillId="4" borderId="1" xfId="0" applyNumberFormat="1" applyFont="1" applyFill="1" applyBorder="1" applyProtection="1"/>
    <xf numFmtId="37" fontId="1" fillId="0" borderId="0" xfId="0" applyNumberFormat="1" applyFont="1" applyFill="1" applyBorder="1" applyAlignment="1" applyProtection="1">
      <alignment horizontal="center" vertical="center"/>
    </xf>
    <xf numFmtId="38" fontId="0" fillId="0" borderId="6" xfId="0" applyFont="1" applyFill="1" applyBorder="1" applyAlignment="1" applyProtection="1">
      <alignment horizontal="center" vertical="center"/>
    </xf>
    <xf numFmtId="7" fontId="1" fillId="0" borderId="8" xfId="0" applyNumberFormat="1" applyFont="1" applyFill="1" applyBorder="1" applyProtection="1">
      <protection locked="0"/>
    </xf>
    <xf numFmtId="7" fontId="1" fillId="3" borderId="1" xfId="0" applyNumberFormat="1" applyFont="1" applyFill="1" applyBorder="1" applyProtection="1"/>
    <xf numFmtId="167" fontId="0" fillId="0" borderId="0" xfId="0" applyNumberFormat="1" applyBorder="1" applyAlignment="1" applyProtection="1">
      <alignment horizontal="center" vertical="center"/>
    </xf>
    <xf numFmtId="44" fontId="1" fillId="4" borderId="9" xfId="0" applyNumberFormat="1" applyFont="1" applyFill="1" applyBorder="1" applyProtection="1">
      <protection locked="0"/>
    </xf>
    <xf numFmtId="37" fontId="6" fillId="0" borderId="9" xfId="0" applyNumberFormat="1" applyFont="1" applyFill="1" applyBorder="1" applyAlignment="1" applyProtection="1">
      <alignment horizontal="center" wrapText="1"/>
      <protection locked="0"/>
    </xf>
    <xf numFmtId="166" fontId="0" fillId="0" borderId="10" xfId="0" applyNumberFormat="1" applyFont="1" applyFill="1" applyBorder="1" applyAlignment="1" applyProtection="1">
      <alignment horizontal="center" vertical="center"/>
    </xf>
    <xf numFmtId="9" fontId="6" fillId="0" borderId="9" xfId="0" applyNumberFormat="1" applyFont="1" applyFill="1" applyBorder="1" applyAlignment="1" applyProtection="1">
      <alignment wrapText="1"/>
    </xf>
    <xf numFmtId="38" fontId="0" fillId="0" borderId="10" xfId="0" applyBorder="1" applyAlignment="1" applyProtection="1">
      <alignment horizontal="center" vertical="center"/>
    </xf>
  </cellXfs>
  <cellStyles count="4">
    <cellStyle name="Date" xfId="1" xr:uid="{00000000-0005-0000-0000-000000000000}"/>
    <cellStyle name="Fixed" xfId="2" xr:uid="{00000000-0005-0000-0000-000001000000}"/>
    <cellStyle name="Normal" xfId="0" builtinId="0"/>
    <cellStyle name="Text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B8-4191-8825-9923EDF4485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B8-4191-8825-9923EDF44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Data'!$C$22,'Breakeven Analysis Data'!$C$25)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Data'!$F$22,'Breakeven Analysis Data'!$F$25)</c:f>
              <c:numCache>
                <c:formatCode>#,##0.00_);\(#,##0.00\)</c:formatCode>
                <c:ptCount val="2"/>
                <c:pt idx="0">
                  <c:v>850</c:v>
                </c:pt>
                <c:pt idx="1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8-4191-8825-9923EDF4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6C-4986-B1C7-49554B93B952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02-BF6C-4986-B1C7-49554B93B952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04-BF6C-4986-B1C7-49554B93B952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06-BF6C-4986-B1C7-49554B93B952}"/>
              </c:ext>
            </c:extLst>
          </c:dPt>
          <c:dPt>
            <c:idx val="7"/>
            <c:bubble3D val="0"/>
            <c:spPr/>
            <c:extLst>
              <c:ext xmlns:c16="http://schemas.microsoft.com/office/drawing/2014/chart" uri="{C3380CC4-5D6E-409C-BE32-E72D297353CC}">
                <c16:uniqueId val="{00000008-BF6C-4986-B1C7-49554B93B9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 Data'!$C$15:$C$21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Data'!$F$14:$F$21</c:f>
              <c:numCache>
                <c:formatCode>#,##0.00_);\(#,##0.00\)</c:formatCode>
                <c:ptCount val="8"/>
                <c:pt idx="0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250</c:v>
                </c:pt>
                <c:pt idx="5">
                  <c:v>0</c:v>
                </c:pt>
                <c:pt idx="6">
                  <c:v>300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C-4986-B1C7-49554B93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BF-4905-949C-BF55817811B1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BF-4905-949C-BF55817811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Data'!$C$22,'Breakeven Analysis Data'!$C$25)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Data'!$F$22,'Breakeven Analysis Data'!$F$25)</c:f>
              <c:numCache>
                <c:formatCode>#,##0.00_);\(#,##0.00\)</c:formatCode>
                <c:ptCount val="2"/>
                <c:pt idx="0">
                  <c:v>850</c:v>
                </c:pt>
                <c:pt idx="1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F-4905-949C-BF558178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Data'!$B$50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Data'!$D$50:$N$50</c:f>
              <c:numCache>
                <c:formatCode>#,##0.00_);[Red]\(#,##0.00\)</c:formatCode>
                <c:ptCount val="11"/>
                <c:pt idx="0">
                  <c:v>144900</c:v>
                </c:pt>
                <c:pt idx="1">
                  <c:v>144900</c:v>
                </c:pt>
                <c:pt idx="2">
                  <c:v>144900</c:v>
                </c:pt>
                <c:pt idx="3">
                  <c:v>144900</c:v>
                </c:pt>
                <c:pt idx="4">
                  <c:v>144900</c:v>
                </c:pt>
                <c:pt idx="5">
                  <c:v>144900</c:v>
                </c:pt>
                <c:pt idx="6">
                  <c:v>144900</c:v>
                </c:pt>
                <c:pt idx="7">
                  <c:v>144900</c:v>
                </c:pt>
                <c:pt idx="8">
                  <c:v>144900</c:v>
                </c:pt>
                <c:pt idx="9">
                  <c:v>144900</c:v>
                </c:pt>
                <c:pt idx="10">
                  <c:v>144900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9F5-8266-3050CAB21FBC}"/>
            </c:ext>
          </c:extLst>
        </c:ser>
        <c:ser>
          <c:idx val="1"/>
          <c:order val="1"/>
          <c:tx>
            <c:strRef>
              <c:f>'Breakeven Analysis Data'!$B$52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Data'!$D$52:$N$52</c:f>
              <c:numCache>
                <c:formatCode>#,##0.00_);[Red]\(#,##0.00\)</c:formatCode>
                <c:ptCount val="11"/>
                <c:pt idx="0">
                  <c:v>144900</c:v>
                </c:pt>
                <c:pt idx="1">
                  <c:v>148725</c:v>
                </c:pt>
                <c:pt idx="2">
                  <c:v>152550</c:v>
                </c:pt>
                <c:pt idx="3">
                  <c:v>156375</c:v>
                </c:pt>
                <c:pt idx="4">
                  <c:v>160200</c:v>
                </c:pt>
                <c:pt idx="5">
                  <c:v>164025</c:v>
                </c:pt>
                <c:pt idx="6">
                  <c:v>167850</c:v>
                </c:pt>
                <c:pt idx="7">
                  <c:v>171675</c:v>
                </c:pt>
                <c:pt idx="8">
                  <c:v>175500</c:v>
                </c:pt>
                <c:pt idx="9">
                  <c:v>179325</c:v>
                </c:pt>
                <c:pt idx="10">
                  <c:v>183150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9F5-8266-3050CAB21FBC}"/>
            </c:ext>
          </c:extLst>
        </c:ser>
        <c:ser>
          <c:idx val="2"/>
          <c:order val="2"/>
          <c:tx>
            <c:strRef>
              <c:f>'Breakeven Analysis Data'!$B$53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Data'!$D$53:$N$53</c:f>
              <c:numCache>
                <c:formatCode>#,##0.00_);[Red]\(#,##0.00\)</c:formatCode>
                <c:ptCount val="11"/>
                <c:pt idx="0">
                  <c:v>0</c:v>
                </c:pt>
                <c:pt idx="1">
                  <c:v>17550</c:v>
                </c:pt>
                <c:pt idx="2">
                  <c:v>35100</c:v>
                </c:pt>
                <c:pt idx="3">
                  <c:v>52650</c:v>
                </c:pt>
                <c:pt idx="4">
                  <c:v>70200</c:v>
                </c:pt>
                <c:pt idx="5">
                  <c:v>87750</c:v>
                </c:pt>
                <c:pt idx="6">
                  <c:v>105300</c:v>
                </c:pt>
                <c:pt idx="7">
                  <c:v>122849.99999999999</c:v>
                </c:pt>
                <c:pt idx="8">
                  <c:v>140400</c:v>
                </c:pt>
                <c:pt idx="9">
                  <c:v>157950</c:v>
                </c:pt>
                <c:pt idx="10">
                  <c:v>175500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9F5-8266-3050CAB21FBC}"/>
            </c:ext>
          </c:extLst>
        </c:ser>
        <c:ser>
          <c:idx val="3"/>
          <c:order val="3"/>
          <c:tx>
            <c:strRef>
              <c:f>'Breakeven Analysis Data'!$B$54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Data'!$D$54:$N$54</c:f>
              <c:numCache>
                <c:formatCode>#,##0.00_);[Red]\(#,##0.00\)</c:formatCode>
                <c:ptCount val="11"/>
                <c:pt idx="0">
                  <c:v>-144900</c:v>
                </c:pt>
                <c:pt idx="1">
                  <c:v>-131175</c:v>
                </c:pt>
                <c:pt idx="2">
                  <c:v>-117450</c:v>
                </c:pt>
                <c:pt idx="3">
                  <c:v>-103725</c:v>
                </c:pt>
                <c:pt idx="4">
                  <c:v>-90000</c:v>
                </c:pt>
                <c:pt idx="5">
                  <c:v>-76275</c:v>
                </c:pt>
                <c:pt idx="6">
                  <c:v>-62550</c:v>
                </c:pt>
                <c:pt idx="7">
                  <c:v>-48825.000000000015</c:v>
                </c:pt>
                <c:pt idx="8">
                  <c:v>-35100</c:v>
                </c:pt>
                <c:pt idx="9">
                  <c:v>-21375</c:v>
                </c:pt>
                <c:pt idx="10">
                  <c:v>-7650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9F5-8266-3050CAB2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200"/>
        <c:axId val="121284832"/>
      </c:lineChart>
      <c:catAx>
        <c:axId val="1212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483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212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120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ctrlProps/ctrlProp1.xml><?xml version="1.0" encoding="utf-8"?>
<formControlPr xmlns="http://schemas.microsoft.com/office/spreadsheetml/2009/9/main" objectType="Scroll" dx="22" fmlaLink="$F$6" horiz="1" inc="100" max="10000" min="500" page="10" val="3400"/>
</file>

<file path=xl/ctrlProps/ctrlProp2.xml><?xml version="1.0" encoding="utf-8"?>
<formControlPr xmlns="http://schemas.microsoft.com/office/spreadsheetml/2009/9/main" objectType="Scroll" dx="22" fmlaLink="$F$7" horiz="1" max="50" min="1" page="10" val="30"/>
</file>

<file path=xl/ctrlProps/ctrlProp3.xml><?xml version="1.0" encoding="utf-8"?>
<formControlPr xmlns="http://schemas.microsoft.com/office/spreadsheetml/2009/9/main" objectType="Scroll" dx="22" fmlaLink="$F$20" horiz="1" inc="100" max="1000" page="10" val="300"/>
</file>

<file path=xl/ctrlProps/ctrlProp4.xml><?xml version="1.0" encoding="utf-8"?>
<formControlPr xmlns="http://schemas.microsoft.com/office/spreadsheetml/2009/9/main" objectType="Scroll" dx="22" fmlaLink="$F$18" horiz="1" inc="50" max="1000" page="10" val="250"/>
</file>

<file path=xl/ctrlProps/ctrlProp5.xml><?xml version="1.0" encoding="utf-8"?>
<formControlPr xmlns="http://schemas.microsoft.com/office/spreadsheetml/2009/9/main" objectType="Scroll" dx="22" fmlaLink="$F$11" horiz="1" inc="100" max="10000" page="0" val="500"/>
</file>

<file path=xl/ctrlProps/ctrlProp6.xml><?xml version="1.0" encoding="utf-8"?>
<formControlPr xmlns="http://schemas.microsoft.com/office/spreadsheetml/2009/9/main" objectType="Scroll" dx="22" fmlaLink="$H$7" horiz="1" max="50" min="1" page="10" val="10"/>
</file>

<file path=xl/ctrlProps/ctrlProp7.xml><?xml version="1.0" encoding="utf-8"?>
<formControlPr xmlns="http://schemas.microsoft.com/office/spreadsheetml/2009/9/main" objectType="Scroll" dx="22" fmlaLink="$J$7" horiz="1" max="50" min="1" page="10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120465</xdr:colOff>
      <xdr:row>0</xdr:row>
      <xdr:rowOff>331304</xdr:rowOff>
    </xdr:from>
    <xdr:to>
      <xdr:col>18</xdr:col>
      <xdr:colOff>339587</xdr:colOff>
      <xdr:row>12</xdr:row>
      <xdr:rowOff>25466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165976</xdr:colOff>
      <xdr:row>23</xdr:row>
      <xdr:rowOff>25400</xdr:rowOff>
    </xdr:from>
    <xdr:to>
      <xdr:col>12</xdr:col>
      <xdr:colOff>318376</xdr:colOff>
      <xdr:row>44</xdr:row>
      <xdr:rowOff>241300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</xdr:row>
          <xdr:rowOff>190500</xdr:rowOff>
        </xdr:from>
        <xdr:to>
          <xdr:col>6</xdr:col>
          <xdr:colOff>790575</xdr:colOff>
          <xdr:row>6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152400</xdr:rowOff>
        </xdr:from>
        <xdr:to>
          <xdr:col>6</xdr:col>
          <xdr:colOff>790575</xdr:colOff>
          <xdr:row>6</xdr:row>
          <xdr:rowOff>152400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19</xdr:row>
          <xdr:rowOff>19050</xdr:rowOff>
        </xdr:from>
        <xdr:to>
          <xdr:col>6</xdr:col>
          <xdr:colOff>838200</xdr:colOff>
          <xdr:row>20</xdr:row>
          <xdr:rowOff>19050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17</xdr:row>
          <xdr:rowOff>9525</xdr:rowOff>
        </xdr:from>
        <xdr:to>
          <xdr:col>6</xdr:col>
          <xdr:colOff>828675</xdr:colOff>
          <xdr:row>18</xdr:row>
          <xdr:rowOff>9525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10</xdr:row>
          <xdr:rowOff>9525</xdr:rowOff>
        </xdr:from>
        <xdr:to>
          <xdr:col>6</xdr:col>
          <xdr:colOff>790575</xdr:colOff>
          <xdr:row>10</xdr:row>
          <xdr:rowOff>180975</xdr:rowOff>
        </xdr:to>
        <xdr:sp macro="" textlink="">
          <xdr:nvSpPr>
            <xdr:cNvPr id="1046" name="Scroll Ba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152400</xdr:rowOff>
        </xdr:from>
        <xdr:to>
          <xdr:col>8</xdr:col>
          <xdr:colOff>809625</xdr:colOff>
          <xdr:row>7</xdr:row>
          <xdr:rowOff>28575</xdr:rowOff>
        </xdr:to>
        <xdr:sp macro="" textlink="">
          <xdr:nvSpPr>
            <xdr:cNvPr id="1048" name="Scroll Ba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6</xdr:row>
          <xdr:rowOff>9525</xdr:rowOff>
        </xdr:from>
        <xdr:to>
          <xdr:col>10</xdr:col>
          <xdr:colOff>790575</xdr:colOff>
          <xdr:row>7</xdr:row>
          <xdr:rowOff>9525</xdr:rowOff>
        </xdr:to>
        <xdr:sp macro="" textlink="">
          <xdr:nvSpPr>
            <xdr:cNvPr id="1050" name="Scroll Bar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25</xdr:col>
      <xdr:colOff>204515</xdr:colOff>
      <xdr:row>0</xdr:row>
      <xdr:rowOff>297602</xdr:rowOff>
    </xdr:from>
    <xdr:to>
      <xdr:col>33</xdr:col>
      <xdr:colOff>506464</xdr:colOff>
      <xdr:row>10</xdr:row>
      <xdr:rowOff>196524</xdr:rowOff>
    </xdr:to>
    <xdr:graphicFrame macro="">
      <xdr:nvGraphicFramePr>
        <xdr:cNvPr id="14" name="Chart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26"/>
    <pageSetUpPr autoPageBreaks="0" fitToPage="1"/>
  </sheetPr>
  <dimension ref="A1:N54"/>
  <sheetViews>
    <sheetView showGridLines="0" tabSelected="1" topLeftCell="B19" zoomScaleNormal="100" zoomScalePageLayoutView="145" workbookViewId="0">
      <selection activeCell="F37" sqref="F37"/>
    </sheetView>
  </sheetViews>
  <sheetFormatPr defaultColWidth="9.140625" defaultRowHeight="12.75" x14ac:dyDescent="0.2"/>
  <cols>
    <col min="1" max="1" width="1.7109375" style="1" customWidth="1"/>
    <col min="2" max="2" width="16.28515625" style="1" customWidth="1"/>
    <col min="3" max="3" width="9.7109375" style="1" customWidth="1"/>
    <col min="4" max="4" width="17.85546875" style="1" customWidth="1"/>
    <col min="5" max="5" width="15" style="1" customWidth="1"/>
    <col min="6" max="6" width="12.7109375" style="19" customWidth="1"/>
    <col min="7" max="7" width="15.42578125" style="10" customWidth="1"/>
    <col min="8" max="8" width="16.28515625" style="19" customWidth="1"/>
    <col min="9" max="14" width="12.7109375" style="1" customWidth="1"/>
    <col min="15" max="16384" width="9.140625" style="1"/>
  </cols>
  <sheetData>
    <row r="1" spans="1:11" ht="61.5" customHeight="1" x14ac:dyDescent="0.65">
      <c r="A1" s="4"/>
      <c r="B1" s="23" t="s">
        <v>5</v>
      </c>
      <c r="C1" s="23"/>
      <c r="D1" s="23"/>
      <c r="E1" s="23"/>
      <c r="F1" s="23"/>
      <c r="G1" s="23"/>
      <c r="H1" s="23"/>
      <c r="I1" s="23"/>
      <c r="J1" s="22"/>
    </row>
    <row r="2" spans="1:11" ht="27.75" x14ac:dyDescent="0.4">
      <c r="A2" s="4"/>
      <c r="B2" s="27" t="s">
        <v>43</v>
      </c>
      <c r="C2" s="27"/>
      <c r="D2" s="2"/>
      <c r="E2" s="2"/>
      <c r="F2" s="2"/>
      <c r="G2" s="16"/>
      <c r="H2" s="9"/>
    </row>
    <row r="3" spans="1:11" s="14" customFormat="1" ht="15.75" x14ac:dyDescent="0.25">
      <c r="A3" s="13"/>
      <c r="B3" s="40" t="s">
        <v>27</v>
      </c>
      <c r="C3" s="40"/>
      <c r="D3" s="15"/>
      <c r="E3" s="15"/>
    </row>
    <row r="4" spans="1:11" ht="16.5" thickBot="1" x14ac:dyDescent="0.3">
      <c r="A4" s="4"/>
      <c r="B4" s="41" t="s">
        <v>51</v>
      </c>
      <c r="C4" s="41"/>
      <c r="D4" s="28"/>
      <c r="E4" s="5"/>
      <c r="F4" s="15"/>
      <c r="G4" s="65" t="s">
        <v>50</v>
      </c>
      <c r="H4" s="67">
        <v>0.1</v>
      </c>
      <c r="I4" s="14"/>
      <c r="J4" s="67">
        <v>0.2</v>
      </c>
      <c r="K4" s="14"/>
    </row>
    <row r="5" spans="1:11" ht="13.5" thickBot="1" x14ac:dyDescent="0.25">
      <c r="A5" s="4"/>
      <c r="B5" s="11"/>
      <c r="C5" s="1" t="s">
        <v>52</v>
      </c>
      <c r="E5" s="3"/>
      <c r="F5" s="60">
        <v>50</v>
      </c>
      <c r="G5" s="59"/>
      <c r="H5" s="66">
        <v>200</v>
      </c>
      <c r="I5" s="63"/>
      <c r="J5" s="68">
        <v>500</v>
      </c>
    </row>
    <row r="6" spans="1:11" x14ac:dyDescent="0.2">
      <c r="A6" s="4"/>
      <c r="B6" s="12"/>
      <c r="C6" s="52" t="s">
        <v>49</v>
      </c>
      <c r="E6" s="4"/>
      <c r="F6" s="61">
        <v>3400</v>
      </c>
      <c r="G6" s="7"/>
      <c r="H6" s="61">
        <f>Sales_price_unitA*(H5/F5)*(1-H4)</f>
        <v>12240</v>
      </c>
      <c r="J6" s="61">
        <f>Sales_price_unitA*(J5/F5)*(1-J4)</f>
        <v>27200</v>
      </c>
    </row>
    <row r="7" spans="1:11" x14ac:dyDescent="0.2">
      <c r="A7" s="4"/>
      <c r="B7" s="12"/>
      <c r="C7" s="12" t="s">
        <v>23</v>
      </c>
      <c r="E7" s="4"/>
      <c r="F7" s="43">
        <v>30</v>
      </c>
      <c r="G7" s="8"/>
      <c r="H7" s="43">
        <v>10</v>
      </c>
      <c r="J7" s="43">
        <v>5</v>
      </c>
    </row>
    <row r="8" spans="1:11" x14ac:dyDescent="0.2">
      <c r="B8" s="34"/>
      <c r="C8" s="12"/>
      <c r="F8" s="64">
        <f>IF(OR(Sales_price_unitA&lt;&gt;0,Sales_volume_unitsA&lt;&gt;0),Sales_price_unitA*Sales_volume_unitsA,0)</f>
        <v>102000</v>
      </c>
      <c r="G8" s="8"/>
      <c r="H8" s="64">
        <f>IF(OR(Sales_price_unitB&lt;&gt;0,Sales_volume_unitsB&lt;&gt;0),Sales_price_unitB*Sales_volume_unitsB,0)</f>
        <v>122400</v>
      </c>
      <c r="J8" s="64">
        <f>IF(OR(Sales_price_unitC&lt;&gt;0,Sales_volume_unitsC&lt;&gt;0),Sales_price_unitC*Sales_volume_unitsC,0)</f>
        <v>136000</v>
      </c>
    </row>
    <row r="9" spans="1:11" x14ac:dyDescent="0.2">
      <c r="B9" s="34"/>
      <c r="C9" s="21" t="s">
        <v>9</v>
      </c>
      <c r="G9" s="62">
        <f>F8+H8+J8</f>
        <v>360400</v>
      </c>
    </row>
    <row r="10" spans="1:11" ht="15.75" customHeight="1" x14ac:dyDescent="0.2">
      <c r="A10" s="4"/>
      <c r="B10" s="11"/>
      <c r="C10" s="21"/>
      <c r="E10" s="4"/>
      <c r="G10" s="19"/>
      <c r="H10" s="1"/>
    </row>
    <row r="11" spans="1:11" ht="15.75" customHeight="1" x14ac:dyDescent="0.2">
      <c r="A11" s="4"/>
      <c r="B11" s="11"/>
      <c r="C11" s="52" t="s">
        <v>46</v>
      </c>
      <c r="E11" s="4"/>
      <c r="F11" s="43">
        <v>500</v>
      </c>
      <c r="G11" s="17"/>
    </row>
    <row r="12" spans="1:11" ht="15.75" customHeight="1" x14ac:dyDescent="0.2">
      <c r="A12" s="4"/>
      <c r="B12" s="11"/>
      <c r="C12" s="57" t="s">
        <v>47</v>
      </c>
      <c r="E12" s="4"/>
      <c r="F12" s="56"/>
      <c r="G12" s="58">
        <f>F11</f>
        <v>500</v>
      </c>
    </row>
    <row r="13" spans="1:11" ht="15.75" customHeight="1" x14ac:dyDescent="0.25">
      <c r="A13" s="4"/>
      <c r="B13" s="42" t="s">
        <v>11</v>
      </c>
      <c r="C13" s="42"/>
      <c r="D13" s="6"/>
      <c r="E13" s="6"/>
      <c r="F13" s="17"/>
      <c r="G13" s="17"/>
    </row>
    <row r="14" spans="1:11" x14ac:dyDescent="0.2">
      <c r="A14" s="4"/>
      <c r="B14" s="11"/>
      <c r="C14" s="34" t="s">
        <v>36</v>
      </c>
      <c r="E14" s="3"/>
      <c r="F14" s="30">
        <v>100</v>
      </c>
      <c r="G14" s="55"/>
    </row>
    <row r="15" spans="1:11" x14ac:dyDescent="0.2">
      <c r="A15" s="4"/>
      <c r="B15" s="11"/>
      <c r="C15" s="52" t="s">
        <v>30</v>
      </c>
      <c r="E15" s="3"/>
      <c r="F15" s="30"/>
      <c r="G15" s="53"/>
    </row>
    <row r="16" spans="1:11" x14ac:dyDescent="0.2">
      <c r="A16" s="4"/>
      <c r="B16" s="11"/>
      <c r="C16" s="52" t="s">
        <v>31</v>
      </c>
      <c r="E16" s="3"/>
      <c r="F16" s="30">
        <v>100</v>
      </c>
      <c r="G16" s="53"/>
    </row>
    <row r="17" spans="1:8" x14ac:dyDescent="0.2">
      <c r="A17" s="4"/>
      <c r="B17" s="11"/>
      <c r="C17" s="52" t="s">
        <v>41</v>
      </c>
      <c r="E17" s="3"/>
      <c r="F17" s="30">
        <v>0</v>
      </c>
      <c r="G17" s="53"/>
    </row>
    <row r="18" spans="1:8" x14ac:dyDescent="0.2">
      <c r="A18" s="4"/>
      <c r="B18" s="11"/>
      <c r="C18" s="52" t="s">
        <v>42</v>
      </c>
      <c r="E18" s="3"/>
      <c r="F18" s="30">
        <v>250</v>
      </c>
      <c r="G18" s="53"/>
    </row>
    <row r="19" spans="1:8" x14ac:dyDescent="0.2">
      <c r="A19" s="4"/>
      <c r="B19" s="11"/>
      <c r="C19" s="52" t="s">
        <v>32</v>
      </c>
      <c r="E19" s="3"/>
      <c r="F19" s="30">
        <v>0</v>
      </c>
      <c r="G19" s="53"/>
    </row>
    <row r="20" spans="1:8" x14ac:dyDescent="0.2">
      <c r="A20" s="4"/>
      <c r="B20" s="11"/>
      <c r="C20" s="52" t="s">
        <v>29</v>
      </c>
      <c r="E20" s="3"/>
      <c r="F20" s="30">
        <v>300</v>
      </c>
      <c r="G20" s="53"/>
    </row>
    <row r="21" spans="1:8" x14ac:dyDescent="0.2">
      <c r="A21" s="4"/>
      <c r="B21" s="11"/>
      <c r="C21" s="11" t="s">
        <v>21</v>
      </c>
      <c r="E21" s="3"/>
      <c r="F21" s="30">
        <v>100</v>
      </c>
      <c r="G21" s="53"/>
    </row>
    <row r="22" spans="1:8" x14ac:dyDescent="0.2">
      <c r="A22" s="4"/>
      <c r="B22" s="11"/>
      <c r="C22" s="33" t="s">
        <v>15</v>
      </c>
      <c r="E22" s="3"/>
      <c r="F22" s="32">
        <f>IF(SUM(Variable_costs_unit),SUM(Variable_costs_unit),0)</f>
        <v>850</v>
      </c>
      <c r="G22" s="54"/>
    </row>
    <row r="23" spans="1:8" ht="13.5" thickBot="1" x14ac:dyDescent="0.25">
      <c r="A23" s="4"/>
      <c r="B23" s="11"/>
      <c r="C23" s="33" t="s">
        <v>22</v>
      </c>
      <c r="E23" s="3"/>
      <c r="F23" s="18"/>
      <c r="G23" s="44">
        <f>IF(Variable_Unit_Cost,Variable_Unit_Cost*(Sales_volume_unitsA+Sales_volume_unitsB+Sales_volume_unitsC),0)</f>
        <v>38250</v>
      </c>
    </row>
    <row r="24" spans="1:8" x14ac:dyDescent="0.2">
      <c r="A24" s="4"/>
      <c r="B24" s="11"/>
      <c r="C24" s="33"/>
      <c r="E24" s="3"/>
      <c r="F24" s="18"/>
      <c r="G24" s="18"/>
      <c r="H24" s="1"/>
    </row>
    <row r="25" spans="1:8" x14ac:dyDescent="0.2">
      <c r="A25" s="4"/>
      <c r="B25" s="11"/>
      <c r="C25" s="33" t="s">
        <v>16</v>
      </c>
      <c r="E25" s="3"/>
      <c r="F25" s="31">
        <f>IF(Sales_price_unitA&gt;0,MAX(0,Sales_price_unitA-Variable_Unit_Cost),0)</f>
        <v>2550</v>
      </c>
      <c r="G25" s="18"/>
      <c r="H25" s="1"/>
    </row>
    <row r="26" spans="1:8" x14ac:dyDescent="0.2">
      <c r="A26" s="4"/>
      <c r="B26" s="11"/>
      <c r="C26" s="33" t="s">
        <v>10</v>
      </c>
      <c r="E26" s="3"/>
      <c r="F26" s="18"/>
      <c r="G26" s="31">
        <f>IF(OR(Total_Sales&lt;&gt;0,Total_variable&lt;&gt;0),Total_Sales-Total_variable,0)</f>
        <v>322150</v>
      </c>
      <c r="H26" s="1"/>
    </row>
    <row r="27" spans="1:8" x14ac:dyDescent="0.2">
      <c r="A27" s="4"/>
      <c r="B27" s="11"/>
      <c r="C27" s="11"/>
      <c r="D27" s="20"/>
      <c r="E27" s="3"/>
      <c r="F27" s="17"/>
      <c r="G27" s="18"/>
      <c r="H27" s="1"/>
    </row>
    <row r="28" spans="1:8" ht="15.75" x14ac:dyDescent="0.25">
      <c r="A28" s="4"/>
      <c r="B28" s="42" t="s">
        <v>24</v>
      </c>
      <c r="C28" s="42"/>
      <c r="D28" s="6"/>
      <c r="E28" s="6"/>
      <c r="F28" s="49"/>
      <c r="G28" s="17"/>
      <c r="H28" s="1"/>
    </row>
    <row r="29" spans="1:8" x14ac:dyDescent="0.2">
      <c r="A29" s="4"/>
      <c r="B29" s="11"/>
      <c r="C29" s="34" t="s">
        <v>33</v>
      </c>
      <c r="E29" s="3"/>
      <c r="F29" s="30">
        <v>60000</v>
      </c>
      <c r="G29" s="1"/>
      <c r="H29" s="1"/>
    </row>
    <row r="30" spans="1:8" x14ac:dyDescent="0.2">
      <c r="A30" s="4"/>
      <c r="B30" s="11"/>
      <c r="C30" s="34" t="s">
        <v>37</v>
      </c>
      <c r="E30" s="3"/>
      <c r="F30" s="30">
        <v>0</v>
      </c>
      <c r="G30" s="1"/>
      <c r="H30" s="1"/>
    </row>
    <row r="31" spans="1:8" x14ac:dyDescent="0.2">
      <c r="A31" s="4"/>
      <c r="B31" s="11"/>
      <c r="C31" s="34" t="s">
        <v>35</v>
      </c>
      <c r="E31" s="3"/>
      <c r="F31" s="30">
        <v>30000</v>
      </c>
      <c r="G31" s="1"/>
      <c r="H31" s="1"/>
    </row>
    <row r="32" spans="1:8" x14ac:dyDescent="0.2">
      <c r="A32" s="4"/>
      <c r="B32" s="11"/>
      <c r="C32" s="34" t="s">
        <v>34</v>
      </c>
      <c r="E32" s="3"/>
      <c r="F32" s="30">
        <v>2400</v>
      </c>
      <c r="G32" s="1"/>
      <c r="H32" s="1"/>
    </row>
    <row r="33" spans="1:14" x14ac:dyDescent="0.2">
      <c r="A33" s="4"/>
      <c r="B33" s="11"/>
      <c r="C33" s="34" t="s">
        <v>38</v>
      </c>
      <c r="E33" s="3"/>
      <c r="F33" s="30">
        <v>10000</v>
      </c>
      <c r="G33" s="1"/>
      <c r="H33" s="1"/>
    </row>
    <row r="34" spans="1:14" x14ac:dyDescent="0.2">
      <c r="A34" s="4"/>
      <c r="B34" s="11"/>
      <c r="C34" s="52" t="s">
        <v>39</v>
      </c>
      <c r="E34" s="3"/>
      <c r="F34" s="30">
        <v>5000</v>
      </c>
      <c r="G34" s="1"/>
      <c r="H34" s="1"/>
    </row>
    <row r="35" spans="1:14" x14ac:dyDescent="0.2">
      <c r="A35" s="4"/>
      <c r="B35" s="11"/>
      <c r="C35" s="11" t="s">
        <v>6</v>
      </c>
      <c r="E35" s="3"/>
      <c r="F35" s="30"/>
      <c r="G35" s="1"/>
      <c r="H35" s="1"/>
    </row>
    <row r="36" spans="1:14" x14ac:dyDescent="0.2">
      <c r="A36" s="4"/>
      <c r="B36" s="11"/>
      <c r="C36" s="52" t="s">
        <v>28</v>
      </c>
      <c r="E36" s="3"/>
      <c r="F36" s="45">
        <v>20000</v>
      </c>
      <c r="G36" s="1"/>
      <c r="H36" s="1"/>
    </row>
    <row r="37" spans="1:14" x14ac:dyDescent="0.2">
      <c r="A37" s="4"/>
      <c r="B37" s="11"/>
      <c r="C37" s="52" t="s">
        <v>40</v>
      </c>
      <c r="E37" s="3"/>
      <c r="F37" s="48">
        <v>15000</v>
      </c>
      <c r="G37" s="1"/>
      <c r="H37" s="1"/>
    </row>
    <row r="38" spans="1:14" x14ac:dyDescent="0.2">
      <c r="A38" s="4"/>
      <c r="B38" s="11"/>
      <c r="C38" s="11" t="s">
        <v>7</v>
      </c>
      <c r="E38" s="3"/>
      <c r="F38" s="29">
        <v>2500</v>
      </c>
      <c r="G38" s="1"/>
      <c r="H38" s="1"/>
    </row>
    <row r="39" spans="1:14" ht="13.5" thickBot="1" x14ac:dyDescent="0.25">
      <c r="A39" s="4"/>
      <c r="B39" s="11"/>
      <c r="C39" s="33" t="s">
        <v>25</v>
      </c>
      <c r="E39" s="3"/>
      <c r="F39" s="17"/>
      <c r="G39" s="46">
        <f>IF(SUM(Fixed_costs)&lt;&gt;0,SUM(Fixed_costs),0)</f>
        <v>144900</v>
      </c>
      <c r="H39" s="1"/>
    </row>
    <row r="40" spans="1:14" ht="13.5" thickBot="1" x14ac:dyDescent="0.25">
      <c r="B40" s="34"/>
      <c r="C40" s="34"/>
      <c r="F40" s="17"/>
      <c r="G40" s="19"/>
      <c r="H40" s="1"/>
    </row>
    <row r="41" spans="1:14" ht="13.5" thickBot="1" x14ac:dyDescent="0.25">
      <c r="A41" s="4"/>
      <c r="B41" s="11"/>
      <c r="C41" s="33" t="s">
        <v>44</v>
      </c>
      <c r="E41" s="3"/>
      <c r="G41" s="47">
        <f>IF(OR(Gross_margin&lt;&gt;0,Total_fixed&lt;&gt;0),Gross_margin-Total_fixed,0)</f>
        <v>177250</v>
      </c>
      <c r="H41" s="1"/>
    </row>
    <row r="42" spans="1:14" x14ac:dyDescent="0.2">
      <c r="B42" s="34"/>
      <c r="C42" s="34"/>
      <c r="G42" s="19"/>
    </row>
    <row r="43" spans="1:14" ht="33.75" x14ac:dyDescent="0.65">
      <c r="B43" s="34"/>
      <c r="C43" s="34"/>
      <c r="F43" s="23"/>
    </row>
    <row r="44" spans="1:14" ht="33.75" x14ac:dyDescent="0.65">
      <c r="B44" s="23" t="s">
        <v>14</v>
      </c>
      <c r="C44" s="23"/>
      <c r="D44" s="23"/>
      <c r="E44" s="23"/>
      <c r="G44" s="1"/>
      <c r="H44" s="1"/>
    </row>
    <row r="45" spans="1:14" ht="20.25" x14ac:dyDescent="0.3">
      <c r="B45" s="39" t="s">
        <v>13</v>
      </c>
      <c r="C45" s="39"/>
      <c r="D45" s="25"/>
      <c r="E45" s="25"/>
      <c r="F45" s="38">
        <f>IF(AND(Unit_contrib_margin&gt;0,Total_fixed&gt;0),Total_fixed/Unit_contrib_margin,"")</f>
        <v>56.823529411764703</v>
      </c>
      <c r="G45" s="24"/>
      <c r="H45" s="25"/>
      <c r="I45" s="25"/>
      <c r="J45" s="26"/>
    </row>
    <row r="46" spans="1:14" ht="20.25" x14ac:dyDescent="0.3">
      <c r="B46" s="39" t="s">
        <v>20</v>
      </c>
      <c r="C46" s="39"/>
      <c r="D46" s="25"/>
      <c r="E46" s="25"/>
      <c r="F46" s="26"/>
      <c r="G46" s="24"/>
      <c r="H46" s="25"/>
      <c r="I46" s="25"/>
      <c r="J46" s="26"/>
    </row>
    <row r="47" spans="1:14" x14ac:dyDescent="0.2">
      <c r="B47" s="34" t="s">
        <v>45</v>
      </c>
      <c r="C47" s="34"/>
      <c r="D47" s="35">
        <f>IF(Sales_volume_unitsA+Sales_volume_unitsB+Sales_volume_unitsC,(Sales_volume_unitsA+Sales_volume_unitsB+Sales_volume_unitsC)*0,0)</f>
        <v>0</v>
      </c>
      <c r="E47" s="35">
        <f>IF(Sales_volume_unitsA+Sales_volume_unitsB+Sales_volume_unitsC,(Sales_volume_unitsA+Sales_volume_unitsB+Sales_volume_unitsC)*0.1,0)</f>
        <v>4.5</v>
      </c>
      <c r="F47" s="35">
        <f>IF(Sales_volume_unitsA+Sales_volume_unitsB+Sales_volume_unitsC,(Sales_volume_unitsA+Sales_volume_unitsB+Sales_volume_unitsC)*0.2,0)</f>
        <v>9</v>
      </c>
      <c r="G47" s="35">
        <f>IF(Sales_volume_unitsA+Sales_volume_unitsB+Sales_volume_unitsC,(Sales_volume_unitsA+Sales_volume_unitsB+Sales_volume_unitsC)*0.3,0)</f>
        <v>13.5</v>
      </c>
      <c r="H47" s="35">
        <f>IF(Sales_volume_unitsA+Sales_volume_unitsB+Sales_volume_unitsC,(Sales_volume_unitsA+Sales_volume_unitsB+Sales_volume_unitsC)*0.4,0)</f>
        <v>18</v>
      </c>
      <c r="I47" s="35">
        <f>IF(Sales_volume_unitsA+Sales_volume_unitsB+Sales_volume_unitsC,(Sales_volume_unitsA+Sales_volume_unitsB+Sales_volume_unitsC)*0.5,0)</f>
        <v>22.5</v>
      </c>
      <c r="J47" s="35">
        <f>IF(Sales_volume_unitsA+Sales_volume_unitsB+Sales_volume_unitsC,(Sales_volume_unitsA+Sales_volume_unitsB+Sales_volume_unitsC)*0.6,0)</f>
        <v>27</v>
      </c>
      <c r="K47" s="35">
        <f>IF(Sales_volume_unitsA+Sales_volume_unitsB+Sales_volume_unitsC,(Sales_volume_unitsA+Sales_volume_unitsB+Sales_volume_unitsC)*0.7,0)</f>
        <v>31.499999999999996</v>
      </c>
      <c r="L47" s="35">
        <f>IF(Sales_volume_unitsA+Sales_volume_unitsB+Sales_volume_unitsC,(Sales_volume_unitsA+Sales_volume_unitsB+Sales_volume_unitsC)*0.8,0)</f>
        <v>36</v>
      </c>
      <c r="M47" s="35">
        <f>IF(Sales_volume_unitsA+Sales_volume_unitsB+Sales_volume_unitsC,(Sales_volume_unitsA+Sales_volume_unitsB+Sales_volume_unitsC)*0.9,0)</f>
        <v>40.5</v>
      </c>
      <c r="N47" s="35">
        <f>IF(Sales_volume_unitsA+Sales_volume_unitsB+Sales_volume_unitsC,(Sales_volume_unitsA+Sales_volume_unitsB+Sales_volume_unitsC)*1,0)</f>
        <v>45</v>
      </c>
    </row>
    <row r="48" spans="1:14" x14ac:dyDescent="0.2">
      <c r="B48" s="34" t="s">
        <v>8</v>
      </c>
      <c r="C48" s="34"/>
      <c r="D48" s="36">
        <f>Sales_price_unitA+Sales_price_unitB+Sales_price_unitC</f>
        <v>42840</v>
      </c>
      <c r="E48" s="36">
        <f t="shared" ref="D48:N48" si="0">Sales_price_unitA</f>
        <v>3400</v>
      </c>
      <c r="F48" s="36">
        <f t="shared" si="0"/>
        <v>3400</v>
      </c>
      <c r="G48" s="36">
        <f t="shared" si="0"/>
        <v>3400</v>
      </c>
      <c r="H48" s="36">
        <f t="shared" si="0"/>
        <v>3400</v>
      </c>
      <c r="I48" s="36">
        <f t="shared" si="0"/>
        <v>3400</v>
      </c>
      <c r="J48" s="36">
        <f t="shared" si="0"/>
        <v>3400</v>
      </c>
      <c r="K48" s="36">
        <f t="shared" si="0"/>
        <v>3400</v>
      </c>
      <c r="L48" s="36">
        <f t="shared" si="0"/>
        <v>3400</v>
      </c>
      <c r="M48" s="36">
        <f t="shared" si="0"/>
        <v>3400</v>
      </c>
      <c r="N48" s="36">
        <f t="shared" si="0"/>
        <v>3400</v>
      </c>
    </row>
    <row r="49" spans="2:14" x14ac:dyDescent="0.2">
      <c r="B49" s="34" t="s">
        <v>48</v>
      </c>
      <c r="C49" s="34"/>
      <c r="D49" s="36">
        <f t="shared" ref="D49:N49" si="1">Total_Subscription*D47</f>
        <v>0</v>
      </c>
      <c r="E49" s="36">
        <f t="shared" si="1"/>
        <v>2250</v>
      </c>
      <c r="F49" s="36">
        <f t="shared" si="1"/>
        <v>4500</v>
      </c>
      <c r="G49" s="36">
        <f t="shared" si="1"/>
        <v>6750</v>
      </c>
      <c r="H49" s="36">
        <f t="shared" si="1"/>
        <v>9000</v>
      </c>
      <c r="I49" s="36">
        <f t="shared" si="1"/>
        <v>11250</v>
      </c>
      <c r="J49" s="36">
        <f t="shared" si="1"/>
        <v>13500</v>
      </c>
      <c r="K49" s="36">
        <f t="shared" si="1"/>
        <v>15749.999999999998</v>
      </c>
      <c r="L49" s="36">
        <f t="shared" si="1"/>
        <v>18000</v>
      </c>
      <c r="M49" s="36">
        <f t="shared" si="1"/>
        <v>20250</v>
      </c>
      <c r="N49" s="36">
        <f t="shared" si="1"/>
        <v>22500</v>
      </c>
    </row>
    <row r="50" spans="2:14" x14ac:dyDescent="0.2">
      <c r="B50" s="34" t="s">
        <v>26</v>
      </c>
      <c r="C50" s="34"/>
      <c r="D50" s="36">
        <f t="shared" ref="D50:N50" si="2">Total_fixed</f>
        <v>144900</v>
      </c>
      <c r="E50" s="36">
        <f t="shared" si="2"/>
        <v>144900</v>
      </c>
      <c r="F50" s="36">
        <f t="shared" si="2"/>
        <v>144900</v>
      </c>
      <c r="G50" s="36">
        <f t="shared" si="2"/>
        <v>144900</v>
      </c>
      <c r="H50" s="36">
        <f t="shared" si="2"/>
        <v>144900</v>
      </c>
      <c r="I50" s="36">
        <f t="shared" si="2"/>
        <v>144900</v>
      </c>
      <c r="J50" s="36">
        <f t="shared" si="2"/>
        <v>144900</v>
      </c>
      <c r="K50" s="36">
        <f t="shared" si="2"/>
        <v>144900</v>
      </c>
      <c r="L50" s="36">
        <f t="shared" si="2"/>
        <v>144900</v>
      </c>
      <c r="M50" s="36">
        <f t="shared" si="2"/>
        <v>144900</v>
      </c>
      <c r="N50" s="36">
        <f t="shared" si="2"/>
        <v>144900</v>
      </c>
    </row>
    <row r="51" spans="2:14" x14ac:dyDescent="0.2">
      <c r="B51" s="37" t="s">
        <v>12</v>
      </c>
      <c r="C51" s="37"/>
      <c r="D51" s="36">
        <f t="shared" ref="D51:N51" si="3">Variable_Unit_Cost*D47</f>
        <v>0</v>
      </c>
      <c r="E51" s="36">
        <f t="shared" si="3"/>
        <v>3825</v>
      </c>
      <c r="F51" s="36">
        <f t="shared" si="3"/>
        <v>7650</v>
      </c>
      <c r="G51" s="36">
        <f t="shared" si="3"/>
        <v>11475</v>
      </c>
      <c r="H51" s="36">
        <f t="shared" si="3"/>
        <v>15300</v>
      </c>
      <c r="I51" s="36">
        <f t="shared" si="3"/>
        <v>19125</v>
      </c>
      <c r="J51" s="36">
        <f t="shared" si="3"/>
        <v>22950</v>
      </c>
      <c r="K51" s="36">
        <f t="shared" si="3"/>
        <v>26774.999999999996</v>
      </c>
      <c r="L51" s="36">
        <f t="shared" si="3"/>
        <v>30600</v>
      </c>
      <c r="M51" s="36">
        <f t="shared" si="3"/>
        <v>34425</v>
      </c>
      <c r="N51" s="36">
        <f t="shared" si="3"/>
        <v>38250</v>
      </c>
    </row>
    <row r="52" spans="2:14" x14ac:dyDescent="0.2">
      <c r="B52" s="37" t="s">
        <v>18</v>
      </c>
      <c r="C52" s="37"/>
      <c r="D52" s="36">
        <f t="shared" ref="D52:N52" si="4">SUM(D50:D51)</f>
        <v>144900</v>
      </c>
      <c r="E52" s="36">
        <f t="shared" si="4"/>
        <v>148725</v>
      </c>
      <c r="F52" s="36">
        <f t="shared" si="4"/>
        <v>152550</v>
      </c>
      <c r="G52" s="36">
        <f t="shared" si="4"/>
        <v>156375</v>
      </c>
      <c r="H52" s="36">
        <f t="shared" si="4"/>
        <v>160200</v>
      </c>
      <c r="I52" s="36">
        <f t="shared" si="4"/>
        <v>164025</v>
      </c>
      <c r="J52" s="36">
        <f t="shared" si="4"/>
        <v>167850</v>
      </c>
      <c r="K52" s="36">
        <f t="shared" si="4"/>
        <v>171675</v>
      </c>
      <c r="L52" s="36">
        <f t="shared" si="4"/>
        <v>175500</v>
      </c>
      <c r="M52" s="36">
        <f t="shared" si="4"/>
        <v>179325</v>
      </c>
      <c r="N52" s="36">
        <f t="shared" si="4"/>
        <v>183150</v>
      </c>
    </row>
    <row r="53" spans="2:14" ht="13.5" thickBot="1" x14ac:dyDescent="0.25">
      <c r="B53" s="34" t="s">
        <v>17</v>
      </c>
      <c r="C53" s="34"/>
      <c r="D53" s="50">
        <f>(D48*D47)+D49</f>
        <v>0</v>
      </c>
      <c r="E53" s="50">
        <f t="shared" ref="E53:N53" si="5">(E48*E47)+E49</f>
        <v>17550</v>
      </c>
      <c r="F53" s="50">
        <f t="shared" si="5"/>
        <v>35100</v>
      </c>
      <c r="G53" s="50">
        <f t="shared" si="5"/>
        <v>52650</v>
      </c>
      <c r="H53" s="50">
        <f t="shared" si="5"/>
        <v>70200</v>
      </c>
      <c r="I53" s="50">
        <f t="shared" si="5"/>
        <v>87750</v>
      </c>
      <c r="J53" s="50">
        <f t="shared" si="5"/>
        <v>105300</v>
      </c>
      <c r="K53" s="50">
        <f t="shared" si="5"/>
        <v>122849.99999999999</v>
      </c>
      <c r="L53" s="50">
        <f t="shared" si="5"/>
        <v>140400</v>
      </c>
      <c r="M53" s="50">
        <f t="shared" si="5"/>
        <v>157950</v>
      </c>
      <c r="N53" s="50">
        <f t="shared" si="5"/>
        <v>175500</v>
      </c>
    </row>
    <row r="54" spans="2:14" x14ac:dyDescent="0.2">
      <c r="B54" s="37" t="s">
        <v>19</v>
      </c>
      <c r="C54" s="37"/>
      <c r="D54" s="51">
        <f>D53-D52</f>
        <v>-144900</v>
      </c>
      <c r="E54" s="51">
        <f t="shared" ref="E54:N54" si="6">E53-E52</f>
        <v>-131175</v>
      </c>
      <c r="F54" s="51">
        <f t="shared" si="6"/>
        <v>-117450</v>
      </c>
      <c r="G54" s="51">
        <f t="shared" si="6"/>
        <v>-103725</v>
      </c>
      <c r="H54" s="51">
        <f t="shared" si="6"/>
        <v>-90000</v>
      </c>
      <c r="I54" s="51">
        <f t="shared" si="6"/>
        <v>-76275</v>
      </c>
      <c r="J54" s="51">
        <f t="shared" si="6"/>
        <v>-62550</v>
      </c>
      <c r="K54" s="51">
        <f t="shared" si="6"/>
        <v>-48825.000000000015</v>
      </c>
      <c r="L54" s="51">
        <f t="shared" si="6"/>
        <v>-35100</v>
      </c>
      <c r="M54" s="51">
        <f t="shared" si="6"/>
        <v>-21375</v>
      </c>
      <c r="N54" s="51">
        <f t="shared" si="6"/>
        <v>-7650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6" val="4" numFmtId="37"/>
      <inputCells r="F7" val="600" numFmtId="37"/>
    </scenario>
    <scenario name="Higher price" count="2" user="Sally Herigstad" comment="Created by SH on 2/18/2004">
      <inputCells r="F6" val="6" numFmtId="37"/>
      <inputCells r="F7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6 F27:F28 F57:F65549 G2 G40 F39 G42 F41 D51:N51 H58:H65549 J45:J46 G28 F11:F13 G11:G21" xr:uid="{00000000-0002-0000-0000-000000000000}">
      <formula1>-10000000</formula1>
      <formula2>10000000</formula2>
    </dataValidation>
    <dataValidation allowBlank="1" showInputMessage="1" showErrorMessage="1" error="Please enter an amount between -10,000,000 and 10,000,000." sqref="F45 G23:G27 G9 H2 F22:F26 G58:G65549 G39 F40 G41" xr:uid="{00000000-0002-0000-0000-000001000000}"/>
    <dataValidation type="decimal" allowBlank="1" showInputMessage="1" showErrorMessage="1" error="Please enter an amount between (10,000,000) and 10,000,000." sqref="F14:F21 F29:F38 F11:F12" xr:uid="{00000000-0002-0000-0000-000002000000}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6</xdr:col>
                    <xdr:colOff>19050</xdr:colOff>
                    <xdr:row>4</xdr:row>
                    <xdr:rowOff>190500</xdr:rowOff>
                  </from>
                  <to>
                    <xdr:col>6</xdr:col>
                    <xdr:colOff>790575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6</xdr:col>
                    <xdr:colOff>19050</xdr:colOff>
                    <xdr:row>5</xdr:row>
                    <xdr:rowOff>152400</xdr:rowOff>
                  </from>
                  <to>
                    <xdr:col>6</xdr:col>
                    <xdr:colOff>790575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croll Bar 8">
              <controlPr defaultSize="0" autoPict="0">
                <anchor moveWithCells="1">
                  <from>
                    <xdr:col>6</xdr:col>
                    <xdr:colOff>28575</xdr:colOff>
                    <xdr:row>19</xdr:row>
                    <xdr:rowOff>19050</xdr:rowOff>
                  </from>
                  <to>
                    <xdr:col>6</xdr:col>
                    <xdr:colOff>838200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croll Bar 9">
              <controlPr defaultSize="0" autoPict="0">
                <anchor moveWithCells="1">
                  <from>
                    <xdr:col>6</xdr:col>
                    <xdr:colOff>19050</xdr:colOff>
                    <xdr:row>17</xdr:row>
                    <xdr:rowOff>9525</xdr:rowOff>
                  </from>
                  <to>
                    <xdr:col>6</xdr:col>
                    <xdr:colOff>828675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8" name="Scroll Bar 22">
              <controlPr defaultSize="0" autoPict="0">
                <anchor moveWithCells="1">
                  <from>
                    <xdr:col>6</xdr:col>
                    <xdr:colOff>19050</xdr:colOff>
                    <xdr:row>10</xdr:row>
                    <xdr:rowOff>9525</xdr:rowOff>
                  </from>
                  <to>
                    <xdr:col>6</xdr:col>
                    <xdr:colOff>790575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9" name="Scroll Bar 24">
              <controlPr defaultSize="0" autoPict="0">
                <anchor moveWithCells="1">
                  <from>
                    <xdr:col>8</xdr:col>
                    <xdr:colOff>28575</xdr:colOff>
                    <xdr:row>5</xdr:row>
                    <xdr:rowOff>152400</xdr:rowOff>
                  </from>
                  <to>
                    <xdr:col>8</xdr:col>
                    <xdr:colOff>809625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Scroll Bar 26">
              <controlPr defaultSize="0" autoPict="0">
                <anchor moveWithCells="1">
                  <from>
                    <xdr:col>10</xdr:col>
                    <xdr:colOff>19050</xdr:colOff>
                    <xdr:row>6</xdr:row>
                    <xdr:rowOff>9525</xdr:rowOff>
                  </from>
                  <to>
                    <xdr:col>10</xdr:col>
                    <xdr:colOff>790575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showRowColHeaders="0" workbookViewId="0"/>
  </sheetViews>
  <sheetFormatPr defaultColWidth="8.85546875"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Breakeven Analysis Data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Sales_price_unitA</vt:lpstr>
      <vt:lpstr>Sales_price_unitB</vt:lpstr>
      <vt:lpstr>Sales_price_unitC</vt:lpstr>
      <vt:lpstr>Sales_volume_unitsA</vt:lpstr>
      <vt:lpstr>Sales_volume_unitsB</vt:lpstr>
      <vt:lpstr>Sales_volume_unitsC</vt:lpstr>
      <vt:lpstr>TemplatePrintArea</vt:lpstr>
      <vt:lpstr>Total_fixed</vt:lpstr>
      <vt:lpstr>Total_Sales</vt:lpstr>
      <vt:lpstr>Total_Subscription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Tuur</dc:creator>
  <cp:keywords/>
  <dc:description/>
  <cp:lastModifiedBy>Tuur</cp:lastModifiedBy>
  <cp:lastPrinted>2004-02-26T17:05:16Z</cp:lastPrinted>
  <dcterms:created xsi:type="dcterms:W3CDTF">1997-03-01T10:49:21Z</dcterms:created>
  <dcterms:modified xsi:type="dcterms:W3CDTF">2017-12-22T00:01:21Z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