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uur\SCHOOL\3de_jaar\AP Valley\onTime\Ontime\Administratie\Financiele analyse\"/>
    </mc:Choice>
  </mc:AlternateContent>
  <bookViews>
    <workbookView minimized="1" xWindow="0" yWindow="465" windowWidth="28800" windowHeight="16095" tabRatio="646" xr2:uid="{00000000-000D-0000-FFFF-FFFF00000000}"/>
  </bookViews>
  <sheets>
    <sheet name="Breakeven Analysis Data" sheetId="2" r:id="rId1"/>
    <sheet name="Breakeven Analysis Chart" sheetId="5" r:id="rId2"/>
    <sheet name="Hosting Cost" sheetId="6" r:id="rId3"/>
    <sheet name="Variables" sheetId="3" state="veryHidden" r:id="rId4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Data'!$F$12:$F$19</definedName>
    <definedName name="DATA_07" hidden="1">'Breakeven Analysis Data'!#REF!</definedName>
    <definedName name="DATA_08" hidden="1">'Breakeven Analysis Data'!$H$5</definedName>
    <definedName name="Fixed_costs">'Breakeven Analysis Data'!$F$27:$F$36</definedName>
    <definedName name="Gross_margin">'Breakeven Analysis Data'!$G$24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Data'!$G$39</definedName>
    <definedName name="Sales_price_unitA">'Breakeven Analysis Data'!$F$6</definedName>
    <definedName name="Sales_price_unitB">'Breakeven Analysis Data'!$H$6</definedName>
    <definedName name="Sales_price_unitC">'Breakeven Analysis Data'!$J$6</definedName>
    <definedName name="Sales_volume_unitsA">'Breakeven Analysis Data'!$F$7</definedName>
    <definedName name="Sales_volume_unitsB">'Breakeven Analysis Data'!$H$7</definedName>
    <definedName name="Sales_volume_unitsC">'Breakeven Analysis Data'!$J$7</definedName>
    <definedName name="TemplatePrintArea">'Breakeven Analysis Data'!$B$1:$G$5</definedName>
    <definedName name="Total_fixed">'Breakeven Analysis Data'!$G$37</definedName>
    <definedName name="Total_Sales">'Breakeven Analysis Data'!$G$9</definedName>
    <definedName name="Total_Subscription">'Breakeven Analysis Data'!#REF!</definedName>
    <definedName name="Total_variable">'Breakeven Analysis Data'!$G$21</definedName>
    <definedName name="Unit_contrib_margin">'Breakeven Analysis Data'!$F$23</definedName>
    <definedName name="Variable_cost_unit">'Breakeven Analysis Data'!$F$20</definedName>
    <definedName name="Variable_costs_unit">'Breakeven Analysis Data'!$F$12:$F$19</definedName>
    <definedName name="Variable_Unit_Cost">'Breakeven Analysis Data'!$F$20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9" i="6" l="1"/>
  <c r="C12" i="6" s="1"/>
  <c r="B9" i="6"/>
  <c r="B12" i="6" s="1"/>
  <c r="M49" i="2"/>
  <c r="L49" i="2"/>
  <c r="K49" i="2"/>
  <c r="J49" i="2"/>
  <c r="I49" i="2"/>
  <c r="H49" i="2"/>
  <c r="G49" i="2"/>
  <c r="F49" i="2"/>
  <c r="E49" i="2"/>
  <c r="D49" i="2"/>
  <c r="M47" i="2"/>
  <c r="L47" i="2"/>
  <c r="K47" i="2"/>
  <c r="J47" i="2"/>
  <c r="I47" i="2"/>
  <c r="H47" i="2"/>
  <c r="G47" i="2"/>
  <c r="F47" i="2"/>
  <c r="E47" i="2"/>
  <c r="D47" i="2"/>
  <c r="M45" i="2"/>
  <c r="L45" i="2"/>
  <c r="K45" i="2"/>
  <c r="J45" i="2"/>
  <c r="I45" i="2"/>
  <c r="H45" i="2"/>
  <c r="G45" i="2"/>
  <c r="F45" i="2"/>
  <c r="E45" i="2"/>
  <c r="D45" i="2"/>
  <c r="D46" i="2" l="1"/>
  <c r="E46" i="2"/>
  <c r="F46" i="2"/>
  <c r="G46" i="2"/>
  <c r="H46" i="2"/>
  <c r="I46" i="2"/>
  <c r="J46" i="2"/>
  <c r="K46" i="2"/>
  <c r="L46" i="2"/>
  <c r="M46" i="2"/>
  <c r="J6" i="2" l="1"/>
  <c r="H6" i="2"/>
  <c r="F8" i="2"/>
  <c r="J8" i="2" l="1"/>
  <c r="J50" i="2"/>
  <c r="K50" i="2"/>
  <c r="E50" i="2"/>
  <c r="M50" i="2"/>
  <c r="F50" i="2"/>
  <c r="G50" i="2"/>
  <c r="D50" i="2"/>
  <c r="L50" i="2"/>
  <c r="H50" i="2"/>
  <c r="I50" i="2"/>
  <c r="G48" i="2"/>
  <c r="D48" i="2"/>
  <c r="J48" i="2"/>
  <c r="F48" i="2"/>
  <c r="K48" i="2"/>
  <c r="K54" i="2" s="1"/>
  <c r="H48" i="2"/>
  <c r="H54" i="2" s="1"/>
  <c r="L48" i="2"/>
  <c r="E48" i="2"/>
  <c r="M48" i="2"/>
  <c r="M54" i="2" s="1"/>
  <c r="I48" i="2"/>
  <c r="I54" i="2" s="1"/>
  <c r="H8" i="2"/>
  <c r="F20" i="2"/>
  <c r="G37" i="2"/>
  <c r="G9" i="2" l="1"/>
  <c r="J54" i="2"/>
  <c r="D54" i="2"/>
  <c r="L54" i="2"/>
  <c r="E54" i="2"/>
  <c r="F54" i="2"/>
  <c r="G54" i="2"/>
  <c r="G51" i="2"/>
  <c r="G21" i="2"/>
  <c r="G24" i="2" s="1"/>
  <c r="G39" i="2" s="1"/>
  <c r="H52" i="2"/>
  <c r="K52" i="2"/>
  <c r="M51" i="2"/>
  <c r="L51" i="2"/>
  <c r="E52" i="2"/>
  <c r="K51" i="2"/>
  <c r="F51" i="2"/>
  <c r="E51" i="2"/>
  <c r="J51" i="2"/>
  <c r="L52" i="2"/>
  <c r="J52" i="2"/>
  <c r="G52" i="2"/>
  <c r="M52" i="2"/>
  <c r="D52" i="2"/>
  <c r="F52" i="2"/>
  <c r="F23" i="2"/>
  <c r="F43" i="2" s="1"/>
  <c r="H51" i="2"/>
  <c r="I52" i="2"/>
  <c r="I51" i="2"/>
  <c r="D51" i="2"/>
  <c r="D53" i="2" l="1"/>
  <c r="D55" i="2" s="1"/>
  <c r="M53" i="2"/>
  <c r="M55" i="2" s="1"/>
  <c r="G53" i="2"/>
  <c r="G55" i="2" s="1"/>
  <c r="L53" i="2"/>
  <c r="L55" i="2" s="1"/>
  <c r="F53" i="2"/>
  <c r="F55" i="2" s="1"/>
  <c r="E53" i="2"/>
  <c r="H53" i="2"/>
  <c r="H55" i="2" s="1"/>
  <c r="K53" i="2"/>
  <c r="K55" i="2" s="1"/>
  <c r="J53" i="2"/>
  <c r="J55" i="2" s="1"/>
  <c r="I53" i="2"/>
  <c r="I55" i="2" s="1"/>
  <c r="E5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6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H6" authorId="0" shapeId="0" xr:uid="{7D0A91FE-B1FC-4772-B671-83EC5EA0EC0D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J6" authorId="0" shapeId="0" xr:uid="{C306B6D9-DB5D-41DC-8381-E112C47706A1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7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H7" authorId="0" shapeId="0" xr:uid="{831FB1F6-E4B8-4DC3-9B71-8B472336E9DB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J7" authorId="0" shapeId="0" xr:uid="{30555F1F-FBCD-421F-812F-AD65AB932B8F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2" authorId="0" shapeId="0" xr:uid="{5CF3165E-FCBD-453E-AF2A-EA2B9BFC17C7}">
      <text>
        <r>
          <rPr>
            <sz val="9"/>
            <color indexed="81"/>
            <rFont val="Tahoma"/>
            <family val="2"/>
          </rPr>
          <t>Kost van 1 jaar servers te draaien
Zie sheet "Hosting cost"
Lichte overschatting.</t>
        </r>
      </text>
    </comment>
    <comment ref="F14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5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6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Kosten van helpdesk.
NIET aangerekend aan de klant</t>
        </r>
      </text>
    </comment>
    <comment ref="F18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8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29" authorId="0" shapeId="0" xr:uid="{F6D60EF9-0745-4CB6-8B69-14B527E69522}">
      <text>
        <r>
          <rPr>
            <sz val="9"/>
            <color indexed="81"/>
            <rFont val="Tahoma"/>
            <family val="2"/>
          </rPr>
          <t>infrastructuur, (computers werknemers, ISP, ...)</t>
        </r>
      </text>
    </comment>
    <comment ref="F30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1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4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5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<sst xmlns="http://schemas.openxmlformats.org/spreadsheetml/2006/main" count="67" uniqueCount="67">
  <si>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</si>
  <si>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</si>
  <si>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</si>
  <si>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</si>
  <si>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</si>
  <si>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</si>
  <si>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</si>
  <si>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</si>
  <si>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</si>
  <si>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</si>
  <si>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</si>
  <si>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</si>
  <si>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</si>
  <si>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</si>
  <si>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</si>
  <si>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</si>
  <si>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</si>
  <si>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</si>
  <si>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</si>
  <si>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</si>
  <si>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</si>
  <si>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</si>
  <si>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</si>
  <si>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</si>
  <si>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</si>
  <si>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</si>
  <si>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</si>
  <si>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</si>
  <si>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</si>
  <si>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</si>
  <si>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</si>
  <si>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</si>
  <si>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</si>
  <si>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</si>
  <si>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</si>
  <si>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</si>
  <si>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</si>
  <si>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</si>
  <si>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</si>
  <si>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</si>
  <si>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</si>
  <si>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</si>
  <si>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</si>
  <si>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</si>
  <si>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price</t>
  </si>
  <si>
    <t>Discount:</t>
  </si>
  <si>
    <t>Sales (1 year per period)</t>
  </si>
  <si>
    <t>Amount of users</t>
  </si>
  <si>
    <t>Sales volume 50</t>
  </si>
  <si>
    <t>Sales price per unit 50</t>
  </si>
  <si>
    <t>Sales volume 200</t>
  </si>
  <si>
    <t>Sales price per unit 200</t>
  </si>
  <si>
    <t>Sales volume 500</t>
  </si>
  <si>
    <t>Sales price per unit 500</t>
  </si>
  <si>
    <t>Hosting Cost</t>
  </si>
  <si>
    <t>Instance:</t>
  </si>
  <si>
    <t>t2.small</t>
  </si>
  <si>
    <t>t2.micro</t>
  </si>
  <si>
    <t>Price per hour ($):</t>
  </si>
  <si>
    <t>Working hours:</t>
  </si>
  <si>
    <t>Working days:</t>
  </si>
  <si>
    <t>Total ($)</t>
  </si>
  <si>
    <t>Working weeks:</t>
  </si>
  <si>
    <t>Total (Euro)</t>
  </si>
  <si>
    <t>Dollar to Euro</t>
  </si>
  <si>
    <t xml:space="preserve">Reserved instance pricing, </t>
  </si>
  <si>
    <t>Geen represantatief 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</si>
</sst>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mm/dd/yy"/>
    <numFmt numFmtId="165" formatCode="0_);[Red]\(0\)"/>
    <numFmt numFmtId="166" formatCode="0_);\(0\)"/>
    <numFmt numFmtId="167" formatCode="#,##0.00\ _€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  <font>
      <b/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74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Alignment="1" applyProtection="1">
      <alignment horizontal="center" vertical="center"/>
    </xf>
    <xf numFmtId="38" fontId="0" fillId="0" borderId="6" xfId="0" applyFont="1" applyFill="1" applyBorder="1" applyAlignment="1" applyProtection="1">
      <alignment horizontal="center" vertical="center"/>
    </xf>
    <xf numFmtId="7" fontId="1" fillId="0" borderId="8" xfId="0" applyNumberFormat="1" applyFont="1" applyFill="1" applyBorder="1" applyProtection="1">
      <protection locked="0"/>
    </xf>
    <xf numFmtId="7" fontId="1" fillId="3" borderId="1" xfId="0" applyNumberFormat="1" applyFont="1" applyFill="1" applyBorder="1" applyProtection="1"/>
    <xf numFmtId="167" fontId="0" fillId="0" borderId="0" xfId="0" applyNumberFormat="1" applyBorder="1" applyAlignment="1" applyProtection="1">
      <alignment horizontal="center" vertical="center"/>
    </xf>
    <xf numFmtId="44" fontId="1" fillId="4" borderId="9" xfId="0" applyNumberFormat="1" applyFont="1" applyFill="1" applyBorder="1" applyProtection="1">
      <protection locked="0"/>
    </xf>
    <xf numFmtId="37" fontId="6" fillId="0" borderId="9" xfId="0" applyNumberFormat="1" applyFont="1" applyFill="1" applyBorder="1" applyAlignment="1" applyProtection="1">
      <alignment horizontal="center" wrapText="1"/>
      <protection locked="0"/>
    </xf>
    <xf numFmtId="9" fontId="6" fillId="0" borderId="10" xfId="0" applyNumberFormat="1" applyFont="1" applyFill="1" applyBorder="1" applyAlignment="1" applyProtection="1">
      <alignment wrapText="1"/>
    </xf>
    <xf numFmtId="166" fontId="0" fillId="0" borderId="6" xfId="0" applyNumberFormat="1" applyFont="1" applyFill="1" applyBorder="1" applyAlignment="1" applyProtection="1">
      <alignment horizontal="center" vertical="center"/>
    </xf>
    <xf numFmtId="38" fontId="0" fillId="0" borderId="6" xfId="0" applyBorder="1" applyAlignment="1" applyProtection="1">
      <alignment horizontal="center" vertical="center"/>
    </xf>
    <xf numFmtId="40" fontId="0" fillId="3" borderId="9" xfId="0" applyNumberFormat="1" applyFill="1" applyBorder="1" applyProtection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38" fontId="11" fillId="5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16" fillId="0" borderId="0" xfId="0" applyNumberFormat="1" applyFont="1" applyAlignment="1">
      <alignment horizontal="left" vertical="center"/>
    </xf>
    <xf numFmtId="38" fontId="17" fillId="0" borderId="0" xfId="0" applyFont="1" applyProtection="1"/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Data'!$C$13:$C$19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Data'!$F$12:$F$19</c:f>
              <c:numCache>
                <c:formatCode>#,##0.00_);\(#,##0.00\)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700</c:v>
                </c:pt>
                <c:pt idx="5">
                  <c:v>0</c:v>
                </c:pt>
                <c:pt idx="6">
                  <c:v>500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BF-4905-949C-BF55817811B1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F-4905-949C-BF55817811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F-4905-949C-BF5581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Data'!$B$51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Data'!$D$51:$M$51</c:f>
              <c:numCache>
                <c:formatCode>#,##0.00_);[Red]\(#,##0.00\)</c:formatCode>
                <c:ptCount val="10"/>
                <c:pt idx="0">
                  <c:v>116900</c:v>
                </c:pt>
                <c:pt idx="1">
                  <c:v>116900</c:v>
                </c:pt>
                <c:pt idx="2">
                  <c:v>116900</c:v>
                </c:pt>
                <c:pt idx="3">
                  <c:v>116900</c:v>
                </c:pt>
                <c:pt idx="4">
                  <c:v>116900</c:v>
                </c:pt>
                <c:pt idx="5">
                  <c:v>116900</c:v>
                </c:pt>
                <c:pt idx="6">
                  <c:v>116900</c:v>
                </c:pt>
                <c:pt idx="7">
                  <c:v>116900</c:v>
                </c:pt>
                <c:pt idx="8">
                  <c:v>116900</c:v>
                </c:pt>
                <c:pt idx="9">
                  <c:v>116900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Data'!$B$53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Data'!$D$53:$M$53</c:f>
              <c:numCache>
                <c:formatCode>#,##0.00_);[Red]\(#,##0.00\)</c:formatCode>
                <c:ptCount val="10"/>
                <c:pt idx="0">
                  <c:v>116900</c:v>
                </c:pt>
                <c:pt idx="1">
                  <c:v>119900</c:v>
                </c:pt>
                <c:pt idx="2">
                  <c:v>122900</c:v>
                </c:pt>
                <c:pt idx="3">
                  <c:v>125900</c:v>
                </c:pt>
                <c:pt idx="4">
                  <c:v>128900</c:v>
                </c:pt>
                <c:pt idx="5">
                  <c:v>131900</c:v>
                </c:pt>
                <c:pt idx="6">
                  <c:v>134900</c:v>
                </c:pt>
                <c:pt idx="7">
                  <c:v>137900</c:v>
                </c:pt>
                <c:pt idx="8">
                  <c:v>140900</c:v>
                </c:pt>
                <c:pt idx="9">
                  <c:v>143900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Data'!$B$54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Data'!$D$54:$M$54</c:f>
              <c:numCache>
                <c:formatCode>#,##0.00_);[Red]\(#,##0.00\)</c:formatCode>
                <c:ptCount val="10"/>
                <c:pt idx="0">
                  <c:v>0</c:v>
                </c:pt>
                <c:pt idx="1">
                  <c:v>18150</c:v>
                </c:pt>
                <c:pt idx="2">
                  <c:v>36300</c:v>
                </c:pt>
                <c:pt idx="3">
                  <c:v>54450</c:v>
                </c:pt>
                <c:pt idx="4">
                  <c:v>72600</c:v>
                </c:pt>
                <c:pt idx="5">
                  <c:v>90750</c:v>
                </c:pt>
                <c:pt idx="6">
                  <c:v>108900</c:v>
                </c:pt>
                <c:pt idx="7">
                  <c:v>127050</c:v>
                </c:pt>
                <c:pt idx="8">
                  <c:v>145200</c:v>
                </c:pt>
                <c:pt idx="9">
                  <c:v>163350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Data'!$B$55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Data'!$D$55:$M$55</c:f>
              <c:numCache>
                <c:formatCode>#,##0.00_);[Red]\(#,##0.00\)</c:formatCode>
                <c:ptCount val="10"/>
                <c:pt idx="0">
                  <c:v>-116900</c:v>
                </c:pt>
                <c:pt idx="1">
                  <c:v>-101750</c:v>
                </c:pt>
                <c:pt idx="2">
                  <c:v>-86600</c:v>
                </c:pt>
                <c:pt idx="3">
                  <c:v>-71450</c:v>
                </c:pt>
                <c:pt idx="4">
                  <c:v>-56300</c:v>
                </c:pt>
                <c:pt idx="5">
                  <c:v>-41150</c:v>
                </c:pt>
                <c:pt idx="6">
                  <c:v>-26000</c:v>
                </c:pt>
                <c:pt idx="7">
                  <c:v>-10850</c:v>
                </c:pt>
                <c:pt idx="8">
                  <c:v>4300</c:v>
                </c:pt>
                <c:pt idx="9">
                  <c:v>19450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6" horiz="1" inc="100" max="10000" min="500" page="10" val="3000"/>
</file>

<file path=xl/ctrlProps/ctrlProp2.xml><?xml version="1.0" encoding="utf-8"?>
<formControlPr xmlns="http://schemas.microsoft.com/office/spreadsheetml/2009/9/main" objectType="Scroll" dx="22" fmlaLink="$F$7" horiz="1" max="50" min="1" page="10" val="20"/>
</file>

<file path=xl/ctrlProps/ctrlProp3.xml><?xml version="1.0" encoding="utf-8"?>
<formControlPr xmlns="http://schemas.microsoft.com/office/spreadsheetml/2009/9/main" objectType="Scroll" dx="22" fmlaLink="$F$18" horiz="1" inc="100" max="1000" page="10" val="500"/>
</file>

<file path=xl/ctrlProps/ctrlProp4.xml><?xml version="1.0" encoding="utf-8"?>
<formControlPr xmlns="http://schemas.microsoft.com/office/spreadsheetml/2009/9/main" objectType="Scroll" dx="22" fmlaLink="$F$16" horiz="1" inc="50" max="1000" page="10" val="700"/>
</file>

<file path=xl/ctrlProps/ctrlProp5.xml><?xml version="1.0" encoding="utf-8"?>
<formControlPr xmlns="http://schemas.microsoft.com/office/spreadsheetml/2009/9/main" objectType="Scroll" dx="22" fmlaLink="$H$7" horiz="1" max="50" min="1" page="10" val="5"/>
</file>

<file path=xl/ctrlProps/ctrlProp6.xml><?xml version="1.0" encoding="utf-8"?>
<formControlPr xmlns="http://schemas.microsoft.com/office/spreadsheetml/2009/9/main" objectType="Scroll" dx="22" fmlaLink="$J$7" horiz="1" max="50" min="1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120465</xdr:colOff>
      <xdr:row>0</xdr:row>
      <xdr:rowOff>331304</xdr:rowOff>
    </xdr:from>
    <xdr:to>
      <xdr:col>18</xdr:col>
      <xdr:colOff>339587</xdr:colOff>
      <xdr:row>10</xdr:row>
      <xdr:rowOff>25466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21</xdr:row>
      <xdr:rowOff>25400</xdr:rowOff>
    </xdr:from>
    <xdr:to>
      <xdr:col>12</xdr:col>
      <xdr:colOff>318376</xdr:colOff>
      <xdr:row>41</xdr:row>
      <xdr:rowOff>257175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190500</xdr:rowOff>
        </xdr:from>
        <xdr:to>
          <xdr:col>6</xdr:col>
          <xdr:colOff>790575</xdr:colOff>
          <xdr:row>6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152400</xdr:rowOff>
        </xdr:from>
        <xdr:to>
          <xdr:col>6</xdr:col>
          <xdr:colOff>790575</xdr:colOff>
          <xdr:row>6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19050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9525</xdr:rowOff>
        </xdr:from>
        <xdr:to>
          <xdr:col>7</xdr:col>
          <xdr:colOff>9525</xdr:colOff>
          <xdr:row>16</xdr:row>
          <xdr:rowOff>9525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152400</xdr:rowOff>
        </xdr:from>
        <xdr:to>
          <xdr:col>8</xdr:col>
          <xdr:colOff>809625</xdr:colOff>
          <xdr:row>7</xdr:row>
          <xdr:rowOff>28575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9525</xdr:rowOff>
        </xdr:from>
        <xdr:to>
          <xdr:col>10</xdr:col>
          <xdr:colOff>790575</xdr:colOff>
          <xdr:row>7</xdr:row>
          <xdr:rowOff>9525</xdr:rowOff>
        </xdr:to>
        <xdr:sp macro="" textlink="">
          <xdr:nvSpPr>
            <xdr:cNvPr id="1050" name="Scroll Ba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25</xdr:col>
      <xdr:colOff>204515</xdr:colOff>
      <xdr:row>0</xdr:row>
      <xdr:rowOff>297602</xdr:rowOff>
    </xdr:from>
    <xdr:to>
      <xdr:col>33</xdr:col>
      <xdr:colOff>506464</xdr:colOff>
      <xdr:row>10</xdr:row>
      <xdr:rowOff>0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M55"/>
  <sheetViews>
    <sheetView showGridLines="0" tabSelected="1" zoomScaleNormal="100" zoomScalePageLayoutView="145" workbookViewId="0">
      <selection activeCell="Q21" sqref="Q21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7.85546875" style="1" customWidth="1"/>
    <col min="5" max="5" width="15" style="1" customWidth="1"/>
    <col min="6" max="6" width="12.7109375" style="19" customWidth="1"/>
    <col min="7" max="7" width="12.28515625" style="10" bestFit="1" customWidth="1"/>
    <col min="8" max="8" width="12.85546875" style="19" bestFit="1" customWidth="1"/>
    <col min="9" max="9" width="12.7109375" style="1" customWidth="1"/>
    <col min="10" max="10" width="12.85546875" style="1" bestFit="1" customWidth="1"/>
    <col min="11" max="14" width="12.7109375" style="1" customWidth="1"/>
    <col min="15" max="16" width="11.7109375" style="1" bestFit="1" customWidth="1"/>
    <col min="17" max="17" width="10.140625" style="1" customWidth="1"/>
    <col min="18" max="16384" width="9.140625" style="1"/>
  </cols>
  <sheetData>
    <row r="1" spans="1:11" ht="61.5" customHeight="1" x14ac:dyDescent="0.65">
      <c r="A1" s="4"/>
      <c r="B1" s="23" t="s">
        <v>5</v>
      </c>
      <c r="C1" s="23"/>
      <c r="D1" s="23"/>
      <c r="E1" s="23"/>
      <c r="F1" s="23"/>
      <c r="G1" s="23"/>
      <c r="H1" s="23"/>
      <c r="I1" s="23"/>
      <c r="J1" s="22"/>
    </row>
    <row r="2" spans="1:11" ht="27.75" x14ac:dyDescent="0.4">
      <c r="A2" s="4"/>
      <c r="B2" s="27" t="s">
        <v>42</v>
      </c>
      <c r="C2" s="27"/>
      <c r="D2" s="2"/>
      <c r="E2" s="2"/>
      <c r="F2" s="2"/>
      <c r="G2" s="16"/>
      <c r="H2" s="9"/>
    </row>
    <row r="3" spans="1:11" s="14" customFormat="1" ht="15.75" x14ac:dyDescent="0.25">
      <c r="A3" s="13"/>
      <c r="B3" s="40" t="s">
        <v>26</v>
      </c>
      <c r="C3" s="40"/>
      <c r="D3" s="15"/>
      <c r="E3" s="15"/>
    </row>
    <row r="4" spans="1:11" ht="16.5" thickBot="1" x14ac:dyDescent="0.3">
      <c r="A4" s="4"/>
      <c r="B4" s="41" t="s">
        <v>46</v>
      </c>
      <c r="C4" s="41"/>
      <c r="D4" s="28"/>
      <c r="E4" s="5"/>
      <c r="F4" s="15"/>
      <c r="G4" s="62" t="s">
        <v>45</v>
      </c>
      <c r="H4" s="63">
        <v>0.1</v>
      </c>
      <c r="I4" s="14"/>
      <c r="J4" s="63">
        <v>0.25</v>
      </c>
      <c r="K4" s="14"/>
    </row>
    <row r="5" spans="1:11" ht="13.5" thickBot="1" x14ac:dyDescent="0.25">
      <c r="A5" s="4"/>
      <c r="B5" s="11"/>
      <c r="C5" s="1" t="s">
        <v>47</v>
      </c>
      <c r="E5" s="3"/>
      <c r="F5" s="57">
        <v>50</v>
      </c>
      <c r="G5" s="56"/>
      <c r="H5" s="64">
        <v>200</v>
      </c>
      <c r="I5" s="60"/>
      <c r="J5" s="65">
        <v>500</v>
      </c>
    </row>
    <row r="6" spans="1:11" x14ac:dyDescent="0.2">
      <c r="A6" s="4"/>
      <c r="B6" s="12"/>
      <c r="C6" s="52" t="s">
        <v>44</v>
      </c>
      <c r="E6" s="4"/>
      <c r="F6" s="58">
        <v>3000</v>
      </c>
      <c r="G6" s="7"/>
      <c r="H6" s="58">
        <f>Sales_price_unitA*(H5/F5)*(1-H4)</f>
        <v>10800</v>
      </c>
      <c r="J6" s="58">
        <f>Sales_price_unitA*(J5/F5)*(1-J4)</f>
        <v>22500</v>
      </c>
    </row>
    <row r="7" spans="1:11" x14ac:dyDescent="0.2">
      <c r="A7" s="4"/>
      <c r="B7" s="12"/>
      <c r="C7" s="12" t="s">
        <v>22</v>
      </c>
      <c r="E7" s="4"/>
      <c r="F7" s="43">
        <v>20</v>
      </c>
      <c r="G7" s="8"/>
      <c r="H7" s="43">
        <v>5</v>
      </c>
      <c r="J7" s="43">
        <v>3</v>
      </c>
    </row>
    <row r="8" spans="1:11" x14ac:dyDescent="0.2">
      <c r="B8" s="34"/>
      <c r="C8" s="12"/>
      <c r="F8" s="61">
        <f>IF(OR(Sales_price_unitA&lt;&gt;0,Sales_volume_unitsA&lt;&gt;0),Sales_price_unitA*Sales_volume_unitsA,0)</f>
        <v>60000</v>
      </c>
      <c r="G8" s="8"/>
      <c r="H8" s="61">
        <f>IF(OR(Sales_price_unitB&lt;&gt;0,Sales_volume_unitsB&lt;&gt;0),Sales_price_unitB*Sales_volume_unitsB,0)</f>
        <v>54000</v>
      </c>
      <c r="J8" s="61">
        <f>IF(OR(Sales_price_unitC&lt;&gt;0,Sales_volume_unitsC&lt;&gt;0),Sales_price_unitC*Sales_volume_unitsC,0)</f>
        <v>67500</v>
      </c>
    </row>
    <row r="9" spans="1:11" x14ac:dyDescent="0.2">
      <c r="B9" s="34"/>
      <c r="C9" s="21" t="s">
        <v>8</v>
      </c>
      <c r="G9" s="59">
        <f>F8+H8+J8</f>
        <v>181500</v>
      </c>
    </row>
    <row r="10" spans="1:11" ht="15.75" customHeight="1" x14ac:dyDescent="0.2">
      <c r="A10" s="4"/>
      <c r="B10" s="11"/>
      <c r="C10" s="21"/>
      <c r="E10" s="4"/>
      <c r="G10" s="19"/>
      <c r="H10" s="1"/>
    </row>
    <row r="11" spans="1:11" ht="15.75" customHeight="1" x14ac:dyDescent="0.25">
      <c r="A11" s="4"/>
      <c r="B11" s="42" t="s">
        <v>10</v>
      </c>
      <c r="C11" s="42"/>
      <c r="D11" s="6"/>
      <c r="E11" s="6"/>
      <c r="F11" s="17"/>
      <c r="G11" s="17"/>
    </row>
    <row r="12" spans="1:11" x14ac:dyDescent="0.2">
      <c r="A12" s="4"/>
      <c r="B12" s="11"/>
      <c r="C12" s="34" t="s">
        <v>35</v>
      </c>
      <c r="E12" s="3"/>
      <c r="F12" s="30">
        <v>100</v>
      </c>
      <c r="G12" s="55"/>
    </row>
    <row r="13" spans="1:11" x14ac:dyDescent="0.2">
      <c r="A13" s="4"/>
      <c r="B13" s="11"/>
      <c r="C13" s="52" t="s">
        <v>29</v>
      </c>
      <c r="E13" s="3"/>
      <c r="F13" s="30">
        <v>0</v>
      </c>
      <c r="G13" s="53"/>
    </row>
    <row r="14" spans="1:11" x14ac:dyDescent="0.2">
      <c r="A14" s="4"/>
      <c r="B14" s="11"/>
      <c r="C14" s="52" t="s">
        <v>30</v>
      </c>
      <c r="E14" s="3"/>
      <c r="F14" s="30">
        <v>100</v>
      </c>
      <c r="G14" s="53"/>
    </row>
    <row r="15" spans="1:11" x14ac:dyDescent="0.2">
      <c r="A15" s="4"/>
      <c r="B15" s="11"/>
      <c r="C15" s="52" t="s">
        <v>40</v>
      </c>
      <c r="E15" s="3"/>
      <c r="F15" s="30">
        <v>0</v>
      </c>
      <c r="G15" s="53"/>
    </row>
    <row r="16" spans="1:11" x14ac:dyDescent="0.2">
      <c r="A16" s="4"/>
      <c r="B16" s="11"/>
      <c r="C16" s="52" t="s">
        <v>41</v>
      </c>
      <c r="E16" s="3"/>
      <c r="F16" s="30">
        <v>700</v>
      </c>
      <c r="G16" s="53"/>
    </row>
    <row r="17" spans="1:8" x14ac:dyDescent="0.2">
      <c r="A17" s="4"/>
      <c r="B17" s="11"/>
      <c r="C17" s="52" t="s">
        <v>31</v>
      </c>
      <c r="E17" s="3"/>
      <c r="F17" s="30">
        <v>0</v>
      </c>
      <c r="G17" s="53"/>
    </row>
    <row r="18" spans="1:8" x14ac:dyDescent="0.2">
      <c r="A18" s="4"/>
      <c r="B18" s="11"/>
      <c r="C18" s="52" t="s">
        <v>28</v>
      </c>
      <c r="E18" s="3"/>
      <c r="F18" s="30">
        <v>500</v>
      </c>
      <c r="G18" s="53"/>
    </row>
    <row r="19" spans="1:8" x14ac:dyDescent="0.2">
      <c r="A19" s="4"/>
      <c r="B19" s="11"/>
      <c r="C19" s="11" t="s">
        <v>20</v>
      </c>
      <c r="E19" s="3"/>
      <c r="F19" s="30">
        <v>100</v>
      </c>
      <c r="G19" s="53"/>
    </row>
    <row r="20" spans="1:8" x14ac:dyDescent="0.2">
      <c r="A20" s="4"/>
      <c r="B20" s="11"/>
      <c r="C20" s="33" t="s">
        <v>14</v>
      </c>
      <c r="E20" s="3"/>
      <c r="F20" s="32">
        <f>IF(SUM(Variable_costs_unit),SUM(Variable_costs_unit),0)</f>
        <v>1500</v>
      </c>
      <c r="G20" s="54"/>
    </row>
    <row r="21" spans="1:8" ht="13.5" thickBot="1" x14ac:dyDescent="0.25">
      <c r="A21" s="4"/>
      <c r="B21" s="11"/>
      <c r="C21" s="33" t="s">
        <v>21</v>
      </c>
      <c r="E21" s="3"/>
      <c r="F21" s="18"/>
      <c r="G21" s="44">
        <f>IF(Variable_Unit_Cost,Variable_Unit_Cost*(Sales_volume_unitsA+Sales_volume_unitsB+Sales_volume_unitsC),0)</f>
        <v>42000</v>
      </c>
    </row>
    <row r="22" spans="1:8" x14ac:dyDescent="0.2">
      <c r="A22" s="4"/>
      <c r="B22" s="11"/>
      <c r="C22" s="33"/>
      <c r="E22" s="3"/>
      <c r="F22" s="18"/>
      <c r="G22" s="18"/>
      <c r="H22" s="1"/>
    </row>
    <row r="23" spans="1:8" x14ac:dyDescent="0.2">
      <c r="A23" s="4"/>
      <c r="B23" s="11"/>
      <c r="C23" s="33" t="s">
        <v>15</v>
      </c>
      <c r="E23" s="3"/>
      <c r="F23" s="31">
        <f>IF(Sales_price_unitA&gt;0,MAX(0,Sales_price_unitA-Variable_Unit_Cost),0)</f>
        <v>1500</v>
      </c>
      <c r="G23" s="18"/>
      <c r="H23" s="1"/>
    </row>
    <row r="24" spans="1:8" x14ac:dyDescent="0.2">
      <c r="A24" s="4"/>
      <c r="B24" s="11"/>
      <c r="C24" s="33" t="s">
        <v>9</v>
      </c>
      <c r="E24" s="3"/>
      <c r="F24" s="18"/>
      <c r="G24" s="31">
        <f>IF(OR(Total_Sales&lt;&gt;0,Total_variable&lt;&gt;0),Total_Sales-Total_variable,0)</f>
        <v>139500</v>
      </c>
      <c r="H24" s="1"/>
    </row>
    <row r="25" spans="1:8" x14ac:dyDescent="0.2">
      <c r="A25" s="4"/>
      <c r="B25" s="11"/>
      <c r="C25" s="11"/>
      <c r="D25" s="20"/>
      <c r="E25" s="3"/>
      <c r="F25" s="17"/>
      <c r="G25" s="18"/>
      <c r="H25" s="1"/>
    </row>
    <row r="26" spans="1:8" ht="15.75" x14ac:dyDescent="0.25">
      <c r="A26" s="4"/>
      <c r="B26" s="42" t="s">
        <v>23</v>
      </c>
      <c r="C26" s="42"/>
      <c r="D26" s="6"/>
      <c r="E26" s="6"/>
      <c r="F26" s="49"/>
      <c r="G26" s="17"/>
      <c r="H26" s="1"/>
    </row>
    <row r="27" spans="1:8" x14ac:dyDescent="0.2">
      <c r="A27" s="4"/>
      <c r="B27" s="11"/>
      <c r="C27" s="34" t="s">
        <v>32</v>
      </c>
      <c r="E27" s="3"/>
      <c r="F27" s="30">
        <v>50000</v>
      </c>
      <c r="G27" s="1"/>
      <c r="H27" s="1"/>
    </row>
    <row r="28" spans="1:8" x14ac:dyDescent="0.2">
      <c r="A28" s="4"/>
      <c r="B28" s="11"/>
      <c r="C28" s="34" t="s">
        <v>36</v>
      </c>
      <c r="E28" s="3"/>
      <c r="F28" s="30">
        <v>0</v>
      </c>
      <c r="G28" s="1"/>
      <c r="H28" s="1"/>
    </row>
    <row r="29" spans="1:8" x14ac:dyDescent="0.2">
      <c r="A29" s="4"/>
      <c r="B29" s="11"/>
      <c r="C29" s="34" t="s">
        <v>34</v>
      </c>
      <c r="E29" s="3"/>
      <c r="F29" s="30">
        <v>15000</v>
      </c>
      <c r="G29" s="1"/>
      <c r="H29" s="1"/>
    </row>
    <row r="30" spans="1:8" x14ac:dyDescent="0.2">
      <c r="A30" s="4"/>
      <c r="B30" s="11"/>
      <c r="C30" s="34" t="s">
        <v>33</v>
      </c>
      <c r="E30" s="3"/>
      <c r="F30" s="30">
        <v>2400</v>
      </c>
      <c r="G30" s="1"/>
      <c r="H30" s="1"/>
    </row>
    <row r="31" spans="1:8" x14ac:dyDescent="0.2">
      <c r="A31" s="4"/>
      <c r="B31" s="11"/>
      <c r="C31" s="34" t="s">
        <v>37</v>
      </c>
      <c r="E31" s="3"/>
      <c r="F31" s="30">
        <v>10000</v>
      </c>
      <c r="G31" s="1"/>
      <c r="H31" s="1"/>
    </row>
    <row r="32" spans="1:8" x14ac:dyDescent="0.2">
      <c r="A32" s="4"/>
      <c r="B32" s="11"/>
      <c r="C32" s="52" t="s">
        <v>38</v>
      </c>
      <c r="E32" s="3"/>
      <c r="F32" s="30">
        <v>5000</v>
      </c>
      <c r="G32" s="1"/>
      <c r="H32" s="1"/>
    </row>
    <row r="33" spans="1:13" x14ac:dyDescent="0.2">
      <c r="A33" s="4"/>
      <c r="B33" s="11"/>
      <c r="C33" s="11" t="s">
        <v>6</v>
      </c>
      <c r="E33" s="3"/>
      <c r="F33" s="30"/>
      <c r="G33" s="1"/>
      <c r="H33" s="1"/>
    </row>
    <row r="34" spans="1:13" x14ac:dyDescent="0.2">
      <c r="A34" s="4"/>
      <c r="B34" s="11"/>
      <c r="C34" s="52" t="s">
        <v>27</v>
      </c>
      <c r="E34" s="3"/>
      <c r="F34" s="45">
        <v>20000</v>
      </c>
      <c r="G34" s="1"/>
      <c r="H34" s="1"/>
    </row>
    <row r="35" spans="1:13" x14ac:dyDescent="0.2">
      <c r="A35" s="4"/>
      <c r="B35" s="11"/>
      <c r="C35" s="52" t="s">
        <v>39</v>
      </c>
      <c r="E35" s="3"/>
      <c r="F35" s="48">
        <v>12000</v>
      </c>
      <c r="G35" s="1"/>
      <c r="H35" s="1"/>
    </row>
    <row r="36" spans="1:13" x14ac:dyDescent="0.2">
      <c r="A36" s="4"/>
      <c r="B36" s="11"/>
      <c r="C36" s="11" t="s">
        <v>7</v>
      </c>
      <c r="E36" s="3"/>
      <c r="F36" s="29">
        <v>2500</v>
      </c>
      <c r="G36" s="1"/>
      <c r="H36" s="1"/>
    </row>
    <row r="37" spans="1:13" ht="13.5" thickBot="1" x14ac:dyDescent="0.25">
      <c r="A37" s="4"/>
      <c r="B37" s="11"/>
      <c r="C37" s="33" t="s">
        <v>24</v>
      </c>
      <c r="E37" s="3"/>
      <c r="F37" s="17"/>
      <c r="G37" s="46">
        <f>IF(SUM(Fixed_costs)&lt;&gt;0,SUM(Fixed_costs),0)</f>
        <v>116900</v>
      </c>
      <c r="H37" s="1"/>
    </row>
    <row r="38" spans="1:13" ht="13.5" thickBot="1" x14ac:dyDescent="0.25">
      <c r="B38" s="34"/>
      <c r="C38" s="34"/>
      <c r="F38" s="17"/>
      <c r="G38" s="19"/>
      <c r="H38" s="1"/>
    </row>
    <row r="39" spans="1:13" ht="13.5" thickBot="1" x14ac:dyDescent="0.25">
      <c r="A39" s="4"/>
      <c r="B39" s="11"/>
      <c r="C39" s="33" t="s">
        <v>43</v>
      </c>
      <c r="E39" s="3"/>
      <c r="G39" s="47">
        <f>IF(OR(Gross_margin&lt;&gt;0,Total_fixed&lt;&gt;0),Gross_margin-Total_fixed,0)</f>
        <v>22600</v>
      </c>
      <c r="H39" s="1"/>
    </row>
    <row r="40" spans="1:13" x14ac:dyDescent="0.2">
      <c r="B40" s="34"/>
      <c r="C40" s="34"/>
      <c r="G40" s="19"/>
    </row>
    <row r="41" spans="1:13" ht="33.75" x14ac:dyDescent="0.65">
      <c r="B41" s="34"/>
      <c r="C41" s="34"/>
      <c r="F41" s="23"/>
    </row>
    <row r="42" spans="1:13" ht="33.75" x14ac:dyDescent="0.65">
      <c r="B42" s="23" t="s">
        <v>13</v>
      </c>
      <c r="C42" s="23"/>
      <c r="D42" s="23"/>
      <c r="E42" s="23"/>
      <c r="G42" s="1"/>
      <c r="H42" s="1"/>
    </row>
    <row r="43" spans="1:13" ht="20.25" x14ac:dyDescent="0.3">
      <c r="B43" s="39" t="s">
        <v>12</v>
      </c>
      <c r="C43" s="39"/>
      <c r="D43" s="25"/>
      <c r="E43" s="25"/>
      <c r="F43" s="38">
        <f>IF(AND(Unit_contrib_margin&gt;0,Total_fixed&gt;0),Total_fixed/Unit_contrib_margin,"")</f>
        <v>77.933333333333337</v>
      </c>
      <c r="G43" s="73" t="s">
        <v>66</v>
      </c>
      <c r="H43" s="25"/>
      <c r="I43" s="25"/>
      <c r="J43" s="26"/>
    </row>
    <row r="44" spans="1:13" ht="20.25" x14ac:dyDescent="0.3">
      <c r="B44" s="39" t="s">
        <v>19</v>
      </c>
      <c r="C44" s="39"/>
      <c r="D44" s="25"/>
      <c r="E44" s="25"/>
      <c r="F44" s="26"/>
      <c r="G44" s="24"/>
      <c r="H44" s="25"/>
      <c r="I44" s="25"/>
      <c r="J44" s="26"/>
    </row>
    <row r="45" spans="1:13" x14ac:dyDescent="0.2">
      <c r="B45" s="34" t="s">
        <v>48</v>
      </c>
      <c r="C45" s="34"/>
      <c r="D45" s="35">
        <f>IF(Sales_volume_unitsA,(Sales_volume_unitsA)*0,0)</f>
        <v>0</v>
      </c>
      <c r="E45" s="35">
        <f>IF(Sales_volume_unitsA,(Sales_volume_unitsA)*0.1,0)</f>
        <v>2</v>
      </c>
      <c r="F45" s="35">
        <f>IF(Sales_volume_unitsA,(Sales_volume_unitsA)*0.2,0)</f>
        <v>4</v>
      </c>
      <c r="G45" s="35">
        <f>IF(Sales_volume_unitsA,(Sales_volume_unitsA)*0.3,0)</f>
        <v>6</v>
      </c>
      <c r="H45" s="35">
        <f>IF(Sales_volume_unitsA,(Sales_volume_unitsA)*0.4,0)</f>
        <v>8</v>
      </c>
      <c r="I45" s="35">
        <f>IF(Sales_volume_unitsA,(Sales_volume_unitsA)*0.5,0)</f>
        <v>10</v>
      </c>
      <c r="J45" s="35">
        <f>IF(Sales_volume_unitsA,(Sales_volume_unitsA)*0.6,0)</f>
        <v>12</v>
      </c>
      <c r="K45" s="35">
        <f>IF(Sales_volume_unitsA,(Sales_volume_unitsA)*0.7,0)</f>
        <v>14</v>
      </c>
      <c r="L45" s="35">
        <f>IF(Sales_volume_unitsA,(Sales_volume_unitsA)*0.8,0)</f>
        <v>16</v>
      </c>
      <c r="M45" s="35">
        <f>IF(Sales_volume_unitsA,(Sales_volume_unitsA)*0.9,0)</f>
        <v>18</v>
      </c>
    </row>
    <row r="46" spans="1:13" x14ac:dyDescent="0.2">
      <c r="B46" s="34" t="s">
        <v>49</v>
      </c>
      <c r="C46" s="34"/>
      <c r="D46" s="36">
        <f t="shared" ref="D46:M46" si="0">(Sales_price_unitA)</f>
        <v>3000</v>
      </c>
      <c r="E46" s="36">
        <f t="shared" si="0"/>
        <v>3000</v>
      </c>
      <c r="F46" s="36">
        <f t="shared" si="0"/>
        <v>3000</v>
      </c>
      <c r="G46" s="36">
        <f t="shared" si="0"/>
        <v>3000</v>
      </c>
      <c r="H46" s="36">
        <f t="shared" si="0"/>
        <v>3000</v>
      </c>
      <c r="I46" s="36">
        <f t="shared" si="0"/>
        <v>3000</v>
      </c>
      <c r="J46" s="36">
        <f t="shared" si="0"/>
        <v>3000</v>
      </c>
      <c r="K46" s="36">
        <f t="shared" si="0"/>
        <v>3000</v>
      </c>
      <c r="L46" s="36">
        <f t="shared" si="0"/>
        <v>3000</v>
      </c>
      <c r="M46" s="36">
        <f t="shared" si="0"/>
        <v>3000</v>
      </c>
    </row>
    <row r="47" spans="1:13" x14ac:dyDescent="0.2">
      <c r="B47" s="34" t="s">
        <v>50</v>
      </c>
      <c r="C47" s="34"/>
      <c r="D47" s="35">
        <f>IF(Sales_volume_unitsB,(Sales_volume_unitsB)*0,0)</f>
        <v>0</v>
      </c>
      <c r="E47" s="35">
        <f>IF(Sales_volume_unitsB,(Sales_volume_unitsB)*0.1,0)</f>
        <v>0.5</v>
      </c>
      <c r="F47" s="35">
        <f>IF(Sales_volume_unitsB,(Sales_volume_unitsB)*0.2,0)</f>
        <v>1</v>
      </c>
      <c r="G47" s="35">
        <f>IF(Sales_volume_unitsB,(Sales_volume_unitsB)*0.3,0)</f>
        <v>1.5</v>
      </c>
      <c r="H47" s="35">
        <f>IF(Sales_volume_unitsB,(Sales_volume_unitsB)*0.4,0)</f>
        <v>2</v>
      </c>
      <c r="I47" s="35">
        <f>IF(Sales_volume_unitsB,(Sales_volume_unitsB)*0.5,0)</f>
        <v>2.5</v>
      </c>
      <c r="J47" s="35">
        <f>IF(Sales_volume_unitsB,(Sales_volume_unitsB)*0.6,0)</f>
        <v>3</v>
      </c>
      <c r="K47" s="35">
        <f>IF(Sales_volume_unitsB,(Sales_volume_unitsB)*0.7,0)</f>
        <v>3.5</v>
      </c>
      <c r="L47" s="35">
        <f>IF(Sales_volume_unitsB,(Sales_volume_unitsB)*0.8,0)</f>
        <v>4</v>
      </c>
      <c r="M47" s="35">
        <f>IF(Sales_volume_unitsB,(Sales_volume_unitsB)*0.9,0)</f>
        <v>4.5</v>
      </c>
    </row>
    <row r="48" spans="1:13" x14ac:dyDescent="0.2">
      <c r="B48" s="34" t="s">
        <v>51</v>
      </c>
      <c r="C48" s="34"/>
      <c r="D48" s="36">
        <f t="shared" ref="D48:M48" si="1">Sales_price_unitB</f>
        <v>10800</v>
      </c>
      <c r="E48" s="36">
        <f t="shared" si="1"/>
        <v>10800</v>
      </c>
      <c r="F48" s="36">
        <f t="shared" si="1"/>
        <v>10800</v>
      </c>
      <c r="G48" s="36">
        <f t="shared" si="1"/>
        <v>10800</v>
      </c>
      <c r="H48" s="36">
        <f t="shared" si="1"/>
        <v>10800</v>
      </c>
      <c r="I48" s="36">
        <f t="shared" si="1"/>
        <v>10800</v>
      </c>
      <c r="J48" s="36">
        <f t="shared" si="1"/>
        <v>10800</v>
      </c>
      <c r="K48" s="36">
        <f t="shared" si="1"/>
        <v>10800</v>
      </c>
      <c r="L48" s="36">
        <f t="shared" si="1"/>
        <v>10800</v>
      </c>
      <c r="M48" s="36">
        <f t="shared" si="1"/>
        <v>10800</v>
      </c>
    </row>
    <row r="49" spans="2:13" x14ac:dyDescent="0.2">
      <c r="B49" s="34" t="s">
        <v>52</v>
      </c>
      <c r="C49" s="34"/>
      <c r="D49" s="35">
        <f>IF(Sales_volume_unitsC,(Sales_volume_unitsC)*0,0)</f>
        <v>0</v>
      </c>
      <c r="E49" s="35">
        <f>IF(Sales_volume_unitsC,(Sales_volume_unitsC)*0.1,0)</f>
        <v>0.30000000000000004</v>
      </c>
      <c r="F49" s="35">
        <f>IF(Sales_volume_unitsC,(Sales_volume_unitsC)*0.2,0)</f>
        <v>0.60000000000000009</v>
      </c>
      <c r="G49" s="35">
        <f>IF(Sales_volume_unitsC,(Sales_volume_unitsC)*0.3,0)</f>
        <v>0.89999999999999991</v>
      </c>
      <c r="H49" s="35">
        <f>IF(Sales_volume_unitsC,(Sales_volume_unitsC)*0.4,0)</f>
        <v>1.2000000000000002</v>
      </c>
      <c r="I49" s="35">
        <f>IF(Sales_volume_unitsC,(Sales_volume_unitsC)*0.5,0)</f>
        <v>1.5</v>
      </c>
      <c r="J49" s="35">
        <f>IF(Sales_volume_unitsC,(Sales_volume_unitsC)*0.6,0)</f>
        <v>1.7999999999999998</v>
      </c>
      <c r="K49" s="35">
        <f>IF(Sales_volume_unitsC,(Sales_volume_unitsC)*0.7,0)</f>
        <v>2.0999999999999996</v>
      </c>
      <c r="L49" s="35">
        <f>IF(Sales_volume_unitsC,(Sales_volume_unitsC)*0.8,0)</f>
        <v>2.4000000000000004</v>
      </c>
      <c r="M49" s="35">
        <f>IF(Sales_volume_unitsC,(Sales_volume_unitsC)*0.9,0)</f>
        <v>2.7</v>
      </c>
    </row>
    <row r="50" spans="2:13" x14ac:dyDescent="0.2">
      <c r="B50" s="34" t="s">
        <v>53</v>
      </c>
      <c r="C50" s="34"/>
      <c r="D50" s="66">
        <f t="shared" ref="D50:M50" si="2">Sales_price_unitC</f>
        <v>22500</v>
      </c>
      <c r="E50" s="66">
        <f t="shared" si="2"/>
        <v>22500</v>
      </c>
      <c r="F50" s="66">
        <f t="shared" si="2"/>
        <v>22500</v>
      </c>
      <c r="G50" s="66">
        <f t="shared" si="2"/>
        <v>22500</v>
      </c>
      <c r="H50" s="66">
        <f t="shared" si="2"/>
        <v>22500</v>
      </c>
      <c r="I50" s="66">
        <f t="shared" si="2"/>
        <v>22500</v>
      </c>
      <c r="J50" s="66">
        <f t="shared" si="2"/>
        <v>22500</v>
      </c>
      <c r="K50" s="66">
        <f t="shared" si="2"/>
        <v>22500</v>
      </c>
      <c r="L50" s="66">
        <f t="shared" si="2"/>
        <v>22500</v>
      </c>
      <c r="M50" s="66">
        <f t="shared" si="2"/>
        <v>22500</v>
      </c>
    </row>
    <row r="51" spans="2:13" x14ac:dyDescent="0.2">
      <c r="B51" s="34" t="s">
        <v>25</v>
      </c>
      <c r="C51" s="34"/>
      <c r="D51" s="36">
        <f t="shared" ref="D51:M51" si="3">Total_fixed</f>
        <v>116900</v>
      </c>
      <c r="E51" s="36">
        <f t="shared" si="3"/>
        <v>116900</v>
      </c>
      <c r="F51" s="36">
        <f t="shared" si="3"/>
        <v>116900</v>
      </c>
      <c r="G51" s="36">
        <f t="shared" si="3"/>
        <v>116900</v>
      </c>
      <c r="H51" s="36">
        <f t="shared" si="3"/>
        <v>116900</v>
      </c>
      <c r="I51" s="36">
        <f t="shared" si="3"/>
        <v>116900</v>
      </c>
      <c r="J51" s="36">
        <f t="shared" si="3"/>
        <v>116900</v>
      </c>
      <c r="K51" s="36">
        <f t="shared" si="3"/>
        <v>116900</v>
      </c>
      <c r="L51" s="36">
        <f t="shared" si="3"/>
        <v>116900</v>
      </c>
      <c r="M51" s="36">
        <f t="shared" si="3"/>
        <v>116900</v>
      </c>
    </row>
    <row r="52" spans="2:13" x14ac:dyDescent="0.2">
      <c r="B52" s="37" t="s">
        <v>11</v>
      </c>
      <c r="C52" s="37"/>
      <c r="D52" s="36">
        <f t="shared" ref="D52:M52" si="4">Variable_Unit_Cost*D45</f>
        <v>0</v>
      </c>
      <c r="E52" s="36">
        <f t="shared" si="4"/>
        <v>3000</v>
      </c>
      <c r="F52" s="36">
        <f t="shared" si="4"/>
        <v>6000</v>
      </c>
      <c r="G52" s="36">
        <f t="shared" si="4"/>
        <v>9000</v>
      </c>
      <c r="H52" s="36">
        <f t="shared" si="4"/>
        <v>12000</v>
      </c>
      <c r="I52" s="36">
        <f t="shared" si="4"/>
        <v>15000</v>
      </c>
      <c r="J52" s="36">
        <f t="shared" si="4"/>
        <v>18000</v>
      </c>
      <c r="K52" s="36">
        <f t="shared" si="4"/>
        <v>21000</v>
      </c>
      <c r="L52" s="36">
        <f t="shared" si="4"/>
        <v>24000</v>
      </c>
      <c r="M52" s="36">
        <f t="shared" si="4"/>
        <v>27000</v>
      </c>
    </row>
    <row r="53" spans="2:13" x14ac:dyDescent="0.2">
      <c r="B53" s="37" t="s">
        <v>17</v>
      </c>
      <c r="C53" s="37"/>
      <c r="D53" s="36">
        <f>SUM(D51:D52)</f>
        <v>116900</v>
      </c>
      <c r="E53" s="36">
        <f t="shared" ref="E53:M53" si="5">SUM(E51:E52)</f>
        <v>119900</v>
      </c>
      <c r="F53" s="36">
        <f t="shared" si="5"/>
        <v>122900</v>
      </c>
      <c r="G53" s="36">
        <f t="shared" si="5"/>
        <v>125900</v>
      </c>
      <c r="H53" s="36">
        <f t="shared" si="5"/>
        <v>128900</v>
      </c>
      <c r="I53" s="36">
        <f t="shared" si="5"/>
        <v>131900</v>
      </c>
      <c r="J53" s="36">
        <f t="shared" si="5"/>
        <v>134900</v>
      </c>
      <c r="K53" s="36">
        <f t="shared" si="5"/>
        <v>137900</v>
      </c>
      <c r="L53" s="36">
        <f t="shared" si="5"/>
        <v>140900</v>
      </c>
      <c r="M53" s="36">
        <f t="shared" si="5"/>
        <v>143900</v>
      </c>
    </row>
    <row r="54" spans="2:13" ht="13.5" thickBot="1" x14ac:dyDescent="0.25">
      <c r="B54" s="34" t="s">
        <v>16</v>
      </c>
      <c r="C54" s="34"/>
      <c r="D54" s="50">
        <f>((D46*D45)+(D47*D48)+(D49*D50))</f>
        <v>0</v>
      </c>
      <c r="E54" s="50">
        <f t="shared" ref="E54:M54" si="6">((E46*E45)+(E47*E48)+(E49*E50))</f>
        <v>18150</v>
      </c>
      <c r="F54" s="50">
        <f t="shared" si="6"/>
        <v>36300</v>
      </c>
      <c r="G54" s="50">
        <f t="shared" si="6"/>
        <v>54450</v>
      </c>
      <c r="H54" s="50">
        <f t="shared" si="6"/>
        <v>72600</v>
      </c>
      <c r="I54" s="50">
        <f t="shared" si="6"/>
        <v>90750</v>
      </c>
      <c r="J54" s="50">
        <f t="shared" si="6"/>
        <v>108900</v>
      </c>
      <c r="K54" s="50">
        <f t="shared" si="6"/>
        <v>127050</v>
      </c>
      <c r="L54" s="50">
        <f t="shared" si="6"/>
        <v>145200</v>
      </c>
      <c r="M54" s="50">
        <f t="shared" si="6"/>
        <v>163350</v>
      </c>
    </row>
    <row r="55" spans="2:13" x14ac:dyDescent="0.2">
      <c r="B55" s="37" t="s">
        <v>18</v>
      </c>
      <c r="C55" s="37"/>
      <c r="D55" s="51">
        <f>D54-D53</f>
        <v>-116900</v>
      </c>
      <c r="E55" s="51">
        <f t="shared" ref="E55:M55" si="7">E54-E53</f>
        <v>-101750</v>
      </c>
      <c r="F55" s="51">
        <f t="shared" si="7"/>
        <v>-86600</v>
      </c>
      <c r="G55" s="51">
        <f t="shared" si="7"/>
        <v>-71450</v>
      </c>
      <c r="H55" s="51">
        <f t="shared" si="7"/>
        <v>-56300</v>
      </c>
      <c r="I55" s="51">
        <f t="shared" si="7"/>
        <v>-41150</v>
      </c>
      <c r="J55" s="51">
        <f t="shared" si="7"/>
        <v>-26000</v>
      </c>
      <c r="K55" s="51">
        <f t="shared" si="7"/>
        <v>-10850</v>
      </c>
      <c r="L55" s="51">
        <f t="shared" si="7"/>
        <v>4300</v>
      </c>
      <c r="M55" s="51">
        <f t="shared" si="7"/>
        <v>19450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6" val="4" numFmtId="37"/>
      <inputCells r="F7" val="600" numFmtId="37"/>
    </scenario>
    <scenario name="Higher price" count="2" user="Sally Herigstad" comment="Created by SH on 2/18/2004">
      <inputCells r="F6" val="6" numFmtId="37"/>
      <inputCells r="F7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4 F25:F26 F58:F65550 G2 G38 F37 G40 F39 D52:M52 H59:H65550 J43:J44 G26 F11 G11:G19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3 G21:G25 G9 H2 F20:F24 G59:G65550 G37 F38 G39" xr:uid="{00000000-0002-0000-0000-000001000000}"/>
    <dataValidation type="decimal" allowBlank="1" showInputMessage="1" showErrorMessage="1" error="Please enter an amount between (10,000,000) and 10,000,000." sqref="F12:F19 F27:F3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190500</xdr:rowOff>
                  </from>
                  <to>
                    <xdr:col>6</xdr:col>
                    <xdr:colOff>790575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5</xdr:row>
                    <xdr:rowOff>152400</xdr:rowOff>
                  </from>
                  <to>
                    <xdr:col>6</xdr:col>
                    <xdr:colOff>790575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17</xdr:row>
                    <xdr:rowOff>19050</xdr:rowOff>
                  </from>
                  <to>
                    <xdr:col>7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15</xdr:row>
                    <xdr:rowOff>9525</xdr:rowOff>
                  </from>
                  <to>
                    <xdr:col>7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Scroll Bar 24">
              <controlPr defaultSize="0" autoPict="0">
                <anchor moveWithCells="1">
                  <from>
                    <xdr:col>8</xdr:col>
                    <xdr:colOff>28575</xdr:colOff>
                    <xdr:row>5</xdr:row>
                    <xdr:rowOff>152400</xdr:rowOff>
                  </from>
                  <to>
                    <xdr:col>8</xdr:col>
                    <xdr:colOff>809625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Scroll Bar 26">
              <controlPr defaultSize="0" autoPict="0">
                <anchor moveWithCells="1">
                  <from>
                    <xdr:col>10</xdr:col>
                    <xdr:colOff>19050</xdr:colOff>
                    <xdr:row>6</xdr:row>
                    <xdr:rowOff>9525</xdr:rowOff>
                  </from>
                  <to>
                    <xdr:col>10</xdr:col>
                    <xdr:colOff>790575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8D41-8ABF-4196-BA02-3A6610D1872A}">
  <dimension ref="A1:Q34"/>
  <sheetViews>
    <sheetView workbookViewId="0">
      <selection activeCell="M16" sqref="M16"/>
    </sheetView>
  </sheetViews>
  <sheetFormatPr defaultRowHeight="12.75" x14ac:dyDescent="0.2"/>
  <cols>
    <col min="1" max="1" width="16.140625" customWidth="1"/>
  </cols>
  <sheetData>
    <row r="1" spans="1:17" ht="51.75" customHeight="1" x14ac:dyDescent="0.2">
      <c r="A1" s="70" t="s">
        <v>54</v>
      </c>
      <c r="B1" s="70"/>
      <c r="C1" s="70"/>
      <c r="D1" s="70"/>
      <c r="E1" s="70"/>
      <c r="F1" s="70"/>
    </row>
    <row r="2" spans="1:17" x14ac:dyDescent="0.2">
      <c r="A2" s="67" t="s">
        <v>55</v>
      </c>
      <c r="B2" s="67" t="s">
        <v>57</v>
      </c>
      <c r="C2" s="67" t="s">
        <v>56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x14ac:dyDescent="0.2">
      <c r="A3" s="72" t="s">
        <v>65</v>
      </c>
      <c r="B3" s="72"/>
      <c r="C3" s="72"/>
      <c r="D3" s="72"/>
      <c r="E3" s="72"/>
      <c r="F3" s="7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x14ac:dyDescent="0.2">
      <c r="A4" s="67" t="s">
        <v>58</v>
      </c>
      <c r="B4" s="68">
        <v>1.4E-2</v>
      </c>
      <c r="C4" s="68">
        <v>2.8000000000000001E-2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x14ac:dyDescent="0.2">
      <c r="A5" s="67" t="s">
        <v>59</v>
      </c>
      <c r="B5" s="71">
        <v>12</v>
      </c>
      <c r="C5" s="71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x14ac:dyDescent="0.2">
      <c r="A6" s="67" t="s">
        <v>60</v>
      </c>
      <c r="B6" s="71">
        <v>6</v>
      </c>
      <c r="C6" s="71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x14ac:dyDescent="0.2">
      <c r="A7" s="67" t="s">
        <v>62</v>
      </c>
      <c r="B7" s="71">
        <v>52</v>
      </c>
      <c r="C7" s="71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x14ac:dyDescent="0.2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x14ac:dyDescent="0.2">
      <c r="A9" s="69" t="s">
        <v>61</v>
      </c>
      <c r="B9" s="68">
        <f>B4*B5*B6*B7</f>
        <v>52.415999999999997</v>
      </c>
      <c r="C9" s="68">
        <f>C4*B5*B6*B7</f>
        <v>104.83199999999999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x14ac:dyDescent="0.2">
      <c r="A10" s="69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x14ac:dyDescent="0.2">
      <c r="A11" s="69" t="s">
        <v>64</v>
      </c>
      <c r="B11" s="71">
        <v>1.2</v>
      </c>
      <c r="C11" s="71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x14ac:dyDescent="0.2">
      <c r="A12" s="69" t="s">
        <v>63</v>
      </c>
      <c r="B12" s="68">
        <f>B9*B11</f>
        <v>62.899199999999993</v>
      </c>
      <c r="C12" s="68">
        <f>C9*B11</f>
        <v>125.79839999999999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x14ac:dyDescent="0.2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x14ac:dyDescent="0.2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x14ac:dyDescent="0.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x14ac:dyDescent="0.2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x14ac:dyDescent="0.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x14ac:dyDescent="0.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x14ac:dyDescent="0.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x14ac:dyDescent="0.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x14ac:dyDescent="0.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x14ac:dyDescent="0.2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x14ac:dyDescent="0.2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x14ac:dyDescent="0.2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</row>
  </sheetData>
  <mergeCells count="6">
    <mergeCell ref="A1:F1"/>
    <mergeCell ref="B5:C5"/>
    <mergeCell ref="B6:C6"/>
    <mergeCell ref="B7:C7"/>
    <mergeCell ref="B11:C11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Breakeven Analysis Data</vt:lpstr>
      <vt:lpstr>Hosting Cost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Sales_price_unitA</vt:lpstr>
      <vt:lpstr>Sales_price_unitB</vt:lpstr>
      <vt:lpstr>Sales_price_unitC</vt:lpstr>
      <vt:lpstr>Sales_volume_unitsA</vt:lpstr>
      <vt:lpstr>Sales_volume_unitsB</vt:lpstr>
      <vt:lpstr>Sales_volume_unitsC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2017-12-27T12:23:59Z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